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925" tabRatio="783" firstSheet="2" activeTab="8"/>
  </bookViews>
  <sheets>
    <sheet name="77515 旧排期" sheetId="22" state="hidden" r:id="rId1"/>
    <sheet name="77515 DIY厨艺大师 旧排期" sheetId="28" state="hidden" r:id="rId2"/>
    <sheet name="77515 DIY厨艺大师" sheetId="4" r:id="rId3"/>
    <sheet name="生产MA Summary" sheetId="20" r:id="rId4"/>
    <sheet name="5S包装MA" sheetId="3" r:id="rId5"/>
    <sheet name="配件数量" sheetId="18" r:id="rId6"/>
    <sheet name="Ratio" sheetId="19" r:id="rId7"/>
    <sheet name="77773二代旧排期" sheetId="27" state="hidden" r:id="rId8"/>
    <sheet name="77773二代" sheetId="23" r:id="rId9"/>
    <sheet name="77773的生产MA" sheetId="24" r:id="rId10"/>
    <sheet name="77773的包装MA" sheetId="25" r:id="rId11"/>
    <sheet name="77773配比" sheetId="26" r:id="rId12"/>
    <sheet name="取消单" sheetId="21" r:id="rId13"/>
  </sheets>
  <externalReferences>
    <externalReference r:id="rId14"/>
    <externalReference r:id="rId15"/>
    <externalReference r:id="rId16"/>
    <externalReference r:id="rId17"/>
    <externalReference r:id="rId18"/>
    <externalReference r:id="rId19"/>
  </externalReferences>
  <definedNames>
    <definedName name="_xlnm._FilterDatabase" localSheetId="0" hidden="1">'77515 旧排期'!$A$3:$BU$788</definedName>
    <definedName name="_xlnm._FilterDatabase" localSheetId="1" hidden="1">'77515 DIY厨艺大师 旧排期'!$A$2:$CF$289</definedName>
    <definedName name="_xlnm._FilterDatabase" localSheetId="2" hidden="1">'77515 DIY厨艺大师'!$A$2:$CF$62</definedName>
    <definedName name="_xlnm._FilterDatabase" localSheetId="4" hidden="1">'5S包装MA'!$A$4:$AP$204</definedName>
    <definedName name="_xlnm._FilterDatabase" localSheetId="5" hidden="1">配件数量!$A$4:$AC$109</definedName>
    <definedName name="_xlnm._FilterDatabase" localSheetId="7" hidden="1">'77773二代旧排期'!$A$2:$BR$246</definedName>
    <definedName name="_xlnm._FilterDatabase" localSheetId="8" hidden="1">'77773二代'!$A$2:$BR$147</definedName>
    <definedName name="_xlnm._FilterDatabase" localSheetId="10" hidden="1">'77773的包装MA'!$A$4:$AE$88</definedName>
    <definedName name="_xlnm._FilterDatabase" localSheetId="12" hidden="1">取消单!$A$1:$BQ$83</definedName>
    <definedName name="cavity">'[1]Form-003'!#REF!</definedName>
    <definedName name="Code">'[2]CQS Code(rev 38)'!$B$7:$E$1000</definedName>
    <definedName name="cycle.time">'[1]Form-003'!#REF!</definedName>
    <definedName name="GDE">[3]基础表!#REF!</definedName>
    <definedName name="mold.color">'[1]Form-003'!#REF!</definedName>
    <definedName name="mold.cost">'[1]Form-003'!#REF!</definedName>
    <definedName name="mold.height">'[1]Form-003'!#REF!</definedName>
    <definedName name="mold.length">'[1]Form-003'!#REF!</definedName>
    <definedName name="mold.material">'[1]Form-003'!#REF!</definedName>
    <definedName name="mold.name">'[1]Form-003'!#REF!</definedName>
    <definedName name="mold.number">'[1]Form-003'!#REF!</definedName>
    <definedName name="mold.partweight">'[1]Form-003'!#REF!</definedName>
    <definedName name="mold.usage">'[1]Form-003'!#REF!</definedName>
    <definedName name="mold.width">'[1]Form-003'!#REF!</definedName>
    <definedName name="new_sum">#REF!</definedName>
    <definedName name="part.list">'[1]Form-003'!#REF!</definedName>
    <definedName name="PI_IN">#REF!</definedName>
    <definedName name="PI_SUM">#REF!</definedName>
    <definedName name="PI_SUM_SALES">#REF!</definedName>
    <definedName name="Prepared.By">'[1]Form-003'!#REF!</definedName>
    <definedName name="Ref.Number">'[1]Form-003'!#REF!</definedName>
    <definedName name="Revised.By">'[1]Form-003'!#REF!</definedName>
    <definedName name="sd">[3]基础表!#REF!</definedName>
    <definedName name="tool.plan">'[1]Form-003'!#REF!</definedName>
    <definedName name="up">'[1]Form-003'!#REF!</definedName>
    <definedName name="Vendor">'[1]Form-003'!#REF!</definedName>
    <definedName name="类别">[3]基础表!#REF!</definedName>
    <definedName name="类别1">[3]基础表!#REF!</definedName>
    <definedName name="领料单">[3]基础表!#REF!</definedName>
    <definedName name="收料单">[3]基础表!#REF!</definedName>
    <definedName name="一部">[3]基础表!#REF!</definedName>
    <definedName name="GDE" localSheetId="5">[4]基础表!#REF!</definedName>
    <definedName name="new_sum" localSheetId="5">#REF!</definedName>
    <definedName name="PI_IN" localSheetId="5">#REF!</definedName>
    <definedName name="PI_SUM" localSheetId="5">#REF!</definedName>
    <definedName name="PI_SUM_SALES" localSheetId="5">#REF!</definedName>
    <definedName name="_xlnm.Print_Area" localSheetId="5">配件数量!$A$4:$AB$109</definedName>
    <definedName name="sd" localSheetId="5">[4]基础表!#REF!</definedName>
    <definedName name="类别" localSheetId="5">[4]基础表!#REF!</definedName>
    <definedName name="类别1" localSheetId="5">[4]基础表!#REF!</definedName>
    <definedName name="领料单" localSheetId="5">[4]基础表!#REF!</definedName>
    <definedName name="收料单" localSheetId="5">[4]基础表!#REF!</definedName>
    <definedName name="一部" localSheetId="5">[4]基础表!#REF!</definedName>
    <definedName name="GDE" localSheetId="6">[4]基础表!#REF!</definedName>
    <definedName name="new_sum" localSheetId="6">#REF!</definedName>
    <definedName name="PI_IN" localSheetId="6">#REF!</definedName>
    <definedName name="PI_SUM" localSheetId="6">#REF!</definedName>
    <definedName name="PI_SUM_SALES" localSheetId="6">#REF!</definedName>
    <definedName name="sd" localSheetId="6">[4]基础表!#REF!</definedName>
    <definedName name="类别" localSheetId="6">[4]基础表!#REF!</definedName>
    <definedName name="类别1" localSheetId="6">[4]基础表!#REF!</definedName>
    <definedName name="领料单" localSheetId="6">[4]基础表!#REF!</definedName>
    <definedName name="收料单" localSheetId="6">[4]基础表!#REF!</definedName>
    <definedName name="一部" localSheetId="6">[4]基础表!#REF!</definedName>
    <definedName name="_xlnm._FilterDatabase" localSheetId="3" hidden="1">'生产MA Summary'!$A$7:$R$24</definedName>
    <definedName name="GDE" localSheetId="3">[5]基础表!#REF!</definedName>
    <definedName name="new_sum" localSheetId="3">#REF!</definedName>
    <definedName name="PI_IN" localSheetId="3">#REF!</definedName>
    <definedName name="PI_SUM" localSheetId="3">#REF!</definedName>
    <definedName name="PI_SUM_SALES" localSheetId="3">#REF!</definedName>
    <definedName name="sd" localSheetId="3">[5]基础表!#REF!</definedName>
    <definedName name="类别" localSheetId="3">[5]基础表!#REF!</definedName>
    <definedName name="类别1" localSheetId="3">[5]基础表!#REF!</definedName>
    <definedName name="领料单" localSheetId="3">[5]基础表!#REF!</definedName>
    <definedName name="收料单" localSheetId="3">[5]基础表!#REF!</definedName>
    <definedName name="一部" localSheetId="3">[5]基础表!#REF!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I23" authorId="0">
      <text>
        <r>
          <rPr>
            <b/>
            <sz val="9"/>
            <rFont val="宋体"/>
            <charset val="134"/>
          </rPr>
          <t>Administrator:</t>
        </r>
        <r>
          <rPr>
            <sz val="9"/>
            <rFont val="宋体"/>
            <charset val="134"/>
          </rPr>
          <t xml:space="preserve">
1/16 减少31箱数量 </t>
        </r>
      </text>
    </comment>
    <comment ref="T23" authorId="0">
      <text>
        <r>
          <rPr>
            <b/>
            <sz val="9"/>
            <rFont val="宋体"/>
            <charset val="134"/>
          </rPr>
          <t>Administrator:</t>
        </r>
        <r>
          <rPr>
            <sz val="9"/>
            <rFont val="宋体"/>
            <charset val="134"/>
          </rPr>
          <t xml:space="preserve">
1/2 收到防伪贴纸</t>
        </r>
      </text>
    </comment>
    <comment ref="T32" authorId="0">
      <text>
        <r>
          <rPr>
            <b/>
            <sz val="9"/>
            <rFont val="宋体"/>
            <charset val="134"/>
          </rPr>
          <t>Administrator:</t>
        </r>
        <r>
          <rPr>
            <sz val="9"/>
            <rFont val="宋体"/>
            <charset val="134"/>
          </rPr>
          <t xml:space="preserve">
12/20 收到贴纸资料</t>
        </r>
      </text>
    </comment>
    <comment ref="AD33" authorId="0">
      <text>
        <r>
          <rPr>
            <b/>
            <sz val="9"/>
            <rFont val="宋体"/>
            <charset val="134"/>
          </rPr>
          <t>Administrator:</t>
        </r>
        <r>
          <rPr>
            <sz val="9"/>
            <rFont val="宋体"/>
            <charset val="134"/>
          </rPr>
          <t xml:space="preserve">
1/17 上说明书警告语贴纸5928pcs
2/24上重订说明书贴纸5928pcs</t>
        </r>
      </text>
    </comment>
    <comment ref="G36" authorId="0">
      <text>
        <r>
          <rPr>
            <b/>
            <sz val="9"/>
            <rFont val="宋体"/>
            <charset val="134"/>
          </rPr>
          <t>Administrator:</t>
        </r>
        <r>
          <rPr>
            <sz val="9"/>
            <rFont val="宋体"/>
            <charset val="134"/>
          </rPr>
          <t xml:space="preserve">
需要PDQ 子件出不了PO</t>
        </r>
      </text>
    </comment>
    <comment ref="AD39" authorId="0">
      <text>
        <r>
          <rPr>
            <b/>
            <sz val="9"/>
            <rFont val="宋体"/>
            <charset val="134"/>
          </rPr>
          <t>Administrator:</t>
        </r>
        <r>
          <rPr>
            <sz val="9"/>
            <rFont val="宋体"/>
            <charset val="134"/>
          </rPr>
          <t xml:space="preserve">
1/18 上9国语言说明书14028pcs</t>
        </r>
      </text>
    </comment>
    <comment ref="AD40" authorId="0">
      <text>
        <r>
          <rPr>
            <b/>
            <sz val="9"/>
            <rFont val="宋体"/>
            <charset val="134"/>
          </rPr>
          <t>Administrator:</t>
        </r>
        <r>
          <rPr>
            <sz val="9"/>
            <rFont val="宋体"/>
            <charset val="134"/>
          </rPr>
          <t xml:space="preserve">
1/24 上说明书警告语贴纸1495pcs</t>
        </r>
      </text>
    </comment>
    <comment ref="AD41" authorId="0">
      <text>
        <r>
          <rPr>
            <b/>
            <sz val="9"/>
            <rFont val="宋体"/>
            <charset val="134"/>
          </rPr>
          <t>Administrator:</t>
        </r>
        <r>
          <rPr>
            <sz val="9"/>
            <rFont val="宋体"/>
            <charset val="134"/>
          </rPr>
          <t xml:space="preserve">
1/24 上说明书警告语贴纸14989pcs
</t>
        </r>
      </text>
    </comment>
    <comment ref="T45" authorId="0">
      <text>
        <r>
          <rPr>
            <b/>
            <sz val="9"/>
            <rFont val="宋体"/>
            <charset val="134"/>
          </rPr>
          <t>Administrator:</t>
        </r>
        <r>
          <rPr>
            <sz val="9"/>
            <rFont val="宋体"/>
            <charset val="134"/>
          </rPr>
          <t xml:space="preserve">
防伪贴纸 1/19 寄出
</t>
        </r>
      </text>
    </comment>
    <comment ref="T46" authorId="0">
      <text>
        <r>
          <rPr>
            <b/>
            <sz val="9"/>
            <rFont val="宋体"/>
            <charset val="134"/>
          </rPr>
          <t>Administrator:</t>
        </r>
        <r>
          <rPr>
            <sz val="9"/>
            <rFont val="宋体"/>
            <charset val="134"/>
          </rPr>
          <t xml:space="preserve">
防伪贴纸 1/19 寄出
</t>
        </r>
      </text>
    </comment>
    <comment ref="T47" authorId="0">
      <text>
        <r>
          <rPr>
            <b/>
            <sz val="9"/>
            <rFont val="宋体"/>
            <charset val="134"/>
          </rPr>
          <t>Administrator:</t>
        </r>
        <r>
          <rPr>
            <sz val="9"/>
            <rFont val="宋体"/>
            <charset val="134"/>
          </rPr>
          <t xml:space="preserve">
防伪贴纸 1/19 寄出
</t>
        </r>
      </text>
    </comment>
    <comment ref="T48" authorId="0">
      <text>
        <r>
          <rPr>
            <b/>
            <sz val="9"/>
            <rFont val="宋体"/>
            <charset val="134"/>
          </rPr>
          <t>Administrator:</t>
        </r>
        <r>
          <rPr>
            <sz val="9"/>
            <rFont val="宋体"/>
            <charset val="134"/>
          </rPr>
          <t xml:space="preserve">
防伪贴纸 1/19 寄出
</t>
        </r>
      </text>
    </comment>
    <comment ref="T49" authorId="0">
      <text>
        <r>
          <rPr>
            <b/>
            <sz val="9"/>
            <rFont val="宋体"/>
            <charset val="134"/>
          </rPr>
          <t>Administrator:</t>
        </r>
        <r>
          <rPr>
            <sz val="9"/>
            <rFont val="宋体"/>
            <charset val="134"/>
          </rPr>
          <t xml:space="preserve">
防伪贴纸 1/19 寄出
</t>
        </r>
      </text>
    </comment>
    <comment ref="T50" authorId="0">
      <text>
        <r>
          <rPr>
            <b/>
            <sz val="9"/>
            <rFont val="宋体"/>
            <charset val="134"/>
          </rPr>
          <t>Administrator:</t>
        </r>
        <r>
          <rPr>
            <sz val="9"/>
            <rFont val="宋体"/>
            <charset val="134"/>
          </rPr>
          <t xml:space="preserve">
防伪贴纸 1/19 寄出
</t>
        </r>
      </text>
    </comment>
    <comment ref="T51" authorId="0">
      <text>
        <r>
          <rPr>
            <b/>
            <sz val="9"/>
            <rFont val="宋体"/>
            <charset val="134"/>
          </rPr>
          <t>Administrator:</t>
        </r>
        <r>
          <rPr>
            <sz val="9"/>
            <rFont val="宋体"/>
            <charset val="134"/>
          </rPr>
          <t xml:space="preserve">
防伪贴纸 1/19 寄出
</t>
        </r>
      </text>
    </comment>
    <comment ref="AD54" authorId="0">
      <text>
        <r>
          <rPr>
            <b/>
            <sz val="9"/>
            <rFont val="宋体"/>
            <charset val="134"/>
          </rPr>
          <t>Administrator:</t>
        </r>
        <r>
          <rPr>
            <sz val="9"/>
            <rFont val="宋体"/>
            <charset val="134"/>
          </rPr>
          <t xml:space="preserve">
1/24 上说明书警告语贴纸1391pcs
</t>
        </r>
      </text>
    </comment>
    <comment ref="AD55" authorId="0">
      <text>
        <r>
          <rPr>
            <b/>
            <sz val="9"/>
            <rFont val="宋体"/>
            <charset val="134"/>
          </rPr>
          <t>Administrator:</t>
        </r>
        <r>
          <rPr>
            <sz val="9"/>
            <rFont val="宋体"/>
            <charset val="134"/>
          </rPr>
          <t xml:space="preserve">
1/24 上说明书警告语贴纸130pcs
</t>
        </r>
      </text>
    </comment>
    <comment ref="T57" authorId="0">
      <text>
        <r>
          <rPr>
            <b/>
            <sz val="9"/>
            <rFont val="宋体"/>
            <charset val="134"/>
          </rPr>
          <t>Administrator:</t>
        </r>
        <r>
          <rPr>
            <sz val="9"/>
            <rFont val="宋体"/>
            <charset val="134"/>
          </rPr>
          <t xml:space="preserve">
防伪贴纸 1/19 寄出
</t>
        </r>
      </text>
    </comment>
    <comment ref="T58" authorId="0">
      <text>
        <r>
          <rPr>
            <b/>
            <sz val="9"/>
            <rFont val="宋体"/>
            <charset val="134"/>
          </rPr>
          <t>Administrator:</t>
        </r>
        <r>
          <rPr>
            <sz val="9"/>
            <rFont val="宋体"/>
            <charset val="134"/>
          </rPr>
          <t xml:space="preserve">
防伪贴纸 1/19 寄出
</t>
        </r>
      </text>
    </comment>
    <comment ref="T59" authorId="0">
      <text>
        <r>
          <rPr>
            <b/>
            <sz val="9"/>
            <rFont val="宋体"/>
            <charset val="134"/>
          </rPr>
          <t>Administrator:</t>
        </r>
        <r>
          <rPr>
            <sz val="9"/>
            <rFont val="宋体"/>
            <charset val="134"/>
          </rPr>
          <t xml:space="preserve">
防伪贴纸 1/19 寄出
</t>
        </r>
      </text>
    </comment>
    <comment ref="T60" authorId="0">
      <text>
        <r>
          <rPr>
            <b/>
            <sz val="9"/>
            <rFont val="宋体"/>
            <charset val="134"/>
          </rPr>
          <t>Administrator:</t>
        </r>
        <r>
          <rPr>
            <sz val="9"/>
            <rFont val="宋体"/>
            <charset val="134"/>
          </rPr>
          <t xml:space="preserve">
防伪贴纸 1/19 寄出
</t>
        </r>
      </text>
    </comment>
    <comment ref="T61" authorId="0">
      <text>
        <r>
          <rPr>
            <b/>
            <sz val="9"/>
            <rFont val="宋体"/>
            <charset val="134"/>
          </rPr>
          <t>Administrator:</t>
        </r>
        <r>
          <rPr>
            <sz val="9"/>
            <rFont val="宋体"/>
            <charset val="134"/>
          </rPr>
          <t xml:space="preserve">
防伪贴纸 1/19 寄出
</t>
        </r>
      </text>
    </comment>
    <comment ref="T62" authorId="0">
      <text>
        <r>
          <rPr>
            <b/>
            <sz val="9"/>
            <rFont val="宋体"/>
            <charset val="134"/>
          </rPr>
          <t>Administrator:</t>
        </r>
        <r>
          <rPr>
            <sz val="9"/>
            <rFont val="宋体"/>
            <charset val="134"/>
          </rPr>
          <t xml:space="preserve">
防伪贴纸 1/19 寄出
</t>
        </r>
      </text>
    </comment>
    <comment ref="T63" authorId="0">
      <text>
        <r>
          <rPr>
            <b/>
            <sz val="9"/>
            <rFont val="宋体"/>
            <charset val="134"/>
          </rPr>
          <t>Administrator:</t>
        </r>
        <r>
          <rPr>
            <sz val="9"/>
            <rFont val="宋体"/>
            <charset val="134"/>
          </rPr>
          <t xml:space="preserve">
防伪贴纸 1/19 寄出
</t>
        </r>
      </text>
    </comment>
    <comment ref="T64" authorId="0">
      <text>
        <r>
          <rPr>
            <b/>
            <sz val="9"/>
            <rFont val="宋体"/>
            <charset val="134"/>
          </rPr>
          <t>Administrator:</t>
        </r>
        <r>
          <rPr>
            <sz val="9"/>
            <rFont val="宋体"/>
            <charset val="134"/>
          </rPr>
          <t xml:space="preserve">
防伪贴纸 1/19 寄出
</t>
        </r>
      </text>
    </comment>
    <comment ref="AD66" authorId="0">
      <text>
        <r>
          <rPr>
            <b/>
            <sz val="9"/>
            <rFont val="宋体"/>
            <charset val="134"/>
          </rPr>
          <t>Administrator:</t>
        </r>
        <r>
          <rPr>
            <sz val="9"/>
            <rFont val="宋体"/>
            <charset val="134"/>
          </rPr>
          <t xml:space="preserve">
1/24 上说明书警告语贴纸4704pcs
四个同PO共用</t>
        </r>
      </text>
    </comment>
    <comment ref="AD71" authorId="0">
      <text>
        <r>
          <rPr>
            <b/>
            <sz val="9"/>
            <rFont val="宋体"/>
            <charset val="134"/>
          </rPr>
          <t>Administrator:</t>
        </r>
        <r>
          <rPr>
            <sz val="9"/>
            <rFont val="宋体"/>
            <charset val="134"/>
          </rPr>
          <t xml:space="preserve">
1/24 上说明书警告语贴纸130pcs
</t>
        </r>
      </text>
    </comment>
    <comment ref="AD72" authorId="0">
      <text>
        <r>
          <rPr>
            <b/>
            <sz val="9"/>
            <rFont val="宋体"/>
            <charset val="134"/>
          </rPr>
          <t>Administrator:</t>
        </r>
        <r>
          <rPr>
            <sz val="9"/>
            <rFont val="宋体"/>
            <charset val="134"/>
          </rPr>
          <t xml:space="preserve">
1/24 上说明书警告语贴纸1508pcs
</t>
        </r>
      </text>
    </comment>
    <comment ref="T77" authorId="0">
      <text>
        <r>
          <rPr>
            <b/>
            <sz val="9"/>
            <rFont val="宋体"/>
            <charset val="134"/>
          </rPr>
          <t>Administrator:</t>
        </r>
        <r>
          <rPr>
            <sz val="9"/>
            <rFont val="宋体"/>
            <charset val="134"/>
          </rPr>
          <t xml:space="preserve">
1/24 收到价格贴纸</t>
        </r>
      </text>
    </comment>
    <comment ref="T78" authorId="0">
      <text>
        <r>
          <rPr>
            <b/>
            <sz val="9"/>
            <rFont val="宋体"/>
            <charset val="134"/>
          </rPr>
          <t>Administrator:</t>
        </r>
        <r>
          <rPr>
            <sz val="9"/>
            <rFont val="宋体"/>
            <charset val="134"/>
          </rPr>
          <t xml:space="preserve">
1/24 收到价格贴纸</t>
        </r>
      </text>
    </comment>
    <comment ref="T79" authorId="0">
      <text>
        <r>
          <rPr>
            <b/>
            <sz val="9"/>
            <rFont val="宋体"/>
            <charset val="134"/>
          </rPr>
          <t>Administrator:</t>
        </r>
        <r>
          <rPr>
            <sz val="9"/>
            <rFont val="宋体"/>
            <charset val="134"/>
          </rPr>
          <t xml:space="preserve">
1/24 收到价格贴纸</t>
        </r>
      </text>
    </comment>
    <comment ref="T80" authorId="0">
      <text>
        <r>
          <rPr>
            <b/>
            <sz val="9"/>
            <rFont val="宋体"/>
            <charset val="134"/>
          </rPr>
          <t>Administrator:</t>
        </r>
        <r>
          <rPr>
            <sz val="9"/>
            <rFont val="宋体"/>
            <charset val="134"/>
          </rPr>
          <t xml:space="preserve">
1/24 收到价格贴纸</t>
        </r>
      </text>
    </comment>
    <comment ref="AD88" authorId="0">
      <text>
        <r>
          <rPr>
            <b/>
            <sz val="9"/>
            <rFont val="宋体"/>
            <charset val="134"/>
          </rPr>
          <t>Administrator:</t>
        </r>
        <r>
          <rPr>
            <sz val="9"/>
            <rFont val="宋体"/>
            <charset val="134"/>
          </rPr>
          <t xml:space="preserve">
2/24上说明书警告语贴纸7950pcs
两个同PO共用</t>
        </r>
      </text>
    </comment>
    <comment ref="T98" authorId="0">
      <text>
        <r>
          <rPr>
            <b/>
            <sz val="9"/>
            <rFont val="宋体"/>
            <charset val="134"/>
          </rPr>
          <t>Administrator:</t>
        </r>
        <r>
          <rPr>
            <sz val="9"/>
            <rFont val="宋体"/>
            <charset val="134"/>
          </rPr>
          <t xml:space="preserve">
12/20 收到贴纸资料</t>
        </r>
      </text>
    </comment>
    <comment ref="T99" authorId="0">
      <text>
        <r>
          <rPr>
            <b/>
            <sz val="9"/>
            <rFont val="宋体"/>
            <charset val="134"/>
          </rPr>
          <t>Administrator:</t>
        </r>
        <r>
          <rPr>
            <sz val="9"/>
            <rFont val="宋体"/>
            <charset val="134"/>
          </rPr>
          <t xml:space="preserve">
12/20 收到贴纸资料</t>
        </r>
      </text>
    </comment>
    <comment ref="T100" authorId="0">
      <text>
        <r>
          <rPr>
            <b/>
            <sz val="9"/>
            <rFont val="宋体"/>
            <charset val="134"/>
          </rPr>
          <t>Administrator:</t>
        </r>
        <r>
          <rPr>
            <sz val="9"/>
            <rFont val="宋体"/>
            <charset val="134"/>
          </rPr>
          <t xml:space="preserve">
12/20 收到贴纸资料</t>
        </r>
      </text>
    </comment>
    <comment ref="AW116" authorId="0">
      <text>
        <r>
          <rPr>
            <b/>
            <sz val="9"/>
            <rFont val="宋体"/>
            <charset val="134"/>
          </rPr>
          <t>Administrator:</t>
        </r>
        <r>
          <rPr>
            <sz val="9"/>
            <rFont val="宋体"/>
            <charset val="134"/>
          </rPr>
          <t xml:space="preserve">
确认用1L PDQ</t>
        </r>
      </text>
    </comment>
    <comment ref="AD117" authorId="0">
      <text>
        <r>
          <rPr>
            <b/>
            <sz val="9"/>
            <rFont val="宋体"/>
            <charset val="134"/>
          </rPr>
          <t>Administrator:</t>
        </r>
        <r>
          <rPr>
            <sz val="9"/>
            <rFont val="宋体"/>
            <charset val="134"/>
          </rPr>
          <t xml:space="preserve">
3/4 上说明书电池警告语贴纸4200pcs 两个同PO共用</t>
        </r>
      </text>
    </comment>
    <comment ref="AD119" authorId="0">
      <text>
        <r>
          <rPr>
            <b/>
            <sz val="9"/>
            <rFont val="宋体"/>
            <charset val="134"/>
          </rPr>
          <t>Administrator:</t>
        </r>
        <r>
          <rPr>
            <sz val="9"/>
            <rFont val="宋体"/>
            <charset val="134"/>
          </rPr>
          <t xml:space="preserve">
3/11 上说明书警告语贴纸1729pcs</t>
        </r>
      </text>
    </comment>
    <comment ref="AD120" authorId="0">
      <text>
        <r>
          <rPr>
            <b/>
            <sz val="9"/>
            <rFont val="宋体"/>
            <charset val="134"/>
          </rPr>
          <t>Administrator:</t>
        </r>
        <r>
          <rPr>
            <sz val="9"/>
            <rFont val="宋体"/>
            <charset val="134"/>
          </rPr>
          <t xml:space="preserve">
3/19 上客版黑白说明书7200pcs</t>
        </r>
      </text>
    </comment>
    <comment ref="AD129" authorId="0">
      <text>
        <r>
          <rPr>
            <b/>
            <sz val="9"/>
            <rFont val="宋体"/>
            <charset val="134"/>
          </rPr>
          <t>Administrator:</t>
        </r>
        <r>
          <rPr>
            <sz val="9"/>
            <rFont val="宋体"/>
            <charset val="134"/>
          </rPr>
          <t xml:space="preserve">
3/11 上说明书警告语贴纸480pcs</t>
        </r>
      </text>
    </comment>
    <comment ref="T130" authorId="0">
      <text>
        <r>
          <rPr>
            <b/>
            <sz val="9"/>
            <rFont val="宋体"/>
            <charset val="134"/>
          </rPr>
          <t>Administrator:</t>
        </r>
        <r>
          <rPr>
            <sz val="9"/>
            <rFont val="宋体"/>
            <charset val="134"/>
          </rPr>
          <t xml:space="preserve">
12/20 收到贴纸资料</t>
        </r>
      </text>
    </comment>
    <comment ref="T131" authorId="0">
      <text>
        <r>
          <rPr>
            <b/>
            <sz val="9"/>
            <rFont val="宋体"/>
            <charset val="134"/>
          </rPr>
          <t>Administrator:</t>
        </r>
        <r>
          <rPr>
            <sz val="9"/>
            <rFont val="宋体"/>
            <charset val="134"/>
          </rPr>
          <t xml:space="preserve">
12/20 收到贴纸资料</t>
        </r>
      </text>
    </comment>
    <comment ref="T132" authorId="0">
      <text>
        <r>
          <rPr>
            <b/>
            <sz val="9"/>
            <rFont val="宋体"/>
            <charset val="134"/>
          </rPr>
          <t>Administrator:</t>
        </r>
        <r>
          <rPr>
            <sz val="9"/>
            <rFont val="宋体"/>
            <charset val="134"/>
          </rPr>
          <t xml:space="preserve">
12/20 收到贴纸资料</t>
        </r>
      </text>
    </comment>
    <comment ref="T133" authorId="0">
      <text>
        <r>
          <rPr>
            <b/>
            <sz val="9"/>
            <rFont val="宋体"/>
            <charset val="134"/>
          </rPr>
          <t>Administrator:</t>
        </r>
        <r>
          <rPr>
            <sz val="9"/>
            <rFont val="宋体"/>
            <charset val="134"/>
          </rPr>
          <t xml:space="preserve">
12/20 收到贴纸资料</t>
        </r>
      </text>
    </comment>
    <comment ref="T139" authorId="0">
      <text>
        <r>
          <rPr>
            <b/>
            <sz val="9"/>
            <rFont val="宋体"/>
            <charset val="134"/>
          </rPr>
          <t>Administrator:</t>
        </r>
        <r>
          <rPr>
            <sz val="9"/>
            <rFont val="宋体"/>
            <charset val="134"/>
          </rPr>
          <t xml:space="preserve">
3/12 寄出RFID贴纸</t>
        </r>
      </text>
    </comment>
    <comment ref="T140" authorId="0">
      <text>
        <r>
          <rPr>
            <b/>
            <sz val="9"/>
            <rFont val="宋体"/>
            <charset val="134"/>
          </rPr>
          <t>Administrator:</t>
        </r>
        <r>
          <rPr>
            <sz val="9"/>
            <rFont val="宋体"/>
            <charset val="134"/>
          </rPr>
          <t xml:space="preserve">
3/12 寄出RFID贴纸</t>
        </r>
      </text>
    </comment>
    <comment ref="T141" authorId="0">
      <text>
        <r>
          <rPr>
            <b/>
            <sz val="9"/>
            <rFont val="宋体"/>
            <charset val="134"/>
          </rPr>
          <t>Administrator:</t>
        </r>
        <r>
          <rPr>
            <sz val="9"/>
            <rFont val="宋体"/>
            <charset val="134"/>
          </rPr>
          <t xml:space="preserve">
3/12 寄出RFID贴纸</t>
        </r>
      </text>
    </comment>
    <comment ref="T142" authorId="0">
      <text>
        <r>
          <rPr>
            <b/>
            <sz val="9"/>
            <rFont val="宋体"/>
            <charset val="134"/>
          </rPr>
          <t>Administrator:</t>
        </r>
        <r>
          <rPr>
            <sz val="9"/>
            <rFont val="宋体"/>
            <charset val="134"/>
          </rPr>
          <t xml:space="preserve">
3/12 寄出RFID贴纸</t>
        </r>
      </text>
    </comment>
    <comment ref="T143" authorId="0">
      <text>
        <r>
          <rPr>
            <b/>
            <sz val="9"/>
            <rFont val="宋体"/>
            <charset val="134"/>
          </rPr>
          <t>Administrator:</t>
        </r>
        <r>
          <rPr>
            <sz val="9"/>
            <rFont val="宋体"/>
            <charset val="134"/>
          </rPr>
          <t xml:space="preserve">
2/28 提供客版说明书档案
</t>
        </r>
      </text>
    </comment>
    <comment ref="T144" authorId="0">
      <text>
        <r>
          <rPr>
            <b/>
            <sz val="9"/>
            <rFont val="宋体"/>
            <charset val="134"/>
          </rPr>
          <t>Administrator:</t>
        </r>
        <r>
          <rPr>
            <sz val="9"/>
            <rFont val="宋体"/>
            <charset val="134"/>
          </rPr>
          <t xml:space="preserve">
2/28 提供客版说明书档案
</t>
        </r>
      </text>
    </comment>
    <comment ref="T147" authorId="0">
      <text>
        <r>
          <rPr>
            <b/>
            <sz val="9"/>
            <rFont val="宋体"/>
            <charset val="134"/>
          </rPr>
          <t>Administrator:</t>
        </r>
        <r>
          <rPr>
            <sz val="9"/>
            <rFont val="宋体"/>
            <charset val="134"/>
          </rPr>
          <t xml:space="preserve">
3/12 寄出RFID贴纸</t>
        </r>
      </text>
    </comment>
    <comment ref="AD148" authorId="0">
      <text>
        <r>
          <rPr>
            <b/>
            <sz val="9"/>
            <rFont val="宋体"/>
            <charset val="134"/>
          </rPr>
          <t>Administrator:</t>
        </r>
        <r>
          <rPr>
            <sz val="9"/>
            <rFont val="宋体"/>
            <charset val="134"/>
          </rPr>
          <t xml:space="preserve">
3/19 上电池警告语贴纸234pcs</t>
        </r>
      </text>
    </comment>
    <comment ref="AD149" authorId="0">
      <text>
        <r>
          <rPr>
            <b/>
            <sz val="9"/>
            <rFont val="宋体"/>
            <charset val="134"/>
          </rPr>
          <t>Administrator:</t>
        </r>
        <r>
          <rPr>
            <sz val="9"/>
            <rFont val="宋体"/>
            <charset val="134"/>
          </rPr>
          <t xml:space="preserve">
3/19 上电池警告语贴纸1274pcs</t>
        </r>
      </text>
    </comment>
    <comment ref="AB152" authorId="0">
      <text>
        <r>
          <rPr>
            <b/>
            <sz val="9"/>
            <rFont val="宋体"/>
            <charset val="134"/>
          </rPr>
          <t>Administrator:</t>
        </r>
        <r>
          <rPr>
            <sz val="9"/>
            <rFont val="宋体"/>
            <charset val="134"/>
          </rPr>
          <t xml:space="preserve">
0002147 11/25 676pcs货一F4</t>
        </r>
      </text>
    </comment>
    <comment ref="T154" authorId="0">
      <text>
        <r>
          <rPr>
            <b/>
            <sz val="9"/>
            <rFont val="宋体"/>
            <charset val="134"/>
          </rPr>
          <t>Administrator:</t>
        </r>
        <r>
          <rPr>
            <sz val="9"/>
            <rFont val="宋体"/>
            <charset val="134"/>
          </rPr>
          <t xml:space="preserve">
3/12 寄出RFID贴纸</t>
        </r>
      </text>
    </comment>
    <comment ref="T158" authorId="0">
      <text>
        <r>
          <rPr>
            <b/>
            <sz val="9"/>
            <rFont val="宋体"/>
            <charset val="134"/>
          </rPr>
          <t>Administrator:</t>
        </r>
        <r>
          <rPr>
            <sz val="9"/>
            <rFont val="宋体"/>
            <charset val="134"/>
          </rPr>
          <t xml:space="preserve">
3/12 寄出RFID贴纸</t>
        </r>
      </text>
    </comment>
    <comment ref="AD159" authorId="0">
      <text>
        <r>
          <rPr>
            <b/>
            <sz val="9"/>
            <rFont val="宋体"/>
            <charset val="134"/>
          </rPr>
          <t>Administrator:</t>
        </r>
        <r>
          <rPr>
            <sz val="9"/>
            <rFont val="宋体"/>
            <charset val="134"/>
          </rPr>
          <t xml:space="preserve">
4/6 上气味贴纸3150pcs</t>
        </r>
      </text>
    </comment>
    <comment ref="AD163" authorId="0">
      <text>
        <r>
          <rPr>
            <b/>
            <sz val="9"/>
            <rFont val="宋体"/>
            <charset val="134"/>
          </rPr>
          <t>Administrator:</t>
        </r>
        <r>
          <rPr>
            <sz val="9"/>
            <rFont val="宋体"/>
            <charset val="134"/>
          </rPr>
          <t xml:space="preserve">
3/28 上说明书警告语贴纸2002pcs
</t>
        </r>
      </text>
    </comment>
    <comment ref="AD165" authorId="0">
      <text>
        <r>
          <rPr>
            <b/>
            <sz val="9"/>
            <rFont val="宋体"/>
            <charset val="134"/>
          </rPr>
          <t>Administrator:</t>
        </r>
        <r>
          <rPr>
            <sz val="9"/>
            <rFont val="宋体"/>
            <charset val="134"/>
          </rPr>
          <t xml:space="preserve">
3/28 上说明书警告语贴纸390pcs
</t>
        </r>
      </text>
    </comment>
    <comment ref="AD166" authorId="0">
      <text>
        <r>
          <rPr>
            <b/>
            <sz val="9"/>
            <rFont val="宋体"/>
            <charset val="134"/>
          </rPr>
          <t>Administrator:</t>
        </r>
        <r>
          <rPr>
            <sz val="9"/>
            <rFont val="宋体"/>
            <charset val="134"/>
          </rPr>
          <t xml:space="preserve">
3/28 上说明书警告语贴纸6058pcs
</t>
        </r>
      </text>
    </comment>
    <comment ref="AD167" authorId="0">
      <text>
        <r>
          <rPr>
            <b/>
            <sz val="9"/>
            <rFont val="宋体"/>
            <charset val="134"/>
          </rPr>
          <t>Administrator:</t>
        </r>
        <r>
          <rPr>
            <sz val="9"/>
            <rFont val="宋体"/>
            <charset val="134"/>
          </rPr>
          <t xml:space="preserve">
3/28 上说明书警告语贴纸403pcs
</t>
        </r>
      </text>
    </comment>
    <comment ref="AD168" authorId="0">
      <text>
        <r>
          <rPr>
            <b/>
            <sz val="9"/>
            <rFont val="宋体"/>
            <charset val="134"/>
          </rPr>
          <t>Administrator:</t>
        </r>
        <r>
          <rPr>
            <sz val="9"/>
            <rFont val="宋体"/>
            <charset val="134"/>
          </rPr>
          <t xml:space="preserve">
3/28 上说明书警告语贴纸325pcs
</t>
        </r>
      </text>
    </comment>
    <comment ref="AD169" authorId="0">
      <text>
        <r>
          <rPr>
            <b/>
            <sz val="9"/>
            <rFont val="宋体"/>
            <charset val="134"/>
          </rPr>
          <t>Administrator:</t>
        </r>
        <r>
          <rPr>
            <sz val="9"/>
            <rFont val="宋体"/>
            <charset val="134"/>
          </rPr>
          <t xml:space="preserve">
3/28 上说明书警告语贴纸2834pcs</t>
        </r>
      </text>
    </comment>
    <comment ref="AD170" authorId="0">
      <text>
        <r>
          <rPr>
            <b/>
            <sz val="9"/>
            <rFont val="宋体"/>
            <charset val="134"/>
          </rPr>
          <t>Administrator:</t>
        </r>
        <r>
          <rPr>
            <sz val="9"/>
            <rFont val="宋体"/>
            <charset val="134"/>
          </rPr>
          <t xml:space="preserve">
3/28 上说明书警告语贴纸4134pcs
</t>
        </r>
      </text>
    </comment>
    <comment ref="AD171" authorId="0">
      <text>
        <r>
          <rPr>
            <b/>
            <sz val="9"/>
            <rFont val="宋体"/>
            <charset val="134"/>
          </rPr>
          <t>Administrator:</t>
        </r>
        <r>
          <rPr>
            <sz val="9"/>
            <rFont val="宋体"/>
            <charset val="134"/>
          </rPr>
          <t xml:space="preserve">
3/19 上客供警告语收藏指南贴纸3712pcs
warning instruction警告贴纸3708pcs</t>
        </r>
      </text>
    </comment>
    <comment ref="AD188" authorId="0">
      <text>
        <r>
          <rPr>
            <b/>
            <sz val="9"/>
            <rFont val="宋体"/>
            <charset val="134"/>
          </rPr>
          <t>Administrator:</t>
        </r>
        <r>
          <rPr>
            <sz val="9"/>
            <rFont val="宋体"/>
            <charset val="134"/>
          </rPr>
          <t xml:space="preserve">
4/19 上说明书警告语贴纸2327pcs</t>
        </r>
      </text>
    </comment>
    <comment ref="AD193" authorId="0">
      <text>
        <r>
          <rPr>
            <b/>
            <sz val="9"/>
            <rFont val="宋体"/>
            <charset val="134"/>
          </rPr>
          <t>Administrator:</t>
        </r>
        <r>
          <rPr>
            <sz val="9"/>
            <rFont val="宋体"/>
            <charset val="134"/>
          </rPr>
          <t xml:space="preserve">
4/26 上气味贴纸3250pcs</t>
        </r>
      </text>
    </comment>
    <comment ref="AD194" authorId="0">
      <text>
        <r>
          <rPr>
            <b/>
            <sz val="9"/>
            <rFont val="宋体"/>
            <charset val="134"/>
          </rPr>
          <t>Administrator:</t>
        </r>
        <r>
          <rPr>
            <sz val="9"/>
            <rFont val="宋体"/>
            <charset val="134"/>
          </rPr>
          <t xml:space="preserve">
4/26 上说明书警告语贴纸273pcs</t>
        </r>
      </text>
    </comment>
    <comment ref="AD195" authorId="0">
      <text>
        <r>
          <rPr>
            <b/>
            <sz val="9"/>
            <rFont val="宋体"/>
            <charset val="134"/>
          </rPr>
          <t>Administrator:</t>
        </r>
        <r>
          <rPr>
            <sz val="9"/>
            <rFont val="宋体"/>
            <charset val="134"/>
          </rPr>
          <t xml:space="preserve">
说明书警告语贴纸5525pcs</t>
        </r>
      </text>
    </comment>
    <comment ref="AB197" authorId="0">
      <text>
        <r>
          <rPr>
            <b/>
            <sz val="9"/>
            <rFont val="宋体"/>
            <charset val="134"/>
          </rPr>
          <t>Administrator:</t>
        </r>
        <r>
          <rPr>
            <sz val="9"/>
            <rFont val="宋体"/>
            <charset val="134"/>
          </rPr>
          <t xml:space="preserve">
0001625 11/18 120套王军</t>
        </r>
      </text>
    </comment>
    <comment ref="AD200" authorId="0">
      <text>
        <r>
          <rPr>
            <b/>
            <sz val="9"/>
            <rFont val="宋体"/>
            <charset val="134"/>
          </rPr>
          <t>Administrator:</t>
        </r>
        <r>
          <rPr>
            <sz val="9"/>
            <rFont val="宋体"/>
            <charset val="134"/>
          </rPr>
          <t xml:space="preserve">
4/26 上说明书警告语贴纸5500pcs</t>
        </r>
      </text>
    </comment>
    <comment ref="AD232" authorId="0">
      <text>
        <r>
          <rPr>
            <b/>
            <sz val="9"/>
            <rFont val="宋体"/>
            <charset val="134"/>
          </rPr>
          <t>Administrator:</t>
        </r>
        <r>
          <rPr>
            <sz val="9"/>
            <rFont val="宋体"/>
            <charset val="134"/>
          </rPr>
          <t xml:space="preserve">
5/13 上日语说明书5000pcs</t>
        </r>
      </text>
    </comment>
    <comment ref="AD234" authorId="0">
      <text>
        <r>
          <rPr>
            <b/>
            <sz val="9"/>
            <rFont val="宋体"/>
            <charset val="134"/>
          </rPr>
          <t>Administrator:</t>
        </r>
        <r>
          <rPr>
            <sz val="9"/>
            <rFont val="宋体"/>
            <charset val="134"/>
          </rPr>
          <t xml:space="preserve">
5/8 上说明书警告语贴纸2379pcs</t>
        </r>
      </text>
    </comment>
    <comment ref="AD259" authorId="0">
      <text>
        <r>
          <rPr>
            <b/>
            <sz val="9"/>
            <rFont val="宋体"/>
            <charset val="134"/>
          </rPr>
          <t>Administrator:</t>
        </r>
        <r>
          <rPr>
            <sz val="9"/>
            <rFont val="宋体"/>
            <charset val="134"/>
          </rPr>
          <t xml:space="preserve">
4/26 上无香味贴纸1200pcs</t>
        </r>
      </text>
    </comment>
    <comment ref="AD273" authorId="0">
      <text>
        <r>
          <rPr>
            <b/>
            <sz val="9"/>
            <rFont val="宋体"/>
            <charset val="134"/>
          </rPr>
          <t>Administrator:</t>
        </r>
        <r>
          <rPr>
            <sz val="9"/>
            <rFont val="宋体"/>
            <charset val="134"/>
          </rPr>
          <t xml:space="preserve">
5/8 上香味贴纸2418pcs
两个同PO共用</t>
        </r>
      </text>
    </comment>
    <comment ref="AD278" authorId="0">
      <text>
        <r>
          <rPr>
            <b/>
            <sz val="9"/>
            <rFont val="宋体"/>
            <charset val="134"/>
          </rPr>
          <t>Administrator:</t>
        </r>
        <r>
          <rPr>
            <sz val="9"/>
            <rFont val="宋体"/>
            <charset val="134"/>
          </rPr>
          <t xml:space="preserve">
5/28 上说明书贴纸3497pcs
</t>
        </r>
      </text>
    </comment>
    <comment ref="AD279" authorId="0">
      <text>
        <r>
          <rPr>
            <b/>
            <sz val="9"/>
            <rFont val="宋体"/>
            <charset val="134"/>
          </rPr>
          <t>Administrator:</t>
        </r>
        <r>
          <rPr>
            <sz val="9"/>
            <rFont val="宋体"/>
            <charset val="134"/>
          </rPr>
          <t xml:space="preserve">
5/28 上说明书贴纸1508pcs
</t>
        </r>
      </text>
    </comment>
    <comment ref="AD298" authorId="0">
      <text>
        <r>
          <rPr>
            <b/>
            <sz val="9"/>
            <rFont val="宋体"/>
            <charset val="134"/>
          </rPr>
          <t>Administrator:</t>
        </r>
        <r>
          <rPr>
            <sz val="9"/>
            <rFont val="宋体"/>
            <charset val="134"/>
          </rPr>
          <t xml:space="preserve">
5/30 上说明书贴纸78pcs</t>
        </r>
      </text>
    </comment>
    <comment ref="AD299" authorId="0">
      <text>
        <r>
          <rPr>
            <b/>
            <sz val="9"/>
            <rFont val="宋体"/>
            <charset val="134"/>
          </rPr>
          <t>Administrator:</t>
        </r>
        <r>
          <rPr>
            <sz val="9"/>
            <rFont val="宋体"/>
            <charset val="134"/>
          </rPr>
          <t xml:space="preserve">
5/30 上说明书贴纸3024pcs</t>
        </r>
      </text>
    </comment>
    <comment ref="AD321" authorId="0">
      <text>
        <r>
          <rPr>
            <b/>
            <sz val="9"/>
            <rFont val="宋体"/>
            <charset val="134"/>
          </rPr>
          <t>Administrator:</t>
        </r>
        <r>
          <rPr>
            <sz val="9"/>
            <rFont val="宋体"/>
            <charset val="134"/>
          </rPr>
          <t xml:space="preserve">
6/3 上说明书贴纸2500pcs
电池贴纸2500pcs
保证书2500pcs
</t>
        </r>
      </text>
    </comment>
    <comment ref="AD322" authorId="0">
      <text>
        <r>
          <rPr>
            <b/>
            <sz val="9"/>
            <rFont val="宋体"/>
            <charset val="134"/>
          </rPr>
          <t>Administrator:</t>
        </r>
        <r>
          <rPr>
            <sz val="9"/>
            <rFont val="宋体"/>
            <charset val="134"/>
          </rPr>
          <t xml:space="preserve">
6/3 上无香味贴纸1950pcs</t>
        </r>
      </text>
    </comment>
    <comment ref="AD345" authorId="0">
      <text>
        <r>
          <rPr>
            <b/>
            <sz val="9"/>
            <rFont val="宋体"/>
            <charset val="134"/>
          </rPr>
          <t>Administrator:</t>
        </r>
        <r>
          <rPr>
            <sz val="9"/>
            <rFont val="宋体"/>
            <charset val="134"/>
          </rPr>
          <t xml:space="preserve">
6/8 上产品贴纸420pcs</t>
        </r>
      </text>
    </comment>
    <comment ref="AB487" authorId="0">
      <text>
        <r>
          <rPr>
            <b/>
            <sz val="9"/>
            <rFont val="宋体"/>
            <charset val="134"/>
          </rPr>
          <t>Administrator:</t>
        </r>
        <r>
          <rPr>
            <sz val="9"/>
            <rFont val="宋体"/>
            <charset val="134"/>
          </rPr>
          <t xml:space="preserve">
0001625 11/18 80套王军</t>
        </r>
      </text>
    </comment>
    <comment ref="AB556" authorId="0">
      <text>
        <r>
          <rPr>
            <b/>
            <sz val="9"/>
            <rFont val="宋体"/>
            <charset val="134"/>
          </rPr>
          <t>Administrator:</t>
        </r>
        <r>
          <rPr>
            <sz val="9"/>
            <rFont val="宋体"/>
            <charset val="134"/>
          </rPr>
          <t xml:space="preserve">
0002695 9/9 689pcs3B14</t>
        </r>
      </text>
    </comment>
    <comment ref="AB557" authorId="0">
      <text>
        <r>
          <rPr>
            <b/>
            <sz val="9"/>
            <rFont val="宋体"/>
            <charset val="134"/>
          </rPr>
          <t>Administrator:</t>
        </r>
        <r>
          <rPr>
            <sz val="9"/>
            <rFont val="宋体"/>
            <charset val="134"/>
          </rPr>
          <t xml:space="preserve">
0001492 9/6 504pcs3A27</t>
        </r>
      </text>
    </comment>
    <comment ref="AD557" authorId="0">
      <text>
        <r>
          <rPr>
            <b/>
            <sz val="9"/>
            <rFont val="宋体"/>
            <charset val="134"/>
          </rPr>
          <t>Administrator:</t>
        </r>
        <r>
          <rPr>
            <sz val="9"/>
            <rFont val="宋体"/>
            <charset val="134"/>
          </rPr>
          <t xml:space="preserve">
8/22 上贴纸</t>
        </r>
      </text>
    </comment>
    <comment ref="AB558" authorId="0">
      <text>
        <r>
          <rPr>
            <b/>
            <sz val="9"/>
            <rFont val="宋体"/>
            <charset val="134"/>
          </rPr>
          <t>Administrator:</t>
        </r>
        <r>
          <rPr>
            <sz val="9"/>
            <rFont val="宋体"/>
            <charset val="134"/>
          </rPr>
          <t xml:space="preserve">
0002695 9/9 12012pcs3A22</t>
        </r>
      </text>
    </comment>
    <comment ref="AD558" authorId="0">
      <text>
        <r>
          <rPr>
            <b/>
            <sz val="9"/>
            <rFont val="宋体"/>
            <charset val="134"/>
          </rPr>
          <t>Administrator:</t>
        </r>
        <r>
          <rPr>
            <sz val="9"/>
            <rFont val="宋体"/>
            <charset val="134"/>
          </rPr>
          <t xml:space="preserve">
8/22 上齐贴纸</t>
        </r>
      </text>
    </comment>
    <comment ref="AB582" authorId="0">
      <text>
        <r>
          <rPr>
            <b/>
            <sz val="9"/>
            <rFont val="宋体"/>
            <charset val="134"/>
          </rPr>
          <t>Administrator:</t>
        </r>
        <r>
          <rPr>
            <sz val="9"/>
            <rFont val="宋体"/>
            <charset val="134"/>
          </rPr>
          <t xml:space="preserve">
0001507 9/12 816pcs3B10</t>
        </r>
      </text>
    </comment>
    <comment ref="AD582" authorId="0">
      <text>
        <r>
          <rPr>
            <b/>
            <sz val="9"/>
            <rFont val="宋体"/>
            <charset val="134"/>
          </rPr>
          <t>Administrator:</t>
        </r>
        <r>
          <rPr>
            <sz val="9"/>
            <rFont val="宋体"/>
            <charset val="134"/>
          </rPr>
          <t xml:space="preserve">
8/22 23 上齐贴纸</t>
        </r>
      </text>
    </comment>
    <comment ref="AB583" authorId="0">
      <text>
        <r>
          <rPr>
            <b/>
            <sz val="9"/>
            <rFont val="宋体"/>
            <charset val="134"/>
          </rPr>
          <t>Administrator:</t>
        </r>
        <r>
          <rPr>
            <sz val="9"/>
            <rFont val="宋体"/>
            <charset val="134"/>
          </rPr>
          <t xml:space="preserve">
0001507 9/12 600pcs3A27</t>
        </r>
      </text>
    </comment>
    <comment ref="AD583" authorId="0">
      <text>
        <r>
          <rPr>
            <b/>
            <sz val="9"/>
            <rFont val="宋体"/>
            <charset val="134"/>
          </rPr>
          <t>Administrator:</t>
        </r>
        <r>
          <rPr>
            <sz val="9"/>
            <rFont val="宋体"/>
            <charset val="134"/>
          </rPr>
          <t xml:space="preserve">
8/22 23 上齐贴纸</t>
        </r>
      </text>
    </comment>
    <comment ref="AB584" authorId="0">
      <text>
        <r>
          <rPr>
            <b/>
            <sz val="9"/>
            <rFont val="宋体"/>
            <charset val="134"/>
          </rPr>
          <t>Administrator:</t>
        </r>
        <r>
          <rPr>
            <sz val="9"/>
            <rFont val="宋体"/>
            <charset val="134"/>
          </rPr>
          <t xml:space="preserve">
0002695 9/9 1500pcs3B14</t>
        </r>
      </text>
    </comment>
    <comment ref="AD584" authorId="0">
      <text>
        <r>
          <rPr>
            <b/>
            <sz val="9"/>
            <rFont val="宋体"/>
            <charset val="134"/>
          </rPr>
          <t>Administrator:</t>
        </r>
        <r>
          <rPr>
            <sz val="9"/>
            <rFont val="宋体"/>
            <charset val="134"/>
          </rPr>
          <t xml:space="preserve">
8/22 上齐贴纸</t>
        </r>
      </text>
    </comment>
    <comment ref="AB585" authorId="0">
      <text>
        <r>
          <rPr>
            <b/>
            <sz val="9"/>
            <rFont val="宋体"/>
            <charset val="134"/>
          </rPr>
          <t>Administrator:</t>
        </r>
        <r>
          <rPr>
            <sz val="9"/>
            <rFont val="宋体"/>
            <charset val="134"/>
          </rPr>
          <t xml:space="preserve">
0001499 9/11 600pcs3A16</t>
        </r>
      </text>
    </comment>
    <comment ref="AD585" authorId="0">
      <text>
        <r>
          <rPr>
            <b/>
            <sz val="9"/>
            <rFont val="宋体"/>
            <charset val="134"/>
          </rPr>
          <t>Administrator:</t>
        </r>
        <r>
          <rPr>
            <sz val="9"/>
            <rFont val="宋体"/>
            <charset val="134"/>
          </rPr>
          <t xml:space="preserve">
8/22 上齐贴纸</t>
        </r>
      </text>
    </comment>
    <comment ref="AB586" authorId="0">
      <text>
        <r>
          <rPr>
            <b/>
            <sz val="9"/>
            <rFont val="宋体"/>
            <charset val="134"/>
          </rPr>
          <t>Administrator:</t>
        </r>
        <r>
          <rPr>
            <sz val="9"/>
            <rFont val="宋体"/>
            <charset val="134"/>
          </rPr>
          <t xml:space="preserve">
0001499 9/11 11050pcs3A23
0001509 9/12 960pcs3A23</t>
        </r>
      </text>
    </comment>
    <comment ref="AD586" authorId="0">
      <text>
        <r>
          <rPr>
            <b/>
            <sz val="9"/>
            <rFont val="宋体"/>
            <charset val="134"/>
          </rPr>
          <t>Administrator:</t>
        </r>
        <r>
          <rPr>
            <sz val="9"/>
            <rFont val="宋体"/>
            <charset val="134"/>
          </rPr>
          <t xml:space="preserve">
8/22 上齐贴纸</t>
        </r>
      </text>
    </comment>
    <comment ref="AB587" authorId="0">
      <text>
        <r>
          <rPr>
            <b/>
            <sz val="9"/>
            <rFont val="宋体"/>
            <charset val="134"/>
          </rPr>
          <t>Administrator:</t>
        </r>
        <r>
          <rPr>
            <sz val="9"/>
            <rFont val="宋体"/>
            <charset val="134"/>
          </rPr>
          <t xml:space="preserve">
0001507 9/12 3192pcs3B11</t>
        </r>
      </text>
    </comment>
    <comment ref="AD587" authorId="0">
      <text>
        <r>
          <rPr>
            <b/>
            <sz val="9"/>
            <rFont val="宋体"/>
            <charset val="134"/>
          </rPr>
          <t>Administrator:</t>
        </r>
        <r>
          <rPr>
            <sz val="9"/>
            <rFont val="宋体"/>
            <charset val="134"/>
          </rPr>
          <t xml:space="preserve">
8/22 23 上齐贴纸</t>
        </r>
      </text>
    </comment>
    <comment ref="AB588" authorId="0">
      <text>
        <r>
          <rPr>
            <b/>
            <sz val="9"/>
            <rFont val="宋体"/>
            <charset val="134"/>
          </rPr>
          <t>Administrator:</t>
        </r>
        <r>
          <rPr>
            <sz val="9"/>
            <rFont val="宋体"/>
            <charset val="134"/>
          </rPr>
          <t xml:space="preserve">
0001503 9/12 1920pcs3B16</t>
        </r>
      </text>
    </comment>
    <comment ref="AD588" authorId="0">
      <text>
        <r>
          <rPr>
            <b/>
            <sz val="9"/>
            <rFont val="宋体"/>
            <charset val="134"/>
          </rPr>
          <t>Administrator:</t>
        </r>
        <r>
          <rPr>
            <sz val="9"/>
            <rFont val="宋体"/>
            <charset val="134"/>
          </rPr>
          <t xml:space="preserve">
8/22 23 上齐贴纸</t>
        </r>
      </text>
    </comment>
    <comment ref="AB589" authorId="0">
      <text>
        <r>
          <rPr>
            <b/>
            <sz val="9"/>
            <rFont val="宋体"/>
            <charset val="134"/>
          </rPr>
          <t>Administrator:</t>
        </r>
        <r>
          <rPr>
            <sz val="9"/>
            <rFont val="宋体"/>
            <charset val="134"/>
          </rPr>
          <t xml:space="preserve">
0001499 9/11 420pcs华3B8</t>
        </r>
      </text>
    </comment>
    <comment ref="AD589" authorId="0">
      <text>
        <r>
          <rPr>
            <b/>
            <sz val="9"/>
            <rFont val="宋体"/>
            <charset val="134"/>
          </rPr>
          <t>Administrator:</t>
        </r>
        <r>
          <rPr>
            <sz val="9"/>
            <rFont val="宋体"/>
            <charset val="134"/>
          </rPr>
          <t xml:space="preserve">
8/22 23 上齐贴纸 </t>
        </r>
      </text>
    </comment>
    <comment ref="AB590" authorId="0">
      <text>
        <r>
          <rPr>
            <b/>
            <sz val="9"/>
            <rFont val="宋体"/>
            <charset val="134"/>
          </rPr>
          <t>Administrator:</t>
        </r>
        <r>
          <rPr>
            <sz val="9"/>
            <rFont val="宋体"/>
            <charset val="134"/>
          </rPr>
          <t xml:space="preserve">
0001499 9/11 1800pcs3A16</t>
        </r>
      </text>
    </comment>
    <comment ref="AD590" authorId="0">
      <text>
        <r>
          <rPr>
            <b/>
            <sz val="9"/>
            <rFont val="宋体"/>
            <charset val="134"/>
          </rPr>
          <t>Administrator:</t>
        </r>
        <r>
          <rPr>
            <sz val="9"/>
            <rFont val="宋体"/>
            <charset val="134"/>
          </rPr>
          <t xml:space="preserve">
8/22 23 上齐贴纸</t>
        </r>
      </text>
    </comment>
    <comment ref="AB591" authorId="0">
      <text>
        <r>
          <rPr>
            <b/>
            <sz val="9"/>
            <rFont val="宋体"/>
            <charset val="134"/>
          </rPr>
          <t>Administrator:</t>
        </r>
        <r>
          <rPr>
            <sz val="9"/>
            <rFont val="宋体"/>
            <charset val="134"/>
          </rPr>
          <t xml:space="preserve">
0001497 9/11 3100pcs一F4</t>
        </r>
      </text>
    </comment>
    <comment ref="AD591" authorId="0">
      <text>
        <r>
          <rPr>
            <b/>
            <sz val="9"/>
            <rFont val="宋体"/>
            <charset val="134"/>
          </rPr>
          <t>Administrator:</t>
        </r>
        <r>
          <rPr>
            <sz val="9"/>
            <rFont val="宋体"/>
            <charset val="134"/>
          </rPr>
          <t xml:space="preserve">
8/22 上齐贴纸</t>
        </r>
      </text>
    </comment>
    <comment ref="AB592" authorId="0">
      <text>
        <r>
          <rPr>
            <b/>
            <sz val="9"/>
            <rFont val="宋体"/>
            <charset val="134"/>
          </rPr>
          <t>Administrator:</t>
        </r>
        <r>
          <rPr>
            <sz val="9"/>
            <rFont val="宋体"/>
            <charset val="134"/>
          </rPr>
          <t xml:space="preserve">
0001510 9/13 624pcs3A14</t>
        </r>
      </text>
    </comment>
    <comment ref="AD592" authorId="0">
      <text>
        <r>
          <rPr>
            <b/>
            <sz val="9"/>
            <rFont val="宋体"/>
            <charset val="134"/>
          </rPr>
          <t>Administrator:</t>
        </r>
        <r>
          <rPr>
            <sz val="9"/>
            <rFont val="宋体"/>
            <charset val="134"/>
          </rPr>
          <t xml:space="preserve">
8/22 上齐贴纸</t>
        </r>
      </text>
    </comment>
    <comment ref="AB593" authorId="0">
      <text>
        <r>
          <rPr>
            <b/>
            <sz val="9"/>
            <rFont val="宋体"/>
            <charset val="134"/>
          </rPr>
          <t>Administrator:</t>
        </r>
        <r>
          <rPr>
            <sz val="9"/>
            <rFont val="宋体"/>
            <charset val="134"/>
          </rPr>
          <t xml:space="preserve">
0001519 9/14 1755pcs3B12</t>
        </r>
      </text>
    </comment>
    <comment ref="AB594" authorId="0">
      <text>
        <r>
          <rPr>
            <b/>
            <sz val="9"/>
            <rFont val="宋体"/>
            <charset val="134"/>
          </rPr>
          <t>Administrator:</t>
        </r>
        <r>
          <rPr>
            <sz val="9"/>
            <rFont val="宋体"/>
            <charset val="134"/>
          </rPr>
          <t xml:space="preserve">
00001519 9/14 3250pcs化兴3B12</t>
        </r>
      </text>
    </comment>
    <comment ref="AB595" authorId="0">
      <text>
        <r>
          <rPr>
            <b/>
            <sz val="9"/>
            <rFont val="宋体"/>
            <charset val="134"/>
          </rPr>
          <t>Administrator:</t>
        </r>
        <r>
          <rPr>
            <sz val="9"/>
            <rFont val="宋体"/>
            <charset val="134"/>
          </rPr>
          <t xml:space="preserve">
0001526 9/19 5760pcs3B6</t>
        </r>
      </text>
    </comment>
    <comment ref="AB596" authorId="0">
      <text>
        <r>
          <rPr>
            <b/>
            <sz val="9"/>
            <rFont val="宋体"/>
            <charset val="134"/>
          </rPr>
          <t>Administrator:</t>
        </r>
        <r>
          <rPr>
            <sz val="9"/>
            <rFont val="宋体"/>
            <charset val="134"/>
          </rPr>
          <t xml:space="preserve">
0002545 9/20 2280pcs3B12</t>
        </r>
      </text>
    </comment>
    <comment ref="AD596" authorId="0">
      <text>
        <r>
          <rPr>
            <b/>
            <sz val="9"/>
            <rFont val="宋体"/>
            <charset val="134"/>
          </rPr>
          <t>Administrator:</t>
        </r>
        <r>
          <rPr>
            <sz val="9"/>
            <rFont val="宋体"/>
            <charset val="134"/>
          </rPr>
          <t xml:space="preserve">
8/27 上说明书电池警告语贴纸2280pcs
包装电池警告语贴纸2280pcs</t>
        </r>
      </text>
    </comment>
    <comment ref="AB597" authorId="0">
      <text>
        <r>
          <rPr>
            <b/>
            <sz val="9"/>
            <rFont val="宋体"/>
            <charset val="134"/>
          </rPr>
          <t>Administrator:</t>
        </r>
        <r>
          <rPr>
            <sz val="9"/>
            <rFont val="宋体"/>
            <charset val="134"/>
          </rPr>
          <t xml:space="preserve">
0002545 9/20 720pcs3B14</t>
        </r>
      </text>
    </comment>
    <comment ref="AD597" authorId="0">
      <text>
        <r>
          <rPr>
            <b/>
            <sz val="9"/>
            <rFont val="宋体"/>
            <charset val="134"/>
          </rPr>
          <t>Administrator:</t>
        </r>
        <r>
          <rPr>
            <sz val="9"/>
            <rFont val="宋体"/>
            <charset val="134"/>
          </rPr>
          <t xml:space="preserve">
8/27 上包装电池警告语贴纸720pcs
说明书警告语贴纸720pcs</t>
        </r>
      </text>
    </comment>
    <comment ref="AB598" authorId="0">
      <text>
        <r>
          <rPr>
            <b/>
            <sz val="9"/>
            <rFont val="宋体"/>
            <charset val="134"/>
          </rPr>
          <t>Administrator:</t>
        </r>
        <r>
          <rPr>
            <sz val="9"/>
            <rFont val="宋体"/>
            <charset val="134"/>
          </rPr>
          <t xml:space="preserve">
0001535 9/19 1703pcs3B14</t>
        </r>
      </text>
    </comment>
    <comment ref="AD598" authorId="0">
      <text>
        <r>
          <rPr>
            <b/>
            <sz val="9"/>
            <rFont val="宋体"/>
            <charset val="134"/>
          </rPr>
          <t>Administrator:</t>
        </r>
        <r>
          <rPr>
            <sz val="9"/>
            <rFont val="宋体"/>
            <charset val="134"/>
          </rPr>
          <t xml:space="preserve">
9/3 上包装电池警告语贴纸1703pcs
说明书电池警告语贴纸1703pcs
9/6 上SSCC外箱贴纸131pcs</t>
        </r>
      </text>
    </comment>
    <comment ref="AB599" authorId="0">
      <text>
        <r>
          <rPr>
            <b/>
            <sz val="9"/>
            <rFont val="宋体"/>
            <charset val="134"/>
          </rPr>
          <t>Administrator:</t>
        </r>
        <r>
          <rPr>
            <sz val="9"/>
            <rFont val="宋体"/>
            <charset val="134"/>
          </rPr>
          <t xml:space="preserve">
0002545 9/20 10356pcs3A24
0002553 9/21 1296pcs3A24</t>
        </r>
      </text>
    </comment>
    <comment ref="AD599" authorId="0">
      <text>
        <r>
          <rPr>
            <b/>
            <sz val="9"/>
            <rFont val="宋体"/>
            <charset val="134"/>
          </rPr>
          <t>Administrator:</t>
        </r>
        <r>
          <rPr>
            <sz val="9"/>
            <rFont val="宋体"/>
            <charset val="134"/>
          </rPr>
          <t xml:space="preserve">
8/22 上价格贴纸</t>
        </r>
      </text>
    </comment>
    <comment ref="AB600" authorId="0">
      <text>
        <r>
          <rPr>
            <b/>
            <sz val="9"/>
            <rFont val="宋体"/>
            <charset val="134"/>
          </rPr>
          <t>Administrator:</t>
        </r>
        <r>
          <rPr>
            <sz val="9"/>
            <rFont val="宋体"/>
            <charset val="134"/>
          </rPr>
          <t xml:space="preserve">
0002545 9/20 8950pcs3B9</t>
        </r>
      </text>
    </comment>
    <comment ref="AD600" authorId="0">
      <text>
        <r>
          <rPr>
            <b/>
            <sz val="9"/>
            <rFont val="宋体"/>
            <charset val="134"/>
          </rPr>
          <t>Administrator:</t>
        </r>
        <r>
          <rPr>
            <sz val="9"/>
            <rFont val="宋体"/>
            <charset val="134"/>
          </rPr>
          <t xml:space="preserve">
8/22 上价格贴纸</t>
        </r>
      </text>
    </comment>
    <comment ref="AB601" authorId="0">
      <text>
        <r>
          <rPr>
            <b/>
            <sz val="9"/>
            <rFont val="宋体"/>
            <charset val="134"/>
          </rPr>
          <t>Administrator:</t>
        </r>
        <r>
          <rPr>
            <sz val="9"/>
            <rFont val="宋体"/>
            <charset val="134"/>
          </rPr>
          <t xml:space="preserve">
0002545 9/20 2500pcs直走</t>
        </r>
      </text>
    </comment>
    <comment ref="AD601" authorId="0">
      <text>
        <r>
          <rPr>
            <b/>
            <sz val="9"/>
            <rFont val="宋体"/>
            <charset val="134"/>
          </rPr>
          <t>Administrator:</t>
        </r>
        <r>
          <rPr>
            <sz val="9"/>
            <rFont val="宋体"/>
            <charset val="134"/>
          </rPr>
          <t xml:space="preserve">
8/30 上UPC贴纸2500pcs
保证书2500pcs
外箱贴纸50pcs
说明书进口商贴纸2500pcs
产品进口商贴纸2500pcs
包装进口商贴纸2500pcs
9/19 上说明书进口商贴纸500pcs
产品进口商贴纸500pcs</t>
        </r>
      </text>
    </comment>
    <comment ref="AB602" authorId="0">
      <text>
        <r>
          <rPr>
            <b/>
            <sz val="9"/>
            <rFont val="宋体"/>
            <charset val="134"/>
          </rPr>
          <t>Administrator:</t>
        </r>
        <r>
          <rPr>
            <sz val="9"/>
            <rFont val="宋体"/>
            <charset val="134"/>
          </rPr>
          <t xml:space="preserve">
0001500 9/11 925pcs3B12</t>
        </r>
      </text>
    </comment>
    <comment ref="AB603" authorId="0">
      <text>
        <r>
          <rPr>
            <b/>
            <sz val="9"/>
            <rFont val="宋体"/>
            <charset val="134"/>
          </rPr>
          <t>Administrator:</t>
        </r>
        <r>
          <rPr>
            <sz val="9"/>
            <rFont val="宋体"/>
            <charset val="134"/>
          </rPr>
          <t xml:space="preserve">
0001507 9/12 48pcs3A27</t>
        </r>
      </text>
    </comment>
    <comment ref="AD603" authorId="0">
      <text>
        <r>
          <rPr>
            <b/>
            <sz val="9"/>
            <rFont val="宋体"/>
            <charset val="134"/>
          </rPr>
          <t>Administrator:</t>
        </r>
        <r>
          <rPr>
            <sz val="9"/>
            <rFont val="宋体"/>
            <charset val="134"/>
          </rPr>
          <t xml:space="preserve">
8/22 上防伪贴纸48pcs
9/6 客供亚马逊外箱贴纸2pcs</t>
        </r>
      </text>
    </comment>
    <comment ref="AB604" authorId="0">
      <text>
        <r>
          <rPr>
            <b/>
            <sz val="9"/>
            <rFont val="宋体"/>
            <charset val="134"/>
          </rPr>
          <t>Administrator:</t>
        </r>
        <r>
          <rPr>
            <sz val="9"/>
            <rFont val="宋体"/>
            <charset val="134"/>
          </rPr>
          <t xml:space="preserve">
0001499 9/11 6528pcs3B10</t>
        </r>
      </text>
    </comment>
    <comment ref="AD604" authorId="0">
      <text>
        <r>
          <rPr>
            <b/>
            <sz val="9"/>
            <rFont val="宋体"/>
            <charset val="134"/>
          </rPr>
          <t>Administrator:</t>
        </r>
        <r>
          <rPr>
            <sz val="9"/>
            <rFont val="宋体"/>
            <charset val="134"/>
          </rPr>
          <t xml:space="preserve">
8/22 上防伪贴纸6528pcs
9/6 上客供亚马逊外箱贴纸272pcs</t>
        </r>
      </text>
    </comment>
    <comment ref="AB605" authorId="0">
      <text>
        <r>
          <rPr>
            <b/>
            <sz val="9"/>
            <rFont val="宋体"/>
            <charset val="134"/>
          </rPr>
          <t>Administrator:</t>
        </r>
        <r>
          <rPr>
            <sz val="9"/>
            <rFont val="宋体"/>
            <charset val="134"/>
          </rPr>
          <t xml:space="preserve">
0002553 9/21 1000pcs华3A15</t>
        </r>
      </text>
    </comment>
    <comment ref="AD605" authorId="0">
      <text>
        <r>
          <rPr>
            <b/>
            <sz val="9"/>
            <rFont val="宋体"/>
            <charset val="134"/>
          </rPr>
          <t>Administrator:</t>
        </r>
        <r>
          <rPr>
            <sz val="9"/>
            <rFont val="宋体"/>
            <charset val="134"/>
          </rPr>
          <t xml:space="preserve">
8/22 上齐</t>
        </r>
      </text>
    </comment>
    <comment ref="AB606" authorId="0">
      <text>
        <r>
          <rPr>
            <b/>
            <sz val="9"/>
            <rFont val="宋体"/>
            <charset val="134"/>
          </rPr>
          <t>Administrator:</t>
        </r>
        <r>
          <rPr>
            <sz val="9"/>
            <rFont val="宋体"/>
            <charset val="134"/>
          </rPr>
          <t xml:space="preserve">
0002553 9/21 2400pcs3B9</t>
        </r>
      </text>
    </comment>
    <comment ref="AD606" authorId="0">
      <text>
        <r>
          <rPr>
            <b/>
            <sz val="9"/>
            <rFont val="宋体"/>
            <charset val="134"/>
          </rPr>
          <t>Administrator:</t>
        </r>
        <r>
          <rPr>
            <sz val="9"/>
            <rFont val="宋体"/>
            <charset val="134"/>
          </rPr>
          <t xml:space="preserve">
8/22 上齐</t>
        </r>
      </text>
    </comment>
    <comment ref="AB607" authorId="0">
      <text>
        <r>
          <rPr>
            <b/>
            <sz val="9"/>
            <rFont val="宋体"/>
            <charset val="134"/>
          </rPr>
          <t>Administrator:</t>
        </r>
        <r>
          <rPr>
            <sz val="9"/>
            <rFont val="宋体"/>
            <charset val="134"/>
          </rPr>
          <t xml:space="preserve">
0002553 9/21 1450pcs3A15</t>
        </r>
      </text>
    </comment>
    <comment ref="AD607" authorId="0">
      <text>
        <r>
          <rPr>
            <b/>
            <sz val="9"/>
            <rFont val="宋体"/>
            <charset val="134"/>
          </rPr>
          <t>Administrator:</t>
        </r>
        <r>
          <rPr>
            <sz val="9"/>
            <rFont val="宋体"/>
            <charset val="134"/>
          </rPr>
          <t xml:space="preserve">
8/22 上齐</t>
        </r>
      </text>
    </comment>
    <comment ref="AB608" authorId="0">
      <text>
        <r>
          <rPr>
            <b/>
            <sz val="9"/>
            <rFont val="宋体"/>
            <charset val="134"/>
          </rPr>
          <t>Administrator:</t>
        </r>
        <r>
          <rPr>
            <sz val="9"/>
            <rFont val="宋体"/>
            <charset val="134"/>
          </rPr>
          <t xml:space="preserve">
9/21已完货-湖南退PDQ回来车间帮打包</t>
        </r>
      </text>
    </comment>
    <comment ref="AB609" authorId="0">
      <text>
        <r>
          <rPr>
            <b/>
            <sz val="9"/>
            <rFont val="宋体"/>
            <charset val="134"/>
          </rPr>
          <t>Administrator:</t>
        </r>
        <r>
          <rPr>
            <sz val="9"/>
            <rFont val="宋体"/>
            <charset val="134"/>
          </rPr>
          <t xml:space="preserve">
0002553 9/21 1200pcs华3B14</t>
        </r>
      </text>
    </comment>
    <comment ref="AD609" authorId="0">
      <text>
        <r>
          <rPr>
            <b/>
            <sz val="9"/>
            <rFont val="宋体"/>
            <charset val="134"/>
          </rPr>
          <t>Administrator:</t>
        </r>
        <r>
          <rPr>
            <sz val="9"/>
            <rFont val="宋体"/>
            <charset val="134"/>
          </rPr>
          <t xml:space="preserve">
8/22 上价格贴纸</t>
        </r>
      </text>
    </comment>
    <comment ref="AB610" authorId="0">
      <text>
        <r>
          <rPr>
            <b/>
            <sz val="9"/>
            <rFont val="宋体"/>
            <charset val="134"/>
          </rPr>
          <t>Administrator:</t>
        </r>
        <r>
          <rPr>
            <sz val="9"/>
            <rFont val="宋体"/>
            <charset val="134"/>
          </rPr>
          <t xml:space="preserve">
0002554 9/21 2604pcs华3B7</t>
        </r>
      </text>
    </comment>
    <comment ref="AD610" authorId="0">
      <text>
        <r>
          <rPr>
            <b/>
            <sz val="9"/>
            <rFont val="宋体"/>
            <charset val="134"/>
          </rPr>
          <t>Administrator:</t>
        </r>
        <r>
          <rPr>
            <sz val="9"/>
            <rFont val="宋体"/>
            <charset val="134"/>
          </rPr>
          <t xml:space="preserve">
8/27 上粉红色贴纸124pcs
8/22 上RFID贴纸2604pcs</t>
        </r>
      </text>
    </comment>
    <comment ref="AB611" authorId="0">
      <text>
        <r>
          <rPr>
            <b/>
            <sz val="9"/>
            <rFont val="宋体"/>
            <charset val="134"/>
          </rPr>
          <t>Administrator:</t>
        </r>
        <r>
          <rPr>
            <sz val="9"/>
            <rFont val="宋体"/>
            <charset val="134"/>
          </rPr>
          <t xml:space="preserve">
0002593 9/23 1950pcs3B14</t>
        </r>
      </text>
    </comment>
    <comment ref="AD611" authorId="0">
      <text>
        <r>
          <rPr>
            <b/>
            <sz val="9"/>
            <rFont val="宋体"/>
            <charset val="134"/>
          </rPr>
          <t>Administrator:</t>
        </r>
        <r>
          <rPr>
            <sz val="9"/>
            <rFont val="宋体"/>
            <charset val="134"/>
          </rPr>
          <t xml:space="preserve">
8/22 上齐贴纸</t>
        </r>
      </text>
    </comment>
    <comment ref="AB612" authorId="0">
      <text>
        <r>
          <rPr>
            <b/>
            <sz val="9"/>
            <rFont val="宋体"/>
            <charset val="134"/>
          </rPr>
          <t>Administrator:</t>
        </r>
        <r>
          <rPr>
            <sz val="9"/>
            <rFont val="宋体"/>
            <charset val="134"/>
          </rPr>
          <t xml:space="preserve">
0002596 9/23 672pcs3B12</t>
        </r>
      </text>
    </comment>
    <comment ref="AD612" authorId="0">
      <text>
        <r>
          <rPr>
            <b/>
            <sz val="9"/>
            <rFont val="宋体"/>
            <charset val="134"/>
          </rPr>
          <t>Administrator:</t>
        </r>
        <r>
          <rPr>
            <sz val="9"/>
            <rFont val="宋体"/>
            <charset val="134"/>
          </rPr>
          <t xml:space="preserve">
9/3 上环保标贴纸696pcs
UPC贴纸696pcs
警语贴纸696pcs
亚马逊外箱贴纸28pcs
9/18 上PAPER PLASTIC ES回收环保贴纸672pcs
9/20 上防伪贴纸672pcs</t>
        </r>
      </text>
    </comment>
    <comment ref="AB613" authorId="0">
      <text>
        <r>
          <rPr>
            <b/>
            <sz val="9"/>
            <rFont val="宋体"/>
            <charset val="134"/>
          </rPr>
          <t>Administrator:</t>
        </r>
        <r>
          <rPr>
            <sz val="9"/>
            <rFont val="宋体"/>
            <charset val="134"/>
          </rPr>
          <t xml:space="preserve">
0002554 9/21 3822pcs华3B6</t>
        </r>
      </text>
    </comment>
    <comment ref="AD613" authorId="0">
      <text>
        <r>
          <rPr>
            <b/>
            <sz val="9"/>
            <rFont val="宋体"/>
            <charset val="134"/>
          </rPr>
          <t>Administrator:</t>
        </r>
        <r>
          <rPr>
            <sz val="9"/>
            <rFont val="宋体"/>
            <charset val="134"/>
          </rPr>
          <t xml:space="preserve">
8/27 上粉红色贴纸182pcs 
8/22 上RFID贴纸</t>
        </r>
      </text>
    </comment>
    <comment ref="AB614" authorId="0">
      <text>
        <r>
          <rPr>
            <b/>
            <sz val="9"/>
            <rFont val="宋体"/>
            <charset val="134"/>
          </rPr>
          <t>Administrator:</t>
        </r>
        <r>
          <rPr>
            <sz val="9"/>
            <rFont val="宋体"/>
            <charset val="134"/>
          </rPr>
          <t xml:space="preserve">
0002554 9/21 2352pcs华3B7</t>
        </r>
      </text>
    </comment>
    <comment ref="AD614" authorId="0">
      <text>
        <r>
          <rPr>
            <b/>
            <sz val="9"/>
            <rFont val="宋体"/>
            <charset val="134"/>
          </rPr>
          <t>Administrator:</t>
        </r>
        <r>
          <rPr>
            <sz val="9"/>
            <rFont val="宋体"/>
            <charset val="134"/>
          </rPr>
          <t xml:space="preserve">
8/27 上粉红色贴纸112pcs
8/22上RFID贴纸</t>
        </r>
      </text>
    </comment>
    <comment ref="AB615" authorId="0">
      <text>
        <r>
          <rPr>
            <b/>
            <sz val="9"/>
            <rFont val="宋体"/>
            <charset val="134"/>
          </rPr>
          <t>Administrator:</t>
        </r>
        <r>
          <rPr>
            <sz val="9"/>
            <rFont val="宋体"/>
            <charset val="134"/>
          </rPr>
          <t xml:space="preserve">
0002554 9/21 2652pcs华3A11</t>
        </r>
      </text>
    </comment>
    <comment ref="AD615" authorId="0">
      <text>
        <r>
          <rPr>
            <b/>
            <sz val="9"/>
            <rFont val="宋体"/>
            <charset val="134"/>
          </rPr>
          <t>Administrator:</t>
        </r>
        <r>
          <rPr>
            <sz val="9"/>
            <rFont val="宋体"/>
            <charset val="134"/>
          </rPr>
          <t xml:space="preserve">
8/22 上价格贴纸</t>
        </r>
      </text>
    </comment>
    <comment ref="AB616" authorId="0">
      <text>
        <r>
          <rPr>
            <b/>
            <sz val="9"/>
            <rFont val="宋体"/>
            <charset val="134"/>
          </rPr>
          <t>Administrator:</t>
        </r>
        <r>
          <rPr>
            <sz val="9"/>
            <rFont val="宋体"/>
            <charset val="134"/>
          </rPr>
          <t xml:space="preserve">
0002603 9/25 500pcs3B10</t>
        </r>
      </text>
    </comment>
    <comment ref="AB617" authorId="0">
      <text>
        <r>
          <rPr>
            <b/>
            <sz val="9"/>
            <rFont val="宋体"/>
            <charset val="134"/>
          </rPr>
          <t>Administrator:</t>
        </r>
        <r>
          <rPr>
            <sz val="9"/>
            <rFont val="宋体"/>
            <charset val="134"/>
          </rPr>
          <t xml:space="preserve">
0002603 9/25 696pcs3B11</t>
        </r>
      </text>
    </comment>
    <comment ref="AD617" authorId="0">
      <text>
        <r>
          <rPr>
            <b/>
            <sz val="9"/>
            <rFont val="宋体"/>
            <charset val="134"/>
          </rPr>
          <t>Administrator:</t>
        </r>
        <r>
          <rPr>
            <sz val="9"/>
            <rFont val="宋体"/>
            <charset val="134"/>
          </rPr>
          <t xml:space="preserve">
9/3 上客供防伪贴纸710pcs
8/22 上亚马逊外箱贴纸29pcs</t>
        </r>
      </text>
    </comment>
    <comment ref="AB618" authorId="0">
      <text>
        <r>
          <rPr>
            <b/>
            <sz val="9"/>
            <rFont val="宋体"/>
            <charset val="134"/>
          </rPr>
          <t>Administrator:</t>
        </r>
        <r>
          <rPr>
            <sz val="9"/>
            <rFont val="宋体"/>
            <charset val="134"/>
          </rPr>
          <t xml:space="preserve">
0002590 9/23 3000pcs3B11</t>
        </r>
      </text>
    </comment>
    <comment ref="AD618" authorId="0">
      <text>
        <r>
          <rPr>
            <b/>
            <sz val="9"/>
            <rFont val="宋体"/>
            <charset val="134"/>
          </rPr>
          <t>Administrator:</t>
        </r>
        <r>
          <rPr>
            <sz val="9"/>
            <rFont val="宋体"/>
            <charset val="134"/>
          </rPr>
          <t xml:space="preserve">
9/12 上进口商贴纸3000pcs
UPC贴纸3000pcs</t>
        </r>
      </text>
    </comment>
    <comment ref="AB619" authorId="0">
      <text>
        <r>
          <rPr>
            <b/>
            <sz val="9"/>
            <rFont val="宋体"/>
            <charset val="134"/>
          </rPr>
          <t>Administrator:</t>
        </r>
        <r>
          <rPr>
            <sz val="9"/>
            <rFont val="宋体"/>
            <charset val="134"/>
          </rPr>
          <t xml:space="preserve">
0002593 9/23 416pcs3B8</t>
        </r>
      </text>
    </comment>
    <comment ref="AB620" authorId="0">
      <text>
        <r>
          <rPr>
            <b/>
            <sz val="9"/>
            <rFont val="宋体"/>
            <charset val="134"/>
          </rPr>
          <t>Administrator:</t>
        </r>
        <r>
          <rPr>
            <sz val="9"/>
            <rFont val="宋体"/>
            <charset val="134"/>
          </rPr>
          <t xml:space="preserve">
0002596 9/23 1025pcs3B14</t>
        </r>
      </text>
    </comment>
    <comment ref="AB621" authorId="0">
      <text>
        <r>
          <rPr>
            <b/>
            <sz val="9"/>
            <rFont val="宋体"/>
            <charset val="134"/>
          </rPr>
          <t>Administrator:</t>
        </r>
        <r>
          <rPr>
            <sz val="9"/>
            <rFont val="宋体"/>
            <charset val="134"/>
          </rPr>
          <t xml:space="preserve">
0002603 9/25 3906pcs3B5</t>
        </r>
      </text>
    </comment>
    <comment ref="AD621" authorId="0">
      <text>
        <r>
          <rPr>
            <b/>
            <sz val="9"/>
            <rFont val="宋体"/>
            <charset val="134"/>
          </rPr>
          <t>Administrator:</t>
        </r>
        <r>
          <rPr>
            <sz val="9"/>
            <rFont val="宋体"/>
            <charset val="134"/>
          </rPr>
          <t xml:space="preserve">
8/27 上粉红色贴纸186pcs
8/22 上RFID贴</t>
        </r>
      </text>
    </comment>
    <comment ref="AB622" authorId="0">
      <text>
        <r>
          <rPr>
            <b/>
            <sz val="9"/>
            <rFont val="宋体"/>
            <charset val="134"/>
          </rPr>
          <t>Administrator:</t>
        </r>
        <r>
          <rPr>
            <sz val="9"/>
            <rFont val="宋体"/>
            <charset val="134"/>
          </rPr>
          <t xml:space="preserve">
0002603 9/25 4284pcs3B5
0002606 9/26 42pcs华3B5</t>
        </r>
      </text>
    </comment>
    <comment ref="AD622" authorId="0">
      <text>
        <r>
          <rPr>
            <b/>
            <sz val="9"/>
            <rFont val="宋体"/>
            <charset val="134"/>
          </rPr>
          <t>Administrator:</t>
        </r>
        <r>
          <rPr>
            <sz val="9"/>
            <rFont val="宋体"/>
            <charset val="134"/>
          </rPr>
          <t xml:space="preserve">
8/27 上粉红色贴纸206pcs
8/22 上RFID贴</t>
        </r>
      </text>
    </comment>
    <comment ref="AB623" authorId="0">
      <text>
        <r>
          <rPr>
            <b/>
            <sz val="9"/>
            <rFont val="宋体"/>
            <charset val="134"/>
          </rPr>
          <t>Administrator:</t>
        </r>
        <r>
          <rPr>
            <sz val="9"/>
            <rFont val="宋体"/>
            <charset val="134"/>
          </rPr>
          <t xml:space="preserve">
0002603 9/25 504pcs华3B11</t>
        </r>
      </text>
    </comment>
    <comment ref="AD623" authorId="0">
      <text>
        <r>
          <rPr>
            <b/>
            <sz val="9"/>
            <rFont val="宋体"/>
            <charset val="134"/>
          </rPr>
          <t>Administrator:</t>
        </r>
        <r>
          <rPr>
            <sz val="9"/>
            <rFont val="宋体"/>
            <charset val="134"/>
          </rPr>
          <t xml:space="preserve">
9/6 上警告语贴纸504pcs</t>
        </r>
      </text>
    </comment>
    <comment ref="AB624" authorId="0">
      <text>
        <r>
          <rPr>
            <b/>
            <sz val="9"/>
            <rFont val="宋体"/>
            <charset val="134"/>
          </rPr>
          <t>Administrator:</t>
        </r>
        <r>
          <rPr>
            <sz val="9"/>
            <rFont val="宋体"/>
            <charset val="134"/>
          </rPr>
          <t xml:space="preserve">
0002605 9/25 12816pcs3A28</t>
        </r>
      </text>
    </comment>
    <comment ref="AD624" authorId="0">
      <text>
        <r>
          <rPr>
            <b/>
            <sz val="9"/>
            <rFont val="宋体"/>
            <charset val="134"/>
          </rPr>
          <t>Administrator:</t>
        </r>
        <r>
          <rPr>
            <sz val="9"/>
            <rFont val="宋体"/>
            <charset val="134"/>
          </rPr>
          <t xml:space="preserve">
8/22 防伪贴纸
9/6 上客供亚马逊外箱534pcs</t>
        </r>
      </text>
    </comment>
    <comment ref="AB625" authorId="0">
      <text>
        <r>
          <rPr>
            <b/>
            <sz val="9"/>
            <rFont val="宋体"/>
            <charset val="134"/>
          </rPr>
          <t>Administrator:</t>
        </r>
        <r>
          <rPr>
            <sz val="9"/>
            <rFont val="宋体"/>
            <charset val="134"/>
          </rPr>
          <t xml:space="preserve">
0002606 9/26 5328pcs华3B16</t>
        </r>
      </text>
    </comment>
    <comment ref="AD625" authorId="0">
      <text>
        <r>
          <rPr>
            <b/>
            <sz val="9"/>
            <rFont val="宋体"/>
            <charset val="134"/>
          </rPr>
          <t>Administrator:</t>
        </r>
        <r>
          <rPr>
            <sz val="9"/>
            <rFont val="宋体"/>
            <charset val="134"/>
          </rPr>
          <t xml:space="preserve">
8/22 上防伪贴纸
9/5 客供亚马逊外箱贴纸222pcs</t>
        </r>
      </text>
    </comment>
    <comment ref="AB626" authorId="0">
      <text>
        <r>
          <rPr>
            <b/>
            <sz val="9"/>
            <rFont val="宋体"/>
            <charset val="134"/>
          </rPr>
          <t>Administrator:</t>
        </r>
        <r>
          <rPr>
            <sz val="9"/>
            <rFont val="宋体"/>
            <charset val="134"/>
          </rPr>
          <t xml:space="preserve">
0002606 9/26 4812pcs华3A23</t>
        </r>
      </text>
    </comment>
    <comment ref="AD626" authorId="0">
      <text>
        <r>
          <rPr>
            <b/>
            <sz val="9"/>
            <rFont val="宋体"/>
            <charset val="134"/>
          </rPr>
          <t>Administrator:</t>
        </r>
        <r>
          <rPr>
            <sz val="9"/>
            <rFont val="宋体"/>
            <charset val="134"/>
          </rPr>
          <t xml:space="preserve">
9/6 上客供亚马逊外箱贴纸401pcs</t>
        </r>
      </text>
    </comment>
    <comment ref="AB627" authorId="0">
      <text>
        <r>
          <rPr>
            <b/>
            <sz val="9"/>
            <rFont val="宋体"/>
            <charset val="134"/>
          </rPr>
          <t>Administrator:</t>
        </r>
        <r>
          <rPr>
            <sz val="9"/>
            <rFont val="宋体"/>
            <charset val="134"/>
          </rPr>
          <t xml:space="preserve">
0002613 9/26 2814pcs华3B5</t>
        </r>
      </text>
    </comment>
    <comment ref="AD627" authorId="0">
      <text>
        <r>
          <rPr>
            <b/>
            <sz val="9"/>
            <rFont val="宋体"/>
            <charset val="134"/>
          </rPr>
          <t>Administrator:</t>
        </r>
        <r>
          <rPr>
            <sz val="9"/>
            <rFont val="宋体"/>
            <charset val="134"/>
          </rPr>
          <t xml:space="preserve">
8/27 上粉红色贴纸134pcs
8/22 上客供RFID贴纸2814pcs</t>
        </r>
      </text>
    </comment>
    <comment ref="AB628" authorId="0">
      <text>
        <r>
          <rPr>
            <b/>
            <sz val="9"/>
            <rFont val="宋体"/>
            <charset val="134"/>
          </rPr>
          <t>Administrator:</t>
        </r>
        <r>
          <rPr>
            <sz val="9"/>
            <rFont val="宋体"/>
            <charset val="134"/>
          </rPr>
          <t xml:space="preserve">
0002626 9/27 3696pcs华3B5</t>
        </r>
      </text>
    </comment>
    <comment ref="AD628" authorId="0">
      <text>
        <r>
          <rPr>
            <b/>
            <sz val="9"/>
            <rFont val="宋体"/>
            <charset val="134"/>
          </rPr>
          <t>Administrator:</t>
        </r>
        <r>
          <rPr>
            <sz val="9"/>
            <rFont val="宋体"/>
            <charset val="134"/>
          </rPr>
          <t xml:space="preserve">
8/27 上粉红色贴纸176pcs
8/22 上客RFID贴纸3696pcs</t>
        </r>
      </text>
    </comment>
    <comment ref="AB629" authorId="0">
      <text>
        <r>
          <rPr>
            <b/>
            <sz val="9"/>
            <rFont val="宋体"/>
            <charset val="134"/>
          </rPr>
          <t>Administrator:</t>
        </r>
        <r>
          <rPr>
            <sz val="9"/>
            <rFont val="宋体"/>
            <charset val="134"/>
          </rPr>
          <t xml:space="preserve">
0002632 9/29 8950pcs华3B17</t>
        </r>
      </text>
    </comment>
    <comment ref="AD629" authorId="0">
      <text>
        <r>
          <rPr>
            <b/>
            <sz val="9"/>
            <rFont val="宋体"/>
            <charset val="134"/>
          </rPr>
          <t>Administrator:</t>
        </r>
        <r>
          <rPr>
            <sz val="9"/>
            <rFont val="宋体"/>
            <charset val="134"/>
          </rPr>
          <t xml:space="preserve">
8/22 上齐</t>
        </r>
      </text>
    </comment>
    <comment ref="AB630" authorId="0">
      <text>
        <r>
          <rPr>
            <b/>
            <sz val="9"/>
            <rFont val="宋体"/>
            <charset val="134"/>
          </rPr>
          <t>Administrator:</t>
        </r>
        <r>
          <rPr>
            <sz val="9"/>
            <rFont val="宋体"/>
            <charset val="134"/>
          </rPr>
          <t xml:space="preserve">
0002629 9/27 804pcs华3B4</t>
        </r>
      </text>
    </comment>
    <comment ref="AD630" authorId="0">
      <text>
        <r>
          <rPr>
            <b/>
            <sz val="9"/>
            <rFont val="宋体"/>
            <charset val="134"/>
          </rPr>
          <t>Administrator:</t>
        </r>
        <r>
          <rPr>
            <sz val="9"/>
            <rFont val="宋体"/>
            <charset val="134"/>
          </rPr>
          <t xml:space="preserve">
9/6 上客供价格贴纸885pcs
9/12 上空白贴纸1608pcs</t>
        </r>
      </text>
    </comment>
    <comment ref="AB631" authorId="0">
      <text>
        <r>
          <rPr>
            <b/>
            <sz val="9"/>
            <rFont val="宋体"/>
            <charset val="134"/>
          </rPr>
          <t>Administrator:</t>
        </r>
        <r>
          <rPr>
            <sz val="9"/>
            <rFont val="宋体"/>
            <charset val="134"/>
          </rPr>
          <t xml:space="preserve">
0002629 9/27 804pcs3B4</t>
        </r>
      </text>
    </comment>
    <comment ref="AD631" authorId="0">
      <text>
        <r>
          <rPr>
            <b/>
            <sz val="9"/>
            <rFont val="宋体"/>
            <charset val="134"/>
          </rPr>
          <t>Administrator:</t>
        </r>
        <r>
          <rPr>
            <sz val="9"/>
            <rFont val="宋体"/>
            <charset val="134"/>
          </rPr>
          <t xml:space="preserve">
9/6 上客供价格贴纸885pcs
9/12 上空白贴纸1608pcs</t>
        </r>
      </text>
    </comment>
    <comment ref="AB632" authorId="0">
      <text>
        <r>
          <rPr>
            <b/>
            <sz val="9"/>
            <rFont val="宋体"/>
            <charset val="134"/>
          </rPr>
          <t>Administrator:</t>
        </r>
        <r>
          <rPr>
            <sz val="9"/>
            <rFont val="宋体"/>
            <charset val="134"/>
          </rPr>
          <t xml:space="preserve">
0002626 9/27 156pcs华3B7</t>
        </r>
      </text>
    </comment>
    <comment ref="AB633" authorId="0">
      <text>
        <r>
          <rPr>
            <b/>
            <sz val="9"/>
            <rFont val="宋体"/>
            <charset val="134"/>
          </rPr>
          <t>Administrator:</t>
        </r>
        <r>
          <rPr>
            <sz val="9"/>
            <rFont val="宋体"/>
            <charset val="134"/>
          </rPr>
          <t xml:space="preserve">
0002629 9/27 804pcs华3B4</t>
        </r>
      </text>
    </comment>
    <comment ref="AD633" authorId="0">
      <text>
        <r>
          <rPr>
            <b/>
            <sz val="9"/>
            <rFont val="宋体"/>
            <charset val="134"/>
          </rPr>
          <t>Administrator:</t>
        </r>
        <r>
          <rPr>
            <sz val="9"/>
            <rFont val="宋体"/>
            <charset val="134"/>
          </rPr>
          <t xml:space="preserve">
9/6 上客供价格贴纸885pcs
9/12 上空白贴纸1608pcs</t>
        </r>
      </text>
    </comment>
    <comment ref="AB634" authorId="0">
      <text>
        <r>
          <rPr>
            <b/>
            <sz val="9"/>
            <rFont val="宋体"/>
            <charset val="134"/>
          </rPr>
          <t>Administrator:</t>
        </r>
        <r>
          <rPr>
            <sz val="9"/>
            <rFont val="宋体"/>
            <charset val="134"/>
          </rPr>
          <t xml:space="preserve">
0002629 9/27 804pcs华3B4</t>
        </r>
      </text>
    </comment>
    <comment ref="AD634" authorId="0">
      <text>
        <r>
          <rPr>
            <b/>
            <sz val="9"/>
            <rFont val="宋体"/>
            <charset val="134"/>
          </rPr>
          <t>Administrator:</t>
        </r>
        <r>
          <rPr>
            <sz val="9"/>
            <rFont val="宋体"/>
            <charset val="134"/>
          </rPr>
          <t xml:space="preserve">
9/6 上客供价格贴纸885pcs
9/12 上空白贴纸1608pcs</t>
        </r>
      </text>
    </comment>
    <comment ref="AB635" authorId="0">
      <text>
        <r>
          <rPr>
            <b/>
            <sz val="9"/>
            <rFont val="宋体"/>
            <charset val="134"/>
          </rPr>
          <t>Administrator:</t>
        </r>
        <r>
          <rPr>
            <sz val="9"/>
            <rFont val="宋体"/>
            <charset val="134"/>
          </rPr>
          <t xml:space="preserve">
0002630 9/29 3016pcs
华3B15</t>
        </r>
      </text>
    </comment>
    <comment ref="AB636" authorId="0">
      <text>
        <r>
          <rPr>
            <b/>
            <sz val="9"/>
            <rFont val="宋体"/>
            <charset val="134"/>
          </rPr>
          <t>Administrator:</t>
        </r>
        <r>
          <rPr>
            <sz val="9"/>
            <rFont val="宋体"/>
            <charset val="134"/>
          </rPr>
          <t xml:space="preserve">
0002630 9/29 1008pcs华3B8</t>
        </r>
      </text>
    </comment>
    <comment ref="AD636" authorId="0">
      <text>
        <r>
          <rPr>
            <b/>
            <sz val="9"/>
            <rFont val="宋体"/>
            <charset val="134"/>
          </rPr>
          <t>Administrator:</t>
        </r>
        <r>
          <rPr>
            <sz val="9"/>
            <rFont val="宋体"/>
            <charset val="134"/>
          </rPr>
          <t xml:space="preserve">
8/22 上齐</t>
        </r>
      </text>
    </comment>
    <comment ref="AB637" authorId="0">
      <text>
        <r>
          <rPr>
            <b/>
            <sz val="9"/>
            <rFont val="宋体"/>
            <charset val="134"/>
          </rPr>
          <t>Administrator:</t>
        </r>
        <r>
          <rPr>
            <sz val="9"/>
            <rFont val="宋体"/>
            <charset val="134"/>
          </rPr>
          <t xml:space="preserve">
0002630 9/29 1500pcs
华3B10</t>
        </r>
      </text>
    </comment>
    <comment ref="AD637" authorId="0">
      <text>
        <r>
          <rPr>
            <b/>
            <sz val="9"/>
            <rFont val="宋体"/>
            <charset val="134"/>
          </rPr>
          <t>Administrator:</t>
        </r>
        <r>
          <rPr>
            <sz val="9"/>
            <rFont val="宋体"/>
            <charset val="134"/>
          </rPr>
          <t xml:space="preserve">
9/10 上警告语贴纸1500pcs</t>
        </r>
      </text>
    </comment>
    <comment ref="AB638" authorId="0">
      <text>
        <r>
          <rPr>
            <b/>
            <sz val="9"/>
            <rFont val="宋体"/>
            <charset val="134"/>
          </rPr>
          <t>Administrator:</t>
        </r>
        <r>
          <rPr>
            <sz val="9"/>
            <rFont val="宋体"/>
            <charset val="134"/>
          </rPr>
          <t xml:space="preserve">
0002637 10/8 1612pcs
华3B11</t>
        </r>
      </text>
    </comment>
    <comment ref="AD638" authorId="0">
      <text>
        <r>
          <rPr>
            <b/>
            <sz val="9"/>
            <rFont val="宋体"/>
            <charset val="134"/>
          </rPr>
          <t>Administrator:</t>
        </r>
        <r>
          <rPr>
            <sz val="9"/>
            <rFont val="宋体"/>
            <charset val="134"/>
          </rPr>
          <t xml:space="preserve">
9/10 上包装电池警告语贴纸1612pcs
说明书电池警告语贴纸1612pcs
9/29 上SSCC外箱贴纸124pcs</t>
        </r>
      </text>
    </comment>
    <comment ref="AB639" authorId="0">
      <text>
        <r>
          <rPr>
            <b/>
            <sz val="9"/>
            <rFont val="宋体"/>
            <charset val="134"/>
          </rPr>
          <t>Administrator:</t>
        </r>
        <r>
          <rPr>
            <sz val="9"/>
            <rFont val="宋体"/>
            <charset val="134"/>
          </rPr>
          <t xml:space="preserve">
0002637 10/8 1560pcs华3B14</t>
        </r>
      </text>
    </comment>
    <comment ref="AB640" authorId="0">
      <text>
        <r>
          <rPr>
            <b/>
            <sz val="9"/>
            <rFont val="宋体"/>
            <charset val="134"/>
          </rPr>
          <t>Administrator:</t>
        </r>
        <r>
          <rPr>
            <sz val="9"/>
            <rFont val="宋体"/>
            <charset val="134"/>
          </rPr>
          <t xml:space="preserve">
0002637 10/8 845pcs
华3A27</t>
        </r>
      </text>
    </comment>
    <comment ref="AB641" authorId="0">
      <text>
        <r>
          <rPr>
            <b/>
            <sz val="9"/>
            <rFont val="宋体"/>
            <charset val="134"/>
          </rPr>
          <t>Administrator:</t>
        </r>
        <r>
          <rPr>
            <sz val="9"/>
            <rFont val="宋体"/>
            <charset val="134"/>
          </rPr>
          <t xml:space="preserve">
0002630 9/29 1536pcs
华3B11</t>
        </r>
      </text>
    </comment>
    <comment ref="AD641" authorId="0">
      <text>
        <r>
          <rPr>
            <b/>
            <sz val="9"/>
            <rFont val="宋体"/>
            <charset val="134"/>
          </rPr>
          <t>Administrator:</t>
        </r>
        <r>
          <rPr>
            <sz val="9"/>
            <rFont val="宋体"/>
            <charset val="134"/>
          </rPr>
          <t xml:space="preserve">
9/12 上警语贴纸1536pcs
配件包警告语贴纸6144pcs</t>
        </r>
      </text>
    </comment>
    <comment ref="AB642" authorId="0">
      <text>
        <r>
          <rPr>
            <b/>
            <sz val="9"/>
            <rFont val="宋体"/>
            <charset val="134"/>
          </rPr>
          <t>Administrator:</t>
        </r>
        <r>
          <rPr>
            <sz val="9"/>
            <rFont val="宋体"/>
            <charset val="134"/>
          </rPr>
          <t xml:space="preserve">
0002630 9/29 804pcs
华3B8</t>
        </r>
      </text>
    </comment>
    <comment ref="AD642" authorId="0">
      <text>
        <r>
          <rPr>
            <b/>
            <sz val="9"/>
            <rFont val="宋体"/>
            <charset val="134"/>
          </rPr>
          <t>Administrator:</t>
        </r>
        <r>
          <rPr>
            <sz val="9"/>
            <rFont val="宋体"/>
            <charset val="134"/>
          </rPr>
          <t xml:space="preserve">
9/10 上客供价格贴纸840pcs</t>
        </r>
      </text>
    </comment>
    <comment ref="AB643" authorId="0">
      <text>
        <r>
          <rPr>
            <b/>
            <sz val="9"/>
            <rFont val="宋体"/>
            <charset val="134"/>
          </rPr>
          <t>Administrator:</t>
        </r>
        <r>
          <rPr>
            <sz val="9"/>
            <rFont val="宋体"/>
            <charset val="134"/>
          </rPr>
          <t xml:space="preserve">
0002637 10/8 4004pcs
华3B11</t>
        </r>
      </text>
    </comment>
    <comment ref="AD643" authorId="0">
      <text>
        <r>
          <rPr>
            <b/>
            <sz val="9"/>
            <rFont val="宋体"/>
            <charset val="134"/>
          </rPr>
          <t>Administrator:</t>
        </r>
        <r>
          <rPr>
            <sz val="9"/>
            <rFont val="宋体"/>
            <charset val="134"/>
          </rPr>
          <t xml:space="preserve">
说明书纽扣电池警告语贴纸4004pcs
收藏指南纽扣警告语贴纸4004pcs
9/29 上SSCC外箱贴纸308pcs</t>
        </r>
      </text>
    </comment>
    <comment ref="AB644" authorId="0">
      <text>
        <r>
          <rPr>
            <b/>
            <sz val="9"/>
            <rFont val="宋体"/>
            <charset val="134"/>
          </rPr>
          <t>Administrator:</t>
        </r>
        <r>
          <rPr>
            <sz val="9"/>
            <rFont val="宋体"/>
            <charset val="134"/>
          </rPr>
          <t xml:space="preserve">
0002623 10/10 3744pcs华3B8</t>
        </r>
      </text>
    </comment>
    <comment ref="AD644" authorId="0">
      <text>
        <r>
          <rPr>
            <b/>
            <sz val="9"/>
            <rFont val="宋体"/>
            <charset val="134"/>
          </rPr>
          <t>Administrator:</t>
        </r>
        <r>
          <rPr>
            <sz val="9"/>
            <rFont val="宋体"/>
            <charset val="134"/>
          </rPr>
          <t xml:space="preserve">
9/19 上白色防盗贴纸3744pcs
说明书纽扣电池警告语贴纸3744pcs
收藏指南纽扣警告语贴纸3744pcs
9/25 KM单外箱贴纸288pcs</t>
        </r>
      </text>
    </comment>
    <comment ref="AB645" authorId="0">
      <text>
        <r>
          <rPr>
            <b/>
            <sz val="9"/>
            <rFont val="宋体"/>
            <charset val="134"/>
          </rPr>
          <t>Administrator:</t>
        </r>
        <r>
          <rPr>
            <sz val="9"/>
            <rFont val="宋体"/>
            <charset val="134"/>
          </rPr>
          <t xml:space="preserve">
0002623 10/10 1794pcs3B13</t>
        </r>
      </text>
    </comment>
    <comment ref="AD645" authorId="0">
      <text>
        <r>
          <rPr>
            <b/>
            <sz val="9"/>
            <rFont val="宋体"/>
            <charset val="134"/>
          </rPr>
          <t>Administrator:</t>
        </r>
        <r>
          <rPr>
            <sz val="9"/>
            <rFont val="宋体"/>
            <charset val="134"/>
          </rPr>
          <t xml:space="preserve">
9/19 上白色防盗贴纸1794pcs
说明书纽扣电池警告语贴纸1794pcs
收藏指南纽扣警告语贴纸1794pcs
9/25 上KM单外箱贴纸138pcs</t>
        </r>
      </text>
    </comment>
    <comment ref="AB646" authorId="0">
      <text>
        <r>
          <rPr>
            <b/>
            <sz val="9"/>
            <rFont val="宋体"/>
            <charset val="134"/>
          </rPr>
          <t>Administrator:</t>
        </r>
        <r>
          <rPr>
            <sz val="9"/>
            <rFont val="宋体"/>
            <charset val="134"/>
          </rPr>
          <t xml:space="preserve">
0002648 10/14 4500pcs华3B16</t>
        </r>
      </text>
    </comment>
    <comment ref="AD646" authorId="0">
      <text>
        <r>
          <rPr>
            <b/>
            <sz val="9"/>
            <rFont val="宋体"/>
            <charset val="134"/>
          </rPr>
          <t>Administrator:</t>
        </r>
        <r>
          <rPr>
            <sz val="9"/>
            <rFont val="宋体"/>
            <charset val="134"/>
          </rPr>
          <t xml:space="preserve">
9/23 上包装正面电池警告贴纸4500pcs
 说明书警告语贴纸4500pcs
收藏指南警告语贴纸4500pcs
</t>
        </r>
      </text>
    </comment>
    <comment ref="AB647" authorId="0">
      <text>
        <r>
          <rPr>
            <b/>
            <sz val="9"/>
            <rFont val="宋体"/>
            <charset val="134"/>
          </rPr>
          <t>Administrator:</t>
        </r>
        <r>
          <rPr>
            <sz val="9"/>
            <rFont val="宋体"/>
            <charset val="134"/>
          </rPr>
          <t xml:space="preserve">
0002648 10/14 1500pcs华3B15</t>
        </r>
      </text>
    </comment>
    <comment ref="AD647" authorId="0">
      <text>
        <r>
          <rPr>
            <b/>
            <sz val="9"/>
            <rFont val="宋体"/>
            <charset val="134"/>
          </rPr>
          <t>Administrator:</t>
        </r>
        <r>
          <rPr>
            <sz val="9"/>
            <rFont val="宋体"/>
            <charset val="134"/>
          </rPr>
          <t xml:space="preserve">
9/23 上包装正面电池警告贴纸1500pcs
 说明书警告语贴纸1500pcs
收藏指南警告语贴纸1500pcs</t>
        </r>
      </text>
    </comment>
    <comment ref="AB648" authorId="0">
      <text>
        <r>
          <rPr>
            <b/>
            <sz val="9"/>
            <rFont val="宋体"/>
            <charset val="134"/>
          </rPr>
          <t>Administrator:</t>
        </r>
        <r>
          <rPr>
            <sz val="9"/>
            <rFont val="宋体"/>
            <charset val="134"/>
          </rPr>
          <t xml:space="preserve">
0002623 10/10 480pcs华3B13</t>
        </r>
      </text>
    </comment>
    <comment ref="AD648" authorId="0">
      <text>
        <r>
          <rPr>
            <b/>
            <sz val="9"/>
            <rFont val="宋体"/>
            <charset val="134"/>
          </rPr>
          <t>Administrator:</t>
        </r>
        <r>
          <rPr>
            <sz val="9"/>
            <rFont val="宋体"/>
            <charset val="134"/>
          </rPr>
          <t xml:space="preserve">
9/10 上客供价格贴纸504pcs
</t>
        </r>
      </text>
    </comment>
    <comment ref="AB649" authorId="0">
      <text>
        <r>
          <rPr>
            <b/>
            <sz val="9"/>
            <rFont val="宋体"/>
            <charset val="134"/>
          </rPr>
          <t>Administrator:</t>
        </r>
        <r>
          <rPr>
            <sz val="9"/>
            <rFont val="宋体"/>
            <charset val="134"/>
          </rPr>
          <t xml:space="preserve">
0002623 10/10 2000pcs3B14</t>
        </r>
      </text>
    </comment>
    <comment ref="AD649" authorId="0">
      <text>
        <r>
          <rPr>
            <b/>
            <sz val="9"/>
            <rFont val="宋体"/>
            <charset val="134"/>
          </rPr>
          <t>Administrator:</t>
        </r>
        <r>
          <rPr>
            <sz val="9"/>
            <rFont val="宋体"/>
            <charset val="134"/>
          </rPr>
          <t xml:space="preserve">
9/23 上德语CALLBOUT贴纸2000pcs</t>
        </r>
      </text>
    </comment>
    <comment ref="AB650" authorId="0">
      <text>
        <r>
          <rPr>
            <b/>
            <sz val="9"/>
            <rFont val="宋体"/>
            <charset val="134"/>
          </rPr>
          <t>Administrator:</t>
        </r>
        <r>
          <rPr>
            <sz val="9"/>
            <rFont val="宋体"/>
            <charset val="134"/>
          </rPr>
          <t xml:space="preserve">
0002664 10/17 600pcs华3B8</t>
        </r>
      </text>
    </comment>
    <comment ref="AD650" authorId="0">
      <text>
        <r>
          <rPr>
            <b/>
            <sz val="9"/>
            <rFont val="宋体"/>
            <charset val="134"/>
          </rPr>
          <t>Administrator:</t>
        </r>
        <r>
          <rPr>
            <sz val="9"/>
            <rFont val="宋体"/>
            <charset val="134"/>
          </rPr>
          <t xml:space="preserve">
9/23 上环保标贴纸600pcs
UPC贴纸600pcs
9/23 上亚马逊外箱贴纸25pcs
10/8 上客供防伪贴纸600pcs</t>
        </r>
      </text>
    </comment>
    <comment ref="AB651" authorId="0">
      <text>
        <r>
          <rPr>
            <b/>
            <sz val="9"/>
            <rFont val="宋体"/>
            <charset val="134"/>
          </rPr>
          <t>Administrator:</t>
        </r>
        <r>
          <rPr>
            <sz val="9"/>
            <rFont val="宋体"/>
            <charset val="134"/>
          </rPr>
          <t xml:space="preserve">
0002664 10/17 600pcs华3B8
</t>
        </r>
      </text>
    </comment>
    <comment ref="AD651" authorId="0">
      <text>
        <r>
          <rPr>
            <b/>
            <sz val="9"/>
            <rFont val="宋体"/>
            <charset val="134"/>
          </rPr>
          <t>Administrator:</t>
        </r>
        <r>
          <rPr>
            <sz val="9"/>
            <rFont val="宋体"/>
            <charset val="134"/>
          </rPr>
          <t xml:space="preserve">
9/23 上环保标贴纸600pcs
UPC贴纸600pcs
9/23 上亚马逊外箱贴纸25pcs
10/8 上客供防伪贴纸600pcs
</t>
        </r>
      </text>
    </comment>
    <comment ref="AB652" authorId="0">
      <text>
        <r>
          <rPr>
            <b/>
            <sz val="9"/>
            <rFont val="宋体"/>
            <charset val="134"/>
          </rPr>
          <t>Administrator:</t>
        </r>
        <r>
          <rPr>
            <sz val="9"/>
            <rFont val="宋体"/>
            <charset val="134"/>
          </rPr>
          <t xml:space="preserve">
0002623 10/10 3750pcs3A25</t>
        </r>
      </text>
    </comment>
    <comment ref="AB653" authorId="0">
      <text>
        <r>
          <rPr>
            <b/>
            <sz val="9"/>
            <rFont val="宋体"/>
            <charset val="134"/>
          </rPr>
          <t>Administrator:</t>
        </r>
        <r>
          <rPr>
            <sz val="9"/>
            <rFont val="宋体"/>
            <charset val="134"/>
          </rPr>
          <t xml:space="preserve">
0002709 10/10 925pcs3A27</t>
        </r>
      </text>
    </comment>
    <comment ref="AB654" authorId="0">
      <text>
        <r>
          <rPr>
            <b/>
            <sz val="9"/>
            <rFont val="宋体"/>
            <charset val="134"/>
          </rPr>
          <t>Administrator:</t>
        </r>
        <r>
          <rPr>
            <sz val="9"/>
            <rFont val="宋体"/>
            <charset val="134"/>
          </rPr>
          <t xml:space="preserve">
0002648 10/14 1680pcs华3A13</t>
        </r>
      </text>
    </comment>
    <comment ref="AB655" authorId="0">
      <text>
        <r>
          <rPr>
            <b/>
            <sz val="9"/>
            <rFont val="宋体"/>
            <charset val="134"/>
          </rPr>
          <t>Administrator:</t>
        </r>
        <r>
          <rPr>
            <sz val="9"/>
            <rFont val="宋体"/>
            <charset val="134"/>
          </rPr>
          <t xml:space="preserve">
0002648 10/14 5112pcs华3A23</t>
        </r>
      </text>
    </comment>
    <comment ref="AD655" authorId="0">
      <text>
        <r>
          <rPr>
            <b/>
            <sz val="9"/>
            <rFont val="宋体"/>
            <charset val="134"/>
          </rPr>
          <t>Administrator:</t>
        </r>
        <r>
          <rPr>
            <sz val="9"/>
            <rFont val="宋体"/>
            <charset val="134"/>
          </rPr>
          <t xml:space="preserve">
9/26 上客供价格贴纸5368pcs</t>
        </r>
      </text>
    </comment>
    <comment ref="AB656" authorId="0">
      <text>
        <r>
          <rPr>
            <b/>
            <sz val="9"/>
            <rFont val="宋体"/>
            <charset val="134"/>
          </rPr>
          <t>Administrator:</t>
        </r>
        <r>
          <rPr>
            <sz val="9"/>
            <rFont val="宋体"/>
            <charset val="134"/>
          </rPr>
          <t xml:space="preserve">
0002664 10/17 1440pcs华3B13
</t>
        </r>
      </text>
    </comment>
    <comment ref="AD656" authorId="0">
      <text>
        <r>
          <rPr>
            <b/>
            <sz val="9"/>
            <rFont val="宋体"/>
            <charset val="134"/>
          </rPr>
          <t>Administrator:</t>
        </r>
        <r>
          <rPr>
            <sz val="9"/>
            <rFont val="宋体"/>
            <charset val="134"/>
          </rPr>
          <t xml:space="preserve">
10/8 上客供价格贴纸1463pcs</t>
        </r>
      </text>
    </comment>
    <comment ref="AB657" authorId="0">
      <text>
        <r>
          <rPr>
            <b/>
            <sz val="9"/>
            <rFont val="宋体"/>
            <charset val="134"/>
          </rPr>
          <t>Administrator:</t>
        </r>
        <r>
          <rPr>
            <sz val="9"/>
            <rFont val="宋体"/>
            <charset val="134"/>
          </rPr>
          <t xml:space="preserve">
0002664 10/17 960pcs3B14</t>
        </r>
      </text>
    </comment>
    <comment ref="AD657" authorId="0">
      <text>
        <r>
          <rPr>
            <b/>
            <sz val="9"/>
            <rFont val="宋体"/>
            <charset val="134"/>
          </rPr>
          <t>Administrator:</t>
        </r>
        <r>
          <rPr>
            <sz val="9"/>
            <rFont val="宋体"/>
            <charset val="134"/>
          </rPr>
          <t xml:space="preserve">
9/25 上亚马逊外箱贴纸40pcs
10/6 上环保标贴纸960pcs
UPC贴纸960pcs
1号ES回收环保标志960pcs
10/8 上客供防伪贴纸960pcs</t>
        </r>
      </text>
    </comment>
    <comment ref="AB658" authorId="0">
      <text>
        <r>
          <rPr>
            <b/>
            <sz val="9"/>
            <rFont val="宋体"/>
            <charset val="134"/>
          </rPr>
          <t>Administrator:</t>
        </r>
        <r>
          <rPr>
            <sz val="9"/>
            <rFont val="宋体"/>
            <charset val="134"/>
          </rPr>
          <t xml:space="preserve">
0002664 10/17 552pcs华3B14
</t>
        </r>
      </text>
    </comment>
    <comment ref="AD658" authorId="0">
      <text>
        <r>
          <rPr>
            <b/>
            <sz val="9"/>
            <rFont val="宋体"/>
            <charset val="134"/>
          </rPr>
          <t>Administrator:</t>
        </r>
        <r>
          <rPr>
            <sz val="9"/>
            <rFont val="宋体"/>
            <charset val="134"/>
          </rPr>
          <t xml:space="preserve">
9/29 上亚马逊外箱贴纸23pcs
10/6 上环保标贴纸552pcs
UPC贴纸552pcs
1号ES回收环保标志552pcs
10/8 上客供防伪贴纸552pcs</t>
        </r>
      </text>
    </comment>
    <comment ref="AB659" authorId="0">
      <text>
        <r>
          <rPr>
            <b/>
            <sz val="9"/>
            <rFont val="宋体"/>
            <charset val="134"/>
          </rPr>
          <t>Administrator:</t>
        </r>
        <r>
          <rPr>
            <sz val="9"/>
            <rFont val="宋体"/>
            <charset val="134"/>
          </rPr>
          <t xml:space="preserve">
0002676 10/19 1200pcs华3B14</t>
        </r>
      </text>
    </comment>
    <comment ref="AD659" authorId="0">
      <text>
        <r>
          <rPr>
            <b/>
            <sz val="9"/>
            <rFont val="宋体"/>
            <charset val="134"/>
          </rPr>
          <t>Administrator:</t>
        </r>
        <r>
          <rPr>
            <sz val="9"/>
            <rFont val="宋体"/>
            <charset val="134"/>
          </rPr>
          <t xml:space="preserve">
9/26 上客供价格贴纸1260pcs</t>
        </r>
      </text>
    </comment>
    <comment ref="AB660" authorId="0">
      <text>
        <r>
          <rPr>
            <b/>
            <sz val="9"/>
            <rFont val="宋体"/>
            <charset val="134"/>
          </rPr>
          <t>Administrator:</t>
        </r>
        <r>
          <rPr>
            <sz val="9"/>
            <rFont val="宋体"/>
            <charset val="134"/>
          </rPr>
          <t xml:space="preserve">
0002649 10/14 1500pcs华3B14</t>
        </r>
      </text>
    </comment>
    <comment ref="AB661" authorId="0">
      <text>
        <r>
          <rPr>
            <b/>
            <sz val="9"/>
            <rFont val="宋体"/>
            <charset val="134"/>
          </rPr>
          <t>Administrator:</t>
        </r>
        <r>
          <rPr>
            <sz val="9"/>
            <rFont val="宋体"/>
            <charset val="134"/>
          </rPr>
          <t xml:space="preserve">
0002650 10/15 22875pcs华3A24</t>
        </r>
      </text>
    </comment>
    <comment ref="AB662" authorId="0">
      <text>
        <r>
          <rPr>
            <b/>
            <sz val="9"/>
            <rFont val="宋体"/>
            <charset val="134"/>
          </rPr>
          <t>Administrator:</t>
        </r>
        <r>
          <rPr>
            <sz val="9"/>
            <rFont val="宋体"/>
            <charset val="134"/>
          </rPr>
          <t xml:space="preserve">
0002656 10/16 22875pcs华3A21</t>
        </r>
      </text>
    </comment>
    <comment ref="AB663" authorId="0">
      <text>
        <r>
          <rPr>
            <b/>
            <sz val="9"/>
            <rFont val="宋体"/>
            <charset val="134"/>
          </rPr>
          <t>Administrator:</t>
        </r>
        <r>
          <rPr>
            <sz val="9"/>
            <rFont val="宋体"/>
            <charset val="134"/>
          </rPr>
          <t xml:space="preserve">
0002727 10/25 720pcs华3B13</t>
        </r>
      </text>
    </comment>
    <comment ref="AD663" authorId="0">
      <text>
        <r>
          <rPr>
            <b/>
            <sz val="9"/>
            <rFont val="宋体"/>
            <charset val="134"/>
          </rPr>
          <t>Administrator:</t>
        </r>
        <r>
          <rPr>
            <sz val="9"/>
            <rFont val="宋体"/>
            <charset val="134"/>
          </rPr>
          <t xml:space="preserve">
10/16 上进口商贴纸720pcs
空白贴纸720pcs
</t>
        </r>
      </text>
    </comment>
    <comment ref="AB664" authorId="0">
      <text>
        <r>
          <rPr>
            <b/>
            <sz val="9"/>
            <rFont val="宋体"/>
            <charset val="134"/>
          </rPr>
          <t>Administrator:</t>
        </r>
        <r>
          <rPr>
            <sz val="9"/>
            <rFont val="宋体"/>
            <charset val="134"/>
          </rPr>
          <t xml:space="preserve">
0002761 11/1 2400pcs华3B14</t>
        </r>
      </text>
    </comment>
    <comment ref="AD664" authorId="0">
      <text>
        <r>
          <rPr>
            <b/>
            <sz val="9"/>
            <rFont val="宋体"/>
            <charset val="134"/>
          </rPr>
          <t>Administrator:</t>
        </r>
        <r>
          <rPr>
            <sz val="9"/>
            <rFont val="宋体"/>
            <charset val="134"/>
          </rPr>
          <t xml:space="preserve">
10/11 上环保标贴纸2400pcs
</t>
        </r>
      </text>
    </comment>
    <comment ref="AB665" authorId="0">
      <text>
        <r>
          <rPr>
            <b/>
            <sz val="9"/>
            <rFont val="宋体"/>
            <charset val="134"/>
          </rPr>
          <t>Administrator:</t>
        </r>
        <r>
          <rPr>
            <sz val="9"/>
            <rFont val="宋体"/>
            <charset val="134"/>
          </rPr>
          <t xml:space="preserve">
0002761 11/1 588pcs华3A27</t>
        </r>
      </text>
    </comment>
    <comment ref="AD665" authorId="0">
      <text>
        <r>
          <rPr>
            <b/>
            <sz val="9"/>
            <rFont val="宋体"/>
            <charset val="134"/>
          </rPr>
          <t>Administrator:</t>
        </r>
        <r>
          <rPr>
            <sz val="9"/>
            <rFont val="宋体"/>
            <charset val="134"/>
          </rPr>
          <t xml:space="preserve">
10/11 上UPC贴纸1680pcs
四个同PO共用
10/14 上UCC外箱贴纸14pcs</t>
        </r>
      </text>
    </comment>
    <comment ref="AB666" authorId="0">
      <text>
        <r>
          <rPr>
            <b/>
            <sz val="9"/>
            <rFont val="宋体"/>
            <charset val="134"/>
          </rPr>
          <t>Administrator:</t>
        </r>
        <r>
          <rPr>
            <sz val="9"/>
            <rFont val="宋体"/>
            <charset val="134"/>
          </rPr>
          <t xml:space="preserve">
0002761 11/1 714pcs华3A27</t>
        </r>
      </text>
    </comment>
    <comment ref="AD666" authorId="0">
      <text>
        <r>
          <rPr>
            <b/>
            <sz val="9"/>
            <rFont val="宋体"/>
            <charset val="134"/>
          </rPr>
          <t>Administrator:</t>
        </r>
        <r>
          <rPr>
            <sz val="9"/>
            <rFont val="宋体"/>
            <charset val="134"/>
          </rPr>
          <t xml:space="preserve">
10/14 上UCC外箱贴纸17pcs</t>
        </r>
      </text>
    </comment>
    <comment ref="AB667" authorId="0">
      <text>
        <r>
          <rPr>
            <b/>
            <sz val="9"/>
            <rFont val="宋体"/>
            <charset val="134"/>
          </rPr>
          <t>Administrator:</t>
        </r>
        <r>
          <rPr>
            <sz val="9"/>
            <rFont val="宋体"/>
            <charset val="134"/>
          </rPr>
          <t xml:space="preserve">
0002761 11/1 168pcs华3A27</t>
        </r>
      </text>
    </comment>
    <comment ref="AD667" authorId="0">
      <text>
        <r>
          <rPr>
            <b/>
            <sz val="9"/>
            <rFont val="宋体"/>
            <charset val="134"/>
          </rPr>
          <t>Administrator:</t>
        </r>
        <r>
          <rPr>
            <sz val="9"/>
            <rFont val="宋体"/>
            <charset val="134"/>
          </rPr>
          <t xml:space="preserve">
10/14 上UCC外箱贴纸7pcs
</t>
        </r>
      </text>
    </comment>
    <comment ref="AB668" authorId="0">
      <text>
        <r>
          <rPr>
            <b/>
            <sz val="9"/>
            <rFont val="宋体"/>
            <charset val="134"/>
          </rPr>
          <t>Administrator:</t>
        </r>
        <r>
          <rPr>
            <sz val="9"/>
            <rFont val="宋体"/>
            <charset val="134"/>
          </rPr>
          <t xml:space="preserve">
0002761 11/1 210pcs华3A28</t>
        </r>
      </text>
    </comment>
    <comment ref="AD668" authorId="0">
      <text>
        <r>
          <rPr>
            <b/>
            <sz val="9"/>
            <rFont val="宋体"/>
            <charset val="134"/>
          </rPr>
          <t>Administrator:</t>
        </r>
        <r>
          <rPr>
            <sz val="9"/>
            <rFont val="宋体"/>
            <charset val="134"/>
          </rPr>
          <t xml:space="preserve">
10/14 上UCC外箱贴纸5pcs
</t>
        </r>
      </text>
    </comment>
    <comment ref="AB669" authorId="0">
      <text>
        <r>
          <rPr>
            <b/>
            <sz val="9"/>
            <rFont val="宋体"/>
            <charset val="134"/>
          </rPr>
          <t>Administrator:</t>
        </r>
        <r>
          <rPr>
            <sz val="9"/>
            <rFont val="宋体"/>
            <charset val="134"/>
          </rPr>
          <t xml:space="preserve">
0002681 10/21 8476pcs送回半成品</t>
        </r>
      </text>
    </comment>
    <comment ref="AD669" authorId="0">
      <text>
        <r>
          <rPr>
            <b/>
            <sz val="9"/>
            <rFont val="宋体"/>
            <charset val="134"/>
          </rPr>
          <t>Administrator:</t>
        </r>
        <r>
          <rPr>
            <sz val="9"/>
            <rFont val="宋体"/>
            <charset val="134"/>
          </rPr>
          <t xml:space="preserve">
10/14 EAN条码贴纸8476pcs</t>
        </r>
      </text>
    </comment>
    <comment ref="AB670" authorId="0">
      <text>
        <r>
          <rPr>
            <b/>
            <sz val="9"/>
            <rFont val="宋体"/>
            <charset val="134"/>
          </rPr>
          <t>Administrator:</t>
        </r>
        <r>
          <rPr>
            <sz val="9"/>
            <rFont val="宋体"/>
            <charset val="134"/>
          </rPr>
          <t xml:space="preserve">
0002783 11/6 504pcs罗3B8</t>
        </r>
      </text>
    </comment>
    <comment ref="AD670" authorId="0">
      <text>
        <r>
          <rPr>
            <b/>
            <sz val="9"/>
            <rFont val="宋体"/>
            <charset val="134"/>
          </rPr>
          <t>Administrator:</t>
        </r>
        <r>
          <rPr>
            <sz val="9"/>
            <rFont val="宋体"/>
            <charset val="134"/>
          </rPr>
          <t xml:space="preserve">
10/15 上亚马逊外箱贴纸21pcs
10/17 上客供防伪贴纸504pcs
11/16 上ES回收环保志1号504pcs
环保标贴纸504pcs
UPC贴纸504pcs
10/17 上客供防伪贴纸504pcs</t>
        </r>
      </text>
    </comment>
    <comment ref="AB671" authorId="0">
      <text>
        <r>
          <rPr>
            <b/>
            <sz val="9"/>
            <rFont val="宋体"/>
            <charset val="134"/>
          </rPr>
          <t>Administrator:</t>
        </r>
        <r>
          <rPr>
            <sz val="9"/>
            <rFont val="宋体"/>
            <charset val="134"/>
          </rPr>
          <t xml:space="preserve">
0002788 11/6 504pcs罗3B8</t>
        </r>
      </text>
    </comment>
    <comment ref="AD671" authorId="0">
      <text>
        <r>
          <rPr>
            <b/>
            <sz val="9"/>
            <rFont val="宋体"/>
            <charset val="134"/>
          </rPr>
          <t>Administrator:</t>
        </r>
        <r>
          <rPr>
            <sz val="9"/>
            <rFont val="宋体"/>
            <charset val="134"/>
          </rPr>
          <t xml:space="preserve">
10/8 上客供防伪贴纸504pcs
10/11 上环保标贴纸504pcs
UPC贴纸504pcs
ES回环保标志504pcs
10/18 上亚马逊外箱贴纸21pcs</t>
        </r>
      </text>
    </comment>
    <comment ref="AB672" authorId="0">
      <text>
        <r>
          <rPr>
            <b/>
            <sz val="9"/>
            <rFont val="宋体"/>
            <charset val="134"/>
          </rPr>
          <t>Administrator:</t>
        </r>
        <r>
          <rPr>
            <sz val="9"/>
            <rFont val="宋体"/>
            <charset val="134"/>
          </rPr>
          <t xml:space="preserve">
0002783 11/6 816pcs罗3B8</t>
        </r>
      </text>
    </comment>
    <comment ref="AD672" authorId="0">
      <text>
        <r>
          <rPr>
            <b/>
            <sz val="9"/>
            <rFont val="宋体"/>
            <charset val="134"/>
          </rPr>
          <t xml:space="preserve">Administrator:
</t>
        </r>
        <r>
          <rPr>
            <sz val="9"/>
            <rFont val="宋体"/>
            <charset val="134"/>
          </rPr>
          <t>10/8 上客供防伪贴纸816pcs
10/11 上环保标贴纸816pcs
UPC贴纸816pcs
ES回环保标志816pcs
10/18 上亚马逊外箱贴纸34pcs</t>
        </r>
      </text>
    </comment>
    <comment ref="AB673" authorId="0">
      <text>
        <r>
          <rPr>
            <b/>
            <sz val="9"/>
            <rFont val="宋体"/>
            <charset val="134"/>
          </rPr>
          <t>Administrator:</t>
        </r>
        <r>
          <rPr>
            <sz val="9"/>
            <rFont val="宋体"/>
            <charset val="134"/>
          </rPr>
          <t xml:space="preserve">
0002795 11/7 1200pcs华3B13</t>
        </r>
      </text>
    </comment>
    <comment ref="AD673" authorId="0">
      <text>
        <r>
          <rPr>
            <b/>
            <sz val="9"/>
            <rFont val="宋体"/>
            <charset val="134"/>
          </rPr>
          <t>Administrator:</t>
        </r>
        <r>
          <rPr>
            <sz val="9"/>
            <rFont val="宋体"/>
            <charset val="134"/>
          </rPr>
          <t xml:space="preserve">
10/16 上德语警语贴纸1200pcs
胶袋贴纸48pcs
说明书贴纸1200pcs</t>
        </r>
      </text>
    </comment>
    <comment ref="AB674" authorId="0">
      <text>
        <r>
          <rPr>
            <b/>
            <sz val="9"/>
            <rFont val="宋体"/>
            <charset val="134"/>
          </rPr>
          <t>Administrator:</t>
        </r>
        <r>
          <rPr>
            <sz val="9"/>
            <rFont val="宋体"/>
            <charset val="134"/>
          </rPr>
          <t xml:space="preserve">
0002795 11/7 2400pcs华3B13</t>
        </r>
      </text>
    </comment>
    <comment ref="AD674" authorId="0">
      <text>
        <r>
          <rPr>
            <b/>
            <sz val="9"/>
            <rFont val="宋体"/>
            <charset val="134"/>
          </rPr>
          <t>Administrator:</t>
        </r>
        <r>
          <rPr>
            <sz val="9"/>
            <rFont val="宋体"/>
            <charset val="134"/>
          </rPr>
          <t xml:space="preserve">
10/11 上环保标贴纸2400pcs</t>
        </r>
      </text>
    </comment>
    <comment ref="AB675" authorId="0">
      <text>
        <r>
          <rPr>
            <b/>
            <sz val="9"/>
            <rFont val="宋体"/>
            <charset val="134"/>
          </rPr>
          <t>Administrator:</t>
        </r>
        <r>
          <rPr>
            <sz val="9"/>
            <rFont val="宋体"/>
            <charset val="134"/>
          </rPr>
          <t xml:space="preserve">
0002795 11/7 1008pcs华3B14</t>
        </r>
      </text>
    </comment>
    <comment ref="AD675" authorId="0">
      <text>
        <r>
          <rPr>
            <b/>
            <sz val="9"/>
            <rFont val="宋体"/>
            <charset val="134"/>
          </rPr>
          <t>Administrator:</t>
        </r>
        <r>
          <rPr>
            <sz val="9"/>
            <rFont val="宋体"/>
            <charset val="134"/>
          </rPr>
          <t xml:space="preserve">
10/21 上客供价格贴纸1059pcs
10/25 上空白贴纸2016pcs</t>
        </r>
      </text>
    </comment>
    <comment ref="AB676" authorId="0">
      <text>
        <r>
          <rPr>
            <b/>
            <sz val="9"/>
            <rFont val="宋体"/>
            <charset val="134"/>
          </rPr>
          <t>Administrator:</t>
        </r>
        <r>
          <rPr>
            <sz val="9"/>
            <rFont val="宋体"/>
            <charset val="134"/>
          </rPr>
          <t xml:space="preserve">
0002813 11/13 350pcs华3B11</t>
        </r>
      </text>
    </comment>
    <comment ref="AD676" authorId="0">
      <text>
        <r>
          <rPr>
            <b/>
            <sz val="9"/>
            <rFont val="宋体"/>
            <charset val="134"/>
          </rPr>
          <t>Administrator:</t>
        </r>
        <r>
          <rPr>
            <sz val="9"/>
            <rFont val="宋体"/>
            <charset val="134"/>
          </rPr>
          <t xml:space="preserve">
10/24 上警语贴纸350pcs</t>
        </r>
      </text>
    </comment>
    <comment ref="AB677" authorId="0">
      <text>
        <r>
          <rPr>
            <b/>
            <sz val="9"/>
            <rFont val="宋体"/>
            <charset val="134"/>
          </rPr>
          <t>Administrator:</t>
        </r>
        <r>
          <rPr>
            <sz val="9"/>
            <rFont val="宋体"/>
            <charset val="134"/>
          </rPr>
          <t xml:space="preserve">
0002096 11/15 1000pcs华3B5</t>
        </r>
      </text>
    </comment>
    <comment ref="AD677" authorId="0">
      <text>
        <r>
          <rPr>
            <b/>
            <sz val="9"/>
            <rFont val="宋体"/>
            <charset val="134"/>
          </rPr>
          <t>Administrator:</t>
        </r>
        <r>
          <rPr>
            <sz val="9"/>
            <rFont val="宋体"/>
            <charset val="134"/>
          </rPr>
          <t xml:space="preserve">
10/28 上客供警告语贴纸球底部1036pcs
客供电池警语贴纸1036pcs
客供警告贴纸收藏指南贴1036pcs
客供警语贴纸说明书贴1036pcs</t>
        </r>
      </text>
    </comment>
    <comment ref="AB678" authorId="0">
      <text>
        <r>
          <rPr>
            <b/>
            <sz val="9"/>
            <rFont val="宋体"/>
            <charset val="134"/>
          </rPr>
          <t>Administrator:</t>
        </r>
        <r>
          <rPr>
            <sz val="9"/>
            <rFont val="宋体"/>
            <charset val="134"/>
          </rPr>
          <t xml:space="preserve">
0002085 11/14 2600pcs华3A14</t>
        </r>
      </text>
    </comment>
    <comment ref="AD678" authorId="0">
      <text>
        <r>
          <rPr>
            <b/>
            <sz val="9"/>
            <rFont val="宋体"/>
            <charset val="134"/>
          </rPr>
          <t>Administrator:</t>
        </r>
        <r>
          <rPr>
            <sz val="9"/>
            <rFont val="宋体"/>
            <charset val="134"/>
          </rPr>
          <t xml:space="preserve">
10/29 上警告语贴纸2600pcs
收藏指南气味贴纸2600pcs
</t>
        </r>
      </text>
    </comment>
    <comment ref="AB679" authorId="0">
      <text>
        <r>
          <rPr>
            <b/>
            <sz val="9"/>
            <rFont val="宋体"/>
            <charset val="134"/>
          </rPr>
          <t>Administrator:</t>
        </r>
        <r>
          <rPr>
            <sz val="9"/>
            <rFont val="宋体"/>
            <charset val="134"/>
          </rPr>
          <t xml:space="preserve">
0002115 11/20 7008pcs华3A31
0002160 11/27 25pcs补第三方查货</t>
        </r>
      </text>
    </comment>
    <comment ref="AD679" authorId="0">
      <text>
        <r>
          <rPr>
            <b/>
            <sz val="9"/>
            <rFont val="宋体"/>
            <charset val="134"/>
          </rPr>
          <t>Administrator:</t>
        </r>
        <r>
          <rPr>
            <sz val="9"/>
            <rFont val="宋体"/>
            <charset val="134"/>
          </rPr>
          <t xml:space="preserve">
10/25 上EAN条码贴纸7008pcs
德语警语贴纸7008pcs
纸袋警告语贴纸28032pcs</t>
        </r>
      </text>
    </comment>
    <comment ref="AB680" authorId="0">
      <text>
        <r>
          <rPr>
            <b/>
            <sz val="9"/>
            <rFont val="宋体"/>
            <charset val="134"/>
          </rPr>
          <t>Administrator:</t>
        </r>
        <r>
          <rPr>
            <sz val="9"/>
            <rFont val="宋体"/>
            <charset val="134"/>
          </rPr>
          <t xml:space="preserve">
0002085 11/14 1400pcs华3B15</t>
        </r>
      </text>
    </comment>
    <comment ref="AD680" authorId="0">
      <text>
        <r>
          <rPr>
            <b/>
            <sz val="9"/>
            <rFont val="宋体"/>
            <charset val="134"/>
          </rPr>
          <t>Administrator:</t>
        </r>
        <r>
          <rPr>
            <sz val="9"/>
            <rFont val="宋体"/>
            <charset val="134"/>
          </rPr>
          <t xml:space="preserve">
10/24 上收藏指南贴纸1400pcs
11/1 上进口商贴纸1400pcs
</t>
        </r>
      </text>
    </comment>
    <comment ref="AB681" authorId="0">
      <text>
        <r>
          <rPr>
            <b/>
            <sz val="9"/>
            <rFont val="宋体"/>
            <charset val="134"/>
          </rPr>
          <t>Administrator:</t>
        </r>
        <r>
          <rPr>
            <sz val="9"/>
            <rFont val="宋体"/>
            <charset val="134"/>
          </rPr>
          <t xml:space="preserve">
0002096 11/15 1677pcs华3B8</t>
        </r>
      </text>
    </comment>
    <comment ref="AD681" authorId="0">
      <text>
        <r>
          <rPr>
            <b/>
            <sz val="9"/>
            <rFont val="宋体"/>
            <charset val="134"/>
          </rPr>
          <t>Administrator:</t>
        </r>
        <r>
          <rPr>
            <sz val="9"/>
            <rFont val="宋体"/>
            <charset val="134"/>
          </rPr>
          <t xml:space="preserve">
10/29 上UPC贴纸1677pcs</t>
        </r>
      </text>
    </comment>
    <comment ref="AB682" authorId="0">
      <text>
        <r>
          <rPr>
            <b/>
            <sz val="9"/>
            <rFont val="宋体"/>
            <charset val="134"/>
          </rPr>
          <t>Administrator:</t>
        </r>
        <r>
          <rPr>
            <sz val="9"/>
            <rFont val="宋体"/>
            <charset val="134"/>
          </rPr>
          <t xml:space="preserve">
0002090 11/16 3120pcs华3A17</t>
        </r>
      </text>
    </comment>
    <comment ref="AD682" authorId="0">
      <text>
        <r>
          <rPr>
            <b/>
            <sz val="9"/>
            <rFont val="宋体"/>
            <charset val="134"/>
          </rPr>
          <t>Administrator:</t>
        </r>
        <r>
          <rPr>
            <sz val="9"/>
            <rFont val="宋体"/>
            <charset val="134"/>
          </rPr>
          <t xml:space="preserve">
10/29 上UPC贴纸3120pcs</t>
        </r>
      </text>
    </comment>
    <comment ref="AB683" authorId="0">
      <text>
        <r>
          <rPr>
            <b/>
            <sz val="9"/>
            <rFont val="宋体"/>
            <charset val="134"/>
          </rPr>
          <t>Administrator:</t>
        </r>
        <r>
          <rPr>
            <sz val="9"/>
            <rFont val="宋体"/>
            <charset val="134"/>
          </rPr>
          <t xml:space="preserve">
0002116 11/20 3000pcs送回球壳华3B9</t>
        </r>
      </text>
    </comment>
    <comment ref="AB684" authorId="0">
      <text>
        <r>
          <rPr>
            <b/>
            <sz val="9"/>
            <rFont val="宋体"/>
            <charset val="134"/>
          </rPr>
          <t>Administrator:</t>
        </r>
        <r>
          <rPr>
            <sz val="9"/>
            <rFont val="宋体"/>
            <charset val="134"/>
          </rPr>
          <t xml:space="preserve">
0002110 11/19 2509pcs直走货</t>
        </r>
      </text>
    </comment>
    <comment ref="AD684" authorId="0">
      <text>
        <r>
          <rPr>
            <b/>
            <sz val="9"/>
            <rFont val="宋体"/>
            <charset val="134"/>
          </rPr>
          <t>Administrator:</t>
        </r>
        <r>
          <rPr>
            <sz val="9"/>
            <rFont val="宋体"/>
            <charset val="134"/>
          </rPr>
          <t xml:space="preserve">
10/18 上UPC贴纸2509pcs</t>
        </r>
      </text>
    </comment>
    <comment ref="AB685" authorId="0">
      <text>
        <r>
          <rPr>
            <b/>
            <sz val="9"/>
            <rFont val="宋体"/>
            <charset val="134"/>
          </rPr>
          <t>Administrator:</t>
        </r>
        <r>
          <rPr>
            <sz val="9"/>
            <rFont val="宋体"/>
            <charset val="134"/>
          </rPr>
          <t xml:space="preserve">
0002118 11/21 3150pcs华3A27</t>
        </r>
      </text>
    </comment>
    <comment ref="AD685" authorId="0">
      <text>
        <r>
          <rPr>
            <b/>
            <sz val="9"/>
            <rFont val="宋体"/>
            <charset val="134"/>
          </rPr>
          <t>Administrator:</t>
        </r>
        <r>
          <rPr>
            <sz val="9"/>
            <rFont val="宋体"/>
            <charset val="134"/>
          </rPr>
          <t xml:space="preserve">
8/22 上齐贴纸</t>
        </r>
      </text>
    </comment>
    <comment ref="AB686" authorId="0">
      <text>
        <r>
          <rPr>
            <b/>
            <sz val="9"/>
            <rFont val="宋体"/>
            <charset val="134"/>
          </rPr>
          <t>Administrator:</t>
        </r>
        <r>
          <rPr>
            <sz val="9"/>
            <rFont val="宋体"/>
            <charset val="134"/>
          </rPr>
          <t xml:space="preserve">
0002163 11/27 4596pcs
华3B12
0002171 11/28 204pcs直走</t>
        </r>
      </text>
    </comment>
    <comment ref="AD686" authorId="0">
      <text>
        <r>
          <rPr>
            <b/>
            <sz val="9"/>
            <rFont val="宋体"/>
            <charset val="134"/>
          </rPr>
          <t>Administrator:</t>
        </r>
        <r>
          <rPr>
            <sz val="9"/>
            <rFont val="宋体"/>
            <charset val="134"/>
          </rPr>
          <t xml:space="preserve">
10/24 上UPC贴纸4800pcs
11/4 上价格贴纸5040pcs
11/18 上UPC条码贴纸4800pcs</t>
        </r>
      </text>
    </comment>
    <comment ref="AB687" authorId="0">
      <text>
        <r>
          <rPr>
            <b/>
            <sz val="9"/>
            <rFont val="宋体"/>
            <charset val="134"/>
          </rPr>
          <t>Administrator:</t>
        </r>
        <r>
          <rPr>
            <sz val="9"/>
            <rFont val="宋体"/>
            <charset val="134"/>
          </rPr>
          <t xml:space="preserve">
0002118 11/21 2500pcs华3A27</t>
        </r>
      </text>
    </comment>
    <comment ref="AB688" authorId="0">
      <text>
        <r>
          <rPr>
            <b/>
            <sz val="9"/>
            <rFont val="宋体"/>
            <charset val="134"/>
          </rPr>
          <t>Administrator:</t>
        </r>
        <r>
          <rPr>
            <sz val="9"/>
            <rFont val="宋体"/>
            <charset val="134"/>
          </rPr>
          <t xml:space="preserve">
0002147 11/25 2340pcs华3B8</t>
        </r>
      </text>
    </comment>
    <comment ref="AD688" authorId="0">
      <text>
        <r>
          <rPr>
            <b/>
            <sz val="9"/>
            <rFont val="宋体"/>
            <charset val="134"/>
          </rPr>
          <t>Administrator:</t>
        </r>
        <r>
          <rPr>
            <sz val="9"/>
            <rFont val="宋体"/>
            <charset val="134"/>
          </rPr>
          <t xml:space="preserve">
11/14 上EAN条码贴纸3484pcsS
两个同PO共用</t>
        </r>
      </text>
    </comment>
    <comment ref="AB689" authorId="0">
      <text>
        <r>
          <rPr>
            <b/>
            <sz val="9"/>
            <rFont val="宋体"/>
            <charset val="134"/>
          </rPr>
          <t>Administrator:</t>
        </r>
        <r>
          <rPr>
            <sz val="9"/>
            <rFont val="宋体"/>
            <charset val="134"/>
          </rPr>
          <t xml:space="preserve">
0002147 11/25 1144pcs
华3B8</t>
        </r>
      </text>
    </comment>
    <comment ref="AB690" authorId="0">
      <text>
        <r>
          <rPr>
            <b/>
            <sz val="9"/>
            <rFont val="宋体"/>
            <charset val="134"/>
          </rPr>
          <t>Administrator:</t>
        </r>
        <r>
          <rPr>
            <sz val="9"/>
            <rFont val="宋体"/>
            <charset val="134"/>
          </rPr>
          <t xml:space="preserve">
0002181 11/29 996pcs华3B7</t>
        </r>
      </text>
    </comment>
    <comment ref="AD690" authorId="0">
      <text>
        <r>
          <rPr>
            <b/>
            <sz val="9"/>
            <rFont val="宋体"/>
            <charset val="134"/>
          </rPr>
          <t>Administrator:</t>
        </r>
        <r>
          <rPr>
            <sz val="9"/>
            <rFont val="宋体"/>
            <charset val="134"/>
          </rPr>
          <t xml:space="preserve">
11/1 上UPC贴纸996pcs</t>
        </r>
      </text>
    </comment>
    <comment ref="AB691" authorId="0">
      <text>
        <r>
          <rPr>
            <b/>
            <sz val="9"/>
            <rFont val="宋体"/>
            <charset val="134"/>
          </rPr>
          <t>Administrator:</t>
        </r>
        <r>
          <rPr>
            <sz val="9"/>
            <rFont val="宋体"/>
            <charset val="134"/>
          </rPr>
          <t xml:space="preserve">
0002182 11/30 1200pcs华3B13</t>
        </r>
      </text>
    </comment>
    <comment ref="AD691" authorId="0">
      <text>
        <r>
          <rPr>
            <b/>
            <sz val="9"/>
            <rFont val="宋体"/>
            <charset val="134"/>
          </rPr>
          <t>Administrator:</t>
        </r>
        <r>
          <rPr>
            <sz val="9"/>
            <rFont val="宋体"/>
            <charset val="134"/>
          </rPr>
          <t xml:space="preserve">
11/1 上UPC贴纸1200pcs
</t>
        </r>
      </text>
    </comment>
    <comment ref="AB692" authorId="0">
      <text>
        <r>
          <rPr>
            <b/>
            <sz val="9"/>
            <rFont val="宋体"/>
            <charset val="134"/>
          </rPr>
          <t>Administrator:</t>
        </r>
        <r>
          <rPr>
            <sz val="9"/>
            <rFont val="宋体"/>
            <charset val="134"/>
          </rPr>
          <t xml:space="preserve">
0000641 12/6 3000pcs华3B6</t>
        </r>
      </text>
    </comment>
    <comment ref="AD692" authorId="0">
      <text>
        <r>
          <rPr>
            <b/>
            <sz val="9"/>
            <rFont val="宋体"/>
            <charset val="134"/>
          </rPr>
          <t>Administrator:</t>
        </r>
        <r>
          <rPr>
            <sz val="9"/>
            <rFont val="宋体"/>
            <charset val="134"/>
          </rPr>
          <t xml:space="preserve">
11/18 上环保标贴纸3000pcs
11/28 上补订环保贴纸1600pcs</t>
        </r>
      </text>
    </comment>
    <comment ref="AB693" authorId="0">
      <text>
        <r>
          <rPr>
            <b/>
            <sz val="9"/>
            <rFont val="宋体"/>
            <charset val="134"/>
          </rPr>
          <t>Administrator:</t>
        </r>
        <r>
          <rPr>
            <sz val="9"/>
            <rFont val="宋体"/>
            <charset val="134"/>
          </rPr>
          <t xml:space="preserve">
0002199 12/4 1001pcs华3B17</t>
        </r>
      </text>
    </comment>
    <comment ref="AD693" authorId="0">
      <text>
        <r>
          <rPr>
            <b/>
            <sz val="9"/>
            <rFont val="宋体"/>
            <charset val="134"/>
          </rPr>
          <t>Administrator:</t>
        </r>
        <r>
          <rPr>
            <sz val="9"/>
            <rFont val="宋体"/>
            <charset val="134"/>
          </rPr>
          <t xml:space="preserve">
11/6 上警告语贴纸2201pcs
收藏指南贴纸2201pcs
以上两个同PO共用</t>
        </r>
      </text>
    </comment>
    <comment ref="AB694" authorId="0">
      <text>
        <r>
          <rPr>
            <b/>
            <sz val="9"/>
            <rFont val="宋体"/>
            <charset val="134"/>
          </rPr>
          <t>Administrator:</t>
        </r>
        <r>
          <rPr>
            <sz val="9"/>
            <rFont val="宋体"/>
            <charset val="134"/>
          </rPr>
          <t xml:space="preserve">
0002199 12/4 1200pcs华3B17</t>
        </r>
      </text>
    </comment>
    <comment ref="AB695" authorId="0">
      <text>
        <r>
          <rPr>
            <b/>
            <sz val="9"/>
            <rFont val="宋体"/>
            <charset val="134"/>
          </rPr>
          <t>Administrator:</t>
        </r>
        <r>
          <rPr>
            <sz val="9"/>
            <rFont val="宋体"/>
            <charset val="134"/>
          </rPr>
          <t xml:space="preserve">
0002197 12/4 2500pcs华3B16</t>
        </r>
      </text>
    </comment>
    <comment ref="AB696" authorId="0">
      <text>
        <r>
          <rPr>
            <b/>
            <sz val="9"/>
            <rFont val="宋体"/>
            <charset val="134"/>
          </rPr>
          <t>Administrator:</t>
        </r>
        <r>
          <rPr>
            <sz val="9"/>
            <rFont val="宋体"/>
            <charset val="134"/>
          </rPr>
          <t xml:space="preserve">
0000638 12/5 14750pcs华3A12
0000641 12/6 950pcs华3A12</t>
        </r>
      </text>
    </comment>
    <comment ref="AD696" authorId="0">
      <text>
        <r>
          <rPr>
            <b/>
            <sz val="9"/>
            <rFont val="宋体"/>
            <charset val="134"/>
          </rPr>
          <t>Administrator:</t>
        </r>
        <r>
          <rPr>
            <sz val="9"/>
            <rFont val="宋体"/>
            <charset val="134"/>
          </rPr>
          <t xml:space="preserve">
11/18 上UPC条码贴纸15700pcs
产品贴纸15700pcs
包装贴纸15700pcs
说明书贴纸15700pcs
保证书15700pcs</t>
        </r>
      </text>
    </comment>
    <comment ref="AB697" authorId="0">
      <text>
        <r>
          <rPr>
            <b/>
            <sz val="9"/>
            <rFont val="宋体"/>
            <charset val="134"/>
          </rPr>
          <t>Administrator:</t>
        </r>
        <r>
          <rPr>
            <sz val="9"/>
            <rFont val="宋体"/>
            <charset val="134"/>
          </rPr>
          <t xml:space="preserve">
0000646 12/6 600pcs华3B13</t>
        </r>
      </text>
    </comment>
    <comment ref="AD697" authorId="0">
      <text>
        <r>
          <rPr>
            <b/>
            <sz val="9"/>
            <rFont val="宋体"/>
            <charset val="134"/>
          </rPr>
          <t>Administrator:</t>
        </r>
        <r>
          <rPr>
            <sz val="9"/>
            <rFont val="宋体"/>
            <charset val="134"/>
          </rPr>
          <t xml:space="preserve">
11/18 上空白贴纸1200pcs
11/19 上客供价格贴纸630pcs</t>
        </r>
      </text>
    </comment>
    <comment ref="AB698" authorId="0">
      <text>
        <r>
          <rPr>
            <b/>
            <sz val="9"/>
            <rFont val="宋体"/>
            <charset val="134"/>
          </rPr>
          <t>Administrator:</t>
        </r>
        <r>
          <rPr>
            <sz val="9"/>
            <rFont val="宋体"/>
            <charset val="134"/>
          </rPr>
          <t xml:space="preserve">
0000586 12/16 728pcs华3B9</t>
        </r>
      </text>
    </comment>
    <comment ref="AD698" authorId="0">
      <text>
        <r>
          <rPr>
            <b/>
            <sz val="9"/>
            <rFont val="宋体"/>
            <charset val="134"/>
          </rPr>
          <t>Administrator:</t>
        </r>
        <r>
          <rPr>
            <sz val="9"/>
            <rFont val="宋体"/>
            <charset val="134"/>
          </rPr>
          <t xml:space="preserve">
11/12 上进口商贴纸728pcs
蓝色LOGO贴纸784pcs
1 西班牙回收贴纸728pcs
12/17 蓝色贴纸56pcs
进口商贴纸56pcs</t>
        </r>
      </text>
    </comment>
    <comment ref="AB699" authorId="0">
      <text>
        <r>
          <rPr>
            <b/>
            <sz val="9"/>
            <rFont val="宋体"/>
            <charset val="134"/>
          </rPr>
          <t>Administrator:</t>
        </r>
        <r>
          <rPr>
            <sz val="9"/>
            <rFont val="宋体"/>
            <charset val="134"/>
          </rPr>
          <t xml:space="preserve">
0002199 12/4 6500pcs华3B8</t>
        </r>
      </text>
    </comment>
    <comment ref="AD699" authorId="0">
      <text>
        <r>
          <rPr>
            <b/>
            <sz val="9"/>
            <rFont val="宋体"/>
            <charset val="134"/>
          </rPr>
          <t>Administrator:</t>
        </r>
        <r>
          <rPr>
            <sz val="9"/>
            <rFont val="宋体"/>
            <charset val="134"/>
          </rPr>
          <t xml:space="preserve">
11/26 上UPC贴纸6500pcs</t>
        </r>
      </text>
    </comment>
    <comment ref="AB700" authorId="0">
      <text>
        <r>
          <rPr>
            <b/>
            <sz val="9"/>
            <rFont val="宋体"/>
            <charset val="134"/>
          </rPr>
          <t>Administrator:</t>
        </r>
        <r>
          <rPr>
            <sz val="9"/>
            <rFont val="宋体"/>
            <charset val="134"/>
          </rPr>
          <t xml:space="preserve">
000646 12/6  1547pcs华3B13</t>
        </r>
      </text>
    </comment>
    <comment ref="AD700" authorId="0">
      <text>
        <r>
          <rPr>
            <b/>
            <sz val="9"/>
            <rFont val="宋体"/>
            <charset val="134"/>
          </rPr>
          <t>Administrator:</t>
        </r>
        <r>
          <rPr>
            <sz val="9"/>
            <rFont val="宋体"/>
            <charset val="134"/>
          </rPr>
          <t xml:space="preserve">
11/19 说明书警语贴纸1547pcs
收缩膜纽扣警告语贴纸1547pcs
 客供白色防盗贴纸1547pcs
11/21 上KM单外箱贴纸119pCS</t>
        </r>
      </text>
    </comment>
    <comment ref="AB701" authorId="0">
      <text>
        <r>
          <rPr>
            <b/>
            <sz val="9"/>
            <rFont val="宋体"/>
            <charset val="134"/>
          </rPr>
          <t>Administrator:</t>
        </r>
        <r>
          <rPr>
            <sz val="9"/>
            <rFont val="宋体"/>
            <charset val="134"/>
          </rPr>
          <t xml:space="preserve">
0000641 12/6 1404pcs华2B8</t>
        </r>
      </text>
    </comment>
    <comment ref="AD701" authorId="0">
      <text>
        <r>
          <rPr>
            <b/>
            <sz val="9"/>
            <rFont val="宋体"/>
            <charset val="134"/>
          </rPr>
          <t>Administrator:</t>
        </r>
        <r>
          <rPr>
            <sz val="9"/>
            <rFont val="宋体"/>
            <charset val="134"/>
          </rPr>
          <t xml:space="preserve">
11/22 上包装+说明书电池警告语贴纸8008pcs
以上四个同PO共用</t>
        </r>
      </text>
    </comment>
    <comment ref="AB702" authorId="0">
      <text>
        <r>
          <rPr>
            <b/>
            <sz val="9"/>
            <rFont val="宋体"/>
            <charset val="134"/>
          </rPr>
          <t>Administrator:</t>
        </r>
        <r>
          <rPr>
            <sz val="9"/>
            <rFont val="宋体"/>
            <charset val="134"/>
          </rPr>
          <t xml:space="preserve">
0000641 12/6 1196pcs华3B8</t>
        </r>
      </text>
    </comment>
    <comment ref="AB703" authorId="0">
      <text>
        <r>
          <rPr>
            <b/>
            <sz val="9"/>
            <rFont val="宋体"/>
            <charset val="134"/>
          </rPr>
          <t>Administrator:</t>
        </r>
        <r>
          <rPr>
            <sz val="9"/>
            <rFont val="宋体"/>
            <charset val="134"/>
          </rPr>
          <t xml:space="preserve">
0000645 12/7 988pcs华3B6</t>
        </r>
      </text>
    </comment>
    <comment ref="AB704" authorId="0">
      <text>
        <r>
          <rPr>
            <b/>
            <sz val="9"/>
            <rFont val="宋体"/>
            <charset val="134"/>
          </rPr>
          <t>Administrator:</t>
        </r>
        <r>
          <rPr>
            <sz val="9"/>
            <rFont val="宋体"/>
            <charset val="134"/>
          </rPr>
          <t xml:space="preserve">
0000641 12/6 416pcs华3A27</t>
        </r>
      </text>
    </comment>
    <comment ref="AB705" authorId="0">
      <text>
        <r>
          <rPr>
            <b/>
            <sz val="9"/>
            <rFont val="宋体"/>
            <charset val="134"/>
          </rPr>
          <t>Administrator:</t>
        </r>
        <r>
          <rPr>
            <sz val="9"/>
            <rFont val="宋体"/>
            <charset val="134"/>
          </rPr>
          <t xml:space="preserve">
0000612 12/11 1209pcs华3A24</t>
        </r>
      </text>
    </comment>
    <comment ref="AD705" authorId="0">
      <text>
        <r>
          <rPr>
            <b/>
            <sz val="9"/>
            <rFont val="宋体"/>
            <charset val="134"/>
          </rPr>
          <t>Administrator:</t>
        </r>
        <r>
          <rPr>
            <sz val="9"/>
            <rFont val="宋体"/>
            <charset val="134"/>
          </rPr>
          <t xml:space="preserve">
12/3 上年龄贴纸1209pcs</t>
        </r>
      </text>
    </comment>
    <comment ref="AB706" authorId="0">
      <text>
        <r>
          <rPr>
            <b/>
            <sz val="9"/>
            <rFont val="宋体"/>
            <charset val="134"/>
          </rPr>
          <t>Administrator:</t>
        </r>
        <r>
          <rPr>
            <sz val="9"/>
            <rFont val="宋体"/>
            <charset val="134"/>
          </rPr>
          <t xml:space="preserve">
0000602 12/14 1470pcs华3B16</t>
        </r>
      </text>
    </comment>
    <comment ref="AD706" authorId="0">
      <text>
        <r>
          <rPr>
            <b/>
            <sz val="9"/>
            <rFont val="宋体"/>
            <charset val="134"/>
          </rPr>
          <t>Administrator:</t>
        </r>
        <r>
          <rPr>
            <sz val="9"/>
            <rFont val="宋体"/>
            <charset val="134"/>
          </rPr>
          <t xml:space="preserve">
11/11 上说明书1470pcs
进口商贴纸1470pcs
12/12 上进口商贴纸360pcs
48916/48906/48795/三个PO共用</t>
        </r>
      </text>
    </comment>
    <comment ref="AB707" authorId="0">
      <text>
        <r>
          <rPr>
            <b/>
            <sz val="9"/>
            <rFont val="宋体"/>
            <charset val="134"/>
          </rPr>
          <t>Administrator:</t>
        </r>
        <r>
          <rPr>
            <sz val="9"/>
            <rFont val="宋体"/>
            <charset val="134"/>
          </rPr>
          <t xml:space="preserve">
0000602 12/14 4830pcs华3B16</t>
        </r>
      </text>
    </comment>
    <comment ref="AD707" authorId="0">
      <text>
        <r>
          <rPr>
            <b/>
            <sz val="9"/>
            <rFont val="宋体"/>
            <charset val="134"/>
          </rPr>
          <t>Administrator:</t>
        </r>
        <r>
          <rPr>
            <sz val="9"/>
            <rFont val="宋体"/>
            <charset val="134"/>
          </rPr>
          <t xml:space="preserve">
11/11 上说明书3030pcs
进口商贴纸6030pcs
两个同PO共用</t>
        </r>
      </text>
    </comment>
    <comment ref="AB708" authorId="0">
      <text>
        <r>
          <rPr>
            <b/>
            <sz val="9"/>
            <rFont val="宋体"/>
            <charset val="134"/>
          </rPr>
          <t>Administrator:</t>
        </r>
        <r>
          <rPr>
            <sz val="9"/>
            <rFont val="宋体"/>
            <charset val="134"/>
          </rPr>
          <t xml:space="preserve">
0000622 12/13 1200pcs华3A23</t>
        </r>
      </text>
    </comment>
    <comment ref="AB709" authorId="0">
      <text>
        <r>
          <rPr>
            <b/>
            <sz val="9"/>
            <rFont val="宋体"/>
            <charset val="134"/>
          </rPr>
          <t>Administrator:</t>
        </r>
        <r>
          <rPr>
            <sz val="9"/>
            <rFont val="宋体"/>
            <charset val="134"/>
          </rPr>
          <t xml:space="preserve">
0000602 12/14 210pcs华3B16</t>
        </r>
      </text>
    </comment>
    <comment ref="AD709" authorId="0">
      <text>
        <r>
          <rPr>
            <b/>
            <sz val="9"/>
            <rFont val="宋体"/>
            <charset val="134"/>
          </rPr>
          <t>Administrator:</t>
        </r>
        <r>
          <rPr>
            <sz val="9"/>
            <rFont val="宋体"/>
            <charset val="134"/>
          </rPr>
          <t xml:space="preserve">
11/11 上进口商贴纸2010pcs
说明书2010pcs
两个同PO共用</t>
        </r>
      </text>
    </comment>
    <comment ref="AB710" authorId="0">
      <text>
        <r>
          <rPr>
            <b/>
            <sz val="9"/>
            <rFont val="宋体"/>
            <charset val="134"/>
          </rPr>
          <t>Administrator:</t>
        </r>
        <r>
          <rPr>
            <sz val="9"/>
            <rFont val="宋体"/>
            <charset val="134"/>
          </rPr>
          <t xml:space="preserve">
0000622 12/13 1800pcs华3A23</t>
        </r>
      </text>
    </comment>
    <comment ref="AB711" authorId="0">
      <text>
        <r>
          <rPr>
            <b/>
            <sz val="9"/>
            <rFont val="宋体"/>
            <charset val="134"/>
          </rPr>
          <t>Administrator:</t>
        </r>
        <r>
          <rPr>
            <sz val="9"/>
            <rFont val="宋体"/>
            <charset val="134"/>
          </rPr>
          <t xml:space="preserve">
0000611 12/13 2500pcs华3A28</t>
        </r>
      </text>
    </comment>
    <comment ref="AB712" authorId="0">
      <text>
        <r>
          <rPr>
            <b/>
            <sz val="9"/>
            <rFont val="宋体"/>
            <charset val="134"/>
          </rPr>
          <t>Administrator:</t>
        </r>
        <r>
          <rPr>
            <sz val="9"/>
            <rFont val="宋体"/>
            <charset val="134"/>
          </rPr>
          <t xml:space="preserve">
0000630 12/10 1008pcs华3B17</t>
        </r>
      </text>
    </comment>
    <comment ref="AD712" authorId="0">
      <text>
        <r>
          <rPr>
            <b/>
            <sz val="9"/>
            <rFont val="宋体"/>
            <charset val="134"/>
          </rPr>
          <t>Administrator:</t>
        </r>
        <r>
          <rPr>
            <sz val="9"/>
            <rFont val="宋体"/>
            <charset val="134"/>
          </rPr>
          <t xml:space="preserve">
11/18 上空白贴纸2016pcs
11/21 上客供价格贴纸1059pcs</t>
        </r>
      </text>
    </comment>
    <comment ref="AB713" authorId="0">
      <text>
        <r>
          <rPr>
            <b/>
            <sz val="9"/>
            <rFont val="宋体"/>
            <charset val="134"/>
          </rPr>
          <t>Administrator:</t>
        </r>
        <r>
          <rPr>
            <sz val="9"/>
            <rFont val="宋体"/>
            <charset val="134"/>
          </rPr>
          <t xml:space="preserve">
0000630 12/10 247pcs华3B13</t>
        </r>
      </text>
    </comment>
    <comment ref="AD713" authorId="0">
      <text>
        <r>
          <rPr>
            <b/>
            <sz val="9"/>
            <rFont val="宋体"/>
            <charset val="134"/>
          </rPr>
          <t>Administrator:</t>
        </r>
        <r>
          <rPr>
            <sz val="9"/>
            <rFont val="宋体"/>
            <charset val="134"/>
          </rPr>
          <t xml:space="preserve">
11/19 上白色防盗贴纸247pcs
12/2 上KM单外箱贴纸19pcs
12/3 上说明书纽扣电池警告语贴纸247pcs
收藏指南纽扣电池警告语贴纸247pcs
</t>
        </r>
      </text>
    </comment>
    <comment ref="AB714" authorId="0">
      <text>
        <r>
          <rPr>
            <b/>
            <sz val="9"/>
            <rFont val="宋体"/>
            <charset val="134"/>
          </rPr>
          <t>Administrator:</t>
        </r>
        <r>
          <rPr>
            <sz val="9"/>
            <rFont val="宋体"/>
            <charset val="134"/>
          </rPr>
          <t xml:space="preserve">
0000630 12/10 1261pcs华3B12</t>
        </r>
      </text>
    </comment>
    <comment ref="AD714" authorId="0">
      <text>
        <r>
          <rPr>
            <b/>
            <sz val="9"/>
            <rFont val="宋体"/>
            <charset val="134"/>
          </rPr>
          <t>Administrator:</t>
        </r>
        <r>
          <rPr>
            <sz val="9"/>
            <rFont val="宋体"/>
            <charset val="134"/>
          </rPr>
          <t xml:space="preserve">
11/19 上白色防盗贴纸1261pcs
12/2 上KM单外箱贴纸97pcs
12/3 上说明书纽扣电池警告语贴纸1261pcs
收藏指南纽扣电池警告语贴纸1261pcs</t>
        </r>
      </text>
    </comment>
    <comment ref="AB715" authorId="0">
      <text>
        <r>
          <rPr>
            <b/>
            <sz val="9"/>
            <rFont val="宋体"/>
            <charset val="134"/>
          </rPr>
          <t>Administrator:</t>
        </r>
        <r>
          <rPr>
            <sz val="9"/>
            <rFont val="宋体"/>
            <charset val="134"/>
          </rPr>
          <t xml:space="preserve">
0000637 12/11 210pcs华3B9</t>
        </r>
      </text>
    </comment>
    <comment ref="AD715" authorId="0">
      <text>
        <r>
          <rPr>
            <b/>
            <sz val="9"/>
            <rFont val="宋体"/>
            <charset val="134"/>
          </rPr>
          <t>Administrator:</t>
        </r>
        <r>
          <rPr>
            <sz val="9"/>
            <rFont val="宋体"/>
            <charset val="134"/>
          </rPr>
          <t xml:space="preserve">
11/27 上警语地址贴纸210pcs
收藏指南贴纸210pcs
警告语地址贴纸210pcs</t>
        </r>
      </text>
    </comment>
    <comment ref="AB716" authorId="0">
      <text>
        <r>
          <rPr>
            <b/>
            <sz val="9"/>
            <rFont val="宋体"/>
            <charset val="134"/>
          </rPr>
          <t>Administrator:</t>
        </r>
        <r>
          <rPr>
            <sz val="9"/>
            <rFont val="宋体"/>
            <charset val="134"/>
          </rPr>
          <t xml:space="preserve">
0000602 12/14 1495pcs华3A22</t>
        </r>
      </text>
    </comment>
    <comment ref="AD716" authorId="0">
      <text>
        <r>
          <rPr>
            <b/>
            <sz val="9"/>
            <rFont val="宋体"/>
            <charset val="134"/>
          </rPr>
          <t>Administrator:</t>
        </r>
        <r>
          <rPr>
            <sz val="9"/>
            <rFont val="宋体"/>
            <charset val="134"/>
          </rPr>
          <t xml:space="preserve">
11/22 上进口商贴纸1495pcs
12/3 上UPC贴纸1495pcs</t>
        </r>
      </text>
    </comment>
    <comment ref="AB717" authorId="0">
      <text>
        <r>
          <rPr>
            <b/>
            <sz val="9"/>
            <rFont val="宋体"/>
            <charset val="134"/>
          </rPr>
          <t>Administrator:</t>
        </r>
        <r>
          <rPr>
            <sz val="9"/>
            <rFont val="宋体"/>
            <charset val="134"/>
          </rPr>
          <t xml:space="preserve">
0000586 12/16 6000pcs华3A30</t>
        </r>
      </text>
    </comment>
    <comment ref="AD717" authorId="0">
      <text>
        <r>
          <rPr>
            <b/>
            <sz val="9"/>
            <rFont val="宋体"/>
            <charset val="134"/>
          </rPr>
          <t>Administrator:</t>
        </r>
        <r>
          <rPr>
            <sz val="9"/>
            <rFont val="宋体"/>
            <charset val="134"/>
          </rPr>
          <t xml:space="preserve">
11/18 上空白贴纸12000pcs
11/21 上客供价格贴纸6300pcs</t>
        </r>
      </text>
    </comment>
    <comment ref="AB718" authorId="0">
      <text>
        <r>
          <rPr>
            <b/>
            <sz val="9"/>
            <rFont val="宋体"/>
            <charset val="134"/>
          </rPr>
          <t>Administrator:</t>
        </r>
        <r>
          <rPr>
            <sz val="9"/>
            <rFont val="宋体"/>
            <charset val="134"/>
          </rPr>
          <t xml:space="preserve">
0000623 12/13 24pcs华3A16</t>
        </r>
      </text>
    </comment>
    <comment ref="AD718" authorId="0">
      <text>
        <r>
          <rPr>
            <b/>
            <sz val="9"/>
            <rFont val="宋体"/>
            <charset val="134"/>
          </rPr>
          <t>Administrator:</t>
        </r>
        <r>
          <rPr>
            <sz val="9"/>
            <rFont val="宋体"/>
            <charset val="134"/>
          </rPr>
          <t xml:space="preserve">
12/6 上客供亚马逊外箱贴纸1pcs</t>
        </r>
      </text>
    </comment>
    <comment ref="AB719" authorId="0">
      <text>
        <r>
          <rPr>
            <b/>
            <sz val="9"/>
            <rFont val="宋体"/>
            <charset val="134"/>
          </rPr>
          <t>Administrator:</t>
        </r>
        <r>
          <rPr>
            <sz val="9"/>
            <rFont val="宋体"/>
            <charset val="134"/>
          </rPr>
          <t xml:space="preserve">
0000623 12/13 384pcs华3A16
</t>
        </r>
      </text>
    </comment>
    <comment ref="AD719" authorId="0">
      <text>
        <r>
          <rPr>
            <b/>
            <sz val="9"/>
            <rFont val="宋体"/>
            <charset val="134"/>
          </rPr>
          <t>Administrator:</t>
        </r>
        <r>
          <rPr>
            <sz val="9"/>
            <rFont val="宋体"/>
            <charset val="134"/>
          </rPr>
          <t xml:space="preserve">
12/6 上客供亚马逊外箱贴纸16pcs
</t>
        </r>
      </text>
    </comment>
    <comment ref="AB720" authorId="0">
      <text>
        <r>
          <rPr>
            <b/>
            <sz val="9"/>
            <rFont val="宋体"/>
            <charset val="134"/>
          </rPr>
          <t>Administrator:</t>
        </r>
        <r>
          <rPr>
            <sz val="9"/>
            <rFont val="宋体"/>
            <charset val="134"/>
          </rPr>
          <t xml:space="preserve">
0000602 12/14 996pcs华3B5</t>
        </r>
      </text>
    </comment>
    <comment ref="AD720" authorId="0">
      <text>
        <r>
          <rPr>
            <b/>
            <sz val="9"/>
            <rFont val="宋体"/>
            <charset val="134"/>
          </rPr>
          <t>Administrator:</t>
        </r>
        <r>
          <rPr>
            <sz val="9"/>
            <rFont val="宋体"/>
            <charset val="134"/>
          </rPr>
          <t xml:space="preserve">
12/6 上客供RFID贴纸3150pcs
三个同PO共用</t>
        </r>
      </text>
    </comment>
    <comment ref="AB721" authorId="0">
      <text>
        <r>
          <rPr>
            <b/>
            <sz val="9"/>
            <rFont val="宋体"/>
            <charset val="134"/>
          </rPr>
          <t>Administrator:</t>
        </r>
        <r>
          <rPr>
            <sz val="9"/>
            <rFont val="宋体"/>
            <charset val="134"/>
          </rPr>
          <t xml:space="preserve">
0000602 12/14 1197pcs
华3B5</t>
        </r>
      </text>
    </comment>
    <comment ref="AB722" authorId="0">
      <text>
        <r>
          <rPr>
            <b/>
            <sz val="9"/>
            <rFont val="宋体"/>
            <charset val="134"/>
          </rPr>
          <t>Administrator:</t>
        </r>
        <r>
          <rPr>
            <sz val="9"/>
            <rFont val="宋体"/>
            <charset val="134"/>
          </rPr>
          <t xml:space="preserve">
0000602 12/14 987pcs
华3B5</t>
        </r>
      </text>
    </comment>
    <comment ref="AB724" authorId="0">
      <text>
        <r>
          <rPr>
            <b/>
            <sz val="9"/>
            <rFont val="宋体"/>
            <charset val="134"/>
          </rPr>
          <t>Administrator:</t>
        </r>
        <r>
          <rPr>
            <sz val="9"/>
            <rFont val="宋体"/>
            <charset val="134"/>
          </rPr>
          <t xml:space="preserve">
0000586 12/16 2000pcs华3B10</t>
        </r>
      </text>
    </comment>
    <comment ref="AB725" authorId="0">
      <text>
        <r>
          <rPr>
            <b/>
            <sz val="9"/>
            <rFont val="宋体"/>
            <charset val="134"/>
          </rPr>
          <t>Administrator:</t>
        </r>
        <r>
          <rPr>
            <sz val="9"/>
            <rFont val="宋体"/>
            <charset val="134"/>
          </rPr>
          <t xml:space="preserve">
0000586 12/16 2000pcs
华3B10</t>
        </r>
      </text>
    </comment>
    <comment ref="AB726" authorId="0">
      <text>
        <r>
          <rPr>
            <b/>
            <sz val="9"/>
            <rFont val="宋体"/>
            <charset val="134"/>
          </rPr>
          <t>Administrator:</t>
        </r>
        <r>
          <rPr>
            <sz val="9"/>
            <rFont val="宋体"/>
            <charset val="134"/>
          </rPr>
          <t xml:space="preserve">
0000528 12/23 3675pcs华3A24</t>
        </r>
      </text>
    </comment>
    <comment ref="AD726" authorId="0">
      <text>
        <r>
          <rPr>
            <b/>
            <sz val="9"/>
            <rFont val="宋体"/>
            <charset val="134"/>
          </rPr>
          <t>Administrator:</t>
        </r>
        <r>
          <rPr>
            <sz val="9"/>
            <rFont val="宋体"/>
            <charset val="134"/>
          </rPr>
          <t xml:space="preserve">
12/6 上客供亚马逊外箱贴纸177pcs
</t>
        </r>
      </text>
    </comment>
    <comment ref="AB727" authorId="0">
      <text>
        <r>
          <rPr>
            <b/>
            <sz val="9"/>
            <rFont val="宋体"/>
            <charset val="134"/>
          </rPr>
          <t>Administrator:</t>
        </r>
        <r>
          <rPr>
            <sz val="9"/>
            <rFont val="宋体"/>
            <charset val="134"/>
          </rPr>
          <t xml:space="preserve">
0000525 12/21 1008pcs</t>
        </r>
      </text>
    </comment>
    <comment ref="AD727" authorId="0">
      <text>
        <r>
          <rPr>
            <b/>
            <sz val="9"/>
            <rFont val="宋体"/>
            <charset val="134"/>
          </rPr>
          <t>Administrator:</t>
        </r>
        <r>
          <rPr>
            <sz val="9"/>
            <rFont val="宋体"/>
            <charset val="134"/>
          </rPr>
          <t xml:space="preserve">
上亚马逊外箱贴纸42pcs
12/10 上客供价格贴纸1008pcs</t>
        </r>
      </text>
    </comment>
    <comment ref="AB728" authorId="0">
      <text>
        <r>
          <rPr>
            <b/>
            <sz val="9"/>
            <rFont val="宋体"/>
            <charset val="134"/>
          </rPr>
          <t>Administrator:</t>
        </r>
        <r>
          <rPr>
            <sz val="9"/>
            <rFont val="宋体"/>
            <charset val="134"/>
          </rPr>
          <t xml:space="preserve">
0000525 12/21 216pcs
</t>
        </r>
      </text>
    </comment>
    <comment ref="AD728" authorId="0">
      <text>
        <r>
          <rPr>
            <b/>
            <sz val="9"/>
            <rFont val="宋体"/>
            <charset val="134"/>
          </rPr>
          <t>Administrator:</t>
        </r>
        <r>
          <rPr>
            <sz val="9"/>
            <rFont val="宋体"/>
            <charset val="134"/>
          </rPr>
          <t xml:space="preserve">
上亚马逊外箱贴纸9pcs
12/10 上客供价格贴纸216pcs
客供COM贴纸216pcs
</t>
        </r>
      </text>
    </comment>
    <comment ref="AB729" authorId="0">
      <text>
        <r>
          <rPr>
            <b/>
            <sz val="9"/>
            <rFont val="宋体"/>
            <charset val="134"/>
          </rPr>
          <t>Administrator:</t>
        </r>
        <r>
          <rPr>
            <sz val="9"/>
            <rFont val="宋体"/>
            <charset val="134"/>
          </rPr>
          <t xml:space="preserve">
0000575 12/18 250pcs华3B4</t>
        </r>
      </text>
    </comment>
    <comment ref="AB730" authorId="0">
      <text>
        <r>
          <rPr>
            <b/>
            <sz val="9"/>
            <rFont val="宋体"/>
            <charset val="134"/>
          </rPr>
          <t>Administrator:</t>
        </r>
        <r>
          <rPr>
            <sz val="9"/>
            <rFont val="宋体"/>
            <charset val="134"/>
          </rPr>
          <t xml:space="preserve">
0000575 12/18 240pcs
华3B9</t>
        </r>
      </text>
    </comment>
    <comment ref="AB731" authorId="0">
      <text>
        <r>
          <rPr>
            <b/>
            <sz val="9"/>
            <rFont val="宋体"/>
            <charset val="134"/>
          </rPr>
          <t>Administrator:</t>
        </r>
        <r>
          <rPr>
            <sz val="9"/>
            <rFont val="宋体"/>
            <charset val="134"/>
          </rPr>
          <t xml:space="preserve">
0000525 12/21 400pcs</t>
        </r>
      </text>
    </comment>
    <comment ref="AB732" authorId="0">
      <text>
        <r>
          <rPr>
            <b/>
            <sz val="9"/>
            <rFont val="宋体"/>
            <charset val="134"/>
          </rPr>
          <t>Administrator:</t>
        </r>
        <r>
          <rPr>
            <sz val="9"/>
            <rFont val="宋体"/>
            <charset val="134"/>
          </rPr>
          <t xml:space="preserve">
此订单是L034转出来三个订单都已OK
11/20回6396pcs
12/6 回12/6pcs
0000528 12/23 6396pcs华一F3</t>
        </r>
      </text>
    </comment>
    <comment ref="AB733" authorId="0">
      <text>
        <r>
          <rPr>
            <b/>
            <sz val="9"/>
            <rFont val="宋体"/>
            <charset val="134"/>
          </rPr>
          <t>Administrator:</t>
        </r>
        <r>
          <rPr>
            <sz val="9"/>
            <rFont val="宋体"/>
            <charset val="134"/>
          </rPr>
          <t xml:space="preserve">
0000504 12/26 975pcs华3A11</t>
        </r>
      </text>
    </comment>
    <comment ref="AD733" authorId="0">
      <text>
        <r>
          <rPr>
            <b/>
            <sz val="9"/>
            <rFont val="宋体"/>
            <charset val="134"/>
          </rPr>
          <t>Administrator:</t>
        </r>
        <r>
          <rPr>
            <sz val="9"/>
            <rFont val="宋体"/>
            <charset val="134"/>
          </rPr>
          <t xml:space="preserve">
12/16 上UPC贴纸975pcs</t>
        </r>
      </text>
    </comment>
    <comment ref="AB734" authorId="0">
      <text>
        <r>
          <rPr>
            <b/>
            <sz val="9"/>
            <rFont val="宋体"/>
            <charset val="134"/>
          </rPr>
          <t>Administrator:</t>
        </r>
        <r>
          <rPr>
            <sz val="9"/>
            <rFont val="宋体"/>
            <charset val="134"/>
          </rPr>
          <t xml:space="preserve">
0000497 12/27 2496pcs华3A16</t>
        </r>
      </text>
    </comment>
    <comment ref="AD734" authorId="0">
      <text>
        <r>
          <rPr>
            <b/>
            <sz val="9"/>
            <rFont val="宋体"/>
            <charset val="134"/>
          </rPr>
          <t>Administrator:</t>
        </r>
        <r>
          <rPr>
            <sz val="9"/>
            <rFont val="宋体"/>
            <charset val="134"/>
          </rPr>
          <t xml:space="preserve">
12/3 上客户EAN条码贴纸2496pcs
2国语言电池说明书2496pcs
</t>
        </r>
      </text>
    </comment>
    <comment ref="AB735" authorId="0">
      <text>
        <r>
          <rPr>
            <b/>
            <sz val="9"/>
            <rFont val="宋体"/>
            <charset val="134"/>
          </rPr>
          <t>Administrator:</t>
        </r>
        <r>
          <rPr>
            <sz val="9"/>
            <rFont val="宋体"/>
            <charset val="134"/>
          </rPr>
          <t xml:space="preserve">
0000497 12/27 3600pcs华3A24</t>
        </r>
      </text>
    </comment>
    <comment ref="AD735" authorId="0">
      <text>
        <r>
          <rPr>
            <b/>
            <sz val="9"/>
            <rFont val="宋体"/>
            <charset val="134"/>
          </rPr>
          <t>Administrator:</t>
        </r>
        <r>
          <rPr>
            <sz val="9"/>
            <rFont val="宋体"/>
            <charset val="134"/>
          </rPr>
          <t xml:space="preserve">
12/17 上进口商贴纸3600pcs</t>
        </r>
      </text>
    </comment>
    <comment ref="AB736" authorId="0">
      <text>
        <r>
          <rPr>
            <b/>
            <sz val="9"/>
            <rFont val="宋体"/>
            <charset val="134"/>
          </rPr>
          <t>Administrator:</t>
        </r>
        <r>
          <rPr>
            <sz val="9"/>
            <rFont val="宋体"/>
            <charset val="134"/>
          </rPr>
          <t xml:space="preserve">
0000504 12/26 1924pcs华3A11
0000494 12/28 26pcs华3A11</t>
        </r>
      </text>
    </comment>
    <comment ref="AD736" authorId="0">
      <text>
        <r>
          <rPr>
            <b/>
            <sz val="9"/>
            <rFont val="宋体"/>
            <charset val="134"/>
          </rPr>
          <t>Administrator:</t>
        </r>
        <r>
          <rPr>
            <sz val="9"/>
            <rFont val="宋体"/>
            <charset val="134"/>
          </rPr>
          <t xml:space="preserve">
10/29 上UPC贴纸1950pcs</t>
        </r>
      </text>
    </comment>
    <comment ref="AB737" authorId="0">
      <text>
        <r>
          <rPr>
            <b/>
            <sz val="9"/>
            <rFont val="宋体"/>
            <charset val="134"/>
          </rPr>
          <t>Administrator:</t>
        </r>
        <r>
          <rPr>
            <sz val="9"/>
            <rFont val="宋体"/>
            <charset val="134"/>
          </rPr>
          <t xml:space="preserve">
0000504 12/26 1950pcs华3A11</t>
        </r>
      </text>
    </comment>
    <comment ref="AD737" authorId="0">
      <text>
        <r>
          <rPr>
            <b/>
            <sz val="9"/>
            <rFont val="宋体"/>
            <charset val="134"/>
          </rPr>
          <t>Administrator:</t>
        </r>
        <r>
          <rPr>
            <sz val="9"/>
            <rFont val="宋体"/>
            <charset val="134"/>
          </rPr>
          <t xml:space="preserve">
10/6 上UPC贴纸1950pcs</t>
        </r>
      </text>
    </comment>
    <comment ref="AB738" authorId="0">
      <text>
        <r>
          <rPr>
            <b/>
            <sz val="9"/>
            <rFont val="宋体"/>
            <charset val="134"/>
          </rPr>
          <t>Administrator:</t>
        </r>
        <r>
          <rPr>
            <sz val="9"/>
            <rFont val="宋体"/>
            <charset val="134"/>
          </rPr>
          <t xml:space="preserve">
0000504 12/26 5061pcs华3A22</t>
        </r>
      </text>
    </comment>
    <comment ref="AD738" authorId="0">
      <text>
        <r>
          <rPr>
            <b/>
            <sz val="9"/>
            <rFont val="宋体"/>
            <charset val="134"/>
          </rPr>
          <t>Administrator:</t>
        </r>
        <r>
          <rPr>
            <sz val="9"/>
            <rFont val="宋体"/>
            <charset val="134"/>
          </rPr>
          <t xml:space="preserve">
12/19 上客供外箱贴纸243pcs</t>
        </r>
      </text>
    </comment>
    <comment ref="AB739" authorId="0">
      <text>
        <r>
          <rPr>
            <b/>
            <sz val="9"/>
            <rFont val="宋体"/>
            <charset val="134"/>
          </rPr>
          <t>Administrator:</t>
        </r>
        <r>
          <rPr>
            <sz val="9"/>
            <rFont val="宋体"/>
            <charset val="134"/>
          </rPr>
          <t xml:space="preserve">
0000497 12/27 1313pcs华3B8</t>
        </r>
      </text>
    </comment>
    <comment ref="AD739" authorId="0">
      <text>
        <r>
          <rPr>
            <b/>
            <sz val="9"/>
            <rFont val="宋体"/>
            <charset val="134"/>
          </rPr>
          <t>Administrator:</t>
        </r>
        <r>
          <rPr>
            <sz val="9"/>
            <rFont val="宋体"/>
            <charset val="134"/>
          </rPr>
          <t xml:space="preserve">
12/12 上说明书纽扣电池警告语贴纸1313pcs
收缩膜纽扣电池警告语贴纸1313pcs
12/19 上白色防盗贴纸1313pcs
</t>
        </r>
      </text>
    </comment>
    <comment ref="AB740" authorId="0">
      <text>
        <r>
          <rPr>
            <b/>
            <sz val="9"/>
            <rFont val="宋体"/>
            <charset val="134"/>
          </rPr>
          <t>Administrator:</t>
        </r>
        <r>
          <rPr>
            <sz val="9"/>
            <rFont val="宋体"/>
            <charset val="134"/>
          </rPr>
          <t xml:space="preserve">
0000497 12/27 195pcs华3B8</t>
        </r>
      </text>
    </comment>
    <comment ref="AD740" authorId="0">
      <text>
        <r>
          <rPr>
            <b/>
            <sz val="9"/>
            <rFont val="宋体"/>
            <charset val="134"/>
          </rPr>
          <t>Administrator:</t>
        </r>
        <r>
          <rPr>
            <sz val="9"/>
            <rFont val="宋体"/>
            <charset val="134"/>
          </rPr>
          <t xml:space="preserve">
12/12 上说明书纽扣电池警告语贴纸195pcs
收缩膜纽扣电池警告语贴纸195pcs
12/19 上白色防盗贴纸195pcs</t>
        </r>
      </text>
    </comment>
    <comment ref="AB741" authorId="0">
      <text>
        <r>
          <rPr>
            <b/>
            <sz val="9"/>
            <rFont val="宋体"/>
            <charset val="134"/>
          </rPr>
          <t>Administrator:</t>
        </r>
        <r>
          <rPr>
            <sz val="9"/>
            <rFont val="宋体"/>
            <charset val="134"/>
          </rPr>
          <t xml:space="preserve">
0000494 12/28 2000pcs华3B13</t>
        </r>
      </text>
    </comment>
    <comment ref="AD741" authorId="0">
      <text>
        <r>
          <rPr>
            <b/>
            <sz val="9"/>
            <rFont val="宋体"/>
            <charset val="134"/>
          </rPr>
          <t>Administrator:</t>
        </r>
        <r>
          <rPr>
            <sz val="9"/>
            <rFont val="宋体"/>
            <charset val="134"/>
          </rPr>
          <t xml:space="preserve">
12/3 上法兰西回收贴纸2000pcs
12/11 上收藏指南无香味贴纸2000pcs
12/20 上收藏指南贴纸2000pcs
配件包贴纸2000pcs</t>
        </r>
      </text>
    </comment>
    <comment ref="AD742" authorId="0">
      <text>
        <r>
          <rPr>
            <b/>
            <sz val="9"/>
            <rFont val="宋体"/>
            <charset val="134"/>
          </rPr>
          <t>Administrator:</t>
        </r>
        <r>
          <rPr>
            <sz val="9"/>
            <rFont val="宋体"/>
            <charset val="134"/>
          </rPr>
          <t xml:space="preserve">
12/3 上收缩膜警语贴纸2436pcs
配件袋警语贴纸9744pcs
12/17 上配件包贴纸9744pcs
收藏指南贴纸2436pcs
因更新贴纸资料重订
12/27 上配件袋贴纸350pcs补订与51832PO一起</t>
        </r>
      </text>
    </comment>
    <comment ref="AB743" authorId="0">
      <text>
        <r>
          <rPr>
            <b/>
            <sz val="9"/>
            <rFont val="宋体"/>
            <charset val="134"/>
          </rPr>
          <t>Administrator:</t>
        </r>
        <r>
          <rPr>
            <sz val="9"/>
            <rFont val="宋体"/>
            <charset val="134"/>
          </rPr>
          <t xml:space="preserve">
0000494 12/28 1932pcs华3B14</t>
        </r>
      </text>
    </comment>
    <comment ref="AD743" authorId="0">
      <text>
        <r>
          <rPr>
            <b/>
            <sz val="9"/>
            <rFont val="宋体"/>
            <charset val="134"/>
          </rPr>
          <t>Administrator:</t>
        </r>
        <r>
          <rPr>
            <sz val="9"/>
            <rFont val="宋体"/>
            <charset val="134"/>
          </rPr>
          <t xml:space="preserve">
12/12 上收缩膜警语贴纸1932pcs
上配件袋警语贴纸1932pcs
12/17 上配件包贴纸7728pcs
收藏指南贴纸1932pcs
因更新贴纸资料重订</t>
        </r>
      </text>
    </comment>
    <comment ref="AB744" authorId="0">
      <text>
        <r>
          <rPr>
            <b/>
            <sz val="9"/>
            <rFont val="宋体"/>
            <charset val="134"/>
          </rPr>
          <t>Administrator:</t>
        </r>
        <r>
          <rPr>
            <sz val="9"/>
            <rFont val="宋体"/>
            <charset val="134"/>
          </rPr>
          <t xml:space="preserve">
0000617 12/12 510pcs送回半成品 同一张单开 
莫4B10</t>
        </r>
      </text>
    </comment>
    <comment ref="AD744" authorId="0">
      <text>
        <r>
          <rPr>
            <b/>
            <sz val="9"/>
            <rFont val="宋体"/>
            <charset val="134"/>
          </rPr>
          <t>Administrator:</t>
        </r>
        <r>
          <rPr>
            <sz val="9"/>
            <rFont val="宋体"/>
            <charset val="134"/>
          </rPr>
          <t xml:space="preserve">
12/13 收到客供UCC贴纸125pcs
五个同PO共用</t>
        </r>
      </text>
    </comment>
    <comment ref="AB745" authorId="0">
      <text>
        <r>
          <rPr>
            <b/>
            <sz val="9"/>
            <rFont val="宋体"/>
            <charset val="134"/>
          </rPr>
          <t>Administrator:</t>
        </r>
        <r>
          <rPr>
            <sz val="9"/>
            <rFont val="宋体"/>
            <charset val="134"/>
          </rPr>
          <t xml:space="preserve">
0000617 12/12 420pcs
送回半成品同一张单开
莫4B10</t>
        </r>
      </text>
    </comment>
    <comment ref="AB746" authorId="0">
      <text>
        <r>
          <rPr>
            <b/>
            <sz val="9"/>
            <rFont val="宋体"/>
            <charset val="134"/>
          </rPr>
          <t>Administrator:</t>
        </r>
        <r>
          <rPr>
            <sz val="9"/>
            <rFont val="宋体"/>
            <charset val="134"/>
          </rPr>
          <t xml:space="preserve">
0000617 12/12 960pcs
送回半成品同一张单开</t>
        </r>
      </text>
    </comment>
    <comment ref="AB747" authorId="0">
      <text>
        <r>
          <rPr>
            <b/>
            <sz val="9"/>
            <rFont val="宋体"/>
            <charset val="134"/>
          </rPr>
          <t>Administrator:</t>
        </r>
        <r>
          <rPr>
            <sz val="9"/>
            <rFont val="宋体"/>
            <charset val="134"/>
          </rPr>
          <t xml:space="preserve">
0000617 12/12 1110pcs
送回半成品同一张单开</t>
        </r>
      </text>
    </comment>
    <comment ref="AB748" authorId="0">
      <text>
        <r>
          <rPr>
            <b/>
            <sz val="9"/>
            <rFont val="宋体"/>
            <charset val="134"/>
          </rPr>
          <t>Administrator:</t>
        </r>
        <r>
          <rPr>
            <sz val="9"/>
            <rFont val="宋体"/>
            <charset val="134"/>
          </rPr>
          <t xml:space="preserve">
0000617 12/12 750pcs
送回半成品 同一张单开</t>
        </r>
      </text>
    </comment>
    <comment ref="AD749" authorId="0">
      <text>
        <r>
          <rPr>
            <b/>
            <sz val="9"/>
            <rFont val="宋体"/>
            <charset val="134"/>
          </rPr>
          <t>Administrator:</t>
        </r>
        <r>
          <rPr>
            <sz val="9"/>
            <rFont val="宋体"/>
            <charset val="134"/>
          </rPr>
          <t xml:space="preserve">
12/13 上客供价格贴纸2520pcs
12/17 上UCC外箱贴纸200pcs</t>
        </r>
      </text>
    </comment>
    <comment ref="AB750" authorId="0">
      <text>
        <r>
          <rPr>
            <b/>
            <sz val="9"/>
            <rFont val="宋体"/>
            <charset val="134"/>
          </rPr>
          <t>Administrator:</t>
        </r>
        <r>
          <rPr>
            <sz val="9"/>
            <rFont val="宋体"/>
            <charset val="134"/>
          </rPr>
          <t xml:space="preserve">
0000463 1/2 5369pcs</t>
        </r>
      </text>
    </comment>
    <comment ref="AD750" authorId="0">
      <text>
        <r>
          <rPr>
            <b/>
            <sz val="9"/>
            <rFont val="宋体"/>
            <charset val="134"/>
          </rPr>
          <t>Administrator:</t>
        </r>
        <r>
          <rPr>
            <sz val="9"/>
            <rFont val="宋体"/>
            <charset val="134"/>
          </rPr>
          <t xml:space="preserve">
12/10 上价格贴纸5382pcs
12/20 上UCC外箱贴纸413pcs</t>
        </r>
      </text>
    </comment>
    <comment ref="AD751" authorId="0">
      <text>
        <r>
          <rPr>
            <b/>
            <sz val="9"/>
            <rFont val="宋体"/>
            <charset val="134"/>
          </rPr>
          <t>Administrator:</t>
        </r>
        <r>
          <rPr>
            <sz val="9"/>
            <rFont val="宋体"/>
            <charset val="134"/>
          </rPr>
          <t xml:space="preserve">
12/26 上进口商贴纸（含西班牙环保标）2010pcs
产品贴纸2010pcs</t>
        </r>
      </text>
    </comment>
    <comment ref="AD752" authorId="0">
      <text>
        <r>
          <rPr>
            <b/>
            <sz val="9"/>
            <rFont val="宋体"/>
            <charset val="134"/>
          </rPr>
          <t>Administrator:</t>
        </r>
        <r>
          <rPr>
            <sz val="9"/>
            <rFont val="宋体"/>
            <charset val="134"/>
          </rPr>
          <t xml:space="preserve">
12/23 上进口商贴纸250pcs
EAN条码贴纸250pcs</t>
        </r>
      </text>
    </comment>
    <comment ref="AB753" authorId="0">
      <text>
        <r>
          <rPr>
            <b/>
            <sz val="9"/>
            <rFont val="宋体"/>
            <charset val="134"/>
          </rPr>
          <t>Administrator:</t>
        </r>
        <r>
          <rPr>
            <sz val="9"/>
            <rFont val="宋体"/>
            <charset val="134"/>
          </rPr>
          <t xml:space="preserve">
0000463 1/2 4250pcs</t>
        </r>
      </text>
    </comment>
    <comment ref="AD753" authorId="0">
      <text>
        <r>
          <rPr>
            <b/>
            <sz val="9"/>
            <rFont val="宋体"/>
            <charset val="134"/>
          </rPr>
          <t>Administrator:</t>
        </r>
        <r>
          <rPr>
            <sz val="9"/>
            <rFont val="宋体"/>
            <charset val="134"/>
          </rPr>
          <t xml:space="preserve">
12/20 上红色LOGO贴纸3690pcs
保证书3690pcs
彩卡贴纸3690pcs
说明书贴纸3690pcs
产品电池盖贴纸3690pcs
UPC贴纸4250pcs</t>
        </r>
      </text>
    </comment>
    <comment ref="AB754" authorId="0">
      <text>
        <r>
          <rPr>
            <b/>
            <sz val="9"/>
            <rFont val="宋体"/>
            <charset val="134"/>
          </rPr>
          <t>Administrator:</t>
        </r>
        <r>
          <rPr>
            <sz val="9"/>
            <rFont val="宋体"/>
            <charset val="134"/>
          </rPr>
          <t xml:space="preserve">
0000504 12/26 1092pcs华3B12</t>
        </r>
      </text>
    </comment>
    <comment ref="AD757" authorId="0">
      <text>
        <r>
          <rPr>
            <b/>
            <sz val="9"/>
            <rFont val="宋体"/>
            <charset val="134"/>
          </rPr>
          <t>Administrator:</t>
        </r>
        <r>
          <rPr>
            <sz val="9"/>
            <rFont val="宋体"/>
            <charset val="134"/>
          </rPr>
          <t xml:space="preserve">
12/20 上环保标贴纸2000pcs
收藏指南无香味贴纸2000pcs
12/23 上收藏指南贴纸2000pcs
配件袋贴纸8000pcs
以上23号上的贴纸是更新资料生订</t>
        </r>
      </text>
    </comment>
    <comment ref="AD758" authorId="0">
      <text>
        <r>
          <rPr>
            <b/>
            <sz val="9"/>
            <rFont val="宋体"/>
            <charset val="134"/>
          </rPr>
          <t>Administrator:</t>
        </r>
        <r>
          <rPr>
            <sz val="9"/>
            <rFont val="宋体"/>
            <charset val="134"/>
          </rPr>
          <t xml:space="preserve">
12/3 上客供价格贴纸1059pcs
12/20 上空白贴纸2016pcs</t>
        </r>
      </text>
    </comment>
    <comment ref="AD759" authorId="0">
      <text>
        <r>
          <rPr>
            <b/>
            <sz val="9"/>
            <rFont val="宋体"/>
            <charset val="134"/>
          </rPr>
          <t>Administrator:</t>
        </r>
        <r>
          <rPr>
            <sz val="9"/>
            <rFont val="宋体"/>
            <charset val="134"/>
          </rPr>
          <t xml:space="preserve">
12/19 上客供价格贴纸5040pcs</t>
        </r>
      </text>
    </comment>
    <comment ref="AD761" authorId="0">
      <text>
        <r>
          <rPr>
            <b/>
            <sz val="9"/>
            <rFont val="宋体"/>
            <charset val="134"/>
          </rPr>
          <t>Administrator:</t>
        </r>
        <r>
          <rPr>
            <sz val="9"/>
            <rFont val="宋体"/>
            <charset val="134"/>
          </rPr>
          <t xml:space="preserve">
12/19 上客供价格贴纸1069pcs
</t>
        </r>
      </text>
    </comment>
    <comment ref="AD762" authorId="0">
      <text>
        <r>
          <rPr>
            <b/>
            <sz val="9"/>
            <rFont val="宋体"/>
            <charset val="134"/>
          </rPr>
          <t>Administrator:</t>
        </r>
        <r>
          <rPr>
            <sz val="9"/>
            <rFont val="宋体"/>
            <charset val="134"/>
          </rPr>
          <t xml:space="preserve">
12/26 上环保标贴纸含EAN 条码520pcs</t>
        </r>
      </text>
    </comment>
    <comment ref="AD764" authorId="0">
      <text>
        <r>
          <rPr>
            <b/>
            <sz val="9"/>
            <rFont val="宋体"/>
            <charset val="134"/>
          </rPr>
          <t>Administrator:</t>
        </r>
        <r>
          <rPr>
            <sz val="9"/>
            <rFont val="宋体"/>
            <charset val="134"/>
          </rPr>
          <t xml:space="preserve">
12/25 上UPC贴纸750pcs</t>
        </r>
      </text>
    </comment>
    <comment ref="AD765" authorId="0">
      <text>
        <r>
          <rPr>
            <b/>
            <sz val="9"/>
            <rFont val="宋体"/>
            <charset val="134"/>
          </rPr>
          <t>Administrator:</t>
        </r>
        <r>
          <rPr>
            <sz val="9"/>
            <rFont val="宋体"/>
            <charset val="134"/>
          </rPr>
          <t xml:space="preserve">
12/23 上进口商贴纸4600pcs
12/24 上UPC贴纸4600pcs</t>
        </r>
      </text>
    </comment>
    <comment ref="AD766" authorId="0">
      <text>
        <r>
          <rPr>
            <b/>
            <sz val="9"/>
            <rFont val="宋体"/>
            <charset val="134"/>
          </rPr>
          <t>Administrator:</t>
        </r>
        <r>
          <rPr>
            <sz val="9"/>
            <rFont val="宋体"/>
            <charset val="134"/>
          </rPr>
          <t xml:space="preserve">
12/30 上进口商贴纸2750pcs
产品贴纸2750pcs
进口商贴纸2750pcs</t>
        </r>
      </text>
    </comment>
    <comment ref="AD768" authorId="0">
      <text>
        <r>
          <rPr>
            <b/>
            <sz val="9"/>
            <rFont val="宋体"/>
            <charset val="134"/>
          </rPr>
          <t>Administrator:</t>
        </r>
        <r>
          <rPr>
            <sz val="9"/>
            <rFont val="宋体"/>
            <charset val="134"/>
          </rPr>
          <t xml:space="preserve">
12/3 上客供ASN贴纸30pcs
上HU贴纸30pcs
12/30 上进口商贴纸1500pcs
价标贴纸1500pcs
说明书贴纸1500pcs</t>
        </r>
      </text>
    </comment>
    <comment ref="AD770" authorId="0">
      <text>
        <r>
          <rPr>
            <b/>
            <sz val="9"/>
            <rFont val="宋体"/>
            <charset val="134"/>
          </rPr>
          <t>Administrator:</t>
        </r>
        <r>
          <rPr>
            <sz val="9"/>
            <rFont val="宋体"/>
            <charset val="134"/>
          </rPr>
          <t xml:space="preserve">
12/25 上进口商贴纸含环保标贴1200pcs</t>
        </r>
      </text>
    </comment>
    <comment ref="AD772" authorId="0">
      <text>
        <r>
          <rPr>
            <b/>
            <sz val="9"/>
            <rFont val="宋体"/>
            <charset val="134"/>
          </rPr>
          <t>Administrator:</t>
        </r>
        <r>
          <rPr>
            <sz val="9"/>
            <rFont val="宋体"/>
            <charset val="134"/>
          </rPr>
          <t xml:space="preserve">
1/3 上客供外箱条码贴纸169pcs</t>
        </r>
      </text>
    </comment>
    <comment ref="AD773" authorId="0">
      <text>
        <r>
          <rPr>
            <b/>
            <sz val="9"/>
            <rFont val="宋体"/>
            <charset val="134"/>
          </rPr>
          <t>Administrator:</t>
        </r>
        <r>
          <rPr>
            <sz val="9"/>
            <rFont val="宋体"/>
            <charset val="134"/>
          </rPr>
          <t xml:space="preserve">
12/12 上客户贴纸3900pcs
三个同PO共用
12/12 上2国语言说明书3900pcs三个同PO共用</t>
        </r>
      </text>
    </comment>
    <comment ref="AD776" authorId="0">
      <text>
        <r>
          <rPr>
            <b/>
            <sz val="9"/>
            <rFont val="宋体"/>
            <charset val="134"/>
          </rPr>
          <t>Administrator:</t>
        </r>
        <r>
          <rPr>
            <sz val="9"/>
            <rFont val="宋体"/>
            <charset val="134"/>
          </rPr>
          <t xml:space="preserve">
12/31 上说明书电池警告语贴纸200pcs
补订</t>
        </r>
      </text>
    </comment>
    <comment ref="AD777" authorId="0">
      <text>
        <r>
          <rPr>
            <b/>
            <sz val="9"/>
            <rFont val="宋体"/>
            <charset val="134"/>
          </rPr>
          <t>Administrator:</t>
        </r>
        <r>
          <rPr>
            <sz val="9"/>
            <rFont val="宋体"/>
            <charset val="134"/>
          </rPr>
          <t xml:space="preserve">
12/20 上空白贴纸1008pcs
1/3 上客供价格贴纸530pcs</t>
        </r>
      </text>
    </comment>
    <comment ref="AD778" authorId="0">
      <text>
        <r>
          <rPr>
            <b/>
            <sz val="9"/>
            <rFont val="宋体"/>
            <charset val="134"/>
          </rPr>
          <t>Administrator:</t>
        </r>
        <r>
          <rPr>
            <sz val="9"/>
            <rFont val="宋体"/>
            <charset val="134"/>
          </rPr>
          <t xml:space="preserve">
12/30 上UPC贴纸1950pcs</t>
        </r>
      </text>
    </comment>
  </commentList>
</comments>
</file>

<file path=xl/comments2.xml><?xml version="1.0" encoding="utf-8"?>
<comments xmlns="http://schemas.openxmlformats.org/spreadsheetml/2006/main">
  <authors>
    <author>Administrator</author>
  </authors>
  <commentList>
    <comment ref="AC6" authorId="0">
      <text>
        <r>
          <rPr>
            <b/>
            <sz val="9"/>
            <rFont val="宋体"/>
            <charset val="134"/>
          </rPr>
          <t>Administrator:</t>
        </r>
        <r>
          <rPr>
            <sz val="9"/>
            <rFont val="宋体"/>
            <charset val="134"/>
          </rPr>
          <t xml:space="preserve">
0002147 11/25 650pcs货一F4</t>
        </r>
      </text>
    </comment>
    <comment ref="AC7" authorId="0">
      <text>
        <r>
          <rPr>
            <b/>
            <sz val="9"/>
            <rFont val="宋体"/>
            <charset val="134"/>
          </rPr>
          <t>Administrator:</t>
        </r>
        <r>
          <rPr>
            <sz val="9"/>
            <rFont val="宋体"/>
            <charset val="134"/>
          </rPr>
          <t xml:space="preserve">
0001625 11/18 120套王军</t>
        </r>
      </text>
    </comment>
    <comment ref="AC8" authorId="0">
      <text>
        <r>
          <rPr>
            <b/>
            <sz val="9"/>
            <rFont val="宋体"/>
            <charset val="134"/>
          </rPr>
          <t>Administrator:</t>
        </r>
        <r>
          <rPr>
            <sz val="9"/>
            <rFont val="宋体"/>
            <charset val="134"/>
          </rPr>
          <t xml:space="preserve">
0001625 11/18 80套王军</t>
        </r>
      </text>
    </comment>
    <comment ref="AC9" authorId="0">
      <text>
        <r>
          <rPr>
            <b/>
            <sz val="9"/>
            <rFont val="宋体"/>
            <charset val="134"/>
          </rPr>
          <t>Administrator:</t>
        </r>
        <r>
          <rPr>
            <sz val="9"/>
            <rFont val="宋体"/>
            <charset val="134"/>
          </rPr>
          <t xml:space="preserve">
0002116 11/20 3000pcs送回球壳华3B9</t>
        </r>
      </text>
    </comment>
    <comment ref="AC10" authorId="0">
      <text>
        <r>
          <rPr>
            <b/>
            <sz val="9"/>
            <rFont val="宋体"/>
            <charset val="134"/>
          </rPr>
          <t>Administrator:</t>
        </r>
        <r>
          <rPr>
            <sz val="9"/>
            <rFont val="宋体"/>
            <charset val="134"/>
          </rPr>
          <t xml:space="preserve">
0000602 12/14 1495pcs华3A22</t>
        </r>
      </text>
    </comment>
    <comment ref="AE10" authorId="0">
      <text>
        <r>
          <rPr>
            <b/>
            <sz val="9"/>
            <rFont val="宋体"/>
            <charset val="134"/>
          </rPr>
          <t>Administrator:</t>
        </r>
        <r>
          <rPr>
            <sz val="9"/>
            <rFont val="宋体"/>
            <charset val="134"/>
          </rPr>
          <t xml:space="preserve">
11/22 上进口商贴纸1495pcs
12/3 上UPC贴纸1495pcs</t>
        </r>
      </text>
    </comment>
    <comment ref="AC11" authorId="0">
      <text>
        <r>
          <rPr>
            <b/>
            <sz val="9"/>
            <rFont val="宋体"/>
            <charset val="134"/>
          </rPr>
          <t>Administrator:</t>
        </r>
        <r>
          <rPr>
            <sz val="9"/>
            <rFont val="宋体"/>
            <charset val="134"/>
          </rPr>
          <t xml:space="preserve">
0000586 12/16 6000pcs华3A30</t>
        </r>
      </text>
    </comment>
    <comment ref="AE11" authorId="0">
      <text>
        <r>
          <rPr>
            <b/>
            <sz val="9"/>
            <rFont val="宋体"/>
            <charset val="134"/>
          </rPr>
          <t>Administrator:</t>
        </r>
        <r>
          <rPr>
            <sz val="9"/>
            <rFont val="宋体"/>
            <charset val="134"/>
          </rPr>
          <t xml:space="preserve">
11/18 上空白贴纸12000pcs
11/21 上客供价格贴纸6300pcs</t>
        </r>
      </text>
    </comment>
    <comment ref="AC12" authorId="0">
      <text>
        <r>
          <rPr>
            <b/>
            <sz val="9"/>
            <rFont val="宋体"/>
            <charset val="134"/>
          </rPr>
          <t>Administrator:</t>
        </r>
        <r>
          <rPr>
            <sz val="9"/>
            <rFont val="宋体"/>
            <charset val="134"/>
          </rPr>
          <t xml:space="preserve">
0000623 12/13 24pcs华3A16</t>
        </r>
      </text>
    </comment>
    <comment ref="AE12" authorId="0">
      <text>
        <r>
          <rPr>
            <b/>
            <sz val="9"/>
            <rFont val="宋体"/>
            <charset val="134"/>
          </rPr>
          <t>Administrator:</t>
        </r>
        <r>
          <rPr>
            <sz val="9"/>
            <rFont val="宋体"/>
            <charset val="134"/>
          </rPr>
          <t xml:space="preserve">
12/6 上客供亚马逊外箱贴纸1pcs</t>
        </r>
      </text>
    </comment>
    <comment ref="AC13" authorId="0">
      <text>
        <r>
          <rPr>
            <b/>
            <sz val="9"/>
            <rFont val="宋体"/>
            <charset val="134"/>
          </rPr>
          <t>Administrator:</t>
        </r>
        <r>
          <rPr>
            <sz val="9"/>
            <rFont val="宋体"/>
            <charset val="134"/>
          </rPr>
          <t xml:space="preserve">
0000623 12/13 384pcs华3A16
</t>
        </r>
      </text>
    </comment>
    <comment ref="AE13" authorId="0">
      <text>
        <r>
          <rPr>
            <b/>
            <sz val="9"/>
            <rFont val="宋体"/>
            <charset val="134"/>
          </rPr>
          <t>Administrator:</t>
        </r>
        <r>
          <rPr>
            <sz val="9"/>
            <rFont val="宋体"/>
            <charset val="134"/>
          </rPr>
          <t xml:space="preserve">
12/6 上客供亚马逊外箱贴纸16pcs
</t>
        </r>
      </text>
    </comment>
    <comment ref="AC14" authorId="0">
      <text>
        <r>
          <rPr>
            <b/>
            <sz val="9"/>
            <rFont val="宋体"/>
            <charset val="134"/>
          </rPr>
          <t>Administrator:</t>
        </r>
        <r>
          <rPr>
            <sz val="9"/>
            <rFont val="宋体"/>
            <charset val="134"/>
          </rPr>
          <t xml:space="preserve">
0000602 12/14 996pcs华3B5</t>
        </r>
      </text>
    </comment>
    <comment ref="AE14" authorId="0">
      <text>
        <r>
          <rPr>
            <b/>
            <sz val="9"/>
            <rFont val="宋体"/>
            <charset val="134"/>
          </rPr>
          <t>Administrator:</t>
        </r>
        <r>
          <rPr>
            <sz val="9"/>
            <rFont val="宋体"/>
            <charset val="134"/>
          </rPr>
          <t xml:space="preserve">
12/6 上客供RFID贴纸3150pcs
三个同PO共用</t>
        </r>
      </text>
    </comment>
    <comment ref="AC15" authorId="0">
      <text>
        <r>
          <rPr>
            <b/>
            <sz val="9"/>
            <rFont val="宋体"/>
            <charset val="134"/>
          </rPr>
          <t>Administrator:</t>
        </r>
        <r>
          <rPr>
            <sz val="9"/>
            <rFont val="宋体"/>
            <charset val="134"/>
          </rPr>
          <t xml:space="preserve">
0000602 12/14 1197pcs
华3B5</t>
        </r>
      </text>
    </comment>
    <comment ref="AC16" authorId="0">
      <text>
        <r>
          <rPr>
            <b/>
            <sz val="9"/>
            <rFont val="宋体"/>
            <charset val="134"/>
          </rPr>
          <t>Administrator:</t>
        </r>
        <r>
          <rPr>
            <sz val="9"/>
            <rFont val="宋体"/>
            <charset val="134"/>
          </rPr>
          <t xml:space="preserve">
0000602 12/14 987pcs
华3B5</t>
        </r>
      </text>
    </comment>
    <comment ref="AC17" authorId="0">
      <text>
        <r>
          <rPr>
            <b/>
            <sz val="9"/>
            <rFont val="宋体"/>
            <charset val="134"/>
          </rPr>
          <t>Administrator:</t>
        </r>
        <r>
          <rPr>
            <sz val="9"/>
            <rFont val="宋体"/>
            <charset val="134"/>
          </rPr>
          <t xml:space="preserve">
0000528 12/23 3675pcs华3A24</t>
        </r>
      </text>
    </comment>
    <comment ref="AE17" authorId="0">
      <text>
        <r>
          <rPr>
            <b/>
            <sz val="9"/>
            <rFont val="宋体"/>
            <charset val="134"/>
          </rPr>
          <t>Administrator:</t>
        </r>
        <r>
          <rPr>
            <sz val="9"/>
            <rFont val="宋体"/>
            <charset val="134"/>
          </rPr>
          <t xml:space="preserve">
12/6 上客供亚马逊外箱贴纸177pcs
</t>
        </r>
      </text>
    </comment>
    <comment ref="AC18" authorId="0">
      <text>
        <r>
          <rPr>
            <b/>
            <sz val="9"/>
            <rFont val="宋体"/>
            <charset val="134"/>
          </rPr>
          <t>Administrator:</t>
        </r>
        <r>
          <rPr>
            <sz val="9"/>
            <rFont val="宋体"/>
            <charset val="134"/>
          </rPr>
          <t xml:space="preserve">
0000525 12/21 400pcs</t>
        </r>
      </text>
    </comment>
    <comment ref="AC19" authorId="0">
      <text>
        <r>
          <rPr>
            <b/>
            <sz val="9"/>
            <rFont val="宋体"/>
            <charset val="134"/>
          </rPr>
          <t>Administrator:</t>
        </r>
        <r>
          <rPr>
            <sz val="9"/>
            <rFont val="宋体"/>
            <charset val="134"/>
          </rPr>
          <t xml:space="preserve">
此订单是L034转出来三个订单都已OK
11/20回6396pcs
12/6 回12/6pcs
0000528 12/23 6396pcs华一F3</t>
        </r>
      </text>
    </comment>
    <comment ref="AC20" authorId="0">
      <text>
        <r>
          <rPr>
            <b/>
            <sz val="9"/>
            <rFont val="宋体"/>
            <charset val="134"/>
          </rPr>
          <t>Administrator:</t>
        </r>
        <r>
          <rPr>
            <sz val="9"/>
            <rFont val="宋体"/>
            <charset val="134"/>
          </rPr>
          <t xml:space="preserve">
0000504 12/26 975pcs华3A11</t>
        </r>
      </text>
    </comment>
    <comment ref="AE20" authorId="0">
      <text>
        <r>
          <rPr>
            <b/>
            <sz val="9"/>
            <rFont val="宋体"/>
            <charset val="134"/>
          </rPr>
          <t>Administrator:</t>
        </r>
        <r>
          <rPr>
            <sz val="9"/>
            <rFont val="宋体"/>
            <charset val="134"/>
          </rPr>
          <t xml:space="preserve">
12/16 上UPC贴纸975pcs</t>
        </r>
      </text>
    </comment>
    <comment ref="AC21" authorId="0">
      <text>
        <r>
          <rPr>
            <b/>
            <sz val="9"/>
            <rFont val="宋体"/>
            <charset val="134"/>
          </rPr>
          <t>Administrator:</t>
        </r>
        <r>
          <rPr>
            <sz val="9"/>
            <rFont val="宋体"/>
            <charset val="134"/>
          </rPr>
          <t xml:space="preserve">
0000497 12/27 2496pcs华3A16</t>
        </r>
      </text>
    </comment>
    <comment ref="AE21" authorId="0">
      <text>
        <r>
          <rPr>
            <b/>
            <sz val="9"/>
            <rFont val="宋体"/>
            <charset val="134"/>
          </rPr>
          <t>Administrator:</t>
        </r>
        <r>
          <rPr>
            <sz val="9"/>
            <rFont val="宋体"/>
            <charset val="134"/>
          </rPr>
          <t xml:space="preserve">
12/3 上客户EAN条码贴纸2496pcs
2国语言电池说明书2496pcs
</t>
        </r>
      </text>
    </comment>
    <comment ref="AC22" authorId="0">
      <text>
        <r>
          <rPr>
            <b/>
            <sz val="9"/>
            <rFont val="宋体"/>
            <charset val="134"/>
          </rPr>
          <t>Administrator:</t>
        </r>
        <r>
          <rPr>
            <sz val="9"/>
            <rFont val="宋体"/>
            <charset val="134"/>
          </rPr>
          <t xml:space="preserve">
0000497 12/27 3600pcs华3A24</t>
        </r>
      </text>
    </comment>
    <comment ref="AE22" authorId="0">
      <text>
        <r>
          <rPr>
            <b/>
            <sz val="9"/>
            <rFont val="宋体"/>
            <charset val="134"/>
          </rPr>
          <t>Administrator:</t>
        </r>
        <r>
          <rPr>
            <sz val="9"/>
            <rFont val="宋体"/>
            <charset val="134"/>
          </rPr>
          <t xml:space="preserve">
12/17 上进口商贴纸3600pcs</t>
        </r>
      </text>
    </comment>
    <comment ref="AC23" authorId="0">
      <text>
        <r>
          <rPr>
            <b/>
            <sz val="9"/>
            <rFont val="宋体"/>
            <charset val="134"/>
          </rPr>
          <t>Administrator:</t>
        </r>
        <r>
          <rPr>
            <sz val="9"/>
            <rFont val="宋体"/>
            <charset val="134"/>
          </rPr>
          <t xml:space="preserve">
0000504 12/26 1924pcs华3A11
0000494 12/28 26pcs华3A11</t>
        </r>
      </text>
    </comment>
    <comment ref="AE23" authorId="0">
      <text>
        <r>
          <rPr>
            <b/>
            <sz val="9"/>
            <rFont val="宋体"/>
            <charset val="134"/>
          </rPr>
          <t>Administrator:</t>
        </r>
        <r>
          <rPr>
            <sz val="9"/>
            <rFont val="宋体"/>
            <charset val="134"/>
          </rPr>
          <t xml:space="preserve">
10/29 上UPC贴纸1950pcs</t>
        </r>
      </text>
    </comment>
    <comment ref="AC24" authorId="0">
      <text>
        <r>
          <rPr>
            <b/>
            <sz val="9"/>
            <rFont val="宋体"/>
            <charset val="134"/>
          </rPr>
          <t>Administrator:</t>
        </r>
        <r>
          <rPr>
            <sz val="9"/>
            <rFont val="宋体"/>
            <charset val="134"/>
          </rPr>
          <t xml:space="preserve">
0000504 12/26 1950pcs华3A11</t>
        </r>
      </text>
    </comment>
    <comment ref="AE24" authorId="0">
      <text>
        <r>
          <rPr>
            <b/>
            <sz val="9"/>
            <rFont val="宋体"/>
            <charset val="134"/>
          </rPr>
          <t>Administrator:</t>
        </r>
        <r>
          <rPr>
            <sz val="9"/>
            <rFont val="宋体"/>
            <charset val="134"/>
          </rPr>
          <t xml:space="preserve">
10/6 上UPC贴纸1950pcs</t>
        </r>
      </text>
    </comment>
    <comment ref="AC25" authorId="0">
      <text>
        <r>
          <rPr>
            <b/>
            <sz val="9"/>
            <rFont val="宋体"/>
            <charset val="134"/>
          </rPr>
          <t>Administrator:</t>
        </r>
        <r>
          <rPr>
            <sz val="9"/>
            <rFont val="宋体"/>
            <charset val="134"/>
          </rPr>
          <t xml:space="preserve">
0000504 12/26 5061pcs华3A22</t>
        </r>
      </text>
    </comment>
    <comment ref="AE25" authorId="0">
      <text>
        <r>
          <rPr>
            <b/>
            <sz val="9"/>
            <rFont val="宋体"/>
            <charset val="134"/>
          </rPr>
          <t>Administrator:</t>
        </r>
        <r>
          <rPr>
            <sz val="9"/>
            <rFont val="宋体"/>
            <charset val="134"/>
          </rPr>
          <t xml:space="preserve">
12/19 上客供外箱贴纸243pcs</t>
        </r>
      </text>
    </comment>
    <comment ref="AC26" authorId="0">
      <text>
        <r>
          <rPr>
            <b/>
            <sz val="9"/>
            <rFont val="宋体"/>
            <charset val="134"/>
          </rPr>
          <t>Administrator:</t>
        </r>
        <r>
          <rPr>
            <sz val="9"/>
            <rFont val="宋体"/>
            <charset val="134"/>
          </rPr>
          <t xml:space="preserve">
0000497 12/27 1313pcs华3B8</t>
        </r>
      </text>
    </comment>
    <comment ref="AE26" authorId="0">
      <text>
        <r>
          <rPr>
            <b/>
            <sz val="9"/>
            <rFont val="宋体"/>
            <charset val="134"/>
          </rPr>
          <t>Administrator:</t>
        </r>
        <r>
          <rPr>
            <sz val="9"/>
            <rFont val="宋体"/>
            <charset val="134"/>
          </rPr>
          <t xml:space="preserve">
12/12 上说明书纽扣电池警告语贴纸1313pcs
收缩膜纽扣电池警告语贴纸1313pcs
12/19 上白色防盗贴纸1313pcs
</t>
        </r>
      </text>
    </comment>
    <comment ref="AC27" authorId="0">
      <text>
        <r>
          <rPr>
            <b/>
            <sz val="9"/>
            <rFont val="宋体"/>
            <charset val="134"/>
          </rPr>
          <t>Administrator:</t>
        </r>
        <r>
          <rPr>
            <sz val="9"/>
            <rFont val="宋体"/>
            <charset val="134"/>
          </rPr>
          <t xml:space="preserve">
0000497 12/27 195pcs华3B8</t>
        </r>
      </text>
    </comment>
    <comment ref="AE27" authorId="0">
      <text>
        <r>
          <rPr>
            <b/>
            <sz val="9"/>
            <rFont val="宋体"/>
            <charset val="134"/>
          </rPr>
          <t>Administrator:</t>
        </r>
        <r>
          <rPr>
            <sz val="9"/>
            <rFont val="宋体"/>
            <charset val="134"/>
          </rPr>
          <t xml:space="preserve">
12/12 上说明书纽扣电池警告语贴纸195pcs
收缩膜纽扣电池警告语贴纸195pcs
12/19 上白色防盗贴纸195pcs</t>
        </r>
      </text>
    </comment>
    <comment ref="AC28" authorId="0">
      <text>
        <r>
          <rPr>
            <b/>
            <sz val="9"/>
            <rFont val="宋体"/>
            <charset val="134"/>
          </rPr>
          <t>Administrator:</t>
        </r>
        <r>
          <rPr>
            <sz val="9"/>
            <rFont val="宋体"/>
            <charset val="134"/>
          </rPr>
          <t xml:space="preserve">
0000494 12/28 2000pcs华3B13</t>
        </r>
      </text>
    </comment>
    <comment ref="AE28" authorId="0">
      <text>
        <r>
          <rPr>
            <b/>
            <sz val="9"/>
            <rFont val="宋体"/>
            <charset val="134"/>
          </rPr>
          <t>Administrator:</t>
        </r>
        <r>
          <rPr>
            <sz val="9"/>
            <rFont val="宋体"/>
            <charset val="134"/>
          </rPr>
          <t xml:space="preserve">
12/3 上法兰西回收贴纸2000pcs
12/11 上收藏指南无香味贴纸2000pcs
12/20 上收藏指南贴纸2000pcs
配件包贴纸2000pcs</t>
        </r>
      </text>
    </comment>
    <comment ref="AC29" authorId="0">
      <text>
        <r>
          <rPr>
            <b/>
            <sz val="9"/>
            <rFont val="宋体"/>
            <charset val="134"/>
          </rPr>
          <t>Administrator:</t>
        </r>
        <r>
          <rPr>
            <sz val="9"/>
            <rFont val="宋体"/>
            <charset val="134"/>
          </rPr>
          <t xml:space="preserve">
0000461 1/3 2436pcs华3A28</t>
        </r>
      </text>
    </comment>
    <comment ref="AE29" authorId="0">
      <text>
        <r>
          <rPr>
            <b/>
            <sz val="9"/>
            <rFont val="宋体"/>
            <charset val="134"/>
          </rPr>
          <t>Administrator:</t>
        </r>
        <r>
          <rPr>
            <sz val="9"/>
            <rFont val="宋体"/>
            <charset val="134"/>
          </rPr>
          <t xml:space="preserve">
12/3 上收缩膜警语贴纸2436pcs
配件袋警语贴纸9744pcs
12/17 上配件包贴纸9744pcs
收藏指南贴纸2436pcs
因更新贴纸资料重订
12/27 上配件袋贴纸350pcs补订与51832PO一起</t>
        </r>
      </text>
    </comment>
    <comment ref="AC30" authorId="0">
      <text>
        <r>
          <rPr>
            <b/>
            <sz val="9"/>
            <rFont val="宋体"/>
            <charset val="134"/>
          </rPr>
          <t>Administrator:</t>
        </r>
        <r>
          <rPr>
            <sz val="9"/>
            <rFont val="宋体"/>
            <charset val="134"/>
          </rPr>
          <t xml:space="preserve">
0000494 12/28 1932pcs华3B14</t>
        </r>
      </text>
    </comment>
    <comment ref="AE30" authorId="0">
      <text>
        <r>
          <rPr>
            <b/>
            <sz val="9"/>
            <rFont val="宋体"/>
            <charset val="134"/>
          </rPr>
          <t>Administrator:</t>
        </r>
        <r>
          <rPr>
            <sz val="9"/>
            <rFont val="宋体"/>
            <charset val="134"/>
          </rPr>
          <t xml:space="preserve">
12/12 上收缩膜警语贴纸1932pcs
上配件袋警语贴纸1932pcs
12/17 上配件包贴纸7728pcs
收藏指南贴纸1932pcs
因更新贴纸资料重订</t>
        </r>
      </text>
    </comment>
    <comment ref="AC31" authorId="0">
      <text>
        <r>
          <rPr>
            <b/>
            <sz val="9"/>
            <rFont val="宋体"/>
            <charset val="134"/>
          </rPr>
          <t>Administrator:</t>
        </r>
        <r>
          <rPr>
            <sz val="9"/>
            <rFont val="宋体"/>
            <charset val="134"/>
          </rPr>
          <t xml:space="preserve">
0000463 1/2 5369pcs华3A23</t>
        </r>
      </text>
    </comment>
    <comment ref="AE31" authorId="0">
      <text>
        <r>
          <rPr>
            <b/>
            <sz val="9"/>
            <rFont val="宋体"/>
            <charset val="134"/>
          </rPr>
          <t>Administrator:</t>
        </r>
        <r>
          <rPr>
            <sz val="9"/>
            <rFont val="宋体"/>
            <charset val="134"/>
          </rPr>
          <t xml:space="preserve">
12/10 上价格贴纸5382pcs
12/20 上UCC外箱贴纸413pcs</t>
        </r>
      </text>
    </comment>
    <comment ref="AC32" authorId="0">
      <text>
        <r>
          <rPr>
            <b/>
            <sz val="9"/>
            <rFont val="宋体"/>
            <charset val="134"/>
          </rPr>
          <t>Administrator:</t>
        </r>
        <r>
          <rPr>
            <sz val="9"/>
            <rFont val="宋体"/>
            <charset val="134"/>
          </rPr>
          <t xml:space="preserve">
0000463 1/2 4250pcs华3A19</t>
        </r>
      </text>
    </comment>
    <comment ref="AE32" authorId="0">
      <text>
        <r>
          <rPr>
            <b/>
            <sz val="9"/>
            <rFont val="宋体"/>
            <charset val="134"/>
          </rPr>
          <t>Administrator:</t>
        </r>
        <r>
          <rPr>
            <sz val="9"/>
            <rFont val="宋体"/>
            <charset val="134"/>
          </rPr>
          <t xml:space="preserve">
12/20 上红色LOGO贴纸3690pcs
保证书3690pcs
彩卡贴纸3690pcs
说明书贴纸3690pcs
产品电池盖贴纸3690pcs
UPC贴纸4250pcs</t>
        </r>
      </text>
    </comment>
    <comment ref="AC33" authorId="0">
      <text>
        <r>
          <rPr>
            <b/>
            <sz val="9"/>
            <rFont val="宋体"/>
            <charset val="134"/>
          </rPr>
          <t>Administrator:</t>
        </r>
        <r>
          <rPr>
            <sz val="9"/>
            <rFont val="宋体"/>
            <charset val="134"/>
          </rPr>
          <t xml:space="preserve">
0000617 12/12 510pcs送回半成品 同一张单开 
莫4B10</t>
        </r>
      </text>
    </comment>
    <comment ref="AE33" authorId="0">
      <text>
        <r>
          <rPr>
            <b/>
            <sz val="9"/>
            <rFont val="宋体"/>
            <charset val="134"/>
          </rPr>
          <t>Administrator:</t>
        </r>
        <r>
          <rPr>
            <sz val="9"/>
            <rFont val="宋体"/>
            <charset val="134"/>
          </rPr>
          <t xml:space="preserve">
12/13 收到客供UCC贴纸125pcs
五个同PO共用</t>
        </r>
      </text>
    </comment>
    <comment ref="AC34" authorId="0">
      <text>
        <r>
          <rPr>
            <b/>
            <sz val="9"/>
            <rFont val="宋体"/>
            <charset val="134"/>
          </rPr>
          <t>Administrator:</t>
        </r>
        <r>
          <rPr>
            <sz val="9"/>
            <rFont val="宋体"/>
            <charset val="134"/>
          </rPr>
          <t xml:space="preserve">
0000617 12/12 420pcs
送回半成品同一张单开
莫4B10</t>
        </r>
      </text>
    </comment>
    <comment ref="AC35" authorId="0">
      <text>
        <r>
          <rPr>
            <b/>
            <sz val="9"/>
            <rFont val="宋体"/>
            <charset val="134"/>
          </rPr>
          <t>Administrator:</t>
        </r>
        <r>
          <rPr>
            <sz val="9"/>
            <rFont val="宋体"/>
            <charset val="134"/>
          </rPr>
          <t xml:space="preserve">
0000617 12/12 960pcs
送回半成品同一张单开</t>
        </r>
      </text>
    </comment>
    <comment ref="AC36" authorId="0">
      <text>
        <r>
          <rPr>
            <b/>
            <sz val="9"/>
            <rFont val="宋体"/>
            <charset val="134"/>
          </rPr>
          <t>Administrator:</t>
        </r>
        <r>
          <rPr>
            <sz val="9"/>
            <rFont val="宋体"/>
            <charset val="134"/>
          </rPr>
          <t xml:space="preserve">
0000617 12/12 1110pcs
送回半成品同一张单开</t>
        </r>
      </text>
    </comment>
    <comment ref="AC37" authorId="0">
      <text>
        <r>
          <rPr>
            <b/>
            <sz val="9"/>
            <rFont val="宋体"/>
            <charset val="134"/>
          </rPr>
          <t>Administrator:</t>
        </r>
        <r>
          <rPr>
            <sz val="9"/>
            <rFont val="宋体"/>
            <charset val="134"/>
          </rPr>
          <t xml:space="preserve">
0000617 12/12 750pcs
送回半成品 同一张单开</t>
        </r>
      </text>
    </comment>
    <comment ref="AC38" authorId="0">
      <text>
        <r>
          <rPr>
            <b/>
            <sz val="9"/>
            <rFont val="宋体"/>
            <charset val="134"/>
          </rPr>
          <t>Administrator:</t>
        </r>
        <r>
          <rPr>
            <sz val="9"/>
            <rFont val="宋体"/>
            <charset val="134"/>
          </rPr>
          <t xml:space="preserve">
0000429 1/9 2400pcs华3A21</t>
        </r>
      </text>
    </comment>
    <comment ref="AE38" authorId="0">
      <text>
        <r>
          <rPr>
            <b/>
            <sz val="9"/>
            <rFont val="宋体"/>
            <charset val="134"/>
          </rPr>
          <t>Administrator:</t>
        </r>
        <r>
          <rPr>
            <sz val="9"/>
            <rFont val="宋体"/>
            <charset val="134"/>
          </rPr>
          <t xml:space="preserve">
12/13 上客供价格贴纸2520pcs
12/17 上UCC外箱贴纸200pcs</t>
        </r>
      </text>
    </comment>
    <comment ref="AC39" authorId="0">
      <text>
        <r>
          <rPr>
            <b/>
            <sz val="9"/>
            <rFont val="宋体"/>
            <charset val="134"/>
          </rPr>
          <t>Administrator:</t>
        </r>
        <r>
          <rPr>
            <sz val="9"/>
            <rFont val="宋体"/>
            <charset val="134"/>
          </rPr>
          <t xml:space="preserve">
0000422 1/9 2010pcs华3B12</t>
        </r>
      </text>
    </comment>
    <comment ref="AE39" authorId="0">
      <text>
        <r>
          <rPr>
            <b/>
            <sz val="9"/>
            <rFont val="宋体"/>
            <charset val="134"/>
          </rPr>
          <t>Administrator:</t>
        </r>
        <r>
          <rPr>
            <sz val="9"/>
            <rFont val="宋体"/>
            <charset val="134"/>
          </rPr>
          <t xml:space="preserve">
12/26 上进口商贴纸（含西班牙环保标）2010pcs
产品贴纸2010pcs</t>
        </r>
      </text>
    </comment>
    <comment ref="AC40" authorId="0">
      <text>
        <r>
          <rPr>
            <b/>
            <sz val="9"/>
            <rFont val="宋体"/>
            <charset val="134"/>
          </rPr>
          <t>Administrator:</t>
        </r>
        <r>
          <rPr>
            <sz val="9"/>
            <rFont val="宋体"/>
            <charset val="134"/>
          </rPr>
          <t xml:space="preserve">
0000441 1/7 250pcs直接走货</t>
        </r>
      </text>
    </comment>
    <comment ref="AE40" authorId="0">
      <text>
        <r>
          <rPr>
            <b/>
            <sz val="9"/>
            <rFont val="宋体"/>
            <charset val="134"/>
          </rPr>
          <t>Administrator:</t>
        </r>
        <r>
          <rPr>
            <sz val="9"/>
            <rFont val="宋体"/>
            <charset val="134"/>
          </rPr>
          <t xml:space="preserve">
12/23 上进口商贴纸250pcs
EAN条码贴纸250pcs</t>
        </r>
      </text>
    </comment>
    <comment ref="AC41" authorId="0">
      <text>
        <r>
          <rPr>
            <b/>
            <sz val="9"/>
            <rFont val="宋体"/>
            <charset val="134"/>
          </rPr>
          <t>Administrator:</t>
        </r>
        <r>
          <rPr>
            <sz val="9"/>
            <rFont val="宋体"/>
            <charset val="134"/>
          </rPr>
          <t xml:space="preserve">
0000504 12/26 1092pcs华3B12</t>
        </r>
      </text>
    </comment>
    <comment ref="AC42" authorId="0">
      <text>
        <r>
          <rPr>
            <b/>
            <sz val="9"/>
            <rFont val="宋体"/>
            <charset val="134"/>
          </rPr>
          <t>Administrator:</t>
        </r>
        <r>
          <rPr>
            <sz val="9"/>
            <rFont val="宋体"/>
            <charset val="134"/>
          </rPr>
          <t xml:space="preserve">
0000551 1/6 504pcs华3A10</t>
        </r>
      </text>
    </comment>
    <comment ref="AC43" authorId="0">
      <text>
        <r>
          <rPr>
            <b/>
            <sz val="9"/>
            <rFont val="宋体"/>
            <charset val="134"/>
          </rPr>
          <t>Administrator:</t>
        </r>
        <r>
          <rPr>
            <sz val="9"/>
            <rFont val="宋体"/>
            <charset val="134"/>
          </rPr>
          <t xml:space="preserve">
0000422 1/9 1800pcs华3B14</t>
        </r>
      </text>
    </comment>
    <comment ref="AC44" authorId="0">
      <text>
        <r>
          <rPr>
            <b/>
            <sz val="9"/>
            <rFont val="宋体"/>
            <charset val="134"/>
          </rPr>
          <t>Administrator:</t>
        </r>
        <r>
          <rPr>
            <sz val="9"/>
            <rFont val="宋体"/>
            <charset val="134"/>
          </rPr>
          <t xml:space="preserve">
0000429 1/9 2000pcs华3B8</t>
        </r>
      </text>
    </comment>
    <comment ref="AE44" authorId="0">
      <text>
        <r>
          <rPr>
            <b/>
            <sz val="9"/>
            <rFont val="宋体"/>
            <charset val="134"/>
          </rPr>
          <t>Administrator:</t>
        </r>
        <r>
          <rPr>
            <sz val="9"/>
            <rFont val="宋体"/>
            <charset val="134"/>
          </rPr>
          <t xml:space="preserve">
12/20 上环保标贴纸2000pcs
收藏指南无香味贴纸2000pcs
12/23 上收藏指南贴纸2000pcs
配件袋贴纸8000pcs
以上23号上的贴纸是更新资料生订</t>
        </r>
      </text>
    </comment>
    <comment ref="AC45" authorId="0">
      <text>
        <r>
          <rPr>
            <b/>
            <sz val="9"/>
            <rFont val="宋体"/>
            <charset val="134"/>
          </rPr>
          <t>Administrator:</t>
        </r>
        <r>
          <rPr>
            <sz val="9"/>
            <rFont val="宋体"/>
            <charset val="134"/>
          </rPr>
          <t xml:space="preserve">
0000430 1/8 1008pcs华3B17</t>
        </r>
      </text>
    </comment>
    <comment ref="AE45" authorId="0">
      <text>
        <r>
          <rPr>
            <b/>
            <sz val="9"/>
            <rFont val="宋体"/>
            <charset val="134"/>
          </rPr>
          <t>Administrator:</t>
        </r>
        <r>
          <rPr>
            <sz val="9"/>
            <rFont val="宋体"/>
            <charset val="134"/>
          </rPr>
          <t xml:space="preserve">
12/3 上客供价格贴纸1059pcs
12/20 上空白贴纸2016pcs</t>
        </r>
      </text>
    </comment>
    <comment ref="AC46" authorId="0">
      <text>
        <r>
          <rPr>
            <b/>
            <sz val="9"/>
            <rFont val="宋体"/>
            <charset val="134"/>
          </rPr>
          <t>Administrator:</t>
        </r>
        <r>
          <rPr>
            <sz val="9"/>
            <rFont val="宋体"/>
            <charset val="134"/>
          </rPr>
          <t xml:space="preserve">
0000429 1/9 4800pcs华3A21</t>
        </r>
      </text>
    </comment>
    <comment ref="AE46" authorId="0">
      <text>
        <r>
          <rPr>
            <b/>
            <sz val="9"/>
            <rFont val="宋体"/>
            <charset val="134"/>
          </rPr>
          <t>Administrator:</t>
        </r>
        <r>
          <rPr>
            <sz val="9"/>
            <rFont val="宋体"/>
            <charset val="134"/>
          </rPr>
          <t xml:space="preserve">
12/19 上客供价格贴纸5040pcs</t>
        </r>
      </text>
    </comment>
    <comment ref="AC47" authorId="0">
      <text>
        <r>
          <rPr>
            <b/>
            <sz val="9"/>
            <rFont val="宋体"/>
            <charset val="134"/>
          </rPr>
          <t>Administrator:</t>
        </r>
        <r>
          <rPr>
            <sz val="9"/>
            <rFont val="宋体"/>
            <charset val="134"/>
          </rPr>
          <t xml:space="preserve">
0000405 1/13 4160pcs
华3B8</t>
        </r>
      </text>
    </comment>
    <comment ref="AC48" authorId="0">
      <text>
        <r>
          <rPr>
            <b/>
            <sz val="9"/>
            <rFont val="宋体"/>
            <charset val="134"/>
          </rPr>
          <t>Administrator:</t>
        </r>
        <r>
          <rPr>
            <sz val="9"/>
            <rFont val="宋体"/>
            <charset val="134"/>
          </rPr>
          <t xml:space="preserve">
0000430 1/8 1008pcs</t>
        </r>
      </text>
    </comment>
    <comment ref="AE48" authorId="0">
      <text>
        <r>
          <rPr>
            <b/>
            <sz val="9"/>
            <rFont val="宋体"/>
            <charset val="134"/>
          </rPr>
          <t>Administrator:</t>
        </r>
        <r>
          <rPr>
            <sz val="9"/>
            <rFont val="宋体"/>
            <charset val="134"/>
          </rPr>
          <t xml:space="preserve">
12/19 上客供价格贴纸1069pcs
</t>
        </r>
      </text>
    </comment>
    <comment ref="AC49" authorId="0">
      <text>
        <r>
          <rPr>
            <b/>
            <sz val="9"/>
            <rFont val="宋体"/>
            <charset val="134"/>
          </rPr>
          <t>Administrator:</t>
        </r>
        <r>
          <rPr>
            <sz val="9"/>
            <rFont val="宋体"/>
            <charset val="134"/>
          </rPr>
          <t xml:space="preserve">
0000403 1/14 520pcs华3B13</t>
        </r>
      </text>
    </comment>
    <comment ref="AE49" authorId="0">
      <text>
        <r>
          <rPr>
            <b/>
            <sz val="9"/>
            <rFont val="宋体"/>
            <charset val="134"/>
          </rPr>
          <t>Administrator:</t>
        </r>
        <r>
          <rPr>
            <sz val="9"/>
            <rFont val="宋体"/>
            <charset val="134"/>
          </rPr>
          <t xml:space="preserve">
12/26 上环保标贴纸含EAN 条码520pcs</t>
        </r>
      </text>
    </comment>
    <comment ref="AC50" authorId="0">
      <text>
        <r>
          <rPr>
            <b/>
            <sz val="9"/>
            <rFont val="宋体"/>
            <charset val="134"/>
          </rPr>
          <t>Administrator:</t>
        </r>
        <r>
          <rPr>
            <sz val="9"/>
            <rFont val="宋体"/>
            <charset val="134"/>
          </rPr>
          <t xml:space="preserve">
0000405 1/13 480pcs</t>
        </r>
      </text>
    </comment>
    <comment ref="AC51" authorId="0">
      <text>
        <r>
          <rPr>
            <b/>
            <sz val="9"/>
            <rFont val="宋体"/>
            <charset val="134"/>
          </rPr>
          <t>Administrator:</t>
        </r>
        <r>
          <rPr>
            <sz val="9"/>
            <rFont val="宋体"/>
            <charset val="134"/>
          </rPr>
          <t xml:space="preserve">
0000411 1/11 750pcs华3B15</t>
        </r>
      </text>
    </comment>
    <comment ref="AE51" authorId="0">
      <text>
        <r>
          <rPr>
            <b/>
            <sz val="9"/>
            <rFont val="宋体"/>
            <charset val="134"/>
          </rPr>
          <t>Administrator:</t>
        </r>
        <r>
          <rPr>
            <sz val="9"/>
            <rFont val="宋体"/>
            <charset val="134"/>
          </rPr>
          <t xml:space="preserve">
12/25 上UPC贴纸750pcs</t>
        </r>
      </text>
    </comment>
    <comment ref="AC52" authorId="0">
      <text>
        <r>
          <rPr>
            <b/>
            <sz val="9"/>
            <rFont val="宋体"/>
            <charset val="134"/>
          </rPr>
          <t>Administrator:</t>
        </r>
        <r>
          <rPr>
            <sz val="9"/>
            <rFont val="宋体"/>
            <charset val="134"/>
          </rPr>
          <t xml:space="preserve">
0000403 1/14 4600pcs
华3A31</t>
        </r>
      </text>
    </comment>
    <comment ref="AE52" authorId="0">
      <text>
        <r>
          <rPr>
            <b/>
            <sz val="9"/>
            <rFont val="宋体"/>
            <charset val="134"/>
          </rPr>
          <t>Administrator:</t>
        </r>
        <r>
          <rPr>
            <sz val="9"/>
            <rFont val="宋体"/>
            <charset val="134"/>
          </rPr>
          <t xml:space="preserve">
12/23 上进口商贴纸4600pcs
12/24 上UPC贴纸4600pcs</t>
        </r>
      </text>
    </comment>
    <comment ref="AC53" authorId="0">
      <text>
        <r>
          <rPr>
            <b/>
            <sz val="9"/>
            <rFont val="宋体"/>
            <charset val="134"/>
          </rPr>
          <t>Administrator:</t>
        </r>
        <r>
          <rPr>
            <sz val="9"/>
            <rFont val="宋体"/>
            <charset val="134"/>
          </rPr>
          <t xml:space="preserve">
0000405 1/13 1500pcs
华3A27</t>
        </r>
      </text>
    </comment>
    <comment ref="AE53" authorId="0">
      <text>
        <r>
          <rPr>
            <b/>
            <sz val="9"/>
            <rFont val="宋体"/>
            <charset val="134"/>
          </rPr>
          <t>Administrator:</t>
        </r>
        <r>
          <rPr>
            <sz val="9"/>
            <rFont val="宋体"/>
            <charset val="134"/>
          </rPr>
          <t xml:space="preserve">
12/3 上客供ASN贴纸30pcs
上HU贴纸30pcs
12/30 上进口商贴纸1500pcs
价标贴纸1500pcs
说明书贴纸1500pcs</t>
        </r>
      </text>
    </comment>
    <comment ref="AC54" authorId="0">
      <text>
        <r>
          <rPr>
            <b/>
            <sz val="9"/>
            <rFont val="宋体"/>
            <charset val="134"/>
          </rPr>
          <t>Administrator:</t>
        </r>
        <r>
          <rPr>
            <sz val="9"/>
            <rFont val="宋体"/>
            <charset val="134"/>
          </rPr>
          <t xml:space="preserve">
0000403 1/14 2750pcs
华3B15</t>
        </r>
      </text>
    </comment>
    <comment ref="AE54" authorId="0">
      <text>
        <r>
          <rPr>
            <b/>
            <sz val="9"/>
            <rFont val="宋体"/>
            <charset val="134"/>
          </rPr>
          <t>Administrator:</t>
        </r>
        <r>
          <rPr>
            <sz val="9"/>
            <rFont val="宋体"/>
            <charset val="134"/>
          </rPr>
          <t xml:space="preserve">
12/30 上进口商贴纸2750pcs
产品贴纸2750pcs
进口商贴纸2750pcs
1/4 上客版说明书2750pcs</t>
        </r>
      </text>
    </comment>
    <comment ref="AC55" authorId="0">
      <text>
        <r>
          <rPr>
            <b/>
            <sz val="9"/>
            <rFont val="宋体"/>
            <charset val="134"/>
          </rPr>
          <t>Administrator:</t>
        </r>
        <r>
          <rPr>
            <sz val="9"/>
            <rFont val="宋体"/>
            <charset val="134"/>
          </rPr>
          <t xml:space="preserve">
0000405 1/13 1200pcs
华3B8</t>
        </r>
      </text>
    </comment>
    <comment ref="AE55" authorId="0">
      <text>
        <r>
          <rPr>
            <b/>
            <sz val="9"/>
            <rFont val="宋体"/>
            <charset val="134"/>
          </rPr>
          <t>Administrator:</t>
        </r>
        <r>
          <rPr>
            <sz val="9"/>
            <rFont val="宋体"/>
            <charset val="134"/>
          </rPr>
          <t xml:space="preserve">
12/25 上进口商贴纸含环保标贴1200pcs</t>
        </r>
      </text>
    </comment>
    <comment ref="AC56" authorId="0">
      <text>
        <r>
          <rPr>
            <b/>
            <sz val="9"/>
            <rFont val="宋体"/>
            <charset val="134"/>
          </rPr>
          <t>Administrator:</t>
        </r>
        <r>
          <rPr>
            <sz val="9"/>
            <rFont val="宋体"/>
            <charset val="134"/>
          </rPr>
          <t xml:space="preserve">
0000373 1/17 3003pcs华3B10</t>
        </r>
      </text>
    </comment>
    <comment ref="AC57" authorId="0">
      <text>
        <r>
          <rPr>
            <b/>
            <sz val="9"/>
            <rFont val="宋体"/>
            <charset val="134"/>
          </rPr>
          <t>Administrator:</t>
        </r>
        <r>
          <rPr>
            <sz val="9"/>
            <rFont val="宋体"/>
            <charset val="134"/>
          </rPr>
          <t xml:space="preserve">
0000405 1/13 3507pcs华3B8</t>
        </r>
      </text>
    </comment>
    <comment ref="AE57" authorId="0">
      <text>
        <r>
          <rPr>
            <b/>
            <sz val="9"/>
            <rFont val="宋体"/>
            <charset val="134"/>
          </rPr>
          <t>Administrator:</t>
        </r>
        <r>
          <rPr>
            <sz val="9"/>
            <rFont val="宋体"/>
            <charset val="134"/>
          </rPr>
          <t xml:space="preserve">
1/3 上客供外箱条码贴纸169pcs</t>
        </r>
      </text>
    </comment>
    <comment ref="AC58" authorId="0">
      <text>
        <r>
          <rPr>
            <b/>
            <sz val="9"/>
            <rFont val="宋体"/>
            <charset val="134"/>
          </rPr>
          <t>Administrator:</t>
        </r>
        <r>
          <rPr>
            <sz val="9"/>
            <rFont val="宋体"/>
            <charset val="134"/>
          </rPr>
          <t xml:space="preserve">
0000398 1/14 1144pcs华3B8</t>
        </r>
      </text>
    </comment>
    <comment ref="AE58" authorId="0">
      <text>
        <r>
          <rPr>
            <b/>
            <sz val="9"/>
            <rFont val="宋体"/>
            <charset val="134"/>
          </rPr>
          <t>Administrator:</t>
        </r>
        <r>
          <rPr>
            <sz val="9"/>
            <rFont val="宋体"/>
            <charset val="134"/>
          </rPr>
          <t xml:space="preserve">
12/12 上客户贴纸3900pcs
三个同PO共用
12/12 上2国语言说明书3900pcs三个同PO共用</t>
        </r>
      </text>
    </comment>
    <comment ref="AC59" authorId="0">
      <text>
        <r>
          <rPr>
            <b/>
            <sz val="9"/>
            <rFont val="宋体"/>
            <charset val="134"/>
          </rPr>
          <t>Administrator:</t>
        </r>
        <r>
          <rPr>
            <sz val="9"/>
            <rFont val="宋体"/>
            <charset val="134"/>
          </rPr>
          <t xml:space="preserve">
0000403 1/14 1456pcs
华3B15</t>
        </r>
      </text>
    </comment>
    <comment ref="AC60" authorId="0">
      <text>
        <r>
          <rPr>
            <b/>
            <sz val="9"/>
            <rFont val="宋体"/>
            <charset val="134"/>
          </rPr>
          <t>Administrator:</t>
        </r>
        <r>
          <rPr>
            <sz val="9"/>
            <rFont val="宋体"/>
            <charset val="134"/>
          </rPr>
          <t xml:space="preserve">
0000403 1/14 1300pcs
华3B15</t>
        </r>
      </text>
    </comment>
    <comment ref="AC61" authorId="0">
      <text>
        <r>
          <rPr>
            <b/>
            <sz val="9"/>
            <rFont val="宋体"/>
            <charset val="134"/>
          </rPr>
          <t>Administrator:</t>
        </r>
        <r>
          <rPr>
            <sz val="9"/>
            <rFont val="宋体"/>
            <charset val="134"/>
          </rPr>
          <t xml:space="preserve">
0000373 1/17 1040pcs华3B13</t>
        </r>
      </text>
    </comment>
    <comment ref="AE61" authorId="0">
      <text>
        <r>
          <rPr>
            <b/>
            <sz val="9"/>
            <rFont val="宋体"/>
            <charset val="134"/>
          </rPr>
          <t>Administrator:</t>
        </r>
        <r>
          <rPr>
            <sz val="9"/>
            <rFont val="宋体"/>
            <charset val="134"/>
          </rPr>
          <t xml:space="preserve">
12/31 上说明书电池警告语贴纸200pcs
补订
1/4 上包装正面电池警告贴纸1040pcs</t>
        </r>
      </text>
    </comment>
    <comment ref="AC62" authorId="0">
      <text>
        <r>
          <rPr>
            <b/>
            <sz val="9"/>
            <rFont val="宋体"/>
            <charset val="134"/>
          </rPr>
          <t>Administrator:</t>
        </r>
        <r>
          <rPr>
            <sz val="9"/>
            <rFont val="宋体"/>
            <charset val="134"/>
          </rPr>
          <t xml:space="preserve">
0000361 1/18 504pcs华3B13</t>
        </r>
      </text>
    </comment>
    <comment ref="AE62" authorId="0">
      <text>
        <r>
          <rPr>
            <b/>
            <sz val="9"/>
            <rFont val="宋体"/>
            <charset val="134"/>
          </rPr>
          <t>Administrator:</t>
        </r>
        <r>
          <rPr>
            <sz val="9"/>
            <rFont val="宋体"/>
            <charset val="134"/>
          </rPr>
          <t xml:space="preserve">
12/20 上空白贴纸1008pcs
1/3 上客供价格贴纸530pcs</t>
        </r>
      </text>
    </comment>
    <comment ref="AC63" authorId="0">
      <text>
        <r>
          <rPr>
            <b/>
            <sz val="9"/>
            <rFont val="宋体"/>
            <charset val="134"/>
          </rPr>
          <t>Administrator:</t>
        </r>
        <r>
          <rPr>
            <sz val="9"/>
            <rFont val="宋体"/>
            <charset val="134"/>
          </rPr>
          <t xml:space="preserve">
0000255 2/18 816pcs</t>
        </r>
      </text>
    </comment>
    <comment ref="AE63" authorId="0">
      <text>
        <r>
          <rPr>
            <b/>
            <sz val="9"/>
            <rFont val="宋体"/>
            <charset val="134"/>
          </rPr>
          <t>Administrator:</t>
        </r>
        <r>
          <rPr>
            <sz val="9"/>
            <rFont val="宋体"/>
            <charset val="134"/>
          </rPr>
          <t xml:space="preserve">
1/6 上进口商贴纸816pcs</t>
        </r>
      </text>
    </comment>
    <comment ref="AC64" authorId="0">
      <text>
        <r>
          <rPr>
            <b/>
            <sz val="9"/>
            <rFont val="宋体"/>
            <charset val="134"/>
          </rPr>
          <t>Administrator:</t>
        </r>
        <r>
          <rPr>
            <sz val="9"/>
            <rFont val="宋体"/>
            <charset val="134"/>
          </rPr>
          <t xml:space="preserve">
0000255 2/18 2016pcs</t>
        </r>
      </text>
    </comment>
    <comment ref="AE64" authorId="0">
      <text>
        <r>
          <rPr>
            <b/>
            <sz val="9"/>
            <rFont val="宋体"/>
            <charset val="134"/>
          </rPr>
          <t>Administrator:</t>
        </r>
        <r>
          <rPr>
            <sz val="9"/>
            <rFont val="宋体"/>
            <charset val="134"/>
          </rPr>
          <t xml:space="preserve">
1/4 上亚马逊外箱贴纸84pcs
1/6 上1号ES回收环保标贴纸2016pcs
环保贴纸2016pcs
UPC贴纸2016pcs
邮箱贴纸2016pcs
1/10 上防伪贴纸2016pcs</t>
        </r>
      </text>
    </comment>
    <comment ref="AC65" authorId="0">
      <text>
        <r>
          <rPr>
            <b/>
            <sz val="9"/>
            <rFont val="宋体"/>
            <charset val="134"/>
          </rPr>
          <t>Administrator:</t>
        </r>
        <r>
          <rPr>
            <sz val="9"/>
            <rFont val="宋体"/>
            <charset val="134"/>
          </rPr>
          <t xml:space="preserve">
0002153 2/27 504pcs华3B16</t>
        </r>
      </text>
    </comment>
    <comment ref="AE65" authorId="0">
      <text>
        <r>
          <rPr>
            <b/>
            <sz val="9"/>
            <rFont val="宋体"/>
            <charset val="134"/>
          </rPr>
          <t>Administrator:</t>
        </r>
        <r>
          <rPr>
            <sz val="9"/>
            <rFont val="宋体"/>
            <charset val="134"/>
          </rPr>
          <t xml:space="preserve">
1/4 上亚马逊外箱贴纸21pcs
1/6 上1号ES回收环保标贴纸504pcs
环保贴纸504pcs
UPC贴纸504pcs
邮箱贴纸504pcs
1/10 上防伪贴纸504pcs
2/20 上胶袋贴纸504pcs
</t>
        </r>
      </text>
    </comment>
    <comment ref="AC66" authorId="0">
      <text>
        <r>
          <rPr>
            <b/>
            <sz val="9"/>
            <rFont val="宋体"/>
            <charset val="134"/>
          </rPr>
          <t>Administrator:</t>
        </r>
        <r>
          <rPr>
            <sz val="9"/>
            <rFont val="宋体"/>
            <charset val="134"/>
          </rPr>
          <t xml:space="preserve">
0000718 2/26 5300pcs华3B10</t>
        </r>
      </text>
    </comment>
    <comment ref="AC67" authorId="0">
      <text>
        <r>
          <rPr>
            <b/>
            <sz val="9"/>
            <rFont val="宋体"/>
            <charset val="134"/>
          </rPr>
          <t>Administrator:</t>
        </r>
        <r>
          <rPr>
            <sz val="9"/>
            <rFont val="宋体"/>
            <charset val="134"/>
          </rPr>
          <t xml:space="preserve">
0000718 2/26 2400pcs华3B14</t>
        </r>
      </text>
    </comment>
    <comment ref="AC68" authorId="0">
      <text>
        <r>
          <rPr>
            <b/>
            <sz val="9"/>
            <rFont val="宋体"/>
            <charset val="134"/>
          </rPr>
          <t>Administrator:</t>
        </r>
        <r>
          <rPr>
            <sz val="9"/>
            <rFont val="宋体"/>
            <charset val="134"/>
          </rPr>
          <t xml:space="preserve">
0000657 2/24 1700pcs华直走</t>
        </r>
      </text>
    </comment>
    <comment ref="AE68" authorId="0">
      <text>
        <r>
          <rPr>
            <b/>
            <sz val="9"/>
            <rFont val="宋体"/>
            <charset val="134"/>
          </rPr>
          <t>Administrator:</t>
        </r>
        <r>
          <rPr>
            <sz val="9"/>
            <rFont val="宋体"/>
            <charset val="134"/>
          </rPr>
          <t xml:space="preserve">
1/14 上保证书1700pcs
2/11 上客供价标贴纸1765pcs
2/14 上进口商贴纸1700pcs
UPC贴纸1700pcs
说明书贴纸1700pcs</t>
        </r>
      </text>
    </comment>
    <comment ref="AC69" authorId="0">
      <text>
        <r>
          <rPr>
            <b/>
            <sz val="9"/>
            <rFont val="宋体"/>
            <charset val="134"/>
          </rPr>
          <t>Administrator:</t>
        </r>
        <r>
          <rPr>
            <sz val="9"/>
            <rFont val="宋体"/>
            <charset val="134"/>
          </rPr>
          <t xml:space="preserve">
0000674 2/21 750pcs华3B13</t>
        </r>
      </text>
    </comment>
    <comment ref="AE69" authorId="0">
      <text>
        <r>
          <rPr>
            <b/>
            <sz val="9"/>
            <rFont val="宋体"/>
            <charset val="134"/>
          </rPr>
          <t>Administrator:</t>
        </r>
        <r>
          <rPr>
            <sz val="9"/>
            <rFont val="宋体"/>
            <charset val="134"/>
          </rPr>
          <t xml:space="preserve">
1/14 上保证书750pcs
2/11 上客供价标贴纸781pcs
2/14 上进口商贴纸750pcs
说明书贴纸750pcs
UPC贴纸750pcs</t>
        </r>
      </text>
    </comment>
    <comment ref="AC70" authorId="0">
      <text>
        <r>
          <rPr>
            <b/>
            <sz val="9"/>
            <rFont val="宋体"/>
            <charset val="134"/>
          </rPr>
          <t>Administrator:</t>
        </r>
        <r>
          <rPr>
            <sz val="9"/>
            <rFont val="宋体"/>
            <charset val="134"/>
          </rPr>
          <t xml:space="preserve">
0002153 2/27 1650pcs华3B17</t>
        </r>
      </text>
    </comment>
    <comment ref="AE70" authorId="0">
      <text>
        <r>
          <rPr>
            <b/>
            <sz val="9"/>
            <rFont val="宋体"/>
            <charset val="134"/>
          </rPr>
          <t>Administrator:</t>
        </r>
        <r>
          <rPr>
            <sz val="9"/>
            <rFont val="宋体"/>
            <charset val="134"/>
          </rPr>
          <t xml:space="preserve">
1/14 上保证书1650pcs
2/14 上进口商贴纸1650pcs
说明书贴纸1650pcs
UPC贴纸1650pcs
2/18 上价标贴纸1710pcs</t>
        </r>
      </text>
    </comment>
    <comment ref="AC71" authorId="0">
      <text>
        <r>
          <rPr>
            <b/>
            <sz val="9"/>
            <rFont val="宋体"/>
            <charset val="134"/>
          </rPr>
          <t>Administrator:</t>
        </r>
        <r>
          <rPr>
            <sz val="9"/>
            <rFont val="宋体"/>
            <charset val="134"/>
          </rPr>
          <t xml:space="preserve">
0002153 2/27 1650pcs华3A27</t>
        </r>
      </text>
    </comment>
    <comment ref="AE71" authorId="0">
      <text>
        <r>
          <rPr>
            <b/>
            <sz val="9"/>
            <rFont val="宋体"/>
            <charset val="134"/>
          </rPr>
          <t>Administrator:</t>
        </r>
        <r>
          <rPr>
            <sz val="9"/>
            <rFont val="宋体"/>
            <charset val="134"/>
          </rPr>
          <t xml:space="preserve">
1/14 上保证书1650pcs
2/14 上进口商贴纸1650pcs
说明书贴纸1650pcs
UPC贴纸1650pcs
2/18 上价标贴纸1710pcs
</t>
        </r>
      </text>
    </comment>
    <comment ref="AC72" authorId="0">
      <text>
        <r>
          <rPr>
            <b/>
            <sz val="9"/>
            <rFont val="宋体"/>
            <charset val="134"/>
          </rPr>
          <t>Administrator:</t>
        </r>
        <r>
          <rPr>
            <sz val="9"/>
            <rFont val="宋体"/>
            <charset val="134"/>
          </rPr>
          <t xml:space="preserve">
0001147 2/28 1352pcs华3B8</t>
        </r>
      </text>
    </comment>
    <comment ref="AE72" authorId="0">
      <text>
        <r>
          <rPr>
            <b/>
            <sz val="9"/>
            <rFont val="宋体"/>
            <charset val="134"/>
          </rPr>
          <t>Administrator:</t>
        </r>
        <r>
          <rPr>
            <sz val="9"/>
            <rFont val="宋体"/>
            <charset val="134"/>
          </rPr>
          <t xml:space="preserve">
1/10 上客户EAN条码贴纸1352pcs
2国语言电池说明书1352pcs
</t>
        </r>
      </text>
    </comment>
    <comment ref="AC73" authorId="0">
      <text>
        <r>
          <rPr>
            <b/>
            <sz val="9"/>
            <rFont val="宋体"/>
            <charset val="134"/>
          </rPr>
          <t>Administrator:</t>
        </r>
        <r>
          <rPr>
            <sz val="9"/>
            <rFont val="宋体"/>
            <charset val="134"/>
          </rPr>
          <t xml:space="preserve">
0001165 3/3 720pcs华3B13</t>
        </r>
      </text>
    </comment>
    <comment ref="AE73" authorId="0">
      <text>
        <r>
          <rPr>
            <b/>
            <sz val="9"/>
            <rFont val="宋体"/>
            <charset val="134"/>
          </rPr>
          <t>Administrator:</t>
        </r>
        <r>
          <rPr>
            <sz val="9"/>
            <rFont val="宋体"/>
            <charset val="134"/>
          </rPr>
          <t xml:space="preserve">
2/10 上这客供防伪贴纸720pcs
2/11 上亚马逊外箱贴纸30pcs
2/14 上ES回收环保标志1号720pcs
邮箱贴纸720pcs
UPC贴纸720pcs
环保贴纸720pcs
2/20 上胶袋贴纸720pcs
3/7 上胶袋贴纸720pcs</t>
        </r>
      </text>
    </comment>
    <comment ref="AC74" authorId="0">
      <text>
        <r>
          <rPr>
            <b/>
            <sz val="9"/>
            <rFont val="宋体"/>
            <charset val="134"/>
          </rPr>
          <t>Administrator:</t>
        </r>
        <r>
          <rPr>
            <sz val="9"/>
            <rFont val="宋体"/>
            <charset val="134"/>
          </rPr>
          <t xml:space="preserve">
0000242 3/5 1000pcs华3B14</t>
        </r>
      </text>
    </comment>
    <comment ref="AE74" authorId="0">
      <text>
        <r>
          <rPr>
            <b/>
            <sz val="9"/>
            <rFont val="宋体"/>
            <charset val="134"/>
          </rPr>
          <t>Administrator:</t>
        </r>
        <r>
          <rPr>
            <sz val="9"/>
            <rFont val="宋体"/>
            <charset val="134"/>
          </rPr>
          <t xml:space="preserve">
2/14 上西班牙环保标贴纸1000pcs
无香味贴纸1000pcs
说明书贴纸1000pcs
纸袋贴纸4000pcs</t>
        </r>
      </text>
    </comment>
    <comment ref="AC75" authorId="0">
      <text>
        <r>
          <rPr>
            <b/>
            <sz val="9"/>
            <rFont val="宋体"/>
            <charset val="134"/>
          </rPr>
          <t>Administrator:</t>
        </r>
        <r>
          <rPr>
            <sz val="9"/>
            <rFont val="宋体"/>
            <charset val="134"/>
          </rPr>
          <t xml:space="preserve">
0001165 3/3 504pcs华3B13</t>
        </r>
      </text>
    </comment>
    <comment ref="AE75" authorId="0">
      <text>
        <r>
          <rPr>
            <b/>
            <sz val="9"/>
            <rFont val="宋体"/>
            <charset val="134"/>
          </rPr>
          <t>Administrator:</t>
        </r>
        <r>
          <rPr>
            <sz val="9"/>
            <rFont val="宋体"/>
            <charset val="134"/>
          </rPr>
          <t xml:space="preserve">
2/17 上警告语贴纸504pcs</t>
        </r>
      </text>
    </comment>
    <comment ref="AC76" authorId="0">
      <text>
        <r>
          <rPr>
            <b/>
            <sz val="9"/>
            <rFont val="宋体"/>
            <charset val="134"/>
          </rPr>
          <t>Administrator:</t>
        </r>
        <r>
          <rPr>
            <sz val="9"/>
            <rFont val="宋体"/>
            <charset val="134"/>
          </rPr>
          <t xml:space="preserve">
0001148 2/28 300pcs华B8</t>
        </r>
      </text>
    </comment>
    <comment ref="AE76" authorId="0">
      <text>
        <r>
          <rPr>
            <b/>
            <sz val="9"/>
            <rFont val="宋体"/>
            <charset val="134"/>
          </rPr>
          <t>Administrator:</t>
        </r>
        <r>
          <rPr>
            <sz val="9"/>
            <rFont val="宋体"/>
            <charset val="134"/>
          </rPr>
          <t xml:space="preserve">
2/18 上西班牙环保标贴纸300pcs</t>
        </r>
      </text>
    </comment>
    <comment ref="AC77" authorId="0">
      <text>
        <r>
          <rPr>
            <b/>
            <sz val="9"/>
            <rFont val="宋体"/>
            <charset val="134"/>
          </rPr>
          <t>Administrator:</t>
        </r>
        <r>
          <rPr>
            <sz val="9"/>
            <rFont val="宋体"/>
            <charset val="134"/>
          </rPr>
          <t xml:space="preserve">
0000242 3/5 1196pcs华3B10</t>
        </r>
      </text>
    </comment>
    <comment ref="AE77" authorId="0">
      <text>
        <r>
          <rPr>
            <b/>
            <sz val="9"/>
            <rFont val="宋体"/>
            <charset val="134"/>
          </rPr>
          <t>Administrator:</t>
        </r>
        <r>
          <rPr>
            <sz val="9"/>
            <rFont val="宋体"/>
            <charset val="134"/>
          </rPr>
          <t xml:space="preserve">
1/17 上客户EAN条码贴纸1196pcs
2国语言电池说明书1196pcs</t>
        </r>
      </text>
    </comment>
    <comment ref="AC78" authorId="0">
      <text>
        <r>
          <rPr>
            <b/>
            <sz val="9"/>
            <rFont val="宋体"/>
            <charset val="134"/>
          </rPr>
          <t>Administrator:</t>
        </r>
        <r>
          <rPr>
            <sz val="9"/>
            <rFont val="宋体"/>
            <charset val="134"/>
          </rPr>
          <t xml:space="preserve">
0000242 3/5 2964pcs华3B8</t>
        </r>
      </text>
    </comment>
    <comment ref="AE78" authorId="0">
      <text>
        <r>
          <rPr>
            <b/>
            <sz val="9"/>
            <rFont val="宋体"/>
            <charset val="134"/>
          </rPr>
          <t>Administrator:</t>
        </r>
        <r>
          <rPr>
            <sz val="9"/>
            <rFont val="宋体"/>
            <charset val="134"/>
          </rPr>
          <t xml:space="preserve">
1/17 上客户EAN条码贴纸2964pcs
2国语言电池说明书2964pcs
</t>
        </r>
      </text>
    </comment>
    <comment ref="AC79" authorId="0">
      <text>
        <r>
          <rPr>
            <b/>
            <sz val="9"/>
            <rFont val="宋体"/>
            <charset val="134"/>
          </rPr>
          <t>Administrator:</t>
        </r>
        <r>
          <rPr>
            <sz val="9"/>
            <rFont val="宋体"/>
            <charset val="134"/>
          </rPr>
          <t xml:space="preserve">
0000134 3/10 6000pcs直走</t>
        </r>
      </text>
    </comment>
    <comment ref="AE79" authorId="0">
      <text>
        <r>
          <rPr>
            <b/>
            <sz val="9"/>
            <rFont val="宋体"/>
            <charset val="134"/>
          </rPr>
          <t>Administrator:</t>
        </r>
        <r>
          <rPr>
            <sz val="9"/>
            <rFont val="宋体"/>
            <charset val="134"/>
          </rPr>
          <t xml:space="preserve">
2/20 上说明书贴纸6000pcs
纸袋贴纸24000pcs
法意西回收贴纸6000pcs
2/21 无香味贴纸6000pcs</t>
        </r>
      </text>
    </comment>
    <comment ref="AC80" authorId="0">
      <text>
        <r>
          <rPr>
            <b/>
            <sz val="9"/>
            <rFont val="宋体"/>
            <charset val="134"/>
          </rPr>
          <t>Administrator:</t>
        </r>
        <r>
          <rPr>
            <sz val="9"/>
            <rFont val="宋体"/>
            <charset val="134"/>
          </rPr>
          <t xml:space="preserve">
0000128 3/10 3000pcs送回空球-收内收缩膜
莫4A6</t>
        </r>
      </text>
    </comment>
    <comment ref="AC81" authorId="0">
      <text>
        <r>
          <rPr>
            <b/>
            <sz val="9"/>
            <rFont val="宋体"/>
            <charset val="134"/>
          </rPr>
          <t>Administrator:</t>
        </r>
        <r>
          <rPr>
            <sz val="9"/>
            <rFont val="宋体"/>
            <charset val="134"/>
          </rPr>
          <t xml:space="preserve">
0000063 3/15 1400pcs华3B14</t>
        </r>
      </text>
    </comment>
    <comment ref="AE81" authorId="0">
      <text>
        <r>
          <rPr>
            <b/>
            <sz val="9"/>
            <rFont val="宋体"/>
            <charset val="134"/>
          </rPr>
          <t>Administrator:</t>
        </r>
        <r>
          <rPr>
            <sz val="9"/>
            <rFont val="宋体"/>
            <charset val="134"/>
          </rPr>
          <t xml:space="preserve">
2/27 上进口商贴纸1400pcs
产品贴纸1400pcs
说明书1400pcs
</t>
        </r>
      </text>
    </comment>
    <comment ref="AC82" authorId="0">
      <text>
        <r>
          <rPr>
            <b/>
            <sz val="9"/>
            <rFont val="宋体"/>
            <charset val="134"/>
          </rPr>
          <t>Administrator:</t>
        </r>
        <r>
          <rPr>
            <sz val="9"/>
            <rFont val="宋体"/>
            <charset val="134"/>
          </rPr>
          <t xml:space="preserve">
0000123 3/12 1800pcs</t>
        </r>
      </text>
    </comment>
    <comment ref="AE82" authorId="0">
      <text>
        <r>
          <rPr>
            <b/>
            <sz val="9"/>
            <rFont val="宋体"/>
            <charset val="134"/>
          </rPr>
          <t>Administrator:</t>
        </r>
        <r>
          <rPr>
            <sz val="9"/>
            <rFont val="宋体"/>
            <charset val="134"/>
          </rPr>
          <t xml:space="preserve">
2/14 上警语贴纸1800pcs</t>
        </r>
      </text>
    </comment>
    <comment ref="AC83" authorId="0">
      <text>
        <r>
          <rPr>
            <b/>
            <sz val="9"/>
            <rFont val="宋体"/>
            <charset val="134"/>
          </rPr>
          <t>Administrator:</t>
        </r>
        <r>
          <rPr>
            <sz val="9"/>
            <rFont val="宋体"/>
            <charset val="134"/>
          </rPr>
          <t xml:space="preserve">
0000119 3/14 3204pcs华3B16</t>
        </r>
      </text>
    </comment>
    <comment ref="AE83" authorId="0">
      <text>
        <r>
          <rPr>
            <b/>
            <sz val="9"/>
            <rFont val="宋体"/>
            <charset val="134"/>
          </rPr>
          <t>Administrator:</t>
        </r>
        <r>
          <rPr>
            <sz val="9"/>
            <rFont val="宋体"/>
            <charset val="134"/>
          </rPr>
          <t xml:space="preserve">
2/27 上UPC贴纸3204pcs</t>
        </r>
      </text>
    </comment>
    <comment ref="AC84" authorId="0">
      <text>
        <r>
          <rPr>
            <b/>
            <sz val="9"/>
            <rFont val="宋体"/>
            <charset val="134"/>
          </rPr>
          <t>Administrator:</t>
        </r>
        <r>
          <rPr>
            <sz val="9"/>
            <rFont val="宋体"/>
            <charset val="134"/>
          </rPr>
          <t xml:space="preserve">
0000119 3/14 1332pcs华3B16</t>
        </r>
      </text>
    </comment>
    <comment ref="AE84" authorId="0">
      <text>
        <r>
          <rPr>
            <b/>
            <sz val="9"/>
            <rFont val="宋体"/>
            <charset val="134"/>
          </rPr>
          <t>Administrator:</t>
        </r>
        <r>
          <rPr>
            <sz val="9"/>
            <rFont val="宋体"/>
            <charset val="134"/>
          </rPr>
          <t xml:space="preserve">
2/27 上亚马逊外箱贴纸111pcs</t>
        </r>
      </text>
    </comment>
    <comment ref="AC85" authorId="0">
      <text>
        <r>
          <rPr>
            <b/>
            <sz val="9"/>
            <rFont val="宋体"/>
            <charset val="134"/>
          </rPr>
          <t>Administrator:</t>
        </r>
        <r>
          <rPr>
            <sz val="9"/>
            <rFont val="宋体"/>
            <charset val="134"/>
          </rPr>
          <t xml:space="preserve">
0000063 3/15 700pcs华3B14</t>
        </r>
      </text>
    </comment>
    <comment ref="AE85" authorId="0">
      <text>
        <r>
          <rPr>
            <b/>
            <sz val="9"/>
            <rFont val="宋体"/>
            <charset val="134"/>
          </rPr>
          <t>Administrator:</t>
        </r>
        <r>
          <rPr>
            <sz val="9"/>
            <rFont val="宋体"/>
            <charset val="134"/>
          </rPr>
          <t xml:space="preserve">
3/7 上UPC贴纸700pcs</t>
        </r>
      </text>
    </comment>
    <comment ref="AC86" authorId="0">
      <text>
        <r>
          <rPr>
            <b/>
            <sz val="9"/>
            <rFont val="宋体"/>
            <charset val="134"/>
          </rPr>
          <t>Administrator:</t>
        </r>
        <r>
          <rPr>
            <sz val="9"/>
            <rFont val="宋体"/>
            <charset val="134"/>
          </rPr>
          <t xml:space="preserve">
0000055 3/18 504pcs莫4A1</t>
        </r>
      </text>
    </comment>
    <comment ref="AE86" authorId="0">
      <text>
        <r>
          <rPr>
            <b/>
            <sz val="9"/>
            <rFont val="宋体"/>
            <charset val="134"/>
          </rPr>
          <t>Administrator:</t>
        </r>
        <r>
          <rPr>
            <sz val="9"/>
            <rFont val="宋体"/>
            <charset val="134"/>
          </rPr>
          <t xml:space="preserve">
2/27 上客供价格贴纸530pcs</t>
        </r>
      </text>
    </comment>
    <comment ref="AC87" authorId="0">
      <text>
        <r>
          <rPr>
            <b/>
            <sz val="9"/>
            <rFont val="宋体"/>
            <charset val="134"/>
          </rPr>
          <t>Administrator:</t>
        </r>
        <r>
          <rPr>
            <sz val="9"/>
            <rFont val="宋体"/>
            <charset val="134"/>
          </rPr>
          <t xml:space="preserve">
0000055 3/18 804pcs莫4B9</t>
        </r>
      </text>
    </comment>
    <comment ref="AE87" authorId="0">
      <text>
        <r>
          <rPr>
            <b/>
            <sz val="9"/>
            <rFont val="宋体"/>
            <charset val="134"/>
          </rPr>
          <t>Administrator:</t>
        </r>
        <r>
          <rPr>
            <sz val="9"/>
            <rFont val="宋体"/>
            <charset val="134"/>
          </rPr>
          <t xml:space="preserve">
3/4 上空白贴纸1608pcs
3/6 上客供价格贴纸885pcs</t>
        </r>
      </text>
    </comment>
    <comment ref="AC88" authorId="0">
      <text>
        <r>
          <rPr>
            <b/>
            <sz val="9"/>
            <rFont val="宋体"/>
            <charset val="134"/>
          </rPr>
          <t>Administrator:</t>
        </r>
        <r>
          <rPr>
            <sz val="9"/>
            <rFont val="宋体"/>
            <charset val="134"/>
          </rPr>
          <t xml:space="preserve">
0000055 3/18 600pcs4C7</t>
        </r>
      </text>
    </comment>
    <comment ref="AE88" authorId="0">
      <text>
        <r>
          <rPr>
            <b/>
            <sz val="9"/>
            <rFont val="宋体"/>
            <charset val="134"/>
          </rPr>
          <t>Administrator:</t>
        </r>
        <r>
          <rPr>
            <sz val="9"/>
            <rFont val="宋体"/>
            <charset val="134"/>
          </rPr>
          <t xml:space="preserve">
3/4 上空白贴纸1200pcs
3/5 上客供价格贴纸660pcs
</t>
        </r>
      </text>
    </comment>
    <comment ref="AC89" authorId="0">
      <text>
        <r>
          <rPr>
            <b/>
            <sz val="9"/>
            <rFont val="宋体"/>
            <charset val="134"/>
          </rPr>
          <t>Administrator:</t>
        </r>
        <r>
          <rPr>
            <sz val="9"/>
            <rFont val="宋体"/>
            <charset val="134"/>
          </rPr>
          <t xml:space="preserve">
0001570 3/25 364pcs华3B14</t>
        </r>
      </text>
    </comment>
    <comment ref="AE89" authorId="0">
      <text>
        <r>
          <rPr>
            <b/>
            <sz val="9"/>
            <rFont val="宋体"/>
            <charset val="134"/>
          </rPr>
          <t>Administrator:</t>
        </r>
        <r>
          <rPr>
            <sz val="9"/>
            <rFont val="宋体"/>
            <charset val="134"/>
          </rPr>
          <t xml:space="preserve">
3/13 上地址贴纸364pcs
警告语贴纸364pcs
收藏指南无香味贴纸364pcs</t>
        </r>
      </text>
    </comment>
    <comment ref="AC90" authorId="0">
      <text>
        <r>
          <rPr>
            <b/>
            <sz val="9"/>
            <rFont val="宋体"/>
            <charset val="134"/>
          </rPr>
          <t>Administrator:</t>
        </r>
        <r>
          <rPr>
            <sz val="9"/>
            <rFont val="宋体"/>
            <charset val="134"/>
          </rPr>
          <t xml:space="preserve">
0000820 3/29 504pcs华3B14</t>
        </r>
      </text>
    </comment>
    <comment ref="AE90" authorId="0">
      <text>
        <r>
          <rPr>
            <b/>
            <sz val="9"/>
            <rFont val="宋体"/>
            <charset val="134"/>
          </rPr>
          <t>Administrator:</t>
        </r>
        <r>
          <rPr>
            <sz val="9"/>
            <rFont val="宋体"/>
            <charset val="134"/>
          </rPr>
          <t xml:space="preserve">
3/5 上客供价格贴纸530pcs
</t>
        </r>
      </text>
    </comment>
    <comment ref="AC91" authorId="0">
      <text>
        <r>
          <rPr>
            <b/>
            <sz val="9"/>
            <rFont val="宋体"/>
            <charset val="134"/>
          </rPr>
          <t>Administrator:</t>
        </r>
        <r>
          <rPr>
            <sz val="9"/>
            <rFont val="宋体"/>
            <charset val="134"/>
          </rPr>
          <t xml:space="preserve">
0001910 4/2 416pcs华3B14</t>
        </r>
      </text>
    </comment>
    <comment ref="AC92" authorId="0">
      <text>
        <r>
          <rPr>
            <b/>
            <sz val="9"/>
            <rFont val="宋体"/>
            <charset val="134"/>
          </rPr>
          <t>Administrator:</t>
        </r>
        <r>
          <rPr>
            <sz val="9"/>
            <rFont val="宋体"/>
            <charset val="134"/>
          </rPr>
          <t xml:space="preserve">
0001839 4/8 600pcs华3B8</t>
        </r>
      </text>
    </comment>
    <comment ref="AE92" authorId="0">
      <text>
        <r>
          <rPr>
            <b/>
            <sz val="9"/>
            <rFont val="宋体"/>
            <charset val="134"/>
          </rPr>
          <t>Administrator:</t>
        </r>
        <r>
          <rPr>
            <sz val="9"/>
            <rFont val="宋体"/>
            <charset val="134"/>
          </rPr>
          <t xml:space="preserve">
3/27 上UPC贴纸600pcs
  进口商贴纸600pcs</t>
        </r>
      </text>
    </comment>
    <comment ref="AC93" authorId="0">
      <text>
        <r>
          <rPr>
            <b/>
            <sz val="9"/>
            <rFont val="宋体"/>
            <charset val="134"/>
          </rPr>
          <t>Administrator:</t>
        </r>
        <r>
          <rPr>
            <sz val="9"/>
            <rFont val="宋体"/>
            <charset val="134"/>
          </rPr>
          <t xml:space="preserve">
0001839 4/8 1100pcs华3B8</t>
        </r>
      </text>
    </comment>
    <comment ref="AE93" authorId="0">
      <text>
        <r>
          <rPr>
            <b/>
            <sz val="9"/>
            <rFont val="宋体"/>
            <charset val="134"/>
          </rPr>
          <t>Administrator:</t>
        </r>
        <r>
          <rPr>
            <sz val="9"/>
            <rFont val="宋体"/>
            <charset val="134"/>
          </rPr>
          <t xml:space="preserve">
3/27 上UPC贴纸1100pcs
  进口商贴纸1100pcs
</t>
        </r>
      </text>
    </comment>
    <comment ref="AC94" authorId="0">
      <text>
        <r>
          <rPr>
            <b/>
            <sz val="9"/>
            <rFont val="宋体"/>
            <charset val="134"/>
          </rPr>
          <t>Administrator:</t>
        </r>
        <r>
          <rPr>
            <sz val="9"/>
            <rFont val="宋体"/>
            <charset val="134"/>
          </rPr>
          <t xml:space="preserve">
0001839 4/8 1500pcs华3B8</t>
        </r>
      </text>
    </comment>
    <comment ref="AE94" authorId="0">
      <text>
        <r>
          <rPr>
            <b/>
            <sz val="9"/>
            <rFont val="宋体"/>
            <charset val="134"/>
          </rPr>
          <t>Administrator:</t>
        </r>
        <r>
          <rPr>
            <sz val="9"/>
            <rFont val="宋体"/>
            <charset val="134"/>
          </rPr>
          <t xml:space="preserve">
3/27 上UPC贴纸1500pcs
  进口商贴纸1500pcs
</t>
        </r>
      </text>
    </comment>
    <comment ref="AC95" authorId="0">
      <text>
        <r>
          <rPr>
            <b/>
            <sz val="9"/>
            <rFont val="宋体"/>
            <charset val="134"/>
          </rPr>
          <t>Administrator:</t>
        </r>
        <r>
          <rPr>
            <sz val="9"/>
            <rFont val="宋体"/>
            <charset val="134"/>
          </rPr>
          <t xml:space="preserve">
0001839 4/8 400pcs华3B8</t>
        </r>
      </text>
    </comment>
    <comment ref="AE95" authorId="0">
      <text>
        <r>
          <rPr>
            <b/>
            <sz val="9"/>
            <rFont val="宋体"/>
            <charset val="134"/>
          </rPr>
          <t>Administrator:</t>
        </r>
        <r>
          <rPr>
            <sz val="9"/>
            <rFont val="宋体"/>
            <charset val="134"/>
          </rPr>
          <t xml:space="preserve">
3/27 上UPC贴纸400pcs
  进口商贴纸400pcs
</t>
        </r>
      </text>
    </comment>
    <comment ref="AC96" authorId="0">
      <text>
        <r>
          <rPr>
            <b/>
            <sz val="9"/>
            <rFont val="宋体"/>
            <charset val="134"/>
          </rPr>
          <t>Administrator:</t>
        </r>
        <r>
          <rPr>
            <sz val="9"/>
            <rFont val="宋体"/>
            <charset val="134"/>
          </rPr>
          <t xml:space="preserve">
0000788 4/8 1008pcs华3B15</t>
        </r>
      </text>
    </comment>
    <comment ref="AE96" authorId="0">
      <text>
        <r>
          <rPr>
            <b/>
            <sz val="9"/>
            <rFont val="宋体"/>
            <charset val="134"/>
          </rPr>
          <t>Administrator:</t>
        </r>
        <r>
          <rPr>
            <sz val="9"/>
            <rFont val="宋体"/>
            <charset val="134"/>
          </rPr>
          <t xml:space="preserve">
3/5 上客供价格贴纸1059pcs</t>
        </r>
      </text>
    </comment>
    <comment ref="AC97" authorId="0">
      <text>
        <r>
          <rPr>
            <b/>
            <sz val="9"/>
            <rFont val="宋体"/>
            <charset val="134"/>
          </rPr>
          <t>Administrator:</t>
        </r>
        <r>
          <rPr>
            <sz val="9"/>
            <rFont val="宋体"/>
            <charset val="134"/>
          </rPr>
          <t xml:space="preserve">
0001686 4/15 444pcs华3B16</t>
        </r>
      </text>
    </comment>
    <comment ref="AE97" authorId="0">
      <text>
        <r>
          <rPr>
            <b/>
            <sz val="9"/>
            <rFont val="宋体"/>
            <charset val="134"/>
          </rPr>
          <t>Administrator:</t>
        </r>
        <r>
          <rPr>
            <sz val="9"/>
            <rFont val="宋体"/>
            <charset val="134"/>
          </rPr>
          <t xml:space="preserve">
3/31 上客供价格贴纸489pcs</t>
        </r>
      </text>
    </comment>
    <comment ref="AC98" authorId="0">
      <text>
        <r>
          <rPr>
            <b/>
            <sz val="9"/>
            <rFont val="宋体"/>
            <charset val="134"/>
          </rPr>
          <t>Administrator:</t>
        </r>
        <r>
          <rPr>
            <sz val="9"/>
            <rFont val="宋体"/>
            <charset val="134"/>
          </rPr>
          <t xml:space="preserve">
0001658 4/16 156pcs华3B14</t>
        </r>
      </text>
    </comment>
    <comment ref="AE98" authorId="0">
      <text>
        <r>
          <rPr>
            <b/>
            <sz val="9"/>
            <rFont val="宋体"/>
            <charset val="134"/>
          </rPr>
          <t>Administrator:</t>
        </r>
        <r>
          <rPr>
            <sz val="9"/>
            <rFont val="宋体"/>
            <charset val="134"/>
          </rPr>
          <t xml:space="preserve">
3/31 上客供价格贴纸156pcs
</t>
        </r>
      </text>
    </comment>
    <comment ref="AC99" authorId="0">
      <text>
        <r>
          <rPr>
            <b/>
            <sz val="9"/>
            <rFont val="宋体"/>
            <charset val="134"/>
          </rPr>
          <t>Administrator:</t>
        </r>
        <r>
          <rPr>
            <sz val="9"/>
            <rFont val="宋体"/>
            <charset val="134"/>
          </rPr>
          <t xml:space="preserve">
0001658 4/16 400pcs华3B7</t>
        </r>
      </text>
    </comment>
    <comment ref="AE99" authorId="0">
      <text>
        <r>
          <rPr>
            <b/>
            <sz val="9"/>
            <rFont val="宋体"/>
            <charset val="134"/>
          </rPr>
          <t>Administrator:</t>
        </r>
        <r>
          <rPr>
            <sz val="9"/>
            <rFont val="宋体"/>
            <charset val="134"/>
          </rPr>
          <t xml:space="preserve">
1/1 上UPC贴纸400pcs</t>
        </r>
      </text>
    </comment>
    <comment ref="AC100" authorId="0">
      <text>
        <r>
          <rPr>
            <b/>
            <sz val="9"/>
            <rFont val="宋体"/>
            <charset val="134"/>
          </rPr>
          <t>Administrator:</t>
        </r>
        <r>
          <rPr>
            <sz val="9"/>
            <rFont val="宋体"/>
            <charset val="134"/>
          </rPr>
          <t xml:space="preserve">
0001638 4/23 504pcs华3B8</t>
        </r>
      </text>
    </comment>
    <comment ref="AE100" authorId="0">
      <text>
        <r>
          <rPr>
            <b/>
            <sz val="9"/>
            <rFont val="宋体"/>
            <charset val="134"/>
          </rPr>
          <t>Administrator:</t>
        </r>
        <r>
          <rPr>
            <sz val="9"/>
            <rFont val="宋体"/>
            <charset val="134"/>
          </rPr>
          <t xml:space="preserve">
4/14 上UPC条码贴纸1116pcs
以上三个同PO共用</t>
        </r>
      </text>
    </comment>
    <comment ref="AC101" authorId="0">
      <text>
        <r>
          <rPr>
            <b/>
            <sz val="9"/>
            <rFont val="宋体"/>
            <charset val="134"/>
          </rPr>
          <t>Administrator:</t>
        </r>
        <r>
          <rPr>
            <sz val="9"/>
            <rFont val="宋体"/>
            <charset val="134"/>
          </rPr>
          <t xml:space="preserve">
0001638 4/23 312pcs
华3B8</t>
        </r>
      </text>
    </comment>
    <comment ref="AC102" authorId="0">
      <text>
        <r>
          <rPr>
            <b/>
            <sz val="9"/>
            <rFont val="宋体"/>
            <charset val="134"/>
          </rPr>
          <t>Administrator:</t>
        </r>
        <r>
          <rPr>
            <sz val="9"/>
            <rFont val="宋体"/>
            <charset val="134"/>
          </rPr>
          <t xml:space="preserve">
0001638 4/23 300pcs
华3B8</t>
        </r>
      </text>
    </comment>
    <comment ref="AC103" authorId="0">
      <text>
        <r>
          <rPr>
            <b/>
            <sz val="9"/>
            <rFont val="宋体"/>
            <charset val="134"/>
          </rPr>
          <t>Administrator:</t>
        </r>
        <r>
          <rPr>
            <sz val="9"/>
            <rFont val="宋体"/>
            <charset val="134"/>
          </rPr>
          <t xml:space="preserve">
0001638 4/23 552pcs
华3B8</t>
        </r>
      </text>
    </comment>
    <comment ref="AE103" authorId="0">
      <text>
        <r>
          <rPr>
            <b/>
            <sz val="9"/>
            <rFont val="宋体"/>
            <charset val="134"/>
          </rPr>
          <t>Administrator:</t>
        </r>
        <r>
          <rPr>
            <sz val="9"/>
            <rFont val="宋体"/>
            <charset val="134"/>
          </rPr>
          <t xml:space="preserve">
3/24 上客供防伪贴纸558pcs
3/27 上ES回收环保标志1号552pcs
邮箱贴纸552pcs
 环保标贴纸552pcs
 UPC贴纸552pcs
4/9 上亚马逊外箱贴纸23pcs</t>
        </r>
      </text>
    </comment>
    <comment ref="AC104" authorId="0">
      <text>
        <r>
          <rPr>
            <b/>
            <sz val="9"/>
            <rFont val="宋体"/>
            <charset val="134"/>
          </rPr>
          <t>Administrator:</t>
        </r>
        <r>
          <rPr>
            <sz val="9"/>
            <rFont val="宋体"/>
            <charset val="134"/>
          </rPr>
          <t xml:space="preserve">
0001602 4/25 150pcs华3B14</t>
        </r>
      </text>
    </comment>
    <comment ref="AE104" authorId="0">
      <text>
        <r>
          <rPr>
            <b/>
            <sz val="9"/>
            <rFont val="宋体"/>
            <charset val="134"/>
          </rPr>
          <t>Administrator:</t>
        </r>
        <r>
          <rPr>
            <sz val="9"/>
            <rFont val="宋体"/>
            <charset val="134"/>
          </rPr>
          <t xml:space="preserve">
4/9 上UPC贴纸150pcs</t>
        </r>
      </text>
    </comment>
    <comment ref="AC105" authorId="0">
      <text>
        <r>
          <rPr>
            <b/>
            <sz val="9"/>
            <rFont val="宋体"/>
            <charset val="134"/>
          </rPr>
          <t>Administrator:</t>
        </r>
        <r>
          <rPr>
            <sz val="9"/>
            <rFont val="宋体"/>
            <charset val="134"/>
          </rPr>
          <t xml:space="preserve">
0001666 4/18 804pcs华3B1</t>
        </r>
      </text>
    </comment>
    <comment ref="AE105" authorId="0">
      <text>
        <r>
          <rPr>
            <b/>
            <sz val="9"/>
            <rFont val="宋体"/>
            <charset val="134"/>
          </rPr>
          <t>Administrator:</t>
        </r>
        <r>
          <rPr>
            <sz val="9"/>
            <rFont val="宋体"/>
            <charset val="134"/>
          </rPr>
          <t xml:space="preserve">
3/4 上空白贴纸1608pcs
4/1 上客供价格贴纸885pcs</t>
        </r>
      </text>
    </comment>
    <comment ref="AC106" authorId="0">
      <text>
        <r>
          <rPr>
            <b/>
            <sz val="9"/>
            <rFont val="宋体"/>
            <charset val="134"/>
          </rPr>
          <t>Administrator:</t>
        </r>
        <r>
          <rPr>
            <sz val="9"/>
            <rFont val="宋体"/>
            <charset val="134"/>
          </rPr>
          <t xml:space="preserve">
0001666 4/18 600pcs华3B1</t>
        </r>
      </text>
    </comment>
    <comment ref="AE106" authorId="0">
      <text>
        <r>
          <rPr>
            <b/>
            <sz val="9"/>
            <rFont val="宋体"/>
            <charset val="134"/>
          </rPr>
          <t>Administrator:</t>
        </r>
        <r>
          <rPr>
            <sz val="9"/>
            <rFont val="宋体"/>
            <charset val="134"/>
          </rPr>
          <t xml:space="preserve">
3/4 上空白贴纸1200pcs
4/7 上客供价格贴纸660pcs</t>
        </r>
      </text>
    </comment>
    <comment ref="AC107" authorId="0">
      <text>
        <r>
          <rPr>
            <b/>
            <sz val="9"/>
            <rFont val="宋体"/>
            <charset val="134"/>
          </rPr>
          <t>Administrator:</t>
        </r>
        <r>
          <rPr>
            <sz val="9"/>
            <rFont val="宋体"/>
            <charset val="134"/>
          </rPr>
          <t xml:space="preserve">
2001016 5/20 165pcs王付建 一C6</t>
        </r>
      </text>
    </comment>
    <comment ref="AC108" authorId="0">
      <text>
        <r>
          <rPr>
            <b/>
            <sz val="9"/>
            <rFont val="宋体"/>
            <charset val="134"/>
          </rPr>
          <t>Administrator:</t>
        </r>
        <r>
          <rPr>
            <sz val="9"/>
            <rFont val="宋体"/>
            <charset val="134"/>
          </rPr>
          <t xml:space="preserve">
2001115 5/10 2418pcs华3B15</t>
        </r>
      </text>
    </comment>
    <comment ref="AC109" authorId="0">
      <text>
        <r>
          <rPr>
            <b/>
            <sz val="9"/>
            <rFont val="宋体"/>
            <charset val="134"/>
          </rPr>
          <t>Administrator:</t>
        </r>
        <r>
          <rPr>
            <sz val="9"/>
            <rFont val="宋体"/>
            <charset val="134"/>
          </rPr>
          <t xml:space="preserve">
2001115 5/10 4628pcs华3B15</t>
        </r>
      </text>
    </comment>
    <comment ref="AC110" authorId="0">
      <text>
        <r>
          <rPr>
            <b/>
            <sz val="9"/>
            <rFont val="宋体"/>
            <charset val="134"/>
          </rPr>
          <t>Administrator:</t>
        </r>
        <r>
          <rPr>
            <sz val="9"/>
            <rFont val="宋体"/>
            <charset val="134"/>
          </rPr>
          <t xml:space="preserve">
2001212 5/14 1450pcs</t>
        </r>
      </text>
    </comment>
    <comment ref="AC111" authorId="0">
      <text>
        <r>
          <rPr>
            <b/>
            <sz val="9"/>
            <rFont val="宋体"/>
            <charset val="134"/>
          </rPr>
          <t>Administrator:</t>
        </r>
        <r>
          <rPr>
            <sz val="9"/>
            <rFont val="宋体"/>
            <charset val="134"/>
          </rPr>
          <t xml:space="preserve">
2001198 5/14 3000pcs</t>
        </r>
      </text>
    </comment>
    <comment ref="AE111" authorId="0">
      <text>
        <r>
          <rPr>
            <b/>
            <sz val="9"/>
            <rFont val="宋体"/>
            <charset val="134"/>
          </rPr>
          <t>Administrator:</t>
        </r>
        <r>
          <rPr>
            <sz val="9"/>
            <rFont val="宋体"/>
            <charset val="134"/>
          </rPr>
          <t xml:space="preserve">
4/21 上UPC贴纸3000pcs</t>
        </r>
      </text>
    </comment>
    <comment ref="AC112" authorId="0">
      <text>
        <r>
          <rPr>
            <b/>
            <sz val="9"/>
            <rFont val="宋体"/>
            <charset val="134"/>
          </rPr>
          <t>Administrator:</t>
        </r>
        <r>
          <rPr>
            <sz val="9"/>
            <rFont val="宋体"/>
            <charset val="134"/>
          </rPr>
          <t xml:space="preserve">
0000687 2/14 504pcs华3B14</t>
        </r>
      </text>
    </comment>
    <comment ref="AE112" authorId="0">
      <text>
        <r>
          <rPr>
            <b/>
            <sz val="9"/>
            <rFont val="宋体"/>
            <charset val="134"/>
          </rPr>
          <t>Administrator:</t>
        </r>
        <r>
          <rPr>
            <sz val="9"/>
            <rFont val="宋体"/>
            <charset val="134"/>
          </rPr>
          <t xml:space="preserve">
2/7 上客供价格贴纸530pcs</t>
        </r>
      </text>
    </comment>
    <comment ref="AC113" authorId="0">
      <text>
        <r>
          <rPr>
            <b/>
            <sz val="9"/>
            <rFont val="宋体"/>
            <charset val="134"/>
          </rPr>
          <t>Administrator:</t>
        </r>
        <r>
          <rPr>
            <sz val="9"/>
            <rFont val="宋体"/>
            <charset val="134"/>
          </rPr>
          <t xml:space="preserve">
2000980 5/17 234pcs莫4C8</t>
        </r>
      </text>
    </comment>
    <comment ref="AE113" authorId="0">
      <text>
        <r>
          <rPr>
            <b/>
            <sz val="9"/>
            <rFont val="宋体"/>
            <charset val="134"/>
          </rPr>
          <t>Administrator:</t>
        </r>
        <r>
          <rPr>
            <sz val="9"/>
            <rFont val="宋体"/>
            <charset val="134"/>
          </rPr>
          <t xml:space="preserve">
4/25 上警语贴纸234pcs
北欧六语通用带电池出货黑白电池说明书234pcs
5/6 上无香味贴纸234pcs</t>
        </r>
      </text>
    </comment>
    <comment ref="AC114" authorId="0">
      <text>
        <r>
          <rPr>
            <b/>
            <sz val="9"/>
            <rFont val="宋体"/>
            <charset val="134"/>
          </rPr>
          <t>Administrator:</t>
        </r>
        <r>
          <rPr>
            <sz val="9"/>
            <rFont val="宋体"/>
            <charset val="134"/>
          </rPr>
          <t xml:space="preserve">
2000937 5/14 1104pcs华3B8</t>
        </r>
      </text>
    </comment>
    <comment ref="AE114" authorId="0">
      <text>
        <r>
          <rPr>
            <b/>
            <sz val="9"/>
            <rFont val="宋体"/>
            <charset val="134"/>
          </rPr>
          <t>Administrator:</t>
        </r>
        <r>
          <rPr>
            <sz val="9"/>
            <rFont val="宋体"/>
            <charset val="134"/>
          </rPr>
          <t xml:space="preserve">
4/30 上UPC贴纸1104pcs</t>
        </r>
      </text>
    </comment>
    <comment ref="AC115" authorId="0">
      <text>
        <r>
          <rPr>
            <b/>
            <sz val="9"/>
            <rFont val="宋体"/>
            <charset val="134"/>
          </rPr>
          <t>Administrator:</t>
        </r>
        <r>
          <rPr>
            <sz val="9"/>
            <rFont val="宋体"/>
            <charset val="134"/>
          </rPr>
          <t xml:space="preserve">
2000859 5/21 360pcs华3B11</t>
        </r>
      </text>
    </comment>
    <comment ref="AE115" authorId="0">
      <text>
        <r>
          <rPr>
            <b/>
            <sz val="9"/>
            <rFont val="宋体"/>
            <charset val="134"/>
          </rPr>
          <t>Administrator:</t>
        </r>
        <r>
          <rPr>
            <sz val="9"/>
            <rFont val="宋体"/>
            <charset val="134"/>
          </rPr>
          <t xml:space="preserve">
5/9 上进口商贴纸360pcs
展示架贴纸12pcs</t>
        </r>
      </text>
    </comment>
    <comment ref="AC116" authorId="0">
      <text>
        <r>
          <rPr>
            <b/>
            <sz val="9"/>
            <rFont val="宋体"/>
            <charset val="134"/>
          </rPr>
          <t>Administrator:</t>
        </r>
        <r>
          <rPr>
            <sz val="9"/>
            <rFont val="宋体"/>
            <charset val="134"/>
          </rPr>
          <t xml:space="preserve">
0001408 5/23 1000pcs华3B4</t>
        </r>
      </text>
    </comment>
    <comment ref="AE116" authorId="0">
      <text>
        <r>
          <rPr>
            <b/>
            <sz val="9"/>
            <rFont val="宋体"/>
            <charset val="134"/>
          </rPr>
          <t>Administrator:</t>
        </r>
        <r>
          <rPr>
            <sz val="9"/>
            <rFont val="宋体"/>
            <charset val="134"/>
          </rPr>
          <t xml:space="preserve">
5/6 上进口商贴纸1000pcs</t>
        </r>
      </text>
    </comment>
    <comment ref="AC117" authorId="0">
      <text>
        <r>
          <rPr>
            <b/>
            <sz val="9"/>
            <rFont val="宋体"/>
            <charset val="134"/>
          </rPr>
          <t>Administrator:</t>
        </r>
        <r>
          <rPr>
            <sz val="9"/>
            <rFont val="宋体"/>
            <charset val="134"/>
          </rPr>
          <t xml:space="preserve">
2001132 5/10 3000pcs空球壳莫4A5</t>
        </r>
      </text>
    </comment>
    <comment ref="AC118" authorId="0">
      <text>
        <r>
          <rPr>
            <b/>
            <sz val="9"/>
            <rFont val="宋体"/>
            <charset val="134"/>
          </rPr>
          <t>Administrator:</t>
        </r>
        <r>
          <rPr>
            <sz val="9"/>
            <rFont val="宋体"/>
            <charset val="134"/>
          </rPr>
          <t xml:space="preserve">
2000783 5/24 504pcs华3B9</t>
        </r>
      </text>
    </comment>
    <comment ref="AE118" authorId="0">
      <text>
        <r>
          <rPr>
            <b/>
            <sz val="9"/>
            <rFont val="宋体"/>
            <charset val="134"/>
          </rPr>
          <t>Administrator:</t>
        </r>
        <r>
          <rPr>
            <sz val="9"/>
            <rFont val="宋体"/>
            <charset val="134"/>
          </rPr>
          <t xml:space="preserve">
4/25 上客供亚马逊外箱贴纸21pcs
5/12 说明书纽扣电池警告语贴纸504pcs
包装纽扣警告语贴纸504pcs
 客供防伪贴纸504pcs</t>
        </r>
      </text>
    </comment>
    <comment ref="AC119" authorId="0">
      <text>
        <r>
          <rPr>
            <b/>
            <sz val="9"/>
            <rFont val="宋体"/>
            <charset val="134"/>
          </rPr>
          <t>Administrator:</t>
        </r>
        <r>
          <rPr>
            <sz val="9"/>
            <rFont val="宋体"/>
            <charset val="134"/>
          </rPr>
          <t xml:space="preserve">
2000783 5/24 48pcs
华3B8</t>
        </r>
      </text>
    </comment>
    <comment ref="AE119" authorId="0">
      <text>
        <r>
          <rPr>
            <b/>
            <sz val="9"/>
            <rFont val="宋体"/>
            <charset val="134"/>
          </rPr>
          <t>Administrator:</t>
        </r>
        <r>
          <rPr>
            <sz val="9"/>
            <rFont val="宋体"/>
            <charset val="134"/>
          </rPr>
          <t xml:space="preserve">
5/12 上UPC贴纸216pcs
六个同PO共用
客供亚马逊外箱贴纸9pcs
六个同PO共用
5/17 上客供防伪贴纸48pcs</t>
        </r>
      </text>
    </comment>
    <comment ref="AC120" authorId="0">
      <text>
        <r>
          <rPr>
            <b/>
            <sz val="9"/>
            <rFont val="宋体"/>
            <charset val="134"/>
          </rPr>
          <t>Administrator:</t>
        </r>
        <r>
          <rPr>
            <sz val="9"/>
            <rFont val="宋体"/>
            <charset val="134"/>
          </rPr>
          <t xml:space="preserve">
2000783 5/24 48pcs
华3B8</t>
        </r>
      </text>
    </comment>
    <comment ref="AE120" authorId="0">
      <text>
        <r>
          <rPr>
            <b/>
            <sz val="9"/>
            <rFont val="宋体"/>
            <charset val="134"/>
          </rPr>
          <t>Administrator:</t>
        </r>
        <r>
          <rPr>
            <sz val="9"/>
            <rFont val="宋体"/>
            <charset val="134"/>
          </rPr>
          <t xml:space="preserve">
5/17 上客供防伪贴纸48pcs
</t>
        </r>
      </text>
    </comment>
    <comment ref="AC121" authorId="0">
      <text>
        <r>
          <rPr>
            <b/>
            <sz val="9"/>
            <rFont val="宋体"/>
            <charset val="134"/>
          </rPr>
          <t>Administrator:</t>
        </r>
        <r>
          <rPr>
            <sz val="9"/>
            <rFont val="宋体"/>
            <charset val="134"/>
          </rPr>
          <t xml:space="preserve">
2000783 5/24 24pcs
华3B8</t>
        </r>
      </text>
    </comment>
    <comment ref="AE121" authorId="0">
      <text>
        <r>
          <rPr>
            <b/>
            <sz val="9"/>
            <rFont val="宋体"/>
            <charset val="134"/>
          </rPr>
          <t>Administrator:</t>
        </r>
        <r>
          <rPr>
            <sz val="9"/>
            <rFont val="宋体"/>
            <charset val="134"/>
          </rPr>
          <t xml:space="preserve">
5/17 上客供防伪贴纸24pcs
</t>
        </r>
      </text>
    </comment>
    <comment ref="AC122" authorId="0">
      <text>
        <r>
          <rPr>
            <b/>
            <sz val="9"/>
            <rFont val="宋体"/>
            <charset val="134"/>
          </rPr>
          <t>Administrator:</t>
        </r>
        <r>
          <rPr>
            <sz val="9"/>
            <rFont val="宋体"/>
            <charset val="134"/>
          </rPr>
          <t xml:space="preserve">
2000783 5/24 24pcs
华3B8</t>
        </r>
      </text>
    </comment>
    <comment ref="AE122" authorId="0">
      <text>
        <r>
          <rPr>
            <b/>
            <sz val="9"/>
            <rFont val="宋体"/>
            <charset val="134"/>
          </rPr>
          <t>Administrator:</t>
        </r>
        <r>
          <rPr>
            <sz val="9"/>
            <rFont val="宋体"/>
            <charset val="134"/>
          </rPr>
          <t xml:space="preserve">
5/17 上客供防伪贴纸24pcs</t>
        </r>
      </text>
    </comment>
    <comment ref="AC123" authorId="0">
      <text>
        <r>
          <rPr>
            <b/>
            <sz val="9"/>
            <rFont val="宋体"/>
            <charset val="134"/>
          </rPr>
          <t>Administrator:</t>
        </r>
        <r>
          <rPr>
            <sz val="9"/>
            <rFont val="宋体"/>
            <charset val="134"/>
          </rPr>
          <t xml:space="preserve">
2000783 5/24 24pcs
华3B8</t>
        </r>
      </text>
    </comment>
    <comment ref="AE123" authorId="0">
      <text>
        <r>
          <rPr>
            <b/>
            <sz val="9"/>
            <rFont val="宋体"/>
            <charset val="134"/>
          </rPr>
          <t>Administrator:</t>
        </r>
        <r>
          <rPr>
            <sz val="9"/>
            <rFont val="宋体"/>
            <charset val="134"/>
          </rPr>
          <t xml:space="preserve">
5/17 上客供防伪贴纸24pcs</t>
        </r>
      </text>
    </comment>
    <comment ref="AC124" authorId="0">
      <text>
        <r>
          <rPr>
            <b/>
            <sz val="9"/>
            <rFont val="宋体"/>
            <charset val="134"/>
          </rPr>
          <t>Administrator:</t>
        </r>
        <r>
          <rPr>
            <sz val="9"/>
            <rFont val="宋体"/>
            <charset val="134"/>
          </rPr>
          <t xml:space="preserve">
2000783 5/24 48pcs
华3B8</t>
        </r>
      </text>
    </comment>
    <comment ref="AE124" authorId="0">
      <text>
        <r>
          <rPr>
            <b/>
            <sz val="9"/>
            <rFont val="宋体"/>
            <charset val="134"/>
          </rPr>
          <t>Administrator:</t>
        </r>
        <r>
          <rPr>
            <sz val="9"/>
            <rFont val="宋体"/>
            <charset val="134"/>
          </rPr>
          <t xml:space="preserve">
5/17 上客供防伪贴纸48pcs
</t>
        </r>
      </text>
    </comment>
    <comment ref="AC125" authorId="0">
      <text>
        <r>
          <rPr>
            <b/>
            <sz val="9"/>
            <rFont val="宋体"/>
            <charset val="134"/>
          </rPr>
          <t>Administrator:</t>
        </r>
        <r>
          <rPr>
            <sz val="9"/>
            <rFont val="宋体"/>
            <charset val="134"/>
          </rPr>
          <t xml:space="preserve">
2000806 5/26 450pcs莫4B7</t>
        </r>
      </text>
    </comment>
    <comment ref="AE125" authorId="0">
      <text>
        <r>
          <rPr>
            <b/>
            <sz val="9"/>
            <rFont val="宋体"/>
            <charset val="134"/>
          </rPr>
          <t>Administrator:</t>
        </r>
        <r>
          <rPr>
            <sz val="9"/>
            <rFont val="宋体"/>
            <charset val="134"/>
          </rPr>
          <t xml:space="preserve">
4/21 上环保标贴纸450pcs
5/9 西班牙环保贴纸200pcs</t>
        </r>
      </text>
    </comment>
    <comment ref="AC126" authorId="0">
      <text>
        <r>
          <rPr>
            <b/>
            <sz val="9"/>
            <rFont val="宋体"/>
            <charset val="134"/>
          </rPr>
          <t>Administrator:</t>
        </r>
        <r>
          <rPr>
            <sz val="9"/>
            <rFont val="宋体"/>
            <charset val="134"/>
          </rPr>
          <t xml:space="preserve">
2002266 6/10 600pcs华3B8</t>
        </r>
      </text>
    </comment>
    <comment ref="AE126" authorId="0">
      <text>
        <r>
          <rPr>
            <b/>
            <sz val="9"/>
            <rFont val="宋体"/>
            <charset val="134"/>
          </rPr>
          <t>Administrator:</t>
        </r>
        <r>
          <rPr>
            <sz val="9"/>
            <rFont val="宋体"/>
            <charset val="134"/>
          </rPr>
          <t xml:space="preserve">
6/5 上六语电池黑白说明书500pcs 补订
6/14 上带纽扣电池走货北欧六语通用黑白电池说明书 600pcs</t>
        </r>
      </text>
    </comment>
    <comment ref="AC127" authorId="0">
      <text>
        <r>
          <rPr>
            <b/>
            <sz val="9"/>
            <rFont val="宋体"/>
            <charset val="134"/>
          </rPr>
          <t>Administrator:</t>
        </r>
        <r>
          <rPr>
            <sz val="9"/>
            <rFont val="宋体"/>
            <charset val="134"/>
          </rPr>
          <t xml:space="preserve">
2002104 6/17 2016pcs华3B13</t>
        </r>
      </text>
    </comment>
    <comment ref="AE127" authorId="0">
      <text>
        <r>
          <rPr>
            <b/>
            <sz val="9"/>
            <rFont val="宋体"/>
            <charset val="134"/>
          </rPr>
          <t>Administrator:</t>
        </r>
        <r>
          <rPr>
            <sz val="9"/>
            <rFont val="宋体"/>
            <charset val="134"/>
          </rPr>
          <t xml:space="preserve">
5/29 上进口商贴纸2016pcs</t>
        </r>
      </text>
    </comment>
    <comment ref="AC128" authorId="0">
      <text>
        <r>
          <rPr>
            <b/>
            <sz val="9"/>
            <rFont val="宋体"/>
            <charset val="134"/>
          </rPr>
          <t>Administrator:</t>
        </r>
        <r>
          <rPr>
            <sz val="9"/>
            <rFont val="宋体"/>
            <charset val="134"/>
          </rPr>
          <t xml:space="preserve">
2002104 6/17 14625pcs华一F3</t>
        </r>
      </text>
    </comment>
    <comment ref="AC129" authorId="0">
      <text>
        <r>
          <rPr>
            <b/>
            <sz val="9"/>
            <rFont val="宋体"/>
            <charset val="134"/>
          </rPr>
          <t>Administrator:</t>
        </r>
        <r>
          <rPr>
            <sz val="9"/>
            <rFont val="宋体"/>
            <charset val="134"/>
          </rPr>
          <t xml:space="preserve">
2002163 6/18 2520pcs华一F3</t>
        </r>
      </text>
    </comment>
    <comment ref="AC130" authorId="0">
      <text>
        <r>
          <rPr>
            <b/>
            <sz val="9"/>
            <rFont val="宋体"/>
            <charset val="134"/>
          </rPr>
          <t>Administrator:</t>
        </r>
        <r>
          <rPr>
            <sz val="9"/>
            <rFont val="宋体"/>
            <charset val="134"/>
          </rPr>
          <t xml:space="preserve">
2002047 6/21 1000pcs王1-B10</t>
        </r>
      </text>
    </comment>
    <comment ref="AE130" authorId="0">
      <text>
        <r>
          <rPr>
            <b/>
            <sz val="9"/>
            <rFont val="宋体"/>
            <charset val="134"/>
          </rPr>
          <t>Administrator:</t>
        </r>
        <r>
          <rPr>
            <sz val="9"/>
            <rFont val="宋体"/>
            <charset val="134"/>
          </rPr>
          <t xml:space="preserve">
6/13 上进口商贴纸1000pcs
UPC贴纸1000pcs</t>
        </r>
      </text>
    </comment>
    <comment ref="AC131" authorId="0">
      <text>
        <r>
          <rPr>
            <b/>
            <sz val="9"/>
            <rFont val="宋体"/>
            <charset val="134"/>
          </rPr>
          <t>Administrator:</t>
        </r>
        <r>
          <rPr>
            <sz val="9"/>
            <rFont val="宋体"/>
            <charset val="134"/>
          </rPr>
          <t xml:space="preserve">
2001970 6/24 816pcs王3-B10
3001797 6/25 12pcs王</t>
        </r>
      </text>
    </comment>
    <comment ref="AE131" authorId="0">
      <text>
        <r>
          <rPr>
            <b/>
            <sz val="9"/>
            <rFont val="宋体"/>
            <charset val="134"/>
          </rPr>
          <t>Administrator:</t>
        </r>
        <r>
          <rPr>
            <sz val="9"/>
            <rFont val="宋体"/>
            <charset val="134"/>
          </rPr>
          <t xml:space="preserve">
5/30 上UPC贴纸828pcs
6/11 上PDQ正面双语贴纸69pcs
PDq侧面双语贴纸69pcs
PDq背面双语贴纸69pcs
6/17 上UPC贴纸228pcs
6/19 上PDQ侧面英法双语贴纸30pcs
6/20 上UPC贴纸828pcs因贴纸尺寸大重订</t>
        </r>
      </text>
    </comment>
    <comment ref="AC132" authorId="0">
      <text>
        <r>
          <rPr>
            <b/>
            <sz val="9"/>
            <rFont val="宋体"/>
            <charset val="134"/>
          </rPr>
          <t>Administrator:</t>
        </r>
        <r>
          <rPr>
            <sz val="9"/>
            <rFont val="宋体"/>
            <charset val="134"/>
          </rPr>
          <t xml:space="preserve">
3001841 6/25 8820pcs
华3A28
3001807 6/26 2184pcs</t>
        </r>
      </text>
    </comment>
    <comment ref="AE132" authorId="0">
      <text>
        <r>
          <rPr>
            <b/>
            <sz val="9"/>
            <rFont val="宋体"/>
            <charset val="134"/>
          </rPr>
          <t>Administrator:</t>
        </r>
        <r>
          <rPr>
            <sz val="9"/>
            <rFont val="宋体"/>
            <charset val="134"/>
          </rPr>
          <t xml:space="preserve">
6/13 上进口商贴纸含客户条码11004pcs</t>
        </r>
      </text>
    </comment>
    <comment ref="AC133" authorId="0">
      <text>
        <r>
          <rPr>
            <b/>
            <sz val="9"/>
            <rFont val="宋体"/>
            <charset val="134"/>
          </rPr>
          <t>Administrator:</t>
        </r>
        <r>
          <rPr>
            <sz val="9"/>
            <rFont val="宋体"/>
            <charset val="134"/>
          </rPr>
          <t xml:space="preserve">
3001797 6/25 2080pcs王</t>
        </r>
      </text>
    </comment>
    <comment ref="AC134" authorId="0">
      <text>
        <r>
          <rPr>
            <b/>
            <sz val="9"/>
            <rFont val="宋体"/>
            <charset val="134"/>
          </rPr>
          <t>Administrator:</t>
        </r>
        <r>
          <rPr>
            <sz val="9"/>
            <rFont val="宋体"/>
            <charset val="134"/>
          </rPr>
          <t xml:space="preserve">
3001907 7/4 48pcs华3B3</t>
        </r>
      </text>
    </comment>
    <comment ref="AE134" authorId="0">
      <text>
        <r>
          <rPr>
            <b/>
            <sz val="9"/>
            <rFont val="宋体"/>
            <charset val="134"/>
          </rPr>
          <t>Administrator:</t>
        </r>
        <r>
          <rPr>
            <sz val="9"/>
            <rFont val="宋体"/>
            <charset val="134"/>
          </rPr>
          <t xml:space="preserve">
6/14 上空白贴纸816pcs
四个同PO共用
6/11 上客供亚马逊外箱贴纸4pcs</t>
        </r>
      </text>
    </comment>
    <comment ref="AC135" authorId="0">
      <text>
        <r>
          <rPr>
            <b/>
            <sz val="9"/>
            <rFont val="宋体"/>
            <charset val="134"/>
          </rPr>
          <t>Administrator:</t>
        </r>
        <r>
          <rPr>
            <sz val="9"/>
            <rFont val="宋体"/>
            <charset val="134"/>
          </rPr>
          <t xml:space="preserve">
3001907 7/4 48pcs华3B3
</t>
        </r>
      </text>
    </comment>
    <comment ref="AE135" authorId="0">
      <text>
        <r>
          <rPr>
            <b/>
            <sz val="9"/>
            <rFont val="宋体"/>
            <charset val="134"/>
          </rPr>
          <t>Administrator:</t>
        </r>
        <r>
          <rPr>
            <sz val="9"/>
            <rFont val="宋体"/>
            <charset val="134"/>
          </rPr>
          <t xml:space="preserve">
6/11 上客供亚马逊外箱贴纸4pcs
</t>
        </r>
      </text>
    </comment>
    <comment ref="AC136" authorId="0">
      <text>
        <r>
          <rPr>
            <b/>
            <sz val="9"/>
            <rFont val="宋体"/>
            <charset val="134"/>
          </rPr>
          <t>Administrator:</t>
        </r>
        <r>
          <rPr>
            <sz val="9"/>
            <rFont val="宋体"/>
            <charset val="134"/>
          </rPr>
          <t xml:space="preserve">
3001907 7/4 48pcs华3B3
</t>
        </r>
      </text>
    </comment>
    <comment ref="AE136" authorId="0">
      <text>
        <r>
          <rPr>
            <b/>
            <sz val="9"/>
            <rFont val="宋体"/>
            <charset val="134"/>
          </rPr>
          <t>Administrator:</t>
        </r>
        <r>
          <rPr>
            <sz val="9"/>
            <rFont val="宋体"/>
            <charset val="134"/>
          </rPr>
          <t xml:space="preserve">
6/11 上客供亚马逊外箱贴纸4pcs
</t>
        </r>
      </text>
    </comment>
    <comment ref="AC137" authorId="0">
      <text>
        <r>
          <rPr>
            <b/>
            <sz val="9"/>
            <rFont val="宋体"/>
            <charset val="134"/>
          </rPr>
          <t>Administrator:</t>
        </r>
        <r>
          <rPr>
            <sz val="9"/>
            <rFont val="宋体"/>
            <charset val="134"/>
          </rPr>
          <t xml:space="preserve">
3001907 7/4 48pcs华3B3
</t>
        </r>
      </text>
    </comment>
    <comment ref="AE137" authorId="0">
      <text>
        <r>
          <rPr>
            <b/>
            <sz val="9"/>
            <rFont val="宋体"/>
            <charset val="134"/>
          </rPr>
          <t>Administrator:</t>
        </r>
        <r>
          <rPr>
            <sz val="9"/>
            <rFont val="宋体"/>
            <charset val="134"/>
          </rPr>
          <t xml:space="preserve">
6/11 上客供亚马逊外箱贴纸4pcs
</t>
        </r>
      </text>
    </comment>
    <comment ref="AC138" authorId="0">
      <text>
        <r>
          <rPr>
            <b/>
            <sz val="9"/>
            <rFont val="宋体"/>
            <charset val="134"/>
          </rPr>
          <t>Administrator:</t>
        </r>
        <r>
          <rPr>
            <sz val="9"/>
            <rFont val="宋体"/>
            <charset val="134"/>
          </rPr>
          <t xml:space="preserve">
3001907 7/4 144pcs
华3B3
</t>
        </r>
      </text>
    </comment>
    <comment ref="AE138" authorId="0">
      <text>
        <r>
          <rPr>
            <b/>
            <sz val="9"/>
            <rFont val="宋体"/>
            <charset val="134"/>
          </rPr>
          <t>Administrator:</t>
        </r>
        <r>
          <rPr>
            <sz val="9"/>
            <rFont val="宋体"/>
            <charset val="134"/>
          </rPr>
          <t xml:space="preserve">
6/11 上客供亚马逊外箱贴纸12pcs
</t>
        </r>
      </text>
    </comment>
    <comment ref="AC139" authorId="0">
      <text>
        <r>
          <rPr>
            <b/>
            <sz val="9"/>
            <rFont val="宋体"/>
            <charset val="134"/>
          </rPr>
          <t>Administrator:</t>
        </r>
        <r>
          <rPr>
            <sz val="9"/>
            <rFont val="宋体"/>
            <charset val="134"/>
          </rPr>
          <t xml:space="preserve">
3001907 7/4 24pcs
华3B3
</t>
        </r>
      </text>
    </comment>
    <comment ref="AE139" authorId="0">
      <text>
        <r>
          <rPr>
            <b/>
            <sz val="9"/>
            <rFont val="宋体"/>
            <charset val="134"/>
          </rPr>
          <t>Administrator:</t>
        </r>
        <r>
          <rPr>
            <sz val="9"/>
            <rFont val="宋体"/>
            <charset val="134"/>
          </rPr>
          <t xml:space="preserve">
6/11 上客供亚马逊外箱贴纸2pcs
</t>
        </r>
      </text>
    </comment>
    <comment ref="AC140" authorId="0">
      <text>
        <r>
          <rPr>
            <b/>
            <sz val="9"/>
            <rFont val="宋体"/>
            <charset val="134"/>
          </rPr>
          <t>Administrator:</t>
        </r>
        <r>
          <rPr>
            <sz val="9"/>
            <rFont val="宋体"/>
            <charset val="134"/>
          </rPr>
          <t xml:space="preserve">
3001907 7/4 48pcs华3B3
</t>
        </r>
      </text>
    </comment>
    <comment ref="AE140" authorId="0">
      <text>
        <r>
          <rPr>
            <b/>
            <sz val="9"/>
            <rFont val="宋体"/>
            <charset val="134"/>
          </rPr>
          <t>Administrator:</t>
        </r>
        <r>
          <rPr>
            <sz val="9"/>
            <rFont val="宋体"/>
            <charset val="134"/>
          </rPr>
          <t xml:space="preserve">
6/11 上客供亚马逊外箱贴纸4pcs
</t>
        </r>
      </text>
    </comment>
    <comment ref="AC141" authorId="0">
      <text>
        <r>
          <rPr>
            <b/>
            <sz val="9"/>
            <rFont val="宋体"/>
            <charset val="134"/>
          </rPr>
          <t>Administrator:</t>
        </r>
        <r>
          <rPr>
            <sz val="9"/>
            <rFont val="宋体"/>
            <charset val="134"/>
          </rPr>
          <t xml:space="preserve">
3001977 7/1 2600pcs
华3A24
3001959 7/1 13400pcs华3A24</t>
        </r>
      </text>
    </comment>
    <comment ref="AE141" authorId="0">
      <text>
        <r>
          <rPr>
            <b/>
            <sz val="9"/>
            <rFont val="宋体"/>
            <charset val="134"/>
          </rPr>
          <t>Administrator:</t>
        </r>
        <r>
          <rPr>
            <sz val="9"/>
            <rFont val="宋体"/>
            <charset val="134"/>
          </rPr>
          <t xml:space="preserve">
6/13 上产品贴纸16000pcs
包装进口商贴纸16000pcs
说明书进口商贴纸16000pcs
UPC条码贴纸16000pcs
6/17 上保证书16000pcs</t>
        </r>
      </text>
    </comment>
    <comment ref="AC142" authorId="0">
      <text>
        <r>
          <rPr>
            <b/>
            <sz val="9"/>
            <rFont val="宋体"/>
            <charset val="134"/>
          </rPr>
          <t>Administrator:</t>
        </r>
        <r>
          <rPr>
            <sz val="9"/>
            <rFont val="宋体"/>
            <charset val="134"/>
          </rPr>
          <t xml:space="preserve">
3001914 7/3 676pcs华3A14</t>
        </r>
      </text>
    </comment>
    <comment ref="AE142" authorId="0">
      <text>
        <r>
          <rPr>
            <b/>
            <sz val="9"/>
            <rFont val="宋体"/>
            <charset val="134"/>
          </rPr>
          <t>Administrator:</t>
        </r>
        <r>
          <rPr>
            <sz val="9"/>
            <rFont val="宋体"/>
            <charset val="134"/>
          </rPr>
          <t xml:space="preserve">
6/23 上进口商信息/警告语贴纸5056pcs
四个同PO共用 </t>
        </r>
      </text>
    </comment>
    <comment ref="AC143" authorId="0">
      <text>
        <r>
          <rPr>
            <b/>
            <sz val="9"/>
            <rFont val="宋体"/>
            <charset val="134"/>
          </rPr>
          <t>Administrator:</t>
        </r>
        <r>
          <rPr>
            <sz val="9"/>
            <rFont val="宋体"/>
            <charset val="134"/>
          </rPr>
          <t xml:space="preserve">
3001914 7/3 624pcs
华3A14</t>
        </r>
      </text>
    </comment>
    <comment ref="AC144" authorId="0">
      <text>
        <r>
          <rPr>
            <b/>
            <sz val="9"/>
            <rFont val="宋体"/>
            <charset val="134"/>
          </rPr>
          <t>Administrator:</t>
        </r>
        <r>
          <rPr>
            <sz val="9"/>
            <rFont val="宋体"/>
            <charset val="134"/>
          </rPr>
          <t xml:space="preserve">
3001914 7/3 468pcs
华3A15</t>
        </r>
      </text>
    </comment>
    <comment ref="AC145" authorId="0">
      <text>
        <r>
          <rPr>
            <b/>
            <sz val="9"/>
            <rFont val="宋体"/>
            <charset val="134"/>
          </rPr>
          <t>Administrator:</t>
        </r>
        <r>
          <rPr>
            <sz val="9"/>
            <rFont val="宋体"/>
            <charset val="134"/>
          </rPr>
          <t xml:space="preserve">
3001914 7/3 260pcs
华3B8</t>
        </r>
      </text>
    </comment>
    <comment ref="AC146" authorId="0">
      <text>
        <r>
          <rPr>
            <b/>
            <sz val="9"/>
            <rFont val="宋体"/>
            <charset val="134"/>
          </rPr>
          <t>Administrator:</t>
        </r>
        <r>
          <rPr>
            <sz val="9"/>
            <rFont val="宋体"/>
            <charset val="134"/>
          </rPr>
          <t xml:space="preserve">
3001851 6/25 17316pcs
华3A23
3001822 6/26 104pcs</t>
        </r>
      </text>
    </comment>
    <comment ref="AE146" authorId="0">
      <text>
        <r>
          <rPr>
            <b/>
            <sz val="9"/>
            <rFont val="宋体"/>
            <charset val="134"/>
          </rPr>
          <t>Administrator:</t>
        </r>
        <r>
          <rPr>
            <sz val="9"/>
            <rFont val="宋体"/>
            <charset val="134"/>
          </rPr>
          <t xml:space="preserve">
6/14 上价格贴纸17420pcs
上UPC贴纸17420pcs
6/20 上UPC贴纸828pcs因贴纸尺寸大重订
</t>
        </r>
      </text>
    </comment>
    <comment ref="AC147" authorId="0">
      <text>
        <r>
          <rPr>
            <b/>
            <sz val="9"/>
            <rFont val="宋体"/>
            <charset val="134"/>
          </rPr>
          <t>Administrator:</t>
        </r>
        <r>
          <rPr>
            <sz val="9"/>
            <rFont val="宋体"/>
            <charset val="134"/>
          </rPr>
          <t xml:space="preserve">
3001880 7/5 756pcs 华3B5</t>
        </r>
      </text>
    </comment>
    <comment ref="AE147" authorId="0">
      <text>
        <r>
          <rPr>
            <b/>
            <sz val="9"/>
            <rFont val="宋体"/>
            <charset val="134"/>
          </rPr>
          <t>Administrator:</t>
        </r>
        <r>
          <rPr>
            <sz val="9"/>
            <rFont val="宋体"/>
            <charset val="134"/>
          </rPr>
          <t xml:space="preserve">
6/4 WEEE_带电池走货 _ 说明书欧洲EN 756pcs
6/5 上荷兰语警语贴纸756pcs
配件袋贴纸756pcs
收藏指南贴纸756pcs
6/17 上配件袋贴纸2268pcs</t>
        </r>
      </text>
    </comment>
    <comment ref="AC148" authorId="0">
      <text>
        <r>
          <rPr>
            <b/>
            <sz val="9"/>
            <rFont val="宋体"/>
            <charset val="134"/>
          </rPr>
          <t>Administrator:</t>
        </r>
        <r>
          <rPr>
            <sz val="9"/>
            <rFont val="宋体"/>
            <charset val="134"/>
          </rPr>
          <t xml:space="preserve">
3001880 7/5 300pcs
 华3B14</t>
        </r>
      </text>
    </comment>
    <comment ref="AE148" authorId="0">
      <text>
        <r>
          <rPr>
            <b/>
            <sz val="9"/>
            <rFont val="宋体"/>
            <charset val="134"/>
          </rPr>
          <t>Administrator:</t>
        </r>
        <r>
          <rPr>
            <sz val="9"/>
            <rFont val="宋体"/>
            <charset val="134"/>
          </rPr>
          <t xml:space="preserve">
6/17 上UPC贴纸300pcs
</t>
        </r>
      </text>
    </comment>
    <comment ref="AC149" authorId="0">
      <text>
        <r>
          <rPr>
            <b/>
            <sz val="9"/>
            <rFont val="宋体"/>
            <charset val="134"/>
          </rPr>
          <t>Administrator:</t>
        </r>
        <r>
          <rPr>
            <sz val="9"/>
            <rFont val="宋体"/>
            <charset val="134"/>
          </rPr>
          <t xml:space="preserve">
3001880 7/5 200pcs
华3b14</t>
        </r>
      </text>
    </comment>
    <comment ref="AE149" authorId="0">
      <text>
        <r>
          <rPr>
            <b/>
            <sz val="9"/>
            <rFont val="宋体"/>
            <charset val="134"/>
          </rPr>
          <t>Administrator:</t>
        </r>
        <r>
          <rPr>
            <sz val="9"/>
            <rFont val="宋体"/>
            <charset val="134"/>
          </rPr>
          <t xml:space="preserve">
6/17 上UPC贴纸200pcs
</t>
        </r>
      </text>
    </comment>
    <comment ref="AC150" authorId="0">
      <text>
        <r>
          <rPr>
            <b/>
            <sz val="9"/>
            <rFont val="宋体"/>
            <charset val="134"/>
          </rPr>
          <t>Administrator:</t>
        </r>
        <r>
          <rPr>
            <sz val="9"/>
            <rFont val="宋体"/>
            <charset val="134"/>
          </rPr>
          <t xml:space="preserve">
3001880 7/5 600pcs
华3B14</t>
        </r>
      </text>
    </comment>
    <comment ref="AE150" authorId="0">
      <text>
        <r>
          <rPr>
            <b/>
            <sz val="9"/>
            <rFont val="宋体"/>
            <charset val="134"/>
          </rPr>
          <t>Administrator:</t>
        </r>
        <r>
          <rPr>
            <sz val="9"/>
            <rFont val="宋体"/>
            <charset val="134"/>
          </rPr>
          <t xml:space="preserve">
6/17 上UPC贴纸600pcs</t>
        </r>
      </text>
    </comment>
    <comment ref="AC151" authorId="0">
      <text>
        <r>
          <rPr>
            <b/>
            <sz val="9"/>
            <rFont val="宋体"/>
            <charset val="134"/>
          </rPr>
          <t>Administrator:</t>
        </r>
        <r>
          <rPr>
            <sz val="9"/>
            <rFont val="宋体"/>
            <charset val="134"/>
          </rPr>
          <t xml:space="preserve">
3001614 7/10 864pcs
华3B4</t>
        </r>
      </text>
    </comment>
    <comment ref="AE151" authorId="0">
      <text>
        <r>
          <rPr>
            <b/>
            <sz val="9"/>
            <rFont val="宋体"/>
            <charset val="134"/>
          </rPr>
          <t>Administrator:</t>
        </r>
        <r>
          <rPr>
            <sz val="9"/>
            <rFont val="宋体"/>
            <charset val="134"/>
          </rPr>
          <t xml:space="preserve">
6/14 上多语折叠贴纸864pcs
6/11 上UPC贴纸864pcs
亚马逊外箱贴纸36pcs
6/21 上WEEE电子产品说明书30L(带电池走货版)864pcs</t>
        </r>
      </text>
    </comment>
    <comment ref="AC152" authorId="0">
      <text>
        <r>
          <rPr>
            <b/>
            <sz val="9"/>
            <rFont val="宋体"/>
            <charset val="134"/>
          </rPr>
          <t>Administrator:</t>
        </r>
        <r>
          <rPr>
            <sz val="9"/>
            <rFont val="宋体"/>
            <charset val="134"/>
          </rPr>
          <t xml:space="preserve">
3001614 7/10 832pcs华3A15</t>
        </r>
      </text>
    </comment>
    <comment ref="AE152" authorId="0">
      <text>
        <r>
          <rPr>
            <b/>
            <sz val="9"/>
            <rFont val="宋体"/>
            <charset val="134"/>
          </rPr>
          <t>Administrator:</t>
        </r>
        <r>
          <rPr>
            <sz val="9"/>
            <rFont val="宋体"/>
            <charset val="134"/>
          </rPr>
          <t xml:space="preserve">
6/23 上进口商贴纸832pcs</t>
        </r>
      </text>
    </comment>
    <comment ref="AC153" authorId="0">
      <text>
        <r>
          <rPr>
            <b/>
            <sz val="9"/>
            <rFont val="宋体"/>
            <charset val="134"/>
          </rPr>
          <t>Administrator:</t>
        </r>
        <r>
          <rPr>
            <sz val="9"/>
            <rFont val="宋体"/>
            <charset val="134"/>
          </rPr>
          <t xml:space="preserve">
3001614 7/10 11016pcs
华3A28</t>
        </r>
      </text>
    </comment>
    <comment ref="AE153" authorId="0">
      <text>
        <r>
          <rPr>
            <b/>
            <sz val="9"/>
            <rFont val="宋体"/>
            <charset val="134"/>
          </rPr>
          <t>Administrator:</t>
        </r>
        <r>
          <rPr>
            <sz val="9"/>
            <rFont val="宋体"/>
            <charset val="134"/>
          </rPr>
          <t xml:space="preserve">
5/12 欧洲通用30LWEEE 说明书(带电池)8016pcs
 EAN条码贴纸8016pcs
德语警语贴纸8016pcs
纸袋德语警语贴纸32064pcs
5/14 欧洲通用30LWEEE 说明书(带电池)3000pcs
 EAN条码贴纸3000pcs
德语警语贴纸3000pcs
纸袋德语警语贴纸12000pcs
7/10 收到地址贴纸11016pcs</t>
        </r>
      </text>
    </comment>
    <comment ref="AC154" authorId="0">
      <text>
        <r>
          <rPr>
            <b/>
            <sz val="9"/>
            <rFont val="宋体"/>
            <charset val="134"/>
          </rPr>
          <t>Administrator:</t>
        </r>
        <r>
          <rPr>
            <sz val="9"/>
            <rFont val="宋体"/>
            <charset val="134"/>
          </rPr>
          <t xml:space="preserve">
3001548 7/11 2388pcs华3B10
3001490 7/12 12pcs华3B10</t>
        </r>
      </text>
    </comment>
    <comment ref="AC155" authorId="0">
      <text>
        <r>
          <rPr>
            <b/>
            <sz val="9"/>
            <rFont val="宋体"/>
            <charset val="134"/>
          </rPr>
          <t>Administrator:</t>
        </r>
        <r>
          <rPr>
            <sz val="9"/>
            <rFont val="宋体"/>
            <charset val="134"/>
          </rPr>
          <t xml:space="preserve">
3001548 7/11 180pcs华3A32</t>
        </r>
      </text>
    </comment>
    <comment ref="AC156" authorId="0">
      <text>
        <r>
          <rPr>
            <b/>
            <sz val="9"/>
            <rFont val="宋体"/>
            <charset val="134"/>
          </rPr>
          <t>Administrator:</t>
        </r>
        <r>
          <rPr>
            <sz val="9"/>
            <rFont val="宋体"/>
            <charset val="134"/>
          </rPr>
          <t xml:space="preserve">
3001417 7/16 504pcs  新仓库1-B10</t>
        </r>
      </text>
    </comment>
    <comment ref="AC157" authorId="0">
      <text>
        <r>
          <rPr>
            <b/>
            <sz val="9"/>
            <rFont val="宋体"/>
            <charset val="134"/>
          </rPr>
          <t>Administrator:</t>
        </r>
        <r>
          <rPr>
            <sz val="9"/>
            <rFont val="宋体"/>
            <charset val="134"/>
          </rPr>
          <t xml:space="preserve">
3001425 7/16 1700pcs 新仓库3楼C7</t>
        </r>
      </text>
    </comment>
    <comment ref="AE157" authorId="0">
      <text>
        <r>
          <rPr>
            <b/>
            <sz val="9"/>
            <rFont val="宋体"/>
            <charset val="134"/>
          </rPr>
          <t>Administrator:</t>
        </r>
        <r>
          <rPr>
            <sz val="9"/>
            <rFont val="宋体"/>
            <charset val="134"/>
          </rPr>
          <t xml:space="preserve">
6/21 上进口商贴纸1700pcs
6/30 上WEEE带电池走货说明书1700pcs</t>
        </r>
      </text>
    </comment>
    <comment ref="AC158" authorId="0">
      <text>
        <r>
          <rPr>
            <b/>
            <sz val="9"/>
            <rFont val="宋体"/>
            <charset val="134"/>
          </rPr>
          <t>Administrator:</t>
        </r>
        <r>
          <rPr>
            <sz val="9"/>
            <rFont val="宋体"/>
            <charset val="134"/>
          </rPr>
          <t xml:space="preserve">
3001425 7/16 5000pcs 新仓库3楼C3</t>
        </r>
      </text>
    </comment>
    <comment ref="AE158" authorId="0">
      <text>
        <r>
          <rPr>
            <b/>
            <sz val="9"/>
            <rFont val="宋体"/>
            <charset val="134"/>
          </rPr>
          <t>Administrator:</t>
        </r>
        <r>
          <rPr>
            <sz val="9"/>
            <rFont val="宋体"/>
            <charset val="134"/>
          </rPr>
          <t xml:space="preserve">
6/25 上进口商贴纸5000pcs
UPC条码贴纸5000pcs</t>
        </r>
      </text>
    </comment>
    <comment ref="AC159" authorId="0">
      <text>
        <r>
          <rPr>
            <b/>
            <sz val="9"/>
            <rFont val="宋体"/>
            <charset val="134"/>
          </rPr>
          <t>Administrator:</t>
        </r>
        <r>
          <rPr>
            <sz val="9"/>
            <rFont val="宋体"/>
            <charset val="134"/>
          </rPr>
          <t xml:space="preserve">
3001377 7/18 24pcs华3A29</t>
        </r>
      </text>
    </comment>
    <comment ref="AE159" authorId="0">
      <text>
        <r>
          <rPr>
            <b/>
            <sz val="9"/>
            <rFont val="宋体"/>
            <charset val="134"/>
          </rPr>
          <t>Administrator:</t>
        </r>
        <r>
          <rPr>
            <sz val="9"/>
            <rFont val="宋体"/>
            <charset val="134"/>
          </rPr>
          <t xml:space="preserve">
6/28 上空白贴纸960pcs
同PO15订单共用
7/12 上亚马逊外箱贴纸2pcs
</t>
        </r>
      </text>
    </comment>
    <comment ref="AC160" authorId="0">
      <text>
        <r>
          <rPr>
            <b/>
            <sz val="9"/>
            <rFont val="宋体"/>
            <charset val="134"/>
          </rPr>
          <t>Administrator:</t>
        </r>
        <r>
          <rPr>
            <sz val="9"/>
            <rFont val="宋体"/>
            <charset val="134"/>
          </rPr>
          <t xml:space="preserve">
3001377 7/18 24pcs
华3A29
</t>
        </r>
      </text>
    </comment>
    <comment ref="AE160" authorId="0">
      <text>
        <r>
          <rPr>
            <b/>
            <sz val="9"/>
            <rFont val="宋体"/>
            <charset val="134"/>
          </rPr>
          <t>Administrator:</t>
        </r>
        <r>
          <rPr>
            <sz val="9"/>
            <rFont val="宋体"/>
            <charset val="134"/>
          </rPr>
          <t xml:space="preserve">
7/12 上亚马逊外箱贴纸2pcs</t>
        </r>
      </text>
    </comment>
    <comment ref="AC161" authorId="0">
      <text>
        <r>
          <rPr>
            <b/>
            <sz val="9"/>
            <rFont val="宋体"/>
            <charset val="134"/>
          </rPr>
          <t>Administrator:</t>
        </r>
        <r>
          <rPr>
            <sz val="9"/>
            <rFont val="宋体"/>
            <charset val="134"/>
          </rPr>
          <t xml:space="preserve">
3001377 7/18 72pcs
华3A29
</t>
        </r>
      </text>
    </comment>
    <comment ref="AE161" authorId="0">
      <text>
        <r>
          <rPr>
            <b/>
            <sz val="9"/>
            <rFont val="宋体"/>
            <charset val="134"/>
          </rPr>
          <t>Administrator:</t>
        </r>
        <r>
          <rPr>
            <sz val="9"/>
            <rFont val="宋体"/>
            <charset val="134"/>
          </rPr>
          <t xml:space="preserve">
7/12 上亚马逊外箱贴纸6pcs
</t>
        </r>
      </text>
    </comment>
    <comment ref="AC162" authorId="0">
      <text>
        <r>
          <rPr>
            <b/>
            <sz val="9"/>
            <rFont val="宋体"/>
            <charset val="134"/>
          </rPr>
          <t>Administrator:</t>
        </r>
        <r>
          <rPr>
            <sz val="9"/>
            <rFont val="宋体"/>
            <charset val="134"/>
          </rPr>
          <t xml:space="preserve">
3001377 7/18 48pcs
华3A29
</t>
        </r>
      </text>
    </comment>
    <comment ref="AE162" authorId="0">
      <text>
        <r>
          <rPr>
            <b/>
            <sz val="9"/>
            <rFont val="宋体"/>
            <charset val="134"/>
          </rPr>
          <t>Administrator:</t>
        </r>
        <r>
          <rPr>
            <sz val="9"/>
            <rFont val="宋体"/>
            <charset val="134"/>
          </rPr>
          <t xml:space="preserve">
7/12 上亚马逊外箱贴纸4pcs
</t>
        </r>
      </text>
    </comment>
    <comment ref="AC163" authorId="0">
      <text>
        <r>
          <rPr>
            <b/>
            <sz val="9"/>
            <rFont val="宋体"/>
            <charset val="134"/>
          </rPr>
          <t>Administrator:</t>
        </r>
        <r>
          <rPr>
            <sz val="9"/>
            <rFont val="宋体"/>
            <charset val="134"/>
          </rPr>
          <t xml:space="preserve">
3001377 7/18 24pcs
华3A29
</t>
        </r>
      </text>
    </comment>
    <comment ref="AE163" authorId="0">
      <text>
        <r>
          <rPr>
            <b/>
            <sz val="9"/>
            <rFont val="宋体"/>
            <charset val="134"/>
          </rPr>
          <t>Administrator:</t>
        </r>
        <r>
          <rPr>
            <sz val="9"/>
            <rFont val="宋体"/>
            <charset val="134"/>
          </rPr>
          <t xml:space="preserve">
7/12 上亚马逊外箱贴纸2pcs</t>
        </r>
      </text>
    </comment>
    <comment ref="AC164" authorId="0">
      <text>
        <r>
          <rPr>
            <b/>
            <sz val="9"/>
            <rFont val="宋体"/>
            <charset val="134"/>
          </rPr>
          <t>Administrator:</t>
        </r>
        <r>
          <rPr>
            <sz val="9"/>
            <rFont val="宋体"/>
            <charset val="134"/>
          </rPr>
          <t xml:space="preserve">
3001377 7/18  24pcs
华3A29
</t>
        </r>
      </text>
    </comment>
    <comment ref="AE164" authorId="0">
      <text>
        <r>
          <rPr>
            <b/>
            <sz val="9"/>
            <rFont val="宋体"/>
            <charset val="134"/>
          </rPr>
          <t>Administrator:</t>
        </r>
        <r>
          <rPr>
            <sz val="9"/>
            <rFont val="宋体"/>
            <charset val="134"/>
          </rPr>
          <t xml:space="preserve">
7/12 上亚马逊外箱贴纸2pcs</t>
        </r>
      </text>
    </comment>
    <comment ref="AC165" authorId="0">
      <text>
        <r>
          <rPr>
            <b/>
            <sz val="9"/>
            <rFont val="宋体"/>
            <charset val="134"/>
          </rPr>
          <t>Administrator:</t>
        </r>
        <r>
          <rPr>
            <sz val="9"/>
            <rFont val="宋体"/>
            <charset val="134"/>
          </rPr>
          <t xml:space="preserve">
3001377 7/18 48pcs
华3A29
</t>
        </r>
      </text>
    </comment>
    <comment ref="AE165" authorId="0">
      <text>
        <r>
          <rPr>
            <b/>
            <sz val="9"/>
            <rFont val="宋体"/>
            <charset val="134"/>
          </rPr>
          <t>Administrator:</t>
        </r>
        <r>
          <rPr>
            <sz val="9"/>
            <rFont val="宋体"/>
            <charset val="134"/>
          </rPr>
          <t xml:space="preserve">
7/12 上亚马逊外箱贴纸4pcs
</t>
        </r>
      </text>
    </comment>
    <comment ref="AC166" authorId="0">
      <text>
        <r>
          <rPr>
            <b/>
            <sz val="9"/>
            <rFont val="宋体"/>
            <charset val="134"/>
          </rPr>
          <t>Administrator:</t>
        </r>
        <r>
          <rPr>
            <sz val="9"/>
            <rFont val="宋体"/>
            <charset val="134"/>
          </rPr>
          <t xml:space="preserve">
3001377 7/18  24pcs
华3A29
</t>
        </r>
      </text>
    </comment>
    <comment ref="AE166" authorId="0">
      <text>
        <r>
          <rPr>
            <b/>
            <sz val="9"/>
            <rFont val="宋体"/>
            <charset val="134"/>
          </rPr>
          <t>Administrator:</t>
        </r>
        <r>
          <rPr>
            <sz val="9"/>
            <rFont val="宋体"/>
            <charset val="134"/>
          </rPr>
          <t xml:space="preserve">
7/12 上亚马逊外箱贴纸2pcs</t>
        </r>
      </text>
    </comment>
    <comment ref="AC167" authorId="0">
      <text>
        <r>
          <rPr>
            <b/>
            <sz val="9"/>
            <rFont val="宋体"/>
            <charset val="134"/>
          </rPr>
          <t>Administrator:</t>
        </r>
        <r>
          <rPr>
            <sz val="9"/>
            <rFont val="宋体"/>
            <charset val="134"/>
          </rPr>
          <t xml:space="preserve">
3001386 7/18 24pcs华3A29
</t>
        </r>
      </text>
    </comment>
    <comment ref="AE167" authorId="0">
      <text>
        <r>
          <rPr>
            <b/>
            <sz val="9"/>
            <rFont val="宋体"/>
            <charset val="134"/>
          </rPr>
          <t>Administrator:</t>
        </r>
        <r>
          <rPr>
            <sz val="9"/>
            <rFont val="宋体"/>
            <charset val="134"/>
          </rPr>
          <t xml:space="preserve">
7/12 上亚马逊外箱贴纸2pcs</t>
        </r>
      </text>
    </comment>
    <comment ref="AC168" authorId="0">
      <text>
        <r>
          <rPr>
            <b/>
            <sz val="9"/>
            <rFont val="宋体"/>
            <charset val="134"/>
          </rPr>
          <t>Administrator:</t>
        </r>
        <r>
          <rPr>
            <sz val="9"/>
            <rFont val="宋体"/>
            <charset val="134"/>
          </rPr>
          <t xml:space="preserve">
3001386 7/18 48pcs华3A29
</t>
        </r>
      </text>
    </comment>
    <comment ref="AE168" authorId="0">
      <text>
        <r>
          <rPr>
            <b/>
            <sz val="9"/>
            <rFont val="宋体"/>
            <charset val="134"/>
          </rPr>
          <t>Administrator:</t>
        </r>
        <r>
          <rPr>
            <sz val="9"/>
            <rFont val="宋体"/>
            <charset val="134"/>
          </rPr>
          <t xml:space="preserve">
7/12 上亚马逊外箱贴纸4pcs</t>
        </r>
      </text>
    </comment>
    <comment ref="AC169" authorId="0">
      <text>
        <r>
          <rPr>
            <b/>
            <sz val="9"/>
            <rFont val="宋体"/>
            <charset val="134"/>
          </rPr>
          <t>Administrator:</t>
        </r>
        <r>
          <rPr>
            <sz val="9"/>
            <rFont val="宋体"/>
            <charset val="134"/>
          </rPr>
          <t xml:space="preserve">
3001386 7/18 24pcs华3A29
</t>
        </r>
      </text>
    </comment>
    <comment ref="AE169" authorId="0">
      <text>
        <r>
          <rPr>
            <b/>
            <sz val="9"/>
            <rFont val="宋体"/>
            <charset val="134"/>
          </rPr>
          <t>Administrator:</t>
        </r>
        <r>
          <rPr>
            <sz val="9"/>
            <rFont val="宋体"/>
            <charset val="134"/>
          </rPr>
          <t xml:space="preserve">
7/12 上亚马逊外箱贴纸2pcs</t>
        </r>
      </text>
    </comment>
    <comment ref="AC170" authorId="0">
      <text>
        <r>
          <rPr>
            <b/>
            <sz val="9"/>
            <rFont val="宋体"/>
            <charset val="134"/>
          </rPr>
          <t>Administrator:</t>
        </r>
        <r>
          <rPr>
            <sz val="9"/>
            <rFont val="宋体"/>
            <charset val="134"/>
          </rPr>
          <t xml:space="preserve">
3001386 7/18 24pcs华3A29
</t>
        </r>
      </text>
    </comment>
    <comment ref="AE170" authorId="0">
      <text>
        <r>
          <rPr>
            <b/>
            <sz val="9"/>
            <rFont val="宋体"/>
            <charset val="134"/>
          </rPr>
          <t>Administrator:</t>
        </r>
        <r>
          <rPr>
            <sz val="9"/>
            <rFont val="宋体"/>
            <charset val="134"/>
          </rPr>
          <t xml:space="preserve">
7/12 上亚马逊外箱贴纸2pcs</t>
        </r>
      </text>
    </comment>
    <comment ref="AC171" authorId="0">
      <text>
        <r>
          <rPr>
            <b/>
            <sz val="9"/>
            <rFont val="宋体"/>
            <charset val="134"/>
          </rPr>
          <t>Administrator:</t>
        </r>
        <r>
          <rPr>
            <sz val="9"/>
            <rFont val="宋体"/>
            <charset val="134"/>
          </rPr>
          <t xml:space="preserve">
3001386 7/18 24pcs华3A29
</t>
        </r>
      </text>
    </comment>
    <comment ref="AE171" authorId="0">
      <text>
        <r>
          <rPr>
            <b/>
            <sz val="9"/>
            <rFont val="宋体"/>
            <charset val="134"/>
          </rPr>
          <t>Administrator:</t>
        </r>
        <r>
          <rPr>
            <sz val="9"/>
            <rFont val="宋体"/>
            <charset val="134"/>
          </rPr>
          <t xml:space="preserve">
7/12 上亚马逊外箱贴纸2pcs</t>
        </r>
      </text>
    </comment>
    <comment ref="AC172" authorId="0">
      <text>
        <r>
          <rPr>
            <b/>
            <sz val="9"/>
            <rFont val="宋体"/>
            <charset val="134"/>
          </rPr>
          <t>Administrator:</t>
        </r>
        <r>
          <rPr>
            <sz val="9"/>
            <rFont val="宋体"/>
            <charset val="134"/>
          </rPr>
          <t xml:space="preserve">
3001386 7/18 24pcs华3A29
</t>
        </r>
      </text>
    </comment>
    <comment ref="AE172" authorId="0">
      <text>
        <r>
          <rPr>
            <b/>
            <sz val="9"/>
            <rFont val="宋体"/>
            <charset val="134"/>
          </rPr>
          <t>Administrator:</t>
        </r>
        <r>
          <rPr>
            <sz val="9"/>
            <rFont val="宋体"/>
            <charset val="134"/>
          </rPr>
          <t xml:space="preserve">
7/12 上亚马逊外箱贴纸2pcs</t>
        </r>
      </text>
    </comment>
    <comment ref="AC173" authorId="0">
      <text>
        <r>
          <rPr>
            <b/>
            <sz val="9"/>
            <rFont val="宋体"/>
            <charset val="134"/>
          </rPr>
          <t>Administrator:</t>
        </r>
        <r>
          <rPr>
            <sz val="9"/>
            <rFont val="宋体"/>
            <charset val="134"/>
          </rPr>
          <t xml:space="preserve">
3001386 7/18 24pcs华3A29
</t>
        </r>
      </text>
    </comment>
    <comment ref="AE173" authorId="0">
      <text>
        <r>
          <rPr>
            <b/>
            <sz val="9"/>
            <rFont val="宋体"/>
            <charset val="134"/>
          </rPr>
          <t>Administrator:</t>
        </r>
        <r>
          <rPr>
            <sz val="9"/>
            <rFont val="宋体"/>
            <charset val="134"/>
          </rPr>
          <t xml:space="preserve">
7/12 上亚马逊外箱贴纸2pcs</t>
        </r>
      </text>
    </comment>
    <comment ref="AC174" authorId="0">
      <text>
        <r>
          <rPr>
            <b/>
            <sz val="9"/>
            <rFont val="宋体"/>
            <charset val="134"/>
          </rPr>
          <t>Administrator:</t>
        </r>
        <r>
          <rPr>
            <sz val="9"/>
            <rFont val="宋体"/>
            <charset val="134"/>
          </rPr>
          <t xml:space="preserve">
3002606 7/19 828pcs莫4A1</t>
        </r>
      </text>
    </comment>
    <comment ref="AE174" authorId="0">
      <text>
        <r>
          <rPr>
            <b/>
            <sz val="9"/>
            <rFont val="宋体"/>
            <charset val="134"/>
          </rPr>
          <t>Administrator:</t>
        </r>
        <r>
          <rPr>
            <sz val="9"/>
            <rFont val="宋体"/>
            <charset val="134"/>
          </rPr>
          <t xml:space="preserve">
7/3 上UPC贴纸828pcs
PDQ正面贴纸69pcs
PDQ侧面贴纸69pcs
PDQ背面贴纸69pcs
7/5 上PDQ侧面语贴纸69pcs</t>
        </r>
      </text>
    </comment>
    <comment ref="AC175" authorId="0">
      <text>
        <r>
          <rPr>
            <b/>
            <sz val="9"/>
            <rFont val="宋体"/>
            <charset val="134"/>
          </rPr>
          <t>Administrator:</t>
        </r>
        <r>
          <rPr>
            <sz val="9"/>
            <rFont val="宋体"/>
            <charset val="134"/>
          </rPr>
          <t xml:space="preserve">
3002492 7/23 100pcs
华3B14
3002517 7/23 4500pcs莫4B4</t>
        </r>
      </text>
    </comment>
    <comment ref="AC176" authorId="0">
      <text>
        <r>
          <rPr>
            <b/>
            <sz val="9"/>
            <rFont val="宋体"/>
            <charset val="134"/>
          </rPr>
          <t>Administrator:</t>
        </r>
        <r>
          <rPr>
            <sz val="9"/>
            <rFont val="宋体"/>
            <charset val="134"/>
          </rPr>
          <t xml:space="preserve">
3002517 7/23 504pcs
莫4A6</t>
        </r>
      </text>
    </comment>
    <comment ref="AC177" authorId="0">
      <text>
        <r>
          <rPr>
            <b/>
            <sz val="9"/>
            <rFont val="宋体"/>
            <charset val="134"/>
          </rPr>
          <t>Administrator:</t>
        </r>
        <r>
          <rPr>
            <sz val="9"/>
            <rFont val="宋体"/>
            <charset val="134"/>
          </rPr>
          <t xml:space="preserve">
3002555 7/21 600pcs华3A15</t>
        </r>
      </text>
    </comment>
    <comment ref="AE177" authorId="0">
      <text>
        <r>
          <rPr>
            <b/>
            <sz val="9"/>
            <rFont val="宋体"/>
            <charset val="134"/>
          </rPr>
          <t>Administrator:</t>
        </r>
        <r>
          <rPr>
            <sz val="9"/>
            <rFont val="宋体"/>
            <charset val="134"/>
          </rPr>
          <t xml:space="preserve">
6/5 上六语电池黑白说明书600pcs
6/14 上带纽扣电池走货北欧六语通用黑白电池说明书 600pcs
7/3 上收藏指南贴纸600pcs
进口商贴纸/瑞典警语贴纸600pcs</t>
        </r>
      </text>
    </comment>
    <comment ref="AC178" authorId="0">
      <text>
        <r>
          <rPr>
            <b/>
            <sz val="9"/>
            <rFont val="宋体"/>
            <charset val="134"/>
          </rPr>
          <t>Administrator:</t>
        </r>
        <r>
          <rPr>
            <sz val="9"/>
            <rFont val="宋体"/>
            <charset val="134"/>
          </rPr>
          <t xml:space="preserve">
3002517 7/23 250pcs莫4B4</t>
        </r>
      </text>
    </comment>
    <comment ref="AE178" authorId="0">
      <text>
        <r>
          <rPr>
            <b/>
            <sz val="9"/>
            <rFont val="宋体"/>
            <charset val="134"/>
          </rPr>
          <t>Administrator:</t>
        </r>
        <r>
          <rPr>
            <sz val="9"/>
            <rFont val="宋体"/>
            <charset val="134"/>
          </rPr>
          <t xml:space="preserve">
7/8 上进口商贴纸250pcs
上UPC贴纸250pcs</t>
        </r>
      </text>
    </comment>
    <comment ref="AC179" authorId="0">
      <text>
        <r>
          <rPr>
            <b/>
            <sz val="9"/>
            <rFont val="宋体"/>
            <charset val="134"/>
          </rPr>
          <t>Administrator:</t>
        </r>
        <r>
          <rPr>
            <sz val="9"/>
            <rFont val="宋体"/>
            <charset val="134"/>
          </rPr>
          <t xml:space="preserve">
3002498 7/23 250pcs华3B1</t>
        </r>
      </text>
    </comment>
    <comment ref="AE179" authorId="0">
      <text>
        <r>
          <rPr>
            <b/>
            <sz val="9"/>
            <rFont val="宋体"/>
            <charset val="134"/>
          </rPr>
          <t>Administrator:</t>
        </r>
        <r>
          <rPr>
            <sz val="9"/>
            <rFont val="宋体"/>
            <charset val="134"/>
          </rPr>
          <t xml:space="preserve">
6/30 上UPC条码贴纸250pcs</t>
        </r>
      </text>
    </comment>
    <comment ref="AE180" authorId="0">
      <text>
        <r>
          <rPr>
            <b/>
            <sz val="9"/>
            <rFont val="宋体"/>
            <charset val="134"/>
          </rPr>
          <t>Administrator:</t>
        </r>
        <r>
          <rPr>
            <sz val="9"/>
            <rFont val="宋体"/>
            <charset val="134"/>
          </rPr>
          <t xml:space="preserve">
7/12 退回亚马逊外箱贴纸208pcs
</t>
        </r>
      </text>
    </comment>
    <comment ref="AC181" authorId="0">
      <text>
        <r>
          <rPr>
            <b/>
            <sz val="9"/>
            <rFont val="宋体"/>
            <charset val="134"/>
          </rPr>
          <t>Administrator:</t>
        </r>
        <r>
          <rPr>
            <sz val="9"/>
            <rFont val="宋体"/>
            <charset val="134"/>
          </rPr>
          <t xml:space="preserve">
3002492 7/23 312pcs
华3B16</t>
        </r>
      </text>
    </comment>
    <comment ref="AE181" authorId="0">
      <text>
        <r>
          <rPr>
            <b/>
            <sz val="9"/>
            <rFont val="宋体"/>
            <charset val="134"/>
          </rPr>
          <t>Administrator:</t>
        </r>
        <r>
          <rPr>
            <sz val="9"/>
            <rFont val="宋体"/>
            <charset val="134"/>
          </rPr>
          <t xml:space="preserve">
7/7 上进口商贴纸312pcs
客户条码贴纸312pcs</t>
        </r>
      </text>
    </comment>
    <comment ref="AE182" authorId="0">
      <text>
        <r>
          <rPr>
            <b/>
            <sz val="9"/>
            <rFont val="宋体"/>
            <charset val="134"/>
          </rPr>
          <t>Administrator:</t>
        </r>
        <r>
          <rPr>
            <sz val="9"/>
            <rFont val="宋体"/>
            <charset val="134"/>
          </rPr>
          <t xml:space="preserve">
7/12 上亚马逊外箱贴纸17pcs
</t>
        </r>
      </text>
    </comment>
    <comment ref="AC183" authorId="0">
      <text>
        <r>
          <rPr>
            <b/>
            <sz val="9"/>
            <rFont val="宋体"/>
            <charset val="134"/>
          </rPr>
          <t>Administrator:</t>
        </r>
        <r>
          <rPr>
            <sz val="9"/>
            <rFont val="宋体"/>
            <charset val="134"/>
          </rPr>
          <t xml:space="preserve">
3002472 7/25 1000pcs莫4A5</t>
        </r>
      </text>
    </comment>
    <comment ref="AE183" authorId="0">
      <text>
        <r>
          <rPr>
            <b/>
            <sz val="9"/>
            <rFont val="宋体"/>
            <charset val="134"/>
          </rPr>
          <t>Administrator:</t>
        </r>
        <r>
          <rPr>
            <sz val="9"/>
            <rFont val="宋体"/>
            <charset val="134"/>
          </rPr>
          <t xml:space="preserve">
7/10 上客供警语贴纸贴球底部1038pcs
客供警语贴纸贴说明书上1036pcs
客供警语贴纸贴收藏指南1038pcs
客供电池警语贴纸贴顶部1039pcs</t>
        </r>
      </text>
    </comment>
    <comment ref="AC184" authorId="0">
      <text>
        <r>
          <rPr>
            <b/>
            <sz val="9"/>
            <rFont val="宋体"/>
            <charset val="134"/>
          </rPr>
          <t>Administrator:</t>
        </r>
        <r>
          <rPr>
            <sz val="9"/>
            <rFont val="宋体"/>
            <charset val="134"/>
          </rPr>
          <t xml:space="preserve">
3002068 7/29 650pcs华3A32</t>
        </r>
      </text>
    </comment>
    <comment ref="AE184" authorId="0">
      <text>
        <r>
          <rPr>
            <b/>
            <sz val="9"/>
            <rFont val="宋体"/>
            <charset val="134"/>
          </rPr>
          <t>Administrator:</t>
        </r>
        <r>
          <rPr>
            <sz val="9"/>
            <rFont val="宋体"/>
            <charset val="134"/>
          </rPr>
          <t xml:space="preserve">
7/21 上UPC条码贴纸650pcs
进口商贴纸650pcs
保证书650pcs</t>
        </r>
      </text>
    </comment>
    <comment ref="AC185" authorId="0">
      <text>
        <r>
          <rPr>
            <b/>
            <sz val="9"/>
            <rFont val="宋体"/>
            <charset val="134"/>
          </rPr>
          <t>Administrator:</t>
        </r>
        <r>
          <rPr>
            <sz val="9"/>
            <rFont val="宋体"/>
            <charset val="134"/>
          </rPr>
          <t xml:space="preserve">
3002035 7/30 3250pcs华3B4</t>
        </r>
      </text>
    </comment>
    <comment ref="AE185" authorId="0">
      <text>
        <r>
          <rPr>
            <b/>
            <sz val="9"/>
            <rFont val="宋体"/>
            <charset val="134"/>
          </rPr>
          <t>Administrator:</t>
        </r>
        <r>
          <rPr>
            <sz val="9"/>
            <rFont val="宋体"/>
            <charset val="134"/>
          </rPr>
          <t xml:space="preserve">
7/7 上产品贴纸3250pcs
7/8 上多语折叠警语贴纸3250pcs
7/19 上客版说明书3250pcs</t>
        </r>
      </text>
    </comment>
    <comment ref="AC186" authorId="0">
      <text>
        <r>
          <rPr>
            <b/>
            <sz val="9"/>
            <rFont val="宋体"/>
            <charset val="134"/>
          </rPr>
          <t>Administrator:</t>
        </r>
        <r>
          <rPr>
            <sz val="9"/>
            <rFont val="宋体"/>
            <charset val="134"/>
          </rPr>
          <t xml:space="preserve">
3002061 7/30 5600pcs华1F4</t>
        </r>
      </text>
    </comment>
    <comment ref="AE186" authorId="0">
      <text>
        <r>
          <rPr>
            <b/>
            <sz val="9"/>
            <rFont val="宋体"/>
            <charset val="134"/>
          </rPr>
          <t xml:space="preserve">Administrator:
</t>
        </r>
        <r>
          <rPr>
            <sz val="9"/>
            <rFont val="宋体"/>
            <charset val="134"/>
          </rPr>
          <t xml:space="preserve">7/15 上保证书5600pcs
包装贴纸5600pcs
说明书贴纸5600pcs
7/18 上客供价格贴纸5635pcs
</t>
        </r>
      </text>
    </comment>
    <comment ref="AC187" authorId="0">
      <text>
        <r>
          <rPr>
            <b/>
            <sz val="9"/>
            <rFont val="宋体"/>
            <charset val="134"/>
          </rPr>
          <t>Administrator:</t>
        </r>
        <r>
          <rPr>
            <sz val="9"/>
            <rFont val="宋体"/>
            <charset val="134"/>
          </rPr>
          <t xml:space="preserve">
3002134 8/2 600pcs王军1-A4</t>
        </r>
      </text>
    </comment>
    <comment ref="AC188" authorId="0">
      <text>
        <r>
          <rPr>
            <b/>
            <sz val="9"/>
            <rFont val="宋体"/>
            <charset val="134"/>
          </rPr>
          <t>Administrator:</t>
        </r>
        <r>
          <rPr>
            <sz val="9"/>
            <rFont val="宋体"/>
            <charset val="134"/>
          </rPr>
          <t xml:space="preserve">
3002134 8/2 2400pcs
王军1-A2</t>
        </r>
      </text>
    </comment>
    <comment ref="AE188" authorId="0">
      <text>
        <r>
          <rPr>
            <b/>
            <sz val="9"/>
            <rFont val="宋体"/>
            <charset val="134"/>
          </rPr>
          <t>Administrator:</t>
        </r>
        <r>
          <rPr>
            <sz val="9"/>
            <rFont val="宋体"/>
            <charset val="134"/>
          </rPr>
          <t xml:space="preserve">
7/16 上客供价格贴纸2640pcs</t>
        </r>
      </text>
    </comment>
    <comment ref="AC189" authorId="0">
      <text>
        <r>
          <rPr>
            <b/>
            <sz val="9"/>
            <rFont val="宋体"/>
            <charset val="134"/>
          </rPr>
          <t>Administrator:</t>
        </r>
        <r>
          <rPr>
            <sz val="9"/>
            <rFont val="宋体"/>
            <charset val="134"/>
          </rPr>
          <t xml:space="preserve">
3002134 8/2 1200pcs
王军1-B6</t>
        </r>
      </text>
    </comment>
    <comment ref="AE189" authorId="0">
      <text>
        <r>
          <rPr>
            <b/>
            <sz val="9"/>
            <rFont val="宋体"/>
            <charset val="134"/>
          </rPr>
          <t>Administrator:</t>
        </r>
        <r>
          <rPr>
            <sz val="9"/>
            <rFont val="宋体"/>
            <charset val="134"/>
          </rPr>
          <t xml:space="preserve">
7/16 上客供价格贴纸2320pcs
</t>
        </r>
      </text>
    </comment>
    <comment ref="AC190" authorId="0">
      <text>
        <r>
          <rPr>
            <b/>
            <sz val="9"/>
            <rFont val="宋体"/>
            <charset val="134"/>
          </rPr>
          <t>Administrator:</t>
        </r>
        <r>
          <rPr>
            <sz val="9"/>
            <rFont val="宋体"/>
            <charset val="134"/>
          </rPr>
          <t xml:space="preserve">
3002134 8/2 1200pcs
王军1-B6</t>
        </r>
      </text>
    </comment>
    <comment ref="AE190" authorId="0">
      <text>
        <r>
          <rPr>
            <b/>
            <sz val="9"/>
            <rFont val="宋体"/>
            <charset val="134"/>
          </rPr>
          <t>Administrator:</t>
        </r>
        <r>
          <rPr>
            <sz val="9"/>
            <rFont val="宋体"/>
            <charset val="134"/>
          </rPr>
          <t xml:space="preserve">
7/16 上客供价格贴纸2320pcs</t>
        </r>
      </text>
    </comment>
    <comment ref="AC191" authorId="0">
      <text>
        <r>
          <rPr>
            <b/>
            <sz val="9"/>
            <rFont val="宋体"/>
            <charset val="134"/>
          </rPr>
          <t>Administrator:</t>
        </r>
        <r>
          <rPr>
            <sz val="9"/>
            <rFont val="宋体"/>
            <charset val="134"/>
          </rPr>
          <t xml:space="preserve">
3002134 8/2 996pcs
王军1-B6</t>
        </r>
      </text>
    </comment>
    <comment ref="AE191" authorId="0">
      <text>
        <r>
          <rPr>
            <b/>
            <sz val="9"/>
            <rFont val="宋体"/>
            <charset val="134"/>
          </rPr>
          <t>Administrator:</t>
        </r>
        <r>
          <rPr>
            <sz val="9"/>
            <rFont val="宋体"/>
            <charset val="134"/>
          </rPr>
          <t xml:space="preserve">
7/16 上客供价格贴纸1096pcs</t>
        </r>
      </text>
    </comment>
    <comment ref="AC192" authorId="0">
      <text>
        <r>
          <rPr>
            <b/>
            <sz val="9"/>
            <rFont val="宋体"/>
            <charset val="134"/>
          </rPr>
          <t>Administrator:</t>
        </r>
        <r>
          <rPr>
            <sz val="9"/>
            <rFont val="宋体"/>
            <charset val="134"/>
          </rPr>
          <t xml:space="preserve">
3002135 8/2 2196pcs</t>
        </r>
      </text>
    </comment>
    <comment ref="AE192" authorId="0">
      <text>
        <r>
          <rPr>
            <b/>
            <sz val="9"/>
            <rFont val="宋体"/>
            <charset val="134"/>
          </rPr>
          <t>Administrator:</t>
        </r>
        <r>
          <rPr>
            <sz val="9"/>
            <rFont val="宋体"/>
            <charset val="134"/>
          </rPr>
          <t xml:space="preserve">
7/16 上客供价格贴纸2416pcs
</t>
        </r>
      </text>
    </comment>
    <comment ref="AC193" authorId="0">
      <text>
        <r>
          <rPr>
            <b/>
            <sz val="9"/>
            <rFont val="宋体"/>
            <charset val="134"/>
          </rPr>
          <t>Administrator:</t>
        </r>
        <r>
          <rPr>
            <sz val="9"/>
            <rFont val="宋体"/>
            <charset val="134"/>
          </rPr>
          <t xml:space="preserve">
3002135 8/2 2400pcs
</t>
        </r>
      </text>
    </comment>
    <comment ref="AE193" authorId="0">
      <text>
        <r>
          <rPr>
            <b/>
            <sz val="9"/>
            <rFont val="宋体"/>
            <charset val="134"/>
          </rPr>
          <t>Administrator:</t>
        </r>
        <r>
          <rPr>
            <sz val="9"/>
            <rFont val="宋体"/>
            <charset val="134"/>
          </rPr>
          <t xml:space="preserve">
7/16 上客供价格贴纸2640pcs
</t>
        </r>
      </text>
    </comment>
    <comment ref="AC194" authorId="0">
      <text>
        <r>
          <rPr>
            <b/>
            <sz val="9"/>
            <rFont val="宋体"/>
            <charset val="134"/>
          </rPr>
          <t>Administrator:</t>
        </r>
        <r>
          <rPr>
            <sz val="9"/>
            <rFont val="宋体"/>
            <charset val="134"/>
          </rPr>
          <t xml:space="preserve">
3002135 8/2 996pcs
</t>
        </r>
      </text>
    </comment>
    <comment ref="AE194" authorId="0">
      <text>
        <r>
          <rPr>
            <b/>
            <sz val="9"/>
            <rFont val="宋体"/>
            <charset val="134"/>
          </rPr>
          <t>Administrator:</t>
        </r>
        <r>
          <rPr>
            <sz val="9"/>
            <rFont val="宋体"/>
            <charset val="134"/>
          </rPr>
          <t xml:space="preserve">
7/16 上客供价格贴纸1096pcs
</t>
        </r>
      </text>
    </comment>
    <comment ref="AC195" authorId="0">
      <text>
        <r>
          <rPr>
            <b/>
            <sz val="9"/>
            <rFont val="宋体"/>
            <charset val="134"/>
          </rPr>
          <t>Administrator:</t>
        </r>
        <r>
          <rPr>
            <sz val="9"/>
            <rFont val="宋体"/>
            <charset val="134"/>
          </rPr>
          <t xml:space="preserve">
3002135 8/2 600pcs
</t>
        </r>
      </text>
    </comment>
    <comment ref="AE195" authorId="0">
      <text>
        <r>
          <rPr>
            <b/>
            <sz val="9"/>
            <rFont val="宋体"/>
            <charset val="134"/>
          </rPr>
          <t>Administrator:</t>
        </r>
        <r>
          <rPr>
            <sz val="9"/>
            <rFont val="宋体"/>
            <charset val="134"/>
          </rPr>
          <t xml:space="preserve">
7/16 上客供价格贴纸660pcs</t>
        </r>
      </text>
    </comment>
    <comment ref="AC196" authorId="0">
      <text>
        <r>
          <rPr>
            <b/>
            <sz val="9"/>
            <rFont val="宋体"/>
            <charset val="134"/>
          </rPr>
          <t>Administrator:</t>
        </r>
        <r>
          <rPr>
            <sz val="9"/>
            <rFont val="宋体"/>
            <charset val="134"/>
          </rPr>
          <t xml:space="preserve">
3002134 8/2 1200pcs
王军1-B6</t>
        </r>
      </text>
    </comment>
    <comment ref="AE196" authorId="0">
      <text>
        <r>
          <rPr>
            <b/>
            <sz val="9"/>
            <rFont val="宋体"/>
            <charset val="134"/>
          </rPr>
          <t>Administrator:</t>
        </r>
        <r>
          <rPr>
            <sz val="9"/>
            <rFont val="宋体"/>
            <charset val="134"/>
          </rPr>
          <t xml:space="preserve">
7/16 上客供价格贴纸1320pcs
</t>
        </r>
      </text>
    </comment>
    <comment ref="AC197" authorId="0">
      <text>
        <r>
          <rPr>
            <b/>
            <sz val="9"/>
            <rFont val="宋体"/>
            <charset val="134"/>
          </rPr>
          <t>Administrator:</t>
        </r>
        <r>
          <rPr>
            <sz val="9"/>
            <rFont val="宋体"/>
            <charset val="134"/>
          </rPr>
          <t xml:space="preserve">
3002135 8/2 2196pcs
</t>
        </r>
      </text>
    </comment>
    <comment ref="AE197" authorId="0">
      <text>
        <r>
          <rPr>
            <b/>
            <sz val="9"/>
            <rFont val="宋体"/>
            <charset val="134"/>
          </rPr>
          <t>Administrator:</t>
        </r>
        <r>
          <rPr>
            <sz val="9"/>
            <rFont val="宋体"/>
            <charset val="134"/>
          </rPr>
          <t xml:space="preserve">
7/16 上客供价格贴纸2416pcs</t>
        </r>
      </text>
    </comment>
    <comment ref="AC198" authorId="0">
      <text>
        <r>
          <rPr>
            <b/>
            <sz val="9"/>
            <rFont val="宋体"/>
            <charset val="134"/>
          </rPr>
          <t>Administrator:</t>
        </r>
        <r>
          <rPr>
            <sz val="9"/>
            <rFont val="宋体"/>
            <charset val="134"/>
          </rPr>
          <t xml:space="preserve">
3002135 8/2 996pcs
</t>
        </r>
      </text>
    </comment>
    <comment ref="AE198" authorId="0">
      <text>
        <r>
          <rPr>
            <b/>
            <sz val="9"/>
            <rFont val="宋体"/>
            <charset val="134"/>
          </rPr>
          <t>Administrator:</t>
        </r>
        <r>
          <rPr>
            <sz val="9"/>
            <rFont val="宋体"/>
            <charset val="134"/>
          </rPr>
          <t xml:space="preserve">
7/16 上客供价格贴纸1096pcs</t>
        </r>
      </text>
    </comment>
    <comment ref="AC199" authorId="0">
      <text>
        <r>
          <rPr>
            <b/>
            <sz val="9"/>
            <rFont val="宋体"/>
            <charset val="134"/>
          </rPr>
          <t>Administrator:</t>
        </r>
        <r>
          <rPr>
            <sz val="9"/>
            <rFont val="宋体"/>
            <charset val="134"/>
          </rPr>
          <t xml:space="preserve">
3002341 8/6 2004pcs莫4B1</t>
        </r>
      </text>
    </comment>
    <comment ref="AE199" authorId="0">
      <text>
        <r>
          <rPr>
            <b/>
            <sz val="9"/>
            <rFont val="宋体"/>
            <charset val="134"/>
          </rPr>
          <t>Administrator:</t>
        </r>
        <r>
          <rPr>
            <sz val="9"/>
            <rFont val="宋体"/>
            <charset val="134"/>
          </rPr>
          <t xml:space="preserve">
7/16 上客供价格贴纸2100pcs
</t>
        </r>
      </text>
    </comment>
    <comment ref="AC200" authorId="0">
      <text>
        <r>
          <rPr>
            <b/>
            <sz val="9"/>
            <rFont val="宋体"/>
            <charset val="134"/>
          </rPr>
          <t>Administrator:</t>
        </r>
        <r>
          <rPr>
            <sz val="9"/>
            <rFont val="宋体"/>
            <charset val="134"/>
          </rPr>
          <t xml:space="preserve">
3002300 8/7 1600pcs莫4B10
</t>
        </r>
      </text>
    </comment>
    <comment ref="AE200" authorId="0">
      <text>
        <r>
          <rPr>
            <b/>
            <sz val="9"/>
            <rFont val="宋体"/>
            <charset val="134"/>
          </rPr>
          <t>Administrator:</t>
        </r>
        <r>
          <rPr>
            <sz val="9"/>
            <rFont val="宋体"/>
            <charset val="134"/>
          </rPr>
          <t xml:space="preserve">
7/22 上UPC贴纸1600pcs
7/30 上UPC贴纸1600pcs因尺寸不符重订</t>
        </r>
      </text>
    </comment>
    <comment ref="AC201" authorId="0">
      <text>
        <r>
          <rPr>
            <b/>
            <sz val="9"/>
            <rFont val="宋体"/>
            <charset val="134"/>
          </rPr>
          <t>Administrator:</t>
        </r>
        <r>
          <rPr>
            <sz val="9"/>
            <rFont val="宋体"/>
            <charset val="134"/>
          </rPr>
          <t xml:space="preserve">
3002300 8/7 600pcs莫4B4
</t>
        </r>
      </text>
    </comment>
    <comment ref="AE201" authorId="0">
      <text>
        <r>
          <rPr>
            <b/>
            <sz val="9"/>
            <rFont val="宋体"/>
            <charset val="134"/>
          </rPr>
          <t>Administrator:</t>
        </r>
        <r>
          <rPr>
            <sz val="9"/>
            <rFont val="宋体"/>
            <charset val="134"/>
          </rPr>
          <t xml:space="preserve">
7/25 上UPC贴纸600pcs</t>
        </r>
      </text>
    </comment>
    <comment ref="AC202" authorId="0">
      <text>
        <r>
          <rPr>
            <b/>
            <sz val="9"/>
            <rFont val="宋体"/>
            <charset val="134"/>
          </rPr>
          <t>Administrator:</t>
        </r>
        <r>
          <rPr>
            <sz val="9"/>
            <rFont val="宋体"/>
            <charset val="134"/>
          </rPr>
          <t xml:space="preserve">
3002300 8/7 3204pcs莫4C4</t>
        </r>
      </text>
    </comment>
    <comment ref="AE202" authorId="0">
      <text>
        <r>
          <rPr>
            <b/>
            <sz val="9"/>
            <rFont val="宋体"/>
            <charset val="134"/>
          </rPr>
          <t>Administrator:</t>
        </r>
        <r>
          <rPr>
            <sz val="9"/>
            <rFont val="宋体"/>
            <charset val="134"/>
          </rPr>
          <t xml:space="preserve">
7/16 上客供价格贴纸3525pcs
</t>
        </r>
      </text>
    </comment>
    <comment ref="AC203" authorId="0">
      <text>
        <r>
          <rPr>
            <b/>
            <sz val="9"/>
            <rFont val="宋体"/>
            <charset val="134"/>
          </rPr>
          <t>Administrator:</t>
        </r>
        <r>
          <rPr>
            <sz val="9"/>
            <rFont val="宋体"/>
            <charset val="134"/>
          </rPr>
          <t xml:space="preserve">
3002298 8/8 504pcs
华3B10
3002309 8/8 3096pcs华3B10</t>
        </r>
      </text>
    </comment>
    <comment ref="AE203" authorId="0">
      <text>
        <r>
          <rPr>
            <b/>
            <sz val="9"/>
            <rFont val="宋体"/>
            <charset val="134"/>
          </rPr>
          <t>Administrator:</t>
        </r>
        <r>
          <rPr>
            <sz val="9"/>
            <rFont val="宋体"/>
            <charset val="134"/>
          </rPr>
          <t xml:space="preserve">
7/16 上客供价格贴纸3960pcs
</t>
        </r>
      </text>
    </comment>
    <comment ref="AC204" authorId="0">
      <text>
        <r>
          <rPr>
            <b/>
            <sz val="9"/>
            <rFont val="宋体"/>
            <charset val="134"/>
          </rPr>
          <t>Administrator:</t>
        </r>
        <r>
          <rPr>
            <sz val="9"/>
            <rFont val="宋体"/>
            <charset val="134"/>
          </rPr>
          <t xml:space="preserve">
3002338 8/6 3900pcs华3B15</t>
        </r>
      </text>
    </comment>
    <comment ref="AE204" authorId="0">
      <text>
        <r>
          <rPr>
            <b/>
            <sz val="9"/>
            <rFont val="宋体"/>
            <charset val="134"/>
          </rPr>
          <t>Administrator:</t>
        </r>
        <r>
          <rPr>
            <sz val="9"/>
            <rFont val="宋体"/>
            <charset val="134"/>
          </rPr>
          <t xml:space="preserve">
7/15 上警语贴纸/含意大利环保标3900pcs
WEEE说明书欧洲EN+30L-B版"900pcs</t>
        </r>
      </text>
    </comment>
    <comment ref="AC205" authorId="0">
      <text>
        <r>
          <rPr>
            <b/>
            <sz val="9"/>
            <rFont val="宋体"/>
            <charset val="134"/>
          </rPr>
          <t>Administrator:</t>
        </r>
        <r>
          <rPr>
            <sz val="9"/>
            <rFont val="宋体"/>
            <charset val="134"/>
          </rPr>
          <t xml:space="preserve">
4000356 8/13 728pcs莫4A5</t>
        </r>
      </text>
    </comment>
    <comment ref="AE205" authorId="0">
      <text>
        <r>
          <rPr>
            <b/>
            <sz val="9"/>
            <rFont val="宋体"/>
            <charset val="134"/>
          </rPr>
          <t>Administrator:</t>
        </r>
        <r>
          <rPr>
            <sz val="9"/>
            <rFont val="宋体"/>
            <charset val="134"/>
          </rPr>
          <t xml:space="preserve">
7/21 上警告语贴纸728pcs
说明书贴纸728pcs
7/16 上收藏指南无香贴纸728pcs
警告语贴纸728pcs
7/30 上说明书贴纸200pcs
8/1 上说明书贴纸728pcs补订
8/5 上说明书贴纸728pcs补订</t>
        </r>
      </text>
    </comment>
    <comment ref="AC206" authorId="0">
      <text>
        <r>
          <rPr>
            <b/>
            <sz val="9"/>
            <rFont val="宋体"/>
            <charset val="134"/>
          </rPr>
          <t>Administrator:</t>
        </r>
        <r>
          <rPr>
            <sz val="9"/>
            <rFont val="宋体"/>
            <charset val="134"/>
          </rPr>
          <t xml:space="preserve">
4000529 8/14 336pcs莫4A6 </t>
        </r>
      </text>
    </comment>
    <comment ref="AE206" authorId="0">
      <text>
        <r>
          <rPr>
            <b/>
            <sz val="9"/>
            <rFont val="宋体"/>
            <charset val="134"/>
          </rPr>
          <t>Administrator:</t>
        </r>
        <r>
          <rPr>
            <sz val="9"/>
            <rFont val="宋体"/>
            <charset val="134"/>
          </rPr>
          <t xml:space="preserve">
7/22 上警告语/进口商贴纸336pcs
说明书贴纸336pcs
收藏指南贴纸336pcs
8/1 上说明书100pcs
收藏指南贴纸100pcs
8/12 上警告语/进口商贴纸336pcs
说明书贴纸336pcs
收藏指南贴纸336pcs
以上补订</t>
        </r>
      </text>
    </comment>
    <comment ref="AC207" authorId="0">
      <text>
        <r>
          <rPr>
            <b/>
            <sz val="9"/>
            <rFont val="宋体"/>
            <charset val="134"/>
          </rPr>
          <t>Administrator:</t>
        </r>
        <r>
          <rPr>
            <sz val="9"/>
            <rFont val="宋体"/>
            <charset val="134"/>
          </rPr>
          <t xml:space="preserve">
4000298 8/9 600pcs华3B14</t>
        </r>
      </text>
    </comment>
    <comment ref="AE207" authorId="0">
      <text>
        <r>
          <rPr>
            <b/>
            <sz val="9"/>
            <rFont val="宋体"/>
            <charset val="134"/>
          </rPr>
          <t>Administrator:</t>
        </r>
        <r>
          <rPr>
            <sz val="9"/>
            <rFont val="宋体"/>
            <charset val="134"/>
          </rPr>
          <t xml:space="preserve">
8/2 上客供价格贴纸630pcs
</t>
        </r>
      </text>
    </comment>
    <comment ref="AC208" authorId="0">
      <text>
        <r>
          <rPr>
            <b/>
            <sz val="9"/>
            <rFont val="宋体"/>
            <charset val="134"/>
          </rPr>
          <t>Administrator:</t>
        </r>
        <r>
          <rPr>
            <sz val="9"/>
            <rFont val="宋体"/>
            <charset val="134"/>
          </rPr>
          <t xml:space="preserve">
4000609 8/19 3204pcs
</t>
        </r>
      </text>
    </comment>
    <comment ref="AE208" authorId="0">
      <text>
        <r>
          <rPr>
            <b/>
            <sz val="9"/>
            <rFont val="宋体"/>
            <charset val="134"/>
          </rPr>
          <t>Administrator:</t>
        </r>
        <r>
          <rPr>
            <sz val="9"/>
            <rFont val="宋体"/>
            <charset val="134"/>
          </rPr>
          <t xml:space="preserve">
8/8 上客供价格贴纸3525pcs
</t>
        </r>
      </text>
    </comment>
    <comment ref="AC209" authorId="0">
      <text>
        <r>
          <rPr>
            <b/>
            <sz val="9"/>
            <rFont val="宋体"/>
            <charset val="134"/>
          </rPr>
          <t>Administrator:</t>
        </r>
        <r>
          <rPr>
            <sz val="9"/>
            <rFont val="宋体"/>
            <charset val="134"/>
          </rPr>
          <t xml:space="preserve">
4000609 8/19 3600pcs
</t>
        </r>
      </text>
    </comment>
    <comment ref="AE209" authorId="0">
      <text>
        <r>
          <rPr>
            <b/>
            <sz val="9"/>
            <rFont val="宋体"/>
            <charset val="134"/>
          </rPr>
          <t>Administrator:</t>
        </r>
        <r>
          <rPr>
            <sz val="9"/>
            <rFont val="宋体"/>
            <charset val="134"/>
          </rPr>
          <t xml:space="preserve">
8/8 上客供价格贴纸3960pcs</t>
        </r>
      </text>
    </comment>
    <comment ref="AC210" authorId="0">
      <text>
        <r>
          <rPr>
            <b/>
            <sz val="9"/>
            <rFont val="宋体"/>
            <charset val="134"/>
          </rPr>
          <t>Administrator:</t>
        </r>
        <r>
          <rPr>
            <sz val="9"/>
            <rFont val="宋体"/>
            <charset val="134"/>
          </rPr>
          <t xml:space="preserve">
4000609 8/19 504pcs</t>
        </r>
      </text>
    </comment>
    <comment ref="AC211" authorId="0">
      <text>
        <r>
          <rPr>
            <b/>
            <sz val="9"/>
            <rFont val="宋体"/>
            <charset val="134"/>
          </rPr>
          <t>Administrator:</t>
        </r>
        <r>
          <rPr>
            <sz val="9"/>
            <rFont val="宋体"/>
            <charset val="134"/>
          </rPr>
          <t xml:space="preserve">
4000609 8/19 23544pcs
4000600 8/19 46584pcs
4000195 8/25 1872pcs莫4C4
</t>
        </r>
      </text>
    </comment>
    <comment ref="AE211" authorId="0">
      <text>
        <r>
          <rPr>
            <b/>
            <sz val="9"/>
            <rFont val="宋体"/>
            <charset val="134"/>
          </rPr>
          <t>Administrator:</t>
        </r>
        <r>
          <rPr>
            <sz val="9"/>
            <rFont val="宋体"/>
            <charset val="134"/>
          </rPr>
          <t xml:space="preserve">
7/8 +WEEE_带电池走货 _ 说明书欧洲33600pcs 与57857PO共用
7/15 上+WEEE_带电池走货 _ 说明书欧洲76800pcs 与57857PO共用
7/19 上+WEEE_带电池走货 _ 说明书欧洲312000pcs 与57857PO共用
7/19 上+WEEE_带电池走货 _ 说明书欧洲194712pcs 与57857PO共用
</t>
        </r>
      </text>
    </comment>
    <comment ref="AC212" authorId="0">
      <text>
        <r>
          <rPr>
            <b/>
            <sz val="9"/>
            <rFont val="宋体"/>
            <charset val="134"/>
          </rPr>
          <t>Administrator:</t>
        </r>
        <r>
          <rPr>
            <sz val="9"/>
            <rFont val="宋体"/>
            <charset val="134"/>
          </rPr>
          <t xml:space="preserve">
4000177 8/25 2004pcs莫4b10</t>
        </r>
      </text>
    </comment>
    <comment ref="AE212" authorId="0">
      <text>
        <r>
          <rPr>
            <b/>
            <sz val="9"/>
            <rFont val="宋体"/>
            <charset val="134"/>
          </rPr>
          <t>Administrator:</t>
        </r>
        <r>
          <rPr>
            <sz val="9"/>
            <rFont val="宋体"/>
            <charset val="134"/>
          </rPr>
          <t xml:space="preserve">
8/3 上30语带电池出货版本WEEE说明书2004pcs
8/12 上空白贴纸4008pcs</t>
        </r>
      </text>
    </comment>
    <comment ref="AC213" authorId="0">
      <text>
        <r>
          <rPr>
            <b/>
            <sz val="9"/>
            <rFont val="宋体"/>
            <charset val="134"/>
          </rPr>
          <t>Administrator:</t>
        </r>
        <r>
          <rPr>
            <sz val="9"/>
            <rFont val="宋体"/>
            <charset val="134"/>
          </rPr>
          <t xml:space="preserve">
4000133 8/28 57936PCS 新仓1b6
4000135 8/28 4536PCS 新仓1B6
</t>
        </r>
      </text>
    </comment>
    <comment ref="AC214" authorId="0">
      <text>
        <r>
          <rPr>
            <b/>
            <sz val="9"/>
            <rFont val="宋体"/>
            <charset val="134"/>
          </rPr>
          <t>Administrator:</t>
        </r>
        <r>
          <rPr>
            <sz val="9"/>
            <rFont val="宋体"/>
            <charset val="134"/>
          </rPr>
          <t xml:space="preserve">
4000648 8/21 5005pcs新仓1-A8</t>
        </r>
      </text>
    </comment>
    <comment ref="AE214" authorId="0">
      <text>
        <r>
          <rPr>
            <b/>
            <sz val="9"/>
            <rFont val="宋体"/>
            <charset val="134"/>
          </rPr>
          <t>Administrator:</t>
        </r>
        <r>
          <rPr>
            <sz val="9"/>
            <rFont val="宋体"/>
            <charset val="134"/>
          </rPr>
          <t xml:space="preserve">
8/1 上30语带电池走货说明书WEEE5005pcs</t>
        </r>
      </text>
    </comment>
    <comment ref="AC215" authorId="0">
      <text>
        <r>
          <rPr>
            <b/>
            <sz val="9"/>
            <rFont val="宋体"/>
            <charset val="134"/>
          </rPr>
          <t>Administrator:</t>
        </r>
        <r>
          <rPr>
            <sz val="9"/>
            <rFont val="宋体"/>
            <charset val="134"/>
          </rPr>
          <t xml:space="preserve">
4000135 8/28 24880PCS 新仓1A1
4000080 8/29 5544pcs新仓1-A1
4000105 8/30 2640pcs新仓1-A1</t>
        </r>
      </text>
    </comment>
    <comment ref="AC216" authorId="0">
      <text>
        <r>
          <rPr>
            <b/>
            <sz val="9"/>
            <rFont val="宋体"/>
            <charset val="134"/>
          </rPr>
          <t>Administrator:</t>
        </r>
        <r>
          <rPr>
            <sz val="9"/>
            <rFont val="宋体"/>
            <charset val="134"/>
          </rPr>
          <t xml:space="preserve">
4000091 8/30 49248pcs
新仓1b6
4000105 8/30 5760pcs新仓 1B6
4000058 9/1 16992PCS 直走</t>
        </r>
      </text>
    </comment>
    <comment ref="AC217" authorId="0">
      <text>
        <r>
          <rPr>
            <b/>
            <sz val="9"/>
            <rFont val="宋体"/>
            <charset val="134"/>
          </rPr>
          <t>Administrator:</t>
        </r>
        <r>
          <rPr>
            <sz val="9"/>
            <rFont val="宋体"/>
            <charset val="134"/>
          </rPr>
          <t xml:space="preserve">
4000105 8/30 208pcs 新仓 1B7</t>
        </r>
      </text>
    </comment>
    <comment ref="AE217" authorId="0">
      <text>
        <r>
          <rPr>
            <b/>
            <sz val="9"/>
            <rFont val="宋体"/>
            <charset val="134"/>
          </rPr>
          <t>Administrator:</t>
        </r>
        <r>
          <rPr>
            <sz val="9"/>
            <rFont val="宋体"/>
            <charset val="134"/>
          </rPr>
          <t xml:space="preserve">
7/26 上进口商贴纸208pcs
客户条码贴纸208pcs</t>
        </r>
      </text>
    </comment>
    <comment ref="AC218" authorId="0">
      <text>
        <r>
          <rPr>
            <b/>
            <sz val="9"/>
            <rFont val="宋体"/>
            <charset val="134"/>
          </rPr>
          <t>Administrator:</t>
        </r>
        <r>
          <rPr>
            <sz val="9"/>
            <rFont val="宋体"/>
            <charset val="134"/>
          </rPr>
          <t xml:space="preserve">
4000105 8/30 68568pcs 新仓 1A3
4000058 9/1 8040PCS 直走</t>
        </r>
      </text>
    </comment>
    <comment ref="AE218" authorId="0">
      <text>
        <r>
          <rPr>
            <b/>
            <sz val="9"/>
            <rFont val="宋体"/>
            <charset val="134"/>
          </rPr>
          <t>Administrator:</t>
        </r>
        <r>
          <rPr>
            <sz val="9"/>
            <rFont val="宋体"/>
            <charset val="134"/>
          </rPr>
          <t xml:space="preserve">
7/8 +WEEE_带电池走货 _ 说明书欧洲33600pcs 与57855PO共用
9/13 上WEEE带电池走货说明书20000pcs</t>
        </r>
      </text>
    </comment>
    <comment ref="AC219" authorId="0">
      <text>
        <r>
          <rPr>
            <b/>
            <sz val="9"/>
            <rFont val="宋体"/>
            <charset val="134"/>
          </rPr>
          <t>Administrator:</t>
        </r>
        <r>
          <rPr>
            <sz val="9"/>
            <rFont val="宋体"/>
            <charset val="134"/>
          </rPr>
          <t xml:space="preserve">
4000381 9/4 4272pcs
3001940 9/6 2472pcs
转兴信
3002584 9/5 23952pcs
4000485 9/9 24pcs兴信</t>
        </r>
      </text>
    </comment>
    <comment ref="AC220" authorId="0">
      <text>
        <r>
          <rPr>
            <b/>
            <sz val="9"/>
            <rFont val="宋体"/>
            <charset val="134"/>
          </rPr>
          <t>Administrator:</t>
        </r>
        <r>
          <rPr>
            <sz val="9"/>
            <rFont val="宋体"/>
            <charset val="134"/>
          </rPr>
          <t xml:space="preserve">
4000381 9/4 4992pcs
4000485 9/9 12pcs
华一F3</t>
        </r>
      </text>
    </comment>
    <comment ref="AE220" authorId="0">
      <text>
        <r>
          <rPr>
            <b/>
            <sz val="9"/>
            <rFont val="宋体"/>
            <charset val="134"/>
          </rPr>
          <t>Administrator:</t>
        </r>
        <r>
          <rPr>
            <sz val="9"/>
            <rFont val="宋体"/>
            <charset val="134"/>
          </rPr>
          <t xml:space="preserve">
8/18 客供价格贴纸5250pcs</t>
        </r>
      </text>
    </comment>
    <comment ref="AC221" authorId="0">
      <text>
        <r>
          <rPr>
            <b/>
            <sz val="9"/>
            <rFont val="宋体"/>
            <charset val="134"/>
          </rPr>
          <t>Administrator:</t>
        </r>
        <r>
          <rPr>
            <sz val="9"/>
            <rFont val="宋体"/>
            <charset val="134"/>
          </rPr>
          <t xml:space="preserve">
4000518 9/8 20304pcs
华F11
4000516 9/8 8712pcs华1F11
4000485 9/9 31680pcs直走
4000493 9/9 15912pcs直走</t>
        </r>
      </text>
    </comment>
    <comment ref="AC222" authorId="0">
      <text>
        <r>
          <rPr>
            <b/>
            <sz val="9"/>
            <rFont val="宋体"/>
            <charset val="134"/>
          </rPr>
          <t>Administrator:</t>
        </r>
        <r>
          <rPr>
            <sz val="9"/>
            <rFont val="宋体"/>
            <charset val="134"/>
          </rPr>
          <t xml:space="preserve">
东莞用取消订单消耗</t>
        </r>
      </text>
    </comment>
    <comment ref="AE222" authorId="0">
      <text>
        <r>
          <rPr>
            <b/>
            <sz val="9"/>
            <rFont val="宋体"/>
            <charset val="134"/>
          </rPr>
          <t>Administrator:</t>
        </r>
        <r>
          <rPr>
            <sz val="9"/>
            <rFont val="宋体"/>
            <charset val="134"/>
          </rPr>
          <t xml:space="preserve">
</t>
        </r>
        <r>
          <rPr>
            <sz val="11"/>
            <rFont val="宋体"/>
            <charset val="134"/>
          </rPr>
          <t>9/5 退回客供价格贴纸1260pcs</t>
        </r>
      </text>
    </comment>
    <comment ref="AC223" authorId="0">
      <text>
        <r>
          <rPr>
            <b/>
            <sz val="9"/>
            <rFont val="宋体"/>
            <charset val="134"/>
          </rPr>
          <t>Administrator:</t>
        </r>
        <r>
          <rPr>
            <sz val="9"/>
            <rFont val="宋体"/>
            <charset val="134"/>
          </rPr>
          <t xml:space="preserve">
4000502 9/9 24pcs华3B15</t>
        </r>
      </text>
    </comment>
    <comment ref="AE223" authorId="0">
      <text>
        <r>
          <rPr>
            <b/>
            <sz val="9"/>
            <rFont val="宋体"/>
            <charset val="134"/>
          </rPr>
          <t>Administrator:</t>
        </r>
        <r>
          <rPr>
            <sz val="9"/>
            <rFont val="宋体"/>
            <charset val="134"/>
          </rPr>
          <t xml:space="preserve">
8/18 上客供亚马逊外箱贴纸1pcs
8/20 上UP贴纸576pcs
六个同PO共用</t>
        </r>
      </text>
    </comment>
    <comment ref="AC224" authorId="0">
      <text>
        <r>
          <rPr>
            <b/>
            <sz val="9"/>
            <rFont val="宋体"/>
            <charset val="134"/>
          </rPr>
          <t>Administrator:</t>
        </r>
        <r>
          <rPr>
            <sz val="9"/>
            <rFont val="宋体"/>
            <charset val="134"/>
          </rPr>
          <t xml:space="preserve">
4000502 9/9 168pcs
华3B15</t>
        </r>
      </text>
    </comment>
    <comment ref="AE224" authorId="0">
      <text>
        <r>
          <rPr>
            <b/>
            <sz val="9"/>
            <rFont val="宋体"/>
            <charset val="134"/>
          </rPr>
          <t>Administrator:</t>
        </r>
        <r>
          <rPr>
            <sz val="9"/>
            <rFont val="宋体"/>
            <charset val="134"/>
          </rPr>
          <t xml:space="preserve">
8/18 上客供亚马逊外箱贴纸7pcs
</t>
        </r>
      </text>
    </comment>
    <comment ref="AC225" authorId="0">
      <text>
        <r>
          <rPr>
            <b/>
            <sz val="9"/>
            <rFont val="宋体"/>
            <charset val="134"/>
          </rPr>
          <t>Administrator:</t>
        </r>
        <r>
          <rPr>
            <sz val="9"/>
            <rFont val="宋体"/>
            <charset val="134"/>
          </rPr>
          <t xml:space="preserve">
4000502 9/9 168pcs
华3B15
</t>
        </r>
      </text>
    </comment>
    <comment ref="AE225" authorId="0">
      <text>
        <r>
          <rPr>
            <b/>
            <sz val="9"/>
            <rFont val="宋体"/>
            <charset val="134"/>
          </rPr>
          <t>Administrator:</t>
        </r>
        <r>
          <rPr>
            <sz val="9"/>
            <rFont val="宋体"/>
            <charset val="134"/>
          </rPr>
          <t xml:space="preserve">
8/18 上客供亚马逊外箱贴纸7pcs
</t>
        </r>
      </text>
    </comment>
    <comment ref="AC226" authorId="0">
      <text>
        <r>
          <rPr>
            <b/>
            <sz val="9"/>
            <rFont val="宋体"/>
            <charset val="134"/>
          </rPr>
          <t>Administrator:</t>
        </r>
        <r>
          <rPr>
            <sz val="9"/>
            <rFont val="宋体"/>
            <charset val="134"/>
          </rPr>
          <t xml:space="preserve">
4000502 9/9 72pcs
华3B15
</t>
        </r>
      </text>
    </comment>
    <comment ref="AE226" authorId="0">
      <text>
        <r>
          <rPr>
            <b/>
            <sz val="9"/>
            <rFont val="宋体"/>
            <charset val="134"/>
          </rPr>
          <t>Administrator:</t>
        </r>
        <r>
          <rPr>
            <sz val="9"/>
            <rFont val="宋体"/>
            <charset val="134"/>
          </rPr>
          <t xml:space="preserve">
8/18 上客供亚马逊外箱贴纸3pcs
</t>
        </r>
      </text>
    </comment>
    <comment ref="AC227" authorId="0">
      <text>
        <r>
          <rPr>
            <b/>
            <sz val="9"/>
            <rFont val="宋体"/>
            <charset val="134"/>
          </rPr>
          <t>Administrator:</t>
        </r>
        <r>
          <rPr>
            <sz val="9"/>
            <rFont val="宋体"/>
            <charset val="134"/>
          </rPr>
          <t xml:space="preserve">
4000502 9/9 24pcs
华3B15
</t>
        </r>
      </text>
    </comment>
    <comment ref="AE227" authorId="0">
      <text>
        <r>
          <rPr>
            <b/>
            <sz val="9"/>
            <rFont val="宋体"/>
            <charset val="134"/>
          </rPr>
          <t>Administrator:</t>
        </r>
        <r>
          <rPr>
            <sz val="9"/>
            <rFont val="宋体"/>
            <charset val="134"/>
          </rPr>
          <t xml:space="preserve">
8/18 上客供亚马逊外箱贴纸1pcs
</t>
        </r>
      </text>
    </comment>
    <comment ref="AC228" authorId="0">
      <text>
        <r>
          <rPr>
            <b/>
            <sz val="9"/>
            <rFont val="宋体"/>
            <charset val="134"/>
          </rPr>
          <t>Administrator:</t>
        </r>
        <r>
          <rPr>
            <sz val="9"/>
            <rFont val="宋体"/>
            <charset val="134"/>
          </rPr>
          <t xml:space="preserve">
4000502 9/9 120pcs
华3B15
</t>
        </r>
      </text>
    </comment>
    <comment ref="AE228" authorId="0">
      <text>
        <r>
          <rPr>
            <b/>
            <sz val="9"/>
            <rFont val="宋体"/>
            <charset val="134"/>
          </rPr>
          <t>Administrator:</t>
        </r>
        <r>
          <rPr>
            <sz val="9"/>
            <rFont val="宋体"/>
            <charset val="134"/>
          </rPr>
          <t xml:space="preserve">
8/18 上客供亚马逊外箱贴纸5pcs
</t>
        </r>
      </text>
    </comment>
    <comment ref="AC229" authorId="0">
      <text>
        <r>
          <rPr>
            <b/>
            <sz val="9"/>
            <rFont val="宋体"/>
            <charset val="134"/>
          </rPr>
          <t>Administrator:</t>
        </r>
        <r>
          <rPr>
            <sz val="9"/>
            <rFont val="宋体"/>
            <charset val="134"/>
          </rPr>
          <t xml:space="preserve">
4000473 9/10 30720pcs直走</t>
        </r>
      </text>
    </comment>
    <comment ref="AC230" authorId="0">
      <text>
        <r>
          <rPr>
            <b/>
            <sz val="9"/>
            <rFont val="宋体"/>
            <charset val="134"/>
          </rPr>
          <t>Administrator:</t>
        </r>
        <r>
          <rPr>
            <sz val="9"/>
            <rFont val="宋体"/>
            <charset val="134"/>
          </rPr>
          <t xml:space="preserve">
4000485 9/9 144pcs华3B12</t>
        </r>
      </text>
    </comment>
    <comment ref="AE230" authorId="0">
      <text>
        <r>
          <rPr>
            <b/>
            <sz val="9"/>
            <rFont val="宋体"/>
            <charset val="134"/>
          </rPr>
          <t>Administrator:</t>
        </r>
        <r>
          <rPr>
            <sz val="9"/>
            <rFont val="宋体"/>
            <charset val="134"/>
          </rPr>
          <t xml:space="preserve">
8/13 上进口商贴纸144pcs</t>
        </r>
      </text>
    </comment>
    <comment ref="AC231" authorId="0">
      <text>
        <r>
          <rPr>
            <b/>
            <sz val="9"/>
            <rFont val="宋体"/>
            <charset val="134"/>
          </rPr>
          <t>Administrator:</t>
        </r>
        <r>
          <rPr>
            <sz val="9"/>
            <rFont val="宋体"/>
            <charset val="134"/>
          </rPr>
          <t xml:space="preserve">
4000448 9/11 728pcs华3B14</t>
        </r>
      </text>
    </comment>
    <comment ref="AE231" authorId="0">
      <text>
        <r>
          <rPr>
            <b/>
            <sz val="9"/>
            <rFont val="宋体"/>
            <charset val="134"/>
          </rPr>
          <t>Administrator:</t>
        </r>
        <r>
          <rPr>
            <sz val="9"/>
            <rFont val="宋体"/>
            <charset val="134"/>
          </rPr>
          <t xml:space="preserve">
8/18 上可移动价格贴纸728pcs</t>
        </r>
      </text>
    </comment>
    <comment ref="AC232" authorId="0">
      <text>
        <r>
          <rPr>
            <b/>
            <sz val="9"/>
            <rFont val="宋体"/>
            <charset val="134"/>
          </rPr>
          <t>Administrator:</t>
        </r>
        <r>
          <rPr>
            <sz val="9"/>
            <rFont val="宋体"/>
            <charset val="134"/>
          </rPr>
          <t xml:space="preserve">
东莞用取消订单消耗
</t>
        </r>
      </text>
    </comment>
    <comment ref="AE232" authorId="0">
      <text>
        <r>
          <rPr>
            <b/>
            <sz val="9"/>
            <rFont val="宋体"/>
            <charset val="134"/>
          </rPr>
          <t>Administrator:</t>
        </r>
        <r>
          <rPr>
            <sz val="9"/>
            <rFont val="宋体"/>
            <charset val="134"/>
          </rPr>
          <t xml:space="preserve">
8/14 上客供价格贴纸1059pcs</t>
        </r>
      </text>
    </comment>
    <comment ref="AC233" authorId="0">
      <text>
        <r>
          <rPr>
            <b/>
            <sz val="9"/>
            <rFont val="宋体"/>
            <charset val="134"/>
          </rPr>
          <t>Administrator:</t>
        </r>
        <r>
          <rPr>
            <sz val="9"/>
            <rFont val="宋体"/>
            <charset val="134"/>
          </rPr>
          <t xml:space="preserve">
5000120 9/16 32664pcs直走</t>
        </r>
      </text>
    </comment>
    <comment ref="AC234" authorId="0">
      <text>
        <r>
          <rPr>
            <b/>
            <sz val="9"/>
            <rFont val="宋体"/>
            <charset val="134"/>
          </rPr>
          <t>Administrator:</t>
        </r>
        <r>
          <rPr>
            <sz val="9"/>
            <rFont val="宋体"/>
            <charset val="134"/>
          </rPr>
          <t xml:space="preserve">
5000380 9/26 5500pcs莫4A5</t>
        </r>
      </text>
    </comment>
    <comment ref="AE234" authorId="0">
      <text>
        <r>
          <rPr>
            <b/>
            <sz val="9"/>
            <rFont val="宋体"/>
            <charset val="134"/>
          </rPr>
          <t>Administrator:</t>
        </r>
        <r>
          <rPr>
            <sz val="9"/>
            <rFont val="宋体"/>
            <charset val="134"/>
          </rPr>
          <t xml:space="preserve">
9/5 UPC贴纸5500pcs
9/5 上UPC贴纸5500pcs
9/8 进口商贴纸 5500pcs</t>
        </r>
      </text>
    </comment>
    <comment ref="AC235" authorId="0">
      <text>
        <r>
          <rPr>
            <b/>
            <sz val="9"/>
            <rFont val="宋体"/>
            <charset val="134"/>
          </rPr>
          <t>Administrator:</t>
        </r>
        <r>
          <rPr>
            <sz val="9"/>
            <rFont val="宋体"/>
            <charset val="134"/>
          </rPr>
          <t xml:space="preserve">
5000395 9/27 552pcs</t>
        </r>
      </text>
    </comment>
    <comment ref="AE235" authorId="0">
      <text>
        <r>
          <rPr>
            <b/>
            <sz val="9"/>
            <rFont val="宋体"/>
            <charset val="134"/>
          </rPr>
          <t>Administrator:</t>
        </r>
        <r>
          <rPr>
            <sz val="9"/>
            <rFont val="宋体"/>
            <charset val="134"/>
          </rPr>
          <t xml:space="preserve">
9/1 多语折叠警告语贴纸 552pcs
9/2 上客供防伪贴纸552pcs
上WEEE电子产品说明书30L(带电
池走货B版)552pcs
9/5 亚马逊外箱贴纸 23pcs</t>
        </r>
      </text>
    </comment>
    <comment ref="AC236" authorId="0">
      <text>
        <r>
          <rPr>
            <b/>
            <sz val="9"/>
            <rFont val="宋体"/>
            <charset val="134"/>
          </rPr>
          <t>Administrator:</t>
        </r>
        <r>
          <rPr>
            <sz val="9"/>
            <rFont val="宋体"/>
            <charset val="134"/>
          </rPr>
          <t xml:space="preserve">
5000395 9/27 480pcs
</t>
        </r>
      </text>
    </comment>
    <comment ref="AE236" authorId="0">
      <text>
        <r>
          <rPr>
            <b/>
            <sz val="9"/>
            <rFont val="宋体"/>
            <charset val="134"/>
          </rPr>
          <t>Administrator:</t>
        </r>
        <r>
          <rPr>
            <sz val="9"/>
            <rFont val="宋体"/>
            <charset val="134"/>
          </rPr>
          <t xml:space="preserve">
9/1 多语折叠警告语贴纸 480pcs
9/2 上客供防伪贴纸480pcs
WEEE电子产品说明书30L(带电
池走货B版)480pcs
9/5 亚马逊外箱贴纸20pcs</t>
        </r>
      </text>
    </comment>
    <comment ref="AC237" authorId="0">
      <text>
        <r>
          <rPr>
            <b/>
            <sz val="9"/>
            <rFont val="宋体"/>
            <charset val="134"/>
          </rPr>
          <t>Administrator:</t>
        </r>
        <r>
          <rPr>
            <sz val="9"/>
            <rFont val="宋体"/>
            <charset val="134"/>
          </rPr>
          <t xml:space="preserve">
5000405 9/27 32664pcs</t>
        </r>
      </text>
    </comment>
    <comment ref="AC238" authorId="0">
      <text>
        <r>
          <rPr>
            <b/>
            <sz val="9"/>
            <rFont val="宋体"/>
            <charset val="134"/>
          </rPr>
          <t>Administrator:</t>
        </r>
        <r>
          <rPr>
            <sz val="9"/>
            <rFont val="宋体"/>
            <charset val="134"/>
          </rPr>
          <t xml:space="preserve">
5000416 9/27 3120pcs
5000417 9/29 29520pcs
5000422 9/29 24pcs</t>
        </r>
      </text>
    </comment>
    <comment ref="AC239" authorId="0">
      <text>
        <r>
          <rPr>
            <b/>
            <sz val="9"/>
            <rFont val="宋体"/>
            <charset val="134"/>
          </rPr>
          <t>Administrator:</t>
        </r>
        <r>
          <rPr>
            <sz val="9"/>
            <rFont val="宋体"/>
            <charset val="134"/>
          </rPr>
          <t xml:space="preserve">
东莞用取消订单消耗
</t>
        </r>
      </text>
    </comment>
    <comment ref="AE239" authorId="0">
      <text>
        <r>
          <rPr>
            <b/>
            <sz val="9"/>
            <rFont val="宋体"/>
            <charset val="134"/>
          </rPr>
          <t>Administrator:</t>
        </r>
        <r>
          <rPr>
            <sz val="9"/>
            <rFont val="宋体"/>
            <charset val="134"/>
          </rPr>
          <t xml:space="preserve">
9/12 上客供价格贴纸530pcs</t>
        </r>
      </text>
    </comment>
    <comment ref="AC240" authorId="0">
      <text>
        <r>
          <rPr>
            <b/>
            <sz val="9"/>
            <rFont val="宋体"/>
            <charset val="134"/>
          </rPr>
          <t>Administrator:</t>
        </r>
        <r>
          <rPr>
            <sz val="9"/>
            <rFont val="宋体"/>
            <charset val="134"/>
          </rPr>
          <t xml:space="preserve">
5000486 10/10 42pcs=42
5000501 10/10 8484pcs华3A23</t>
        </r>
      </text>
    </comment>
    <comment ref="AC241" authorId="0">
      <text>
        <r>
          <rPr>
            <b/>
            <sz val="9"/>
            <rFont val="宋体"/>
            <charset val="134"/>
          </rPr>
          <t>Administrator:</t>
        </r>
        <r>
          <rPr>
            <sz val="9"/>
            <rFont val="宋体"/>
            <charset val="134"/>
          </rPr>
          <t xml:space="preserve">
5000007 10/13 26280pcs
华一F5
5000558 10/15 1584pcs华一F5
5000541 10/14 4800pcs</t>
        </r>
      </text>
    </comment>
    <comment ref="AC242" authorId="0">
      <text>
        <r>
          <rPr>
            <b/>
            <sz val="9"/>
            <rFont val="宋体"/>
            <charset val="134"/>
          </rPr>
          <t>Administrator:</t>
        </r>
        <r>
          <rPr>
            <sz val="9"/>
            <rFont val="宋体"/>
            <charset val="134"/>
          </rPr>
          <t xml:space="preserve">
5000567 10/15 504pcs华3B13</t>
        </r>
      </text>
    </comment>
    <comment ref="AE242" authorId="0">
      <text>
        <r>
          <rPr>
            <b/>
            <sz val="9"/>
            <rFont val="宋体"/>
            <charset val="134"/>
          </rPr>
          <t>Administrator:</t>
        </r>
        <r>
          <rPr>
            <sz val="9"/>
            <rFont val="宋体"/>
            <charset val="134"/>
          </rPr>
          <t xml:space="preserve">
9/23 上UPC贴纸504pcs</t>
        </r>
      </text>
    </comment>
    <comment ref="AC243" authorId="0">
      <text>
        <r>
          <rPr>
            <b/>
            <sz val="9"/>
            <rFont val="宋体"/>
            <charset val="134"/>
          </rPr>
          <t>Administrator:</t>
        </r>
        <r>
          <rPr>
            <sz val="9"/>
            <rFont val="宋体"/>
            <charset val="134"/>
          </rPr>
          <t xml:space="preserve">
5000616 10/18 2625pcs
</t>
        </r>
      </text>
    </comment>
    <comment ref="AE243" authorId="0">
      <text>
        <r>
          <rPr>
            <b/>
            <sz val="9"/>
            <rFont val="宋体"/>
            <charset val="134"/>
          </rPr>
          <t>Administrator:</t>
        </r>
        <r>
          <rPr>
            <sz val="9"/>
            <rFont val="宋体"/>
            <charset val="134"/>
          </rPr>
          <t xml:space="preserve">
9/26 上PDQ正面贴纸125pcs
PDQ侧面贴纸125pcs
PDQ背面贴纸125pcs
9/29 PDQ侧面贴纸125pcs
</t>
        </r>
      </text>
    </comment>
    <comment ref="AC244" authorId="0">
      <text>
        <r>
          <rPr>
            <b/>
            <sz val="9"/>
            <rFont val="宋体"/>
            <charset val="134"/>
          </rPr>
          <t>Administrator:</t>
        </r>
        <r>
          <rPr>
            <sz val="9"/>
            <rFont val="宋体"/>
            <charset val="134"/>
          </rPr>
          <t xml:space="preserve">
5000174 10/24 28752pcs
华一B3
5000166 10/24 2400pcs华一B3
5000194 10/25 1512pcs华一B3</t>
        </r>
      </text>
    </comment>
    <comment ref="AC245" authorId="0">
      <text>
        <r>
          <rPr>
            <b/>
            <sz val="9"/>
            <rFont val="宋体"/>
            <charset val="134"/>
          </rPr>
          <t>Administrator:</t>
        </r>
        <r>
          <rPr>
            <sz val="9"/>
            <rFont val="宋体"/>
            <charset val="134"/>
          </rPr>
          <t xml:space="preserve">
5000145 10/22 450pcs华3B13
5000149 10/23 50pcs华3B13</t>
        </r>
      </text>
    </comment>
    <comment ref="AE245" authorId="0">
      <text>
        <r>
          <rPr>
            <b/>
            <sz val="9"/>
            <rFont val="宋体"/>
            <charset val="134"/>
          </rPr>
          <t>Administrator:</t>
        </r>
        <r>
          <rPr>
            <sz val="9"/>
            <rFont val="宋体"/>
            <charset val="134"/>
          </rPr>
          <t xml:space="preserve">
9/23 WEEE带电池走货欧洲30语通用黑白说明书500pcs</t>
        </r>
      </text>
    </comment>
    <comment ref="AC246" authorId="0">
      <text>
        <r>
          <rPr>
            <b/>
            <sz val="9"/>
            <rFont val="宋体"/>
            <charset val="134"/>
          </rPr>
          <t>Administrator:</t>
        </r>
        <r>
          <rPr>
            <sz val="9"/>
            <rFont val="宋体"/>
            <charset val="134"/>
          </rPr>
          <t xml:space="preserve">
5000235 10/29 480pcs王付建4-B9</t>
        </r>
      </text>
    </comment>
    <comment ref="AE246" authorId="0">
      <text>
        <r>
          <rPr>
            <b/>
            <sz val="9"/>
            <rFont val="宋体"/>
            <charset val="134"/>
          </rPr>
          <t>Administrator:</t>
        </r>
        <r>
          <rPr>
            <sz val="9"/>
            <rFont val="宋体"/>
            <charset val="134"/>
          </rPr>
          <t xml:space="preserve">
9/18 上亚马逊外箱贴纸20pcs
+WEEE电子产品说明书30L(带电池走货B版)480pcs
10/13 上客供防伪贴纸480pcs
10/23 上多语折叠警告语贴纸480pcs</t>
        </r>
      </text>
    </comment>
    <comment ref="AC247" authorId="0">
      <text>
        <r>
          <rPr>
            <b/>
            <sz val="9"/>
            <rFont val="宋体"/>
            <charset val="134"/>
          </rPr>
          <t>Administrator:</t>
        </r>
        <r>
          <rPr>
            <sz val="9"/>
            <rFont val="宋体"/>
            <charset val="134"/>
          </rPr>
          <t xml:space="preserve">
东莞用取消订单消耗
</t>
        </r>
      </text>
    </comment>
    <comment ref="AC248" authorId="0">
      <text>
        <r>
          <rPr>
            <b/>
            <sz val="9"/>
            <rFont val="宋体"/>
            <charset val="134"/>
          </rPr>
          <t>Administrator:</t>
        </r>
        <r>
          <rPr>
            <sz val="9"/>
            <rFont val="宋体"/>
            <charset val="134"/>
          </rPr>
          <t xml:space="preserve">
5000235 10/29 1079pcs
王付建4-A6
5000242 10/29 143pcsB四楼 4-A6</t>
        </r>
      </text>
    </comment>
    <comment ref="AE248" authorId="0">
      <text>
        <r>
          <rPr>
            <b/>
            <sz val="9"/>
            <rFont val="宋体"/>
            <charset val="134"/>
          </rPr>
          <t>Administrator:</t>
        </r>
        <r>
          <rPr>
            <sz val="9"/>
            <rFont val="宋体"/>
            <charset val="134"/>
          </rPr>
          <t xml:space="preserve">
9/30 上警告语贴纸1222pcs
收藏指南气味贴纸1222pcs</t>
        </r>
      </text>
    </comment>
    <comment ref="AC249" authorId="0">
      <text>
        <r>
          <rPr>
            <b/>
            <sz val="9"/>
            <rFont val="宋体"/>
            <charset val="134"/>
          </rPr>
          <t>Administrator:</t>
        </r>
        <r>
          <rPr>
            <sz val="9"/>
            <rFont val="宋体"/>
            <charset val="134"/>
          </rPr>
          <t xml:space="preserve">
1200266 11/1 936pcs王付键4b9</t>
        </r>
      </text>
    </comment>
    <comment ref="AE249" authorId="0">
      <text>
        <r>
          <rPr>
            <b/>
            <sz val="9"/>
            <rFont val="宋体"/>
            <charset val="134"/>
          </rPr>
          <t>Administrator:</t>
        </r>
        <r>
          <rPr>
            <sz val="9"/>
            <rFont val="宋体"/>
            <charset val="134"/>
          </rPr>
          <t xml:space="preserve">
10/13 上客供防伪贴纸936pcs
10/14 上WEEE电子产品说明书30L(带电池走货B版)936pcs</t>
        </r>
      </text>
    </comment>
    <comment ref="AC250" authorId="0">
      <text>
        <r>
          <rPr>
            <b/>
            <sz val="9"/>
            <rFont val="宋体"/>
            <charset val="134"/>
          </rPr>
          <t>Administrator:</t>
        </r>
        <r>
          <rPr>
            <sz val="9"/>
            <rFont val="宋体"/>
            <charset val="134"/>
          </rPr>
          <t xml:space="preserve">
1200265 10/31 480pcs</t>
        </r>
      </text>
    </comment>
    <comment ref="AE250" authorId="0">
      <text>
        <r>
          <rPr>
            <b/>
            <sz val="9"/>
            <rFont val="宋体"/>
            <charset val="134"/>
          </rPr>
          <t>Administrator:</t>
        </r>
        <r>
          <rPr>
            <sz val="9"/>
            <rFont val="宋体"/>
            <charset val="134"/>
          </rPr>
          <t xml:space="preserve">
10/13 上客供防伪贴纸480pcs
10/14 上WEEE电子产品说明书30L(带电池走货B版)480pcs
10/17 上亚马逊外箱贴纸20pcs</t>
        </r>
      </text>
    </comment>
    <comment ref="AC251" authorId="0">
      <text>
        <r>
          <rPr>
            <b/>
            <sz val="9"/>
            <rFont val="宋体"/>
            <charset val="134"/>
          </rPr>
          <t>Administrator:</t>
        </r>
        <r>
          <rPr>
            <sz val="9"/>
            <rFont val="宋体"/>
            <charset val="134"/>
          </rPr>
          <t xml:space="preserve">
1200324 11/6 3000pcs</t>
        </r>
      </text>
    </comment>
    <comment ref="AE252" authorId="0">
      <text>
        <r>
          <rPr>
            <b/>
            <sz val="9"/>
            <rFont val="宋体"/>
            <charset val="134"/>
          </rPr>
          <t>Administrator:</t>
        </r>
        <r>
          <rPr>
            <sz val="9"/>
            <rFont val="宋体"/>
            <charset val="134"/>
          </rPr>
          <t xml:space="preserve">
10/18 退回客供价格贴纸1059pcs</t>
        </r>
      </text>
    </comment>
    <comment ref="AC253" authorId="0">
      <text>
        <r>
          <rPr>
            <b/>
            <sz val="9"/>
            <rFont val="宋体"/>
            <charset val="134"/>
          </rPr>
          <t>Administrator:</t>
        </r>
        <r>
          <rPr>
            <sz val="9"/>
            <rFont val="宋体"/>
            <charset val="134"/>
          </rPr>
          <t xml:space="preserve">
1200552 11/27 696pcs 华3a15
1200573 12/1 24pcs华3b15</t>
        </r>
      </text>
    </comment>
    <comment ref="AE253" authorId="0">
      <text>
        <r>
          <rPr>
            <b/>
            <sz val="9"/>
            <rFont val="宋体"/>
            <charset val="134"/>
          </rPr>
          <t>Administrator:</t>
        </r>
        <r>
          <rPr>
            <sz val="9"/>
            <rFont val="宋体"/>
            <charset val="134"/>
          </rPr>
          <t xml:space="preserve">
10/29 客供防伪贴纸720pcs
11/6 WEEE电子产品说明书30L(带 720pcs
11/7 多语可折叠警告语贴纸 720pcs
11/11 亚马逊外箱贴纸4*6 30pcs</t>
        </r>
      </text>
    </comment>
    <comment ref="AC254" authorId="0">
      <text>
        <r>
          <rPr>
            <b/>
            <sz val="9"/>
            <rFont val="宋体"/>
            <charset val="134"/>
          </rPr>
          <t>Administrator:</t>
        </r>
        <r>
          <rPr>
            <sz val="9"/>
            <rFont val="宋体"/>
            <charset val="134"/>
          </rPr>
          <t xml:space="preserve">
1200558 11/27 546pcs华3b14</t>
        </r>
      </text>
    </comment>
    <comment ref="AE254" authorId="0">
      <text>
        <r>
          <rPr>
            <b/>
            <sz val="9"/>
            <rFont val="宋体"/>
            <charset val="134"/>
          </rPr>
          <t>Administrator:</t>
        </r>
        <r>
          <rPr>
            <sz val="9"/>
            <rFont val="宋体"/>
            <charset val="134"/>
          </rPr>
          <t xml:space="preserve">
10/25 上瑞典警告语贴纸546pcs
内袋瑞典警告语贴纸2184pcs
WEEE30LB版带电池走货说明书546pcs
11/4 收藏指南 546pcs</t>
        </r>
      </text>
    </comment>
    <comment ref="AC255" authorId="0">
      <text>
        <r>
          <rPr>
            <b/>
            <sz val="9"/>
            <rFont val="宋体"/>
            <charset val="134"/>
          </rPr>
          <t>Administrator:</t>
        </r>
        <r>
          <rPr>
            <sz val="9"/>
            <rFont val="宋体"/>
            <charset val="134"/>
          </rPr>
          <t xml:space="preserve">
1200558 11/27 195pcs华3b13</t>
        </r>
      </text>
    </comment>
    <comment ref="AE255" authorId="0">
      <text>
        <r>
          <rPr>
            <b/>
            <sz val="9"/>
            <rFont val="宋体"/>
            <charset val="134"/>
          </rPr>
          <t>Administrator:</t>
        </r>
        <r>
          <rPr>
            <sz val="9"/>
            <rFont val="宋体"/>
            <charset val="134"/>
          </rPr>
          <t xml:space="preserve">
10/25 上语言/客人进口商贴纸195pcs
收藏指南无香味空白贴纸195pcs
通用WEEE带电池走货说明书195pcs
警告语贴纸195pcs</t>
        </r>
      </text>
    </comment>
    <comment ref="AC256" authorId="0">
      <text>
        <r>
          <rPr>
            <b/>
            <sz val="9"/>
            <rFont val="宋体"/>
            <charset val="134"/>
          </rPr>
          <t>Administrator:</t>
        </r>
        <r>
          <rPr>
            <sz val="9"/>
            <rFont val="宋体"/>
            <charset val="134"/>
          </rPr>
          <t xml:space="preserve">
1200552 11/27 480pcs 华3a15</t>
        </r>
      </text>
    </comment>
    <comment ref="AE256" authorId="0">
      <text>
        <r>
          <rPr>
            <b/>
            <sz val="9"/>
            <rFont val="宋体"/>
            <charset val="134"/>
          </rPr>
          <t>Administrator:</t>
        </r>
        <r>
          <rPr>
            <sz val="9"/>
            <rFont val="宋体"/>
            <charset val="134"/>
          </rPr>
          <t xml:space="preserve">
10/29 客供防伪贴纸480pcs
11/11 亚马逊外箱贴纸4*6 20pcs
11/13  WEEE电子产品说明书(不带电 480pcs
11/13 多莧鲈部詞囅苍可折鲞警告语贴纸 480pcs</t>
        </r>
      </text>
    </comment>
    <comment ref="AC257" authorId="0">
      <text>
        <r>
          <rPr>
            <b/>
            <sz val="9"/>
            <rFont val="宋体"/>
            <charset val="134"/>
          </rPr>
          <t>Administrator:</t>
        </r>
        <r>
          <rPr>
            <sz val="9"/>
            <rFont val="宋体"/>
            <charset val="134"/>
          </rPr>
          <t xml:space="preserve">
1200645 12/4 2940pcs华3b13</t>
        </r>
      </text>
    </comment>
    <comment ref="AE257" authorId="0">
      <text>
        <r>
          <rPr>
            <b/>
            <sz val="9"/>
            <rFont val="宋体"/>
            <charset val="134"/>
          </rPr>
          <t>Administrator:</t>
        </r>
        <r>
          <rPr>
            <sz val="9"/>
            <rFont val="宋体"/>
            <charset val="134"/>
          </rPr>
          <t xml:space="preserve">
11/6 客户货号法国回收logo贴纸 2940pcs</t>
        </r>
      </text>
    </comment>
    <comment ref="AC258" authorId="0">
      <text>
        <r>
          <rPr>
            <b/>
            <sz val="9"/>
            <rFont val="宋体"/>
            <charset val="134"/>
          </rPr>
          <t>Administrator:</t>
        </r>
        <r>
          <rPr>
            <sz val="9"/>
            <rFont val="宋体"/>
            <charset val="134"/>
          </rPr>
          <t xml:space="preserve">
1200617 12/2 400pcs华3b13</t>
        </r>
      </text>
    </comment>
    <comment ref="AE258" authorId="0">
      <text>
        <r>
          <rPr>
            <b/>
            <sz val="9"/>
            <rFont val="宋体"/>
            <charset val="134"/>
          </rPr>
          <t>Administrator:</t>
        </r>
        <r>
          <rPr>
            <sz val="9"/>
            <rFont val="宋体"/>
            <charset val="134"/>
          </rPr>
          <t xml:space="preserve">
11/18 进口商贴纸50*42mm 400pcs
11/18 UPC贴纸32*16mm 400pcs
</t>
        </r>
      </text>
    </comment>
    <comment ref="AC259" authorId="0">
      <text>
        <r>
          <rPr>
            <b/>
            <sz val="9"/>
            <rFont val="宋体"/>
            <charset val="134"/>
          </rPr>
          <t xml:space="preserve">Administrator:
</t>
        </r>
        <r>
          <rPr>
            <sz val="9"/>
            <rFont val="宋体"/>
            <charset val="134"/>
          </rPr>
          <t>消耗取消单</t>
        </r>
      </text>
    </comment>
    <comment ref="AE259" authorId="0">
      <text>
        <r>
          <rPr>
            <b/>
            <sz val="9"/>
            <rFont val="宋体"/>
            <charset val="134"/>
          </rPr>
          <t>Administrator:</t>
        </r>
        <r>
          <rPr>
            <sz val="9"/>
            <rFont val="宋体"/>
            <charset val="134"/>
          </rPr>
          <t xml:space="preserve">
11/18 空白贴纸38*19mm 996pcs
客供价格贴纸</t>
        </r>
      </text>
    </comment>
    <comment ref="AC260" authorId="0">
      <text>
        <r>
          <rPr>
            <b/>
            <sz val="9"/>
            <rFont val="宋体"/>
            <charset val="134"/>
          </rPr>
          <t>Administrator:</t>
        </r>
        <r>
          <rPr>
            <sz val="9"/>
            <rFont val="宋体"/>
            <charset val="134"/>
          </rPr>
          <t xml:space="preserve">
消耗取消单
</t>
        </r>
      </text>
    </comment>
    <comment ref="AE260" authorId="0">
      <text>
        <r>
          <rPr>
            <b/>
            <sz val="9"/>
            <rFont val="宋体"/>
            <charset val="134"/>
          </rPr>
          <t>Administrator:</t>
        </r>
        <r>
          <rPr>
            <sz val="9"/>
            <rFont val="宋体"/>
            <charset val="134"/>
          </rPr>
          <t xml:space="preserve">
11/18 空白贴纸38*19mm 1200pcs
客供价格贴纸</t>
        </r>
      </text>
    </comment>
    <comment ref="AC261" authorId="0">
      <text>
        <r>
          <rPr>
            <b/>
            <sz val="9"/>
            <rFont val="宋体"/>
            <charset val="134"/>
          </rPr>
          <t>Administrator:</t>
        </r>
        <r>
          <rPr>
            <sz val="9"/>
            <rFont val="宋体"/>
            <charset val="134"/>
          </rPr>
          <t xml:space="preserve">
1600065 12/26 150pcs华3b8 
1600069 12/24 4980pcs 华3b8  </t>
        </r>
      </text>
    </comment>
    <comment ref="AE261" authorId="0">
      <text>
        <r>
          <rPr>
            <b/>
            <sz val="9"/>
            <rFont val="宋体"/>
            <charset val="134"/>
          </rPr>
          <t>Administrator:</t>
        </r>
        <r>
          <rPr>
            <sz val="9"/>
            <rFont val="宋体"/>
            <charset val="134"/>
          </rPr>
          <t xml:space="preserve">
11/18 进口商贴纸50*42mm 5000pcs
11/18 UPC贴纸32*16mm 5000pcs</t>
        </r>
      </text>
    </comment>
    <comment ref="AC262" authorId="0">
      <text>
        <r>
          <rPr>
            <b/>
            <sz val="9"/>
            <rFont val="宋体"/>
            <charset val="134"/>
          </rPr>
          <t>Administrator:</t>
        </r>
        <r>
          <rPr>
            <sz val="9"/>
            <rFont val="宋体"/>
            <charset val="134"/>
          </rPr>
          <t xml:space="preserve">
1600100 12/26 1300pcs 王4a9</t>
        </r>
      </text>
    </comment>
    <comment ref="AE262" authorId="0">
      <text>
        <r>
          <rPr>
            <b/>
            <sz val="9"/>
            <rFont val="宋体"/>
            <charset val="134"/>
          </rPr>
          <t>Administrator:</t>
        </r>
        <r>
          <rPr>
            <sz val="9"/>
            <rFont val="宋体"/>
            <charset val="134"/>
          </rPr>
          <t xml:space="preserve">
12/9 警告语贴纸 1300pcs
收藏指南气味贴纸 1300pcs</t>
        </r>
      </text>
    </comment>
    <comment ref="AC263" authorId="0">
      <text>
        <r>
          <rPr>
            <b/>
            <sz val="9"/>
            <rFont val="宋体"/>
            <charset val="134"/>
          </rPr>
          <t>Administrator:</t>
        </r>
        <r>
          <rPr>
            <sz val="9"/>
            <rFont val="宋体"/>
            <charset val="134"/>
          </rPr>
          <t xml:space="preserve">
消耗取消单56588</t>
        </r>
      </text>
    </comment>
    <comment ref="AE263" authorId="0">
      <text>
        <r>
          <rPr>
            <b/>
            <sz val="9"/>
            <rFont val="宋体"/>
            <charset val="134"/>
          </rPr>
          <t>Administrator:</t>
        </r>
        <r>
          <rPr>
            <sz val="9"/>
            <rFont val="宋体"/>
            <charset val="134"/>
          </rPr>
          <t xml:space="preserve">
11/18 空白贴纸38*19mm 996pcs
12/15 客供价格贴纸 1096pcs</t>
        </r>
      </text>
    </comment>
    <comment ref="AC264" authorId="0">
      <text>
        <r>
          <rPr>
            <b/>
            <sz val="9"/>
            <rFont val="宋体"/>
            <charset val="134"/>
          </rPr>
          <t>Administrator:</t>
        </r>
        <r>
          <rPr>
            <sz val="9"/>
            <rFont val="宋体"/>
            <charset val="134"/>
          </rPr>
          <t xml:space="preserve">
消耗取消单56588
</t>
        </r>
      </text>
    </comment>
    <comment ref="AE264" authorId="0">
      <text>
        <r>
          <rPr>
            <b/>
            <sz val="9"/>
            <rFont val="宋体"/>
            <charset val="134"/>
          </rPr>
          <t>Administrator:</t>
        </r>
        <r>
          <rPr>
            <sz val="9"/>
            <rFont val="宋体"/>
            <charset val="134"/>
          </rPr>
          <t xml:space="preserve">
11/18 空白贴纸38*19mm 1200pcs
12/15 客供价格贴纸 1320pcs</t>
        </r>
      </text>
    </comment>
    <comment ref="AC265" authorId="0">
      <text>
        <r>
          <rPr>
            <b/>
            <sz val="9"/>
            <rFont val="宋体"/>
            <charset val="134"/>
          </rPr>
          <t>Administrator:</t>
        </r>
        <r>
          <rPr>
            <sz val="9"/>
            <rFont val="宋体"/>
            <charset val="134"/>
          </rPr>
          <t xml:space="preserve">
1600953 1/8 1200pcs  庞3b16</t>
        </r>
      </text>
    </comment>
    <comment ref="AE265" authorId="0">
      <text>
        <r>
          <rPr>
            <b/>
            <sz val="9"/>
            <rFont val="宋体"/>
            <charset val="134"/>
          </rPr>
          <t>Administrator:</t>
        </r>
        <r>
          <rPr>
            <sz val="9"/>
            <rFont val="宋体"/>
            <charset val="134"/>
          </rPr>
          <t xml:space="preserve">
12/15 客供价格贴纸 1320pcs</t>
        </r>
      </text>
    </comment>
    <comment ref="AC266" authorId="0">
      <text>
        <r>
          <rPr>
            <b/>
            <sz val="9"/>
            <rFont val="宋体"/>
            <charset val="134"/>
          </rPr>
          <t>Administrator:</t>
        </r>
        <r>
          <rPr>
            <sz val="9"/>
            <rFont val="宋体"/>
            <charset val="134"/>
          </rPr>
          <t xml:space="preserve">
1600953 1/2 996pcs 庞3b14</t>
        </r>
      </text>
    </comment>
    <comment ref="AE266" authorId="0">
      <text>
        <r>
          <rPr>
            <b/>
            <sz val="9"/>
            <rFont val="宋体"/>
            <charset val="134"/>
          </rPr>
          <t>Administrator:</t>
        </r>
        <r>
          <rPr>
            <sz val="9"/>
            <rFont val="宋体"/>
            <charset val="134"/>
          </rPr>
          <t xml:space="preserve">
12/15 客供价格贴纸 1096pcs </t>
        </r>
      </text>
    </comment>
    <comment ref="AC298" authorId="0">
      <text>
        <r>
          <rPr>
            <b/>
            <sz val="9"/>
            <rFont val="宋体"/>
            <charset val="134"/>
          </rPr>
          <t>Administrator:</t>
        </r>
        <r>
          <rPr>
            <sz val="9"/>
            <rFont val="宋体"/>
            <charset val="134"/>
          </rPr>
          <t xml:space="preserve">
0000820 3/29 2268pcs华3A29</t>
        </r>
      </text>
    </comment>
    <comment ref="AE298" authorId="0">
      <text>
        <r>
          <rPr>
            <b/>
            <sz val="9"/>
            <rFont val="宋体"/>
            <charset val="134"/>
          </rPr>
          <t>Administrator:</t>
        </r>
        <r>
          <rPr>
            <sz val="9"/>
            <rFont val="宋体"/>
            <charset val="134"/>
          </rPr>
          <t xml:space="preserve">
3/12 上亚马逊外箱贴纸189pcs</t>
        </r>
      </text>
    </comment>
    <comment ref="AC299" authorId="0">
      <text>
        <r>
          <rPr>
            <b/>
            <sz val="9"/>
            <rFont val="宋体"/>
            <charset val="134"/>
          </rPr>
          <t>Administrator:</t>
        </r>
        <r>
          <rPr>
            <sz val="9"/>
            <rFont val="宋体"/>
            <charset val="134"/>
          </rPr>
          <t xml:space="preserve">
0000820 3/29 2220pcs
华A29</t>
        </r>
      </text>
    </comment>
    <comment ref="AE299" authorId="0">
      <text>
        <r>
          <rPr>
            <b/>
            <sz val="9"/>
            <rFont val="宋体"/>
            <charset val="134"/>
          </rPr>
          <t>Administrator:</t>
        </r>
        <r>
          <rPr>
            <sz val="9"/>
            <rFont val="宋体"/>
            <charset val="134"/>
          </rPr>
          <t xml:space="preserve">
3/12 上亚马逊外箱贴纸185pcs
</t>
        </r>
      </text>
    </comment>
    <comment ref="AC300" authorId="0">
      <text>
        <r>
          <rPr>
            <b/>
            <sz val="9"/>
            <rFont val="宋体"/>
            <charset val="134"/>
          </rPr>
          <t>Administrator:</t>
        </r>
        <r>
          <rPr>
            <sz val="9"/>
            <rFont val="宋体"/>
            <charset val="134"/>
          </rPr>
          <t xml:space="preserve">
0000820 3/29 4944pcs
华A29</t>
        </r>
      </text>
    </comment>
    <comment ref="AE300" authorId="0">
      <text>
        <r>
          <rPr>
            <b/>
            <sz val="9"/>
            <rFont val="宋体"/>
            <charset val="134"/>
          </rPr>
          <t>Administrator:</t>
        </r>
        <r>
          <rPr>
            <sz val="9"/>
            <rFont val="宋体"/>
            <charset val="134"/>
          </rPr>
          <t xml:space="preserve">
3/12 上亚马逊外箱贴纸412pcs
</t>
        </r>
      </text>
    </comment>
    <comment ref="AC301" authorId="0">
      <text>
        <r>
          <rPr>
            <b/>
            <sz val="9"/>
            <rFont val="宋体"/>
            <charset val="134"/>
          </rPr>
          <t>Administrator:</t>
        </r>
        <r>
          <rPr>
            <sz val="9"/>
            <rFont val="宋体"/>
            <charset val="134"/>
          </rPr>
          <t xml:space="preserve">
0000820 3/29 936pcs
华A29</t>
        </r>
      </text>
    </comment>
    <comment ref="AE301" authorId="0">
      <text>
        <r>
          <rPr>
            <b/>
            <sz val="9"/>
            <rFont val="宋体"/>
            <charset val="134"/>
          </rPr>
          <t>Administrator:</t>
        </r>
        <r>
          <rPr>
            <sz val="9"/>
            <rFont val="宋体"/>
            <charset val="134"/>
          </rPr>
          <t xml:space="preserve">
3/12 上亚马逊外箱贴纸78pcs
</t>
        </r>
      </text>
    </comment>
    <comment ref="AC302" authorId="0">
      <text>
        <r>
          <rPr>
            <b/>
            <sz val="9"/>
            <rFont val="宋体"/>
            <charset val="134"/>
          </rPr>
          <t>Administrator:</t>
        </r>
        <r>
          <rPr>
            <sz val="9"/>
            <rFont val="宋体"/>
            <charset val="134"/>
          </rPr>
          <t xml:space="preserve">
0000820 3/29 1104pcs
华A29</t>
        </r>
      </text>
    </comment>
    <comment ref="AE302" authorId="0">
      <text>
        <r>
          <rPr>
            <b/>
            <sz val="9"/>
            <rFont val="宋体"/>
            <charset val="134"/>
          </rPr>
          <t>Administrator:</t>
        </r>
        <r>
          <rPr>
            <sz val="9"/>
            <rFont val="宋体"/>
            <charset val="134"/>
          </rPr>
          <t xml:space="preserve">
3/12 上亚马逊外箱贴纸92pcs
</t>
        </r>
      </text>
    </comment>
    <comment ref="AC303" authorId="0">
      <text>
        <r>
          <rPr>
            <b/>
            <sz val="9"/>
            <rFont val="宋体"/>
            <charset val="134"/>
          </rPr>
          <t>Administrator:</t>
        </r>
        <r>
          <rPr>
            <sz val="9"/>
            <rFont val="宋体"/>
            <charset val="134"/>
          </rPr>
          <t xml:space="preserve">
0000361 1/18 1950pcs华3B5</t>
        </r>
      </text>
    </comment>
    <comment ref="AE303" authorId="0">
      <text>
        <r>
          <rPr>
            <b/>
            <sz val="9"/>
            <rFont val="宋体"/>
            <charset val="134"/>
          </rPr>
          <t>Administrator:</t>
        </r>
        <r>
          <rPr>
            <sz val="9"/>
            <rFont val="宋体"/>
            <charset val="134"/>
          </rPr>
          <t xml:space="preserve">
12/30 上UPC贴纸1950pcs</t>
        </r>
      </text>
    </comment>
    <comment ref="AD304" authorId="0">
      <text>
        <r>
          <rPr>
            <b/>
            <sz val="9"/>
            <rFont val="宋体"/>
            <charset val="134"/>
          </rPr>
          <t>Administrator:</t>
        </r>
        <r>
          <rPr>
            <sz val="9"/>
            <rFont val="宋体"/>
            <charset val="134"/>
          </rPr>
          <t xml:space="preserve">
咨询取消时生产已经完成了订单，货在湖南仓库</t>
        </r>
      </text>
    </comment>
    <comment ref="AE304" authorId="0">
      <text>
        <r>
          <rPr>
            <b/>
            <sz val="9"/>
            <rFont val="宋体"/>
            <charset val="134"/>
          </rPr>
          <t>Administrator:</t>
        </r>
        <r>
          <rPr>
            <sz val="9"/>
            <rFont val="宋体"/>
            <charset val="134"/>
          </rPr>
          <t xml:space="preserve">
1/18 上这供外箱条码贴纸415pcs
</t>
        </r>
      </text>
    </comment>
  </commentList>
</comments>
</file>

<file path=xl/comments3.xml><?xml version="1.0" encoding="utf-8"?>
<comments xmlns="http://schemas.openxmlformats.org/spreadsheetml/2006/main">
  <authors>
    <author>Administrator</author>
  </authors>
  <commentList>
    <comment ref="AC3" authorId="0">
      <text>
        <r>
          <rPr>
            <b/>
            <sz val="9"/>
            <rFont val="宋体"/>
            <charset val="134"/>
          </rPr>
          <t>Administrator:</t>
        </r>
        <r>
          <rPr>
            <sz val="9"/>
            <rFont val="宋体"/>
            <charset val="134"/>
          </rPr>
          <t xml:space="preserve">
0000128 3/10 3000pcs送回空球-收内收缩膜
莫4A6</t>
        </r>
      </text>
    </comment>
    <comment ref="AC4" authorId="0">
      <text>
        <r>
          <rPr>
            <b/>
            <sz val="9"/>
            <rFont val="宋体"/>
            <charset val="134"/>
          </rPr>
          <t>Administrator:</t>
        </r>
        <r>
          <rPr>
            <sz val="9"/>
            <rFont val="宋体"/>
            <charset val="134"/>
          </rPr>
          <t xml:space="preserve">
1600100 12/26 1300pcs 王4a9</t>
        </r>
      </text>
    </comment>
    <comment ref="AE4" authorId="0">
      <text>
        <r>
          <rPr>
            <b/>
            <sz val="9"/>
            <rFont val="宋体"/>
            <charset val="134"/>
          </rPr>
          <t>Administrator:</t>
        </r>
        <r>
          <rPr>
            <sz val="9"/>
            <rFont val="宋体"/>
            <charset val="134"/>
          </rPr>
          <t xml:space="preserve">
12/9 警告语贴纸 1300pcs
收藏指南气味贴纸 1300pcs</t>
        </r>
      </text>
    </comment>
    <comment ref="AC5" authorId="0">
      <text>
        <r>
          <rPr>
            <b/>
            <sz val="9"/>
            <rFont val="宋体"/>
            <charset val="134"/>
          </rPr>
          <t>Administrator:</t>
        </r>
        <r>
          <rPr>
            <sz val="9"/>
            <rFont val="宋体"/>
            <charset val="134"/>
          </rPr>
          <t xml:space="preserve">
消耗取消单56588</t>
        </r>
      </text>
    </comment>
    <comment ref="AE5" authorId="0">
      <text>
        <r>
          <rPr>
            <b/>
            <sz val="9"/>
            <rFont val="宋体"/>
            <charset val="134"/>
          </rPr>
          <t>Administrator:</t>
        </r>
        <r>
          <rPr>
            <sz val="9"/>
            <rFont val="宋体"/>
            <charset val="134"/>
          </rPr>
          <t xml:space="preserve">
11/18 空白贴纸38*19mm 996pcs
12/15 客供价格贴纸 1096pcs</t>
        </r>
      </text>
    </comment>
    <comment ref="AC6" authorId="0">
      <text>
        <r>
          <rPr>
            <b/>
            <sz val="9"/>
            <rFont val="宋体"/>
            <charset val="134"/>
          </rPr>
          <t>Administrator:</t>
        </r>
        <r>
          <rPr>
            <sz val="9"/>
            <rFont val="宋体"/>
            <charset val="134"/>
          </rPr>
          <t xml:space="preserve">
消耗取消单56588
</t>
        </r>
      </text>
    </comment>
    <comment ref="AE6" authorId="0">
      <text>
        <r>
          <rPr>
            <b/>
            <sz val="9"/>
            <rFont val="宋体"/>
            <charset val="134"/>
          </rPr>
          <t>Administrator:</t>
        </r>
        <r>
          <rPr>
            <sz val="9"/>
            <rFont val="宋体"/>
            <charset val="134"/>
          </rPr>
          <t xml:space="preserve">
11/18 空白贴纸38*19mm 1200pcs
12/15 客供价格贴纸 1320pcs</t>
        </r>
      </text>
    </comment>
    <comment ref="AC7" authorId="0">
      <text>
        <r>
          <rPr>
            <b/>
            <sz val="9"/>
            <rFont val="宋体"/>
            <charset val="134"/>
          </rPr>
          <t>Administrator:</t>
        </r>
        <r>
          <rPr>
            <sz val="9"/>
            <rFont val="宋体"/>
            <charset val="134"/>
          </rPr>
          <t xml:space="preserve">
1600953 1/8 1200pcs  庞3b16</t>
        </r>
      </text>
    </comment>
    <comment ref="AE7" authorId="0">
      <text>
        <r>
          <rPr>
            <b/>
            <sz val="9"/>
            <rFont val="宋体"/>
            <charset val="134"/>
          </rPr>
          <t>Administrator:</t>
        </r>
        <r>
          <rPr>
            <sz val="9"/>
            <rFont val="宋体"/>
            <charset val="134"/>
          </rPr>
          <t xml:space="preserve">
12/15 客供价格贴纸 1320pcs</t>
        </r>
      </text>
    </comment>
    <comment ref="AC8" authorId="0">
      <text>
        <r>
          <rPr>
            <b/>
            <sz val="9"/>
            <rFont val="宋体"/>
            <charset val="134"/>
          </rPr>
          <t>Administrator:</t>
        </r>
        <r>
          <rPr>
            <sz val="9"/>
            <rFont val="宋体"/>
            <charset val="134"/>
          </rPr>
          <t xml:space="preserve">
1600953 1/2 996pcs 庞3b14</t>
        </r>
      </text>
    </comment>
    <comment ref="AE8" authorId="0">
      <text>
        <r>
          <rPr>
            <b/>
            <sz val="9"/>
            <rFont val="宋体"/>
            <charset val="134"/>
          </rPr>
          <t>Administrator:</t>
        </r>
        <r>
          <rPr>
            <sz val="9"/>
            <rFont val="宋体"/>
            <charset val="134"/>
          </rPr>
          <t xml:space="preserve">
12/15 客供价格贴纸 1096pcs </t>
        </r>
      </text>
    </comment>
    <comment ref="AC9" authorId="0">
      <text>
        <r>
          <rPr>
            <b/>
            <sz val="9"/>
            <rFont val="宋体"/>
            <charset val="134"/>
          </rPr>
          <t>Administrator:</t>
        </r>
        <r>
          <rPr>
            <sz val="9"/>
            <rFont val="宋体"/>
            <charset val="134"/>
          </rPr>
          <t xml:space="preserve">
1405701 1/29 294pcs庞3a27</t>
        </r>
      </text>
    </comment>
    <comment ref="AC10" authorId="0">
      <text>
        <r>
          <rPr>
            <b/>
            <sz val="9"/>
            <rFont val="宋体"/>
            <charset val="134"/>
          </rPr>
          <t>Administrator:</t>
        </r>
        <r>
          <rPr>
            <sz val="9"/>
            <rFont val="宋体"/>
            <charset val="134"/>
          </rPr>
          <t xml:space="preserve">
1405677 1/31 996pcs
庞3a23</t>
        </r>
      </text>
    </comment>
    <comment ref="AE10" authorId="0">
      <text>
        <r>
          <rPr>
            <b/>
            <sz val="9"/>
            <rFont val="宋体"/>
            <charset val="134"/>
          </rPr>
          <t>Administrator:</t>
        </r>
        <r>
          <rPr>
            <sz val="9"/>
            <rFont val="宋体"/>
            <charset val="134"/>
          </rPr>
          <t xml:space="preserve">
12/15 客供价格贴纸 996pcs
1/19 空自贴纸 1980pcs</t>
        </r>
      </text>
    </comment>
    <comment ref="AC11" authorId="0">
      <text>
        <r>
          <rPr>
            <b/>
            <sz val="9"/>
            <rFont val="宋体"/>
            <charset val="134"/>
          </rPr>
          <t>Administrator:</t>
        </r>
        <r>
          <rPr>
            <sz val="9"/>
            <rFont val="宋体"/>
            <charset val="134"/>
          </rPr>
          <t xml:space="preserve">
1405677 1/31 1200pcs庞3a23
</t>
        </r>
      </text>
    </comment>
    <comment ref="AE11" authorId="0">
      <text>
        <r>
          <rPr>
            <b/>
            <sz val="9"/>
            <rFont val="宋体"/>
            <charset val="134"/>
          </rPr>
          <t>Administrator:</t>
        </r>
        <r>
          <rPr>
            <sz val="9"/>
            <rFont val="宋体"/>
            <charset val="134"/>
          </rPr>
          <t xml:space="preserve">
12/15 客供价格贴纸 120pcs
1/19 空自贴纸 2400pcs</t>
        </r>
      </text>
    </comment>
    <comment ref="AC12" authorId="0">
      <text>
        <r>
          <rPr>
            <b/>
            <sz val="9"/>
            <rFont val="宋体"/>
            <charset val="134"/>
          </rPr>
          <t>Administrator:</t>
        </r>
        <r>
          <rPr>
            <sz val="9"/>
            <rFont val="宋体"/>
            <charset val="134"/>
          </rPr>
          <t xml:space="preserve">
1405558 2/6 96pcs
庞3b13</t>
        </r>
      </text>
    </comment>
    <comment ref="AE12" authorId="0">
      <text>
        <r>
          <rPr>
            <b/>
            <sz val="9"/>
            <rFont val="宋体"/>
            <charset val="134"/>
          </rPr>
          <t>Administrator:</t>
        </r>
        <r>
          <rPr>
            <sz val="9"/>
            <rFont val="宋体"/>
            <charset val="134"/>
          </rPr>
          <t xml:space="preserve">
1/19 UPC贴纸 96pcs
1/26 客供防伪帖纸 96pcs
1/28 客供亚马逊外箱贴纸 4pcs
</t>
        </r>
      </text>
    </comment>
    <comment ref="AC13" authorId="0">
      <text>
        <r>
          <rPr>
            <b/>
            <sz val="9"/>
            <rFont val="宋体"/>
            <charset val="134"/>
          </rPr>
          <t>Administrator:</t>
        </r>
        <r>
          <rPr>
            <sz val="9"/>
            <rFont val="宋体"/>
            <charset val="134"/>
          </rPr>
          <t xml:space="preserve">
1405558 2/6 48pcs
庞3a14</t>
        </r>
      </text>
    </comment>
    <comment ref="AE13" authorId="0">
      <text>
        <r>
          <rPr>
            <b/>
            <sz val="9"/>
            <rFont val="宋体"/>
            <charset val="134"/>
          </rPr>
          <t>Administrator:</t>
        </r>
        <r>
          <rPr>
            <sz val="9"/>
            <rFont val="宋体"/>
            <charset val="134"/>
          </rPr>
          <t xml:space="preserve">
1/19 UPC贴纸 48pcs
1/26 客供防伪帖纸 48pcs
1/28 客供亚马逊外箱贴纸 2pcs
</t>
        </r>
      </text>
    </comment>
    <comment ref="AC14" authorId="0">
      <text>
        <r>
          <rPr>
            <b/>
            <sz val="9"/>
            <rFont val="宋体"/>
            <charset val="134"/>
          </rPr>
          <t>Administrator:</t>
        </r>
        <r>
          <rPr>
            <sz val="9"/>
            <rFont val="宋体"/>
            <charset val="134"/>
          </rPr>
          <t xml:space="preserve">
1405558 2/6 24pcs
庞3a13
</t>
        </r>
      </text>
    </comment>
    <comment ref="AE14" authorId="0">
      <text>
        <r>
          <rPr>
            <b/>
            <sz val="9"/>
            <rFont val="宋体"/>
            <charset val="134"/>
          </rPr>
          <t>Administrator:</t>
        </r>
        <r>
          <rPr>
            <sz val="9"/>
            <rFont val="宋体"/>
            <charset val="134"/>
          </rPr>
          <t xml:space="preserve">
1/19 UPC贴纸 24pcs
1/26 客供防伪帖纸 24pcs
1/28 客供亚马逊外箱贴纸 1pcs
</t>
        </r>
      </text>
    </comment>
    <comment ref="AC15" authorId="0">
      <text>
        <r>
          <rPr>
            <b/>
            <sz val="9"/>
            <rFont val="宋体"/>
            <charset val="134"/>
          </rPr>
          <t>Administrator:</t>
        </r>
        <r>
          <rPr>
            <sz val="9"/>
            <rFont val="宋体"/>
            <charset val="134"/>
          </rPr>
          <t xml:space="preserve">
1405558 2/6 48pcs
庞3a14
</t>
        </r>
      </text>
    </comment>
    <comment ref="AE15" authorId="0">
      <text>
        <r>
          <rPr>
            <b/>
            <sz val="9"/>
            <rFont val="宋体"/>
            <charset val="134"/>
          </rPr>
          <t>Administrator:</t>
        </r>
        <r>
          <rPr>
            <sz val="9"/>
            <rFont val="宋体"/>
            <charset val="134"/>
          </rPr>
          <t xml:space="preserve">
1/19 UPC贴纸 48pcs
1/26 客供防伪帖纸 48pcs
1/28 客供亚马逊外箱贴纸 2pcs
</t>
        </r>
      </text>
    </comment>
    <comment ref="AC16" authorId="0">
      <text>
        <r>
          <rPr>
            <b/>
            <sz val="9"/>
            <rFont val="宋体"/>
            <charset val="134"/>
          </rPr>
          <t>Administrator:</t>
        </r>
        <r>
          <rPr>
            <sz val="9"/>
            <rFont val="宋体"/>
            <charset val="134"/>
          </rPr>
          <t xml:space="preserve">
1405558 2/6 24pcs
庞3a13
</t>
        </r>
      </text>
    </comment>
    <comment ref="AE16" authorId="0">
      <text>
        <r>
          <rPr>
            <b/>
            <sz val="9"/>
            <rFont val="宋体"/>
            <charset val="134"/>
          </rPr>
          <t>Administrator:</t>
        </r>
        <r>
          <rPr>
            <sz val="9"/>
            <rFont val="宋体"/>
            <charset val="134"/>
          </rPr>
          <t xml:space="preserve">
1/19 UPC贴纸 24pcs
1/26 客供防伪帖纸 24pcs
1/28 客供亚马逊外箱贴纸 1pcs
</t>
        </r>
      </text>
    </comment>
    <comment ref="AC17" authorId="0">
      <text>
        <r>
          <rPr>
            <b/>
            <sz val="9"/>
            <rFont val="宋体"/>
            <charset val="134"/>
          </rPr>
          <t>Administrator:</t>
        </r>
        <r>
          <rPr>
            <sz val="9"/>
            <rFont val="宋体"/>
            <charset val="134"/>
          </rPr>
          <t xml:space="preserve">
1405558 2/6 72pcs
庞3a14
</t>
        </r>
      </text>
    </comment>
    <comment ref="AE17" authorId="0">
      <text>
        <r>
          <rPr>
            <b/>
            <sz val="9"/>
            <rFont val="宋体"/>
            <charset val="134"/>
          </rPr>
          <t>Administrator:</t>
        </r>
        <r>
          <rPr>
            <sz val="9"/>
            <rFont val="宋体"/>
            <charset val="134"/>
          </rPr>
          <t xml:space="preserve">
1/19 UPC贴纸 72pcs
1/26 客供防伪帖纸72pcs
1/28 客供亚马逊外箱贴纸 3pcs
</t>
        </r>
      </text>
    </comment>
    <comment ref="AC18" authorId="0">
      <text>
        <r>
          <rPr>
            <b/>
            <sz val="9"/>
            <rFont val="宋体"/>
            <charset val="134"/>
          </rPr>
          <t>Administrator:</t>
        </r>
        <r>
          <rPr>
            <sz val="9"/>
            <rFont val="宋体"/>
            <charset val="134"/>
          </rPr>
          <t xml:space="preserve">
1405558 2/6 24pcs
庞3a13
</t>
        </r>
      </text>
    </comment>
    <comment ref="AE18" authorId="0">
      <text>
        <r>
          <rPr>
            <b/>
            <sz val="9"/>
            <rFont val="宋体"/>
            <charset val="134"/>
          </rPr>
          <t>Administrator:</t>
        </r>
        <r>
          <rPr>
            <sz val="9"/>
            <rFont val="宋体"/>
            <charset val="134"/>
          </rPr>
          <t xml:space="preserve">
1/19 UPC贴纸 24pcs
1/26 客供防伪帖纸 24pcs
1/28 客供亚马逊外箱贴纸 1pcs
</t>
        </r>
      </text>
    </comment>
    <comment ref="AC19" authorId="0">
      <text>
        <r>
          <rPr>
            <b/>
            <sz val="9"/>
            <rFont val="宋体"/>
            <charset val="134"/>
          </rPr>
          <t>Administrator:</t>
        </r>
        <r>
          <rPr>
            <sz val="9"/>
            <rFont val="宋体"/>
            <charset val="134"/>
          </rPr>
          <t xml:space="preserve">
1405558 2/6 216pcs庞3bk1</t>
        </r>
      </text>
    </comment>
    <comment ref="AE19" authorId="0">
      <text>
        <r>
          <rPr>
            <b/>
            <sz val="9"/>
            <rFont val="宋体"/>
            <charset val="134"/>
          </rPr>
          <t>Administrator:</t>
        </r>
        <r>
          <rPr>
            <sz val="9"/>
            <rFont val="宋体"/>
            <charset val="134"/>
          </rPr>
          <t xml:space="preserve">
1/28 客供亚马逊外箱贴纸 18pcs</t>
        </r>
      </text>
    </comment>
    <comment ref="AC20" authorId="0">
      <text>
        <r>
          <rPr>
            <b/>
            <sz val="9"/>
            <rFont val="宋体"/>
            <charset val="134"/>
          </rPr>
          <t>Administrator:</t>
        </r>
        <r>
          <rPr>
            <sz val="9"/>
            <rFont val="宋体"/>
            <charset val="134"/>
          </rPr>
          <t xml:space="preserve">
1405558 2/6 216pcs
庞3b14</t>
        </r>
      </text>
    </comment>
    <comment ref="AE21" authorId="0">
      <text>
        <r>
          <rPr>
            <b/>
            <sz val="9"/>
            <rFont val="宋体"/>
            <charset val="134"/>
          </rPr>
          <t>Administrator:</t>
        </r>
        <r>
          <rPr>
            <sz val="9"/>
            <rFont val="宋体"/>
            <charset val="134"/>
          </rPr>
          <t xml:space="preserve">
1/23 UPC贴纸 24pcs
1/30 客供亚马逊外箱贴纸 1pcs
客供防伪帖纸 24pcs</t>
        </r>
      </text>
    </comment>
    <comment ref="AE22" authorId="0">
      <text>
        <r>
          <rPr>
            <b/>
            <sz val="9"/>
            <rFont val="宋体"/>
            <charset val="134"/>
          </rPr>
          <t>Administrator:</t>
        </r>
        <r>
          <rPr>
            <sz val="9"/>
            <rFont val="宋体"/>
            <charset val="134"/>
          </rPr>
          <t xml:space="preserve">
1/23 UPC贴纸 24pcs
1/30 客供亚马逊外箱贴纸 1pcs
客供防伪帖纸 24pcs
</t>
        </r>
      </text>
    </comment>
    <comment ref="AE23" authorId="0">
      <text>
        <r>
          <rPr>
            <b/>
            <sz val="9"/>
            <rFont val="宋体"/>
            <charset val="134"/>
          </rPr>
          <t>Administrator:</t>
        </r>
        <r>
          <rPr>
            <sz val="9"/>
            <rFont val="宋体"/>
            <charset val="134"/>
          </rPr>
          <t xml:space="preserve">
1/23 UPC贴纸 72pcs
1/30 客供亚马逊外箱贴纸 1pcs
客供防伪帖纸 24pcs
</t>
        </r>
      </text>
    </comment>
    <comment ref="AE24" authorId="0">
      <text>
        <r>
          <rPr>
            <b/>
            <sz val="9"/>
            <rFont val="宋体"/>
            <charset val="134"/>
          </rPr>
          <t>Administrator:</t>
        </r>
        <r>
          <rPr>
            <sz val="9"/>
            <rFont val="宋体"/>
            <charset val="134"/>
          </rPr>
          <t xml:space="preserve">
1/23 UPC贴纸 24pcs
1/30 客供亚马逊外箱贴纸 1pcs
客供防伪帖纸 24pcs
</t>
        </r>
      </text>
    </comment>
    <comment ref="AE25" authorId="0">
      <text>
        <r>
          <rPr>
            <b/>
            <sz val="9"/>
            <rFont val="宋体"/>
            <charset val="134"/>
          </rPr>
          <t>Administrator:</t>
        </r>
        <r>
          <rPr>
            <sz val="9"/>
            <rFont val="宋体"/>
            <charset val="134"/>
          </rPr>
          <t xml:space="preserve">
1/23 UPC贴纸 24pcs
1/30 客供亚马逊外箱贴纸 1pcs
客供防伪帖纸 24pcs
</t>
        </r>
      </text>
    </comment>
    <comment ref="AE26" authorId="0">
      <text>
        <r>
          <rPr>
            <b/>
            <sz val="9"/>
            <rFont val="宋体"/>
            <charset val="134"/>
          </rPr>
          <t>Administrator:</t>
        </r>
        <r>
          <rPr>
            <sz val="9"/>
            <rFont val="宋体"/>
            <charset val="134"/>
          </rPr>
          <t xml:space="preserve">
1/23 UPC贴纸 24pcs
1/30 客供亚马逊外箱贴纸 1pcs
客供防伪帖纸 24pcs
</t>
        </r>
      </text>
    </comment>
    <comment ref="AE27" authorId="0">
      <text>
        <r>
          <rPr>
            <b/>
            <sz val="9"/>
            <rFont val="宋体"/>
            <charset val="134"/>
          </rPr>
          <t>Administrator:</t>
        </r>
        <r>
          <rPr>
            <sz val="9"/>
            <rFont val="宋体"/>
            <charset val="134"/>
          </rPr>
          <t xml:space="preserve">
1/23 UPC贴纸 24pcs
1/30 客供亚马逊外箱贴纸 1pcs
客供防伪帖纸 24pcs
</t>
        </r>
      </text>
    </comment>
    <comment ref="AC73" authorId="0">
      <text>
        <r>
          <rPr>
            <b/>
            <sz val="9"/>
            <rFont val="宋体"/>
            <charset val="134"/>
          </rPr>
          <t>Administrator:</t>
        </r>
        <r>
          <rPr>
            <sz val="9"/>
            <rFont val="宋体"/>
            <charset val="134"/>
          </rPr>
          <t xml:space="preserve">
1601090 1/10 216pcs庞3b8</t>
        </r>
      </text>
    </comment>
    <comment ref="AC74" authorId="0">
      <text>
        <r>
          <rPr>
            <b/>
            <sz val="9"/>
            <rFont val="宋体"/>
            <charset val="134"/>
          </rPr>
          <t>Administrator:</t>
        </r>
        <r>
          <rPr>
            <sz val="9"/>
            <rFont val="宋体"/>
            <charset val="134"/>
          </rPr>
          <t xml:space="preserve">
1601081 1/10 48pcs王4b1</t>
        </r>
      </text>
    </comment>
    <comment ref="AC75" authorId="0">
      <text>
        <r>
          <rPr>
            <b/>
            <sz val="9"/>
            <rFont val="宋体"/>
            <charset val="134"/>
          </rPr>
          <t>Administrator:</t>
        </r>
        <r>
          <rPr>
            <sz val="9"/>
            <rFont val="宋体"/>
            <charset val="134"/>
          </rPr>
          <t xml:space="preserve">
1601090 1/10 312pcs
庞3b8
</t>
        </r>
      </text>
    </comment>
    <comment ref="AC76" authorId="0">
      <text>
        <r>
          <rPr>
            <b/>
            <sz val="9"/>
            <rFont val="宋体"/>
            <charset val="134"/>
          </rPr>
          <t>Administrator:</t>
        </r>
        <r>
          <rPr>
            <sz val="9"/>
            <rFont val="宋体"/>
            <charset val="134"/>
          </rPr>
          <t xml:space="preserve">
1601090 1/10 1128pcs
庞3b8
</t>
        </r>
      </text>
    </comment>
    <comment ref="AC77" authorId="0">
      <text>
        <r>
          <rPr>
            <b/>
            <sz val="9"/>
            <rFont val="宋体"/>
            <charset val="134"/>
          </rPr>
          <t>Administrator:</t>
        </r>
        <r>
          <rPr>
            <sz val="9"/>
            <rFont val="宋体"/>
            <charset val="134"/>
          </rPr>
          <t xml:space="preserve">
1601090 1/10 240pcs
庞3b8
</t>
        </r>
      </text>
    </comment>
    <comment ref="AC78" authorId="0">
      <text>
        <r>
          <rPr>
            <b/>
            <sz val="9"/>
            <rFont val="宋体"/>
            <charset val="134"/>
          </rPr>
          <t>Administrator:</t>
        </r>
        <r>
          <rPr>
            <sz val="9"/>
            <rFont val="宋体"/>
            <charset val="134"/>
          </rPr>
          <t xml:space="preserve">
1601090 1/10 648pcs
庞3b8
</t>
        </r>
      </text>
    </comment>
  </commentList>
</comments>
</file>

<file path=xl/comments4.xml><?xml version="1.0" encoding="utf-8"?>
<comments xmlns="http://schemas.openxmlformats.org/spreadsheetml/2006/main">
  <authors>
    <author>RR</author>
  </authors>
  <commentList>
    <comment ref="K4" authorId="0">
      <text>
        <r>
          <rPr>
            <b/>
            <sz val="9"/>
            <rFont val="宋体"/>
            <charset val="134"/>
          </rPr>
          <t>RR:</t>
        </r>
        <r>
          <rPr>
            <sz val="9"/>
            <rFont val="宋体"/>
            <charset val="134"/>
          </rPr>
          <t xml:space="preserve">
无香味：6W</t>
        </r>
      </text>
    </comment>
  </commentList>
</comments>
</file>

<file path=xl/comments5.xml><?xml version="1.0" encoding="utf-8"?>
<comments xmlns="http://schemas.openxmlformats.org/spreadsheetml/2006/main">
  <authors>
    <author>Administrator</author>
  </authors>
  <commentList>
    <comment ref="AF8" authorId="0">
      <text>
        <r>
          <rPr>
            <b/>
            <sz val="9"/>
            <rFont val="宋体"/>
            <charset val="134"/>
          </rPr>
          <t>Administrator:</t>
        </r>
        <r>
          <rPr>
            <sz val="9"/>
            <rFont val="宋体"/>
            <charset val="134"/>
          </rPr>
          <t xml:space="preserve">
东莞安排</t>
        </r>
      </text>
    </comment>
    <comment ref="AH8" authorId="0">
      <text>
        <r>
          <rPr>
            <b/>
            <sz val="9"/>
            <rFont val="宋体"/>
            <charset val="134"/>
          </rPr>
          <t>Administrator:</t>
        </r>
        <r>
          <rPr>
            <sz val="9"/>
            <rFont val="宋体"/>
            <charset val="134"/>
          </rPr>
          <t xml:space="preserve">
9/2 收到客供RFID贴纸960pcs
</t>
        </r>
      </text>
    </comment>
    <comment ref="AF9" authorId="0">
      <text>
        <r>
          <rPr>
            <b/>
            <sz val="9"/>
            <rFont val="宋体"/>
            <charset val="134"/>
          </rPr>
          <t>Administrator:</t>
        </r>
        <r>
          <rPr>
            <sz val="9"/>
            <rFont val="宋体"/>
            <charset val="134"/>
          </rPr>
          <t xml:space="preserve">
东莞安排
</t>
        </r>
      </text>
    </comment>
    <comment ref="AH9" authorId="0">
      <text>
        <r>
          <rPr>
            <b/>
            <sz val="9"/>
            <rFont val="宋体"/>
            <charset val="134"/>
          </rPr>
          <t>Administrator:</t>
        </r>
        <r>
          <rPr>
            <sz val="9"/>
            <rFont val="宋体"/>
            <charset val="134"/>
          </rPr>
          <t xml:space="preserve">
9/2 上Event label贴纸879pcs9/5 客供外箱条码贴纸 2525pcs
9/5 客供外箱条码贴纸 888pcs
</t>
        </r>
      </text>
    </comment>
    <comment ref="AF10" authorId="0">
      <text>
        <r>
          <rPr>
            <b/>
            <sz val="9"/>
            <rFont val="宋体"/>
            <charset val="134"/>
          </rPr>
          <t>Administrator:</t>
        </r>
        <r>
          <rPr>
            <sz val="9"/>
            <rFont val="宋体"/>
            <charset val="134"/>
          </rPr>
          <t xml:space="preserve">
东莞安排
</t>
        </r>
      </text>
    </comment>
    <comment ref="AH10" authorId="0">
      <text>
        <r>
          <rPr>
            <b/>
            <sz val="9"/>
            <rFont val="宋体"/>
            <charset val="134"/>
          </rPr>
          <t>Administrator:</t>
        </r>
        <r>
          <rPr>
            <sz val="9"/>
            <rFont val="宋体"/>
            <charset val="134"/>
          </rPr>
          <t xml:space="preserve">
9/2 收到客供RFID贴纸6752pcs</t>
        </r>
      </text>
    </comment>
    <comment ref="AF11" authorId="0">
      <text>
        <r>
          <rPr>
            <b/>
            <sz val="9"/>
            <rFont val="宋体"/>
            <charset val="134"/>
          </rPr>
          <t>Administrator:</t>
        </r>
        <r>
          <rPr>
            <sz val="9"/>
            <rFont val="宋体"/>
            <charset val="134"/>
          </rPr>
          <t xml:space="preserve">
5000510 10/11 960pcs莫4A6</t>
        </r>
      </text>
    </comment>
    <comment ref="AH11" authorId="0">
      <text>
        <r>
          <rPr>
            <b/>
            <sz val="9"/>
            <rFont val="宋体"/>
            <charset val="134"/>
          </rPr>
          <t>Administrator:</t>
        </r>
        <r>
          <rPr>
            <sz val="9"/>
            <rFont val="宋体"/>
            <charset val="134"/>
          </rPr>
          <t xml:space="preserve">
9/2 上客供RFID贴纸960pcs
</t>
        </r>
      </text>
    </comment>
    <comment ref="AF12" authorId="0">
      <text>
        <r>
          <rPr>
            <b/>
            <sz val="9"/>
            <rFont val="宋体"/>
            <charset val="134"/>
          </rPr>
          <t>Administrator:</t>
        </r>
        <r>
          <rPr>
            <sz val="9"/>
            <rFont val="宋体"/>
            <charset val="134"/>
          </rPr>
          <t xml:space="preserve">
5000510 10/11 960pcs
莫4A6</t>
        </r>
      </text>
    </comment>
    <comment ref="AH12" authorId="0">
      <text>
        <r>
          <rPr>
            <b/>
            <sz val="9"/>
            <rFont val="宋体"/>
            <charset val="134"/>
          </rPr>
          <t>Administrator:</t>
        </r>
        <r>
          <rPr>
            <sz val="9"/>
            <rFont val="宋体"/>
            <charset val="134"/>
          </rPr>
          <t xml:space="preserve">
9/2 上客供RFID贴纸960pcs</t>
        </r>
      </text>
    </comment>
    <comment ref="AF13" authorId="0">
      <text>
        <r>
          <rPr>
            <b/>
            <sz val="9"/>
            <rFont val="宋体"/>
            <charset val="134"/>
          </rPr>
          <t>Administrator:</t>
        </r>
        <r>
          <rPr>
            <sz val="9"/>
            <rFont val="宋体"/>
            <charset val="134"/>
          </rPr>
          <t xml:space="preserve">
5000510 10/11 960pcs
莫4A6</t>
        </r>
      </text>
    </comment>
    <comment ref="AH13" authorId="0">
      <text>
        <r>
          <rPr>
            <b/>
            <sz val="9"/>
            <rFont val="宋体"/>
            <charset val="134"/>
          </rPr>
          <t>Administrator:</t>
        </r>
        <r>
          <rPr>
            <sz val="9"/>
            <rFont val="宋体"/>
            <charset val="134"/>
          </rPr>
          <t xml:space="preserve">
9/2 上客供RFID贴纸960pcs</t>
        </r>
      </text>
    </comment>
    <comment ref="AF14" authorId="0">
      <text>
        <r>
          <rPr>
            <b/>
            <sz val="9"/>
            <rFont val="宋体"/>
            <charset val="134"/>
          </rPr>
          <t>Administrator:</t>
        </r>
        <r>
          <rPr>
            <sz val="9"/>
            <rFont val="宋体"/>
            <charset val="134"/>
          </rPr>
          <t xml:space="preserve">
5000510 10/11 24750pcs
莫4A6
5000007 10/13 50pcs
莫
5000519 10/13 5475pcs莫4C7</t>
        </r>
      </text>
    </comment>
    <comment ref="AH14" authorId="0">
      <text>
        <r>
          <rPr>
            <b/>
            <sz val="9"/>
            <rFont val="宋体"/>
            <charset val="134"/>
          </rPr>
          <t>Administrator:</t>
        </r>
        <r>
          <rPr>
            <sz val="9"/>
            <rFont val="宋体"/>
            <charset val="134"/>
          </rPr>
          <t xml:space="preserve">
9/2 上Event label贴纸1211pcs
9/12 上客供外箱条码贴纸1223pcs</t>
        </r>
      </text>
    </comment>
    <comment ref="AF15" authorId="0">
      <text>
        <r>
          <rPr>
            <b/>
            <sz val="9"/>
            <rFont val="宋体"/>
            <charset val="134"/>
          </rPr>
          <t>Administrator:</t>
        </r>
        <r>
          <rPr>
            <sz val="9"/>
            <rFont val="宋体"/>
            <charset val="134"/>
          </rPr>
          <t xml:space="preserve">
5000547 10/14 7808pcs
5000567 10/15 16pcs华3A21</t>
        </r>
      </text>
    </comment>
    <comment ref="AH15" authorId="0">
      <text>
        <r>
          <rPr>
            <b/>
            <sz val="9"/>
            <rFont val="宋体"/>
            <charset val="134"/>
          </rPr>
          <t>Administrator:</t>
        </r>
        <r>
          <rPr>
            <sz val="9"/>
            <rFont val="宋体"/>
            <charset val="134"/>
          </rPr>
          <t xml:space="preserve">
9/2 上客供RFID贴纸7824pcs
</t>
        </r>
      </text>
    </comment>
    <comment ref="AF16" authorId="0">
      <text>
        <r>
          <rPr>
            <b/>
            <sz val="9"/>
            <rFont val="宋体"/>
            <charset val="134"/>
          </rPr>
          <t>Administrator:</t>
        </r>
        <r>
          <rPr>
            <sz val="9"/>
            <rFont val="宋体"/>
            <charset val="134"/>
          </rPr>
          <t xml:space="preserve">
5000547 10/14 8848pcs
5000567 10/15 48pcs
华3A21</t>
        </r>
      </text>
    </comment>
    <comment ref="AH16" authorId="0">
      <text>
        <r>
          <rPr>
            <b/>
            <sz val="9"/>
            <rFont val="宋体"/>
            <charset val="134"/>
          </rPr>
          <t>Administrator:</t>
        </r>
        <r>
          <rPr>
            <sz val="9"/>
            <rFont val="宋体"/>
            <charset val="134"/>
          </rPr>
          <t xml:space="preserve">
9/2 上客供RFID贴纸8896pcs
</t>
        </r>
      </text>
    </comment>
    <comment ref="AF17" authorId="0">
      <text>
        <r>
          <rPr>
            <b/>
            <sz val="9"/>
            <rFont val="宋体"/>
            <charset val="134"/>
          </rPr>
          <t>Administrator:</t>
        </r>
        <r>
          <rPr>
            <sz val="9"/>
            <rFont val="宋体"/>
            <charset val="134"/>
          </rPr>
          <t xml:space="preserve">
5000547 10/14 944pcs
5000567 10/15 16pcs
华3B4</t>
        </r>
      </text>
    </comment>
    <comment ref="AH17" authorId="0">
      <text>
        <r>
          <rPr>
            <b/>
            <sz val="9"/>
            <rFont val="宋体"/>
            <charset val="134"/>
          </rPr>
          <t>Administrator:</t>
        </r>
        <r>
          <rPr>
            <sz val="9"/>
            <rFont val="宋体"/>
            <charset val="134"/>
          </rPr>
          <t xml:space="preserve">
9/2 上客供RFID贴纸960pcs
</t>
        </r>
      </text>
    </comment>
    <comment ref="AF18" authorId="0">
      <text>
        <r>
          <rPr>
            <b/>
            <sz val="9"/>
            <rFont val="宋体"/>
            <charset val="134"/>
          </rPr>
          <t>Administrator:</t>
        </r>
        <r>
          <rPr>
            <sz val="9"/>
            <rFont val="宋体"/>
            <charset val="134"/>
          </rPr>
          <t xml:space="preserve">
5000633 10/20 26250pcs 华3a11
5000636 10/20 350pcs 华3a17</t>
        </r>
      </text>
    </comment>
    <comment ref="AH18" authorId="0">
      <text>
        <r>
          <rPr>
            <b/>
            <sz val="9"/>
            <rFont val="宋体"/>
            <charset val="134"/>
          </rPr>
          <t>Administrator:</t>
        </r>
        <r>
          <rPr>
            <sz val="9"/>
            <rFont val="宋体"/>
            <charset val="134"/>
          </rPr>
          <t xml:space="preserve">
9/23 上客供外箱条码贴纸1075pcs
</t>
        </r>
      </text>
    </comment>
    <comment ref="AF19" authorId="0">
      <text>
        <r>
          <rPr>
            <b/>
            <sz val="9"/>
            <rFont val="宋体"/>
            <charset val="134"/>
          </rPr>
          <t>Administrator:</t>
        </r>
        <r>
          <rPr>
            <sz val="9"/>
            <rFont val="宋体"/>
            <charset val="134"/>
          </rPr>
          <t xml:space="preserve">
5000605 10/17 3500pcs华b栋4楼</t>
        </r>
      </text>
    </comment>
    <comment ref="AH19" authorId="0">
      <text>
        <r>
          <rPr>
            <b/>
            <sz val="9"/>
            <rFont val="宋体"/>
            <charset val="134"/>
          </rPr>
          <t>Administrator:</t>
        </r>
        <r>
          <rPr>
            <sz val="9"/>
            <rFont val="宋体"/>
            <charset val="134"/>
          </rPr>
          <t xml:space="preserve">
9/16 上地址贴纸3500pcs
B版带电池走货欧洲通用30L说明书3500pcs
9/20 上德语CALL  OUT 德意荷警语贴纸3500pcs</t>
        </r>
      </text>
    </comment>
    <comment ref="AF20" authorId="0">
      <text>
        <r>
          <rPr>
            <b/>
            <sz val="9"/>
            <rFont val="宋体"/>
            <charset val="134"/>
          </rPr>
          <t>Administrator:</t>
        </r>
        <r>
          <rPr>
            <sz val="9"/>
            <rFont val="宋体"/>
            <charset val="134"/>
          </rPr>
          <t xml:space="preserve">
5000605 10/17 3500pcs
华b栋4楼
</t>
        </r>
      </text>
    </comment>
    <comment ref="AH20" authorId="0">
      <text>
        <r>
          <rPr>
            <b/>
            <sz val="9"/>
            <rFont val="宋体"/>
            <charset val="134"/>
          </rPr>
          <t>Administrator:</t>
        </r>
        <r>
          <rPr>
            <sz val="9"/>
            <rFont val="宋体"/>
            <charset val="134"/>
          </rPr>
          <t xml:space="preserve">
9/16 上地址贴纸3500pcs
B版带电池走货欧洲通用30L说明书3500pcs
9/20 上德语CALL  OUT 德意荷警语贴纸3500pcs
</t>
        </r>
      </text>
    </comment>
    <comment ref="AF21" authorId="0">
      <text>
        <r>
          <rPr>
            <b/>
            <sz val="9"/>
            <rFont val="宋体"/>
            <charset val="134"/>
          </rPr>
          <t>Administrator:</t>
        </r>
        <r>
          <rPr>
            <sz val="9"/>
            <rFont val="宋体"/>
            <charset val="134"/>
          </rPr>
          <t xml:space="preserve">
5000636 10/20 5018pcs华1f7</t>
        </r>
      </text>
    </comment>
    <comment ref="AH21" authorId="0">
      <text>
        <r>
          <rPr>
            <b/>
            <sz val="9"/>
            <rFont val="宋体"/>
            <charset val="134"/>
          </rPr>
          <t>Administrator:</t>
        </r>
        <r>
          <rPr>
            <sz val="9"/>
            <rFont val="宋体"/>
            <charset val="134"/>
          </rPr>
          <t xml:space="preserve">
10/13 上不带电池走货说明书6518pcs</t>
        </r>
      </text>
    </comment>
    <comment ref="AF22" authorId="0">
      <text>
        <r>
          <rPr>
            <b/>
            <sz val="9"/>
            <rFont val="宋体"/>
            <charset val="134"/>
          </rPr>
          <t>Administrator:</t>
        </r>
        <r>
          <rPr>
            <sz val="9"/>
            <rFont val="宋体"/>
            <charset val="134"/>
          </rPr>
          <t xml:space="preserve">
5000615 10/22 1500pcs 直走</t>
        </r>
      </text>
    </comment>
    <comment ref="AF23" authorId="0">
      <text>
        <r>
          <rPr>
            <b/>
            <sz val="9"/>
            <rFont val="宋体"/>
            <charset val="134"/>
          </rPr>
          <t>Administrator:</t>
        </r>
        <r>
          <rPr>
            <sz val="9"/>
            <rFont val="宋体"/>
            <charset val="134"/>
          </rPr>
          <t xml:space="preserve">
5000633 10/20 8960pcs 华3a30
5000636 10/20 3376psc华3a30</t>
        </r>
      </text>
    </comment>
    <comment ref="AH23" authorId="0">
      <text>
        <r>
          <rPr>
            <b/>
            <sz val="9"/>
            <rFont val="宋体"/>
            <charset val="134"/>
          </rPr>
          <t>Administrator:</t>
        </r>
        <r>
          <rPr>
            <sz val="9"/>
            <rFont val="宋体"/>
            <charset val="134"/>
          </rPr>
          <t xml:space="preserve">
9/2 上客供RFID贴纸12336pcs
</t>
        </r>
      </text>
    </comment>
    <comment ref="AF24" authorId="0">
      <text>
        <r>
          <rPr>
            <b/>
            <sz val="9"/>
            <rFont val="宋体"/>
            <charset val="134"/>
          </rPr>
          <t>Administrator:</t>
        </r>
        <r>
          <rPr>
            <sz val="9"/>
            <rFont val="宋体"/>
            <charset val="134"/>
          </rPr>
          <t xml:space="preserve">
5000636 10/20 10512pcs华3a30</t>
        </r>
      </text>
    </comment>
    <comment ref="AH24" authorId="0">
      <text>
        <r>
          <rPr>
            <b/>
            <sz val="9"/>
            <rFont val="宋体"/>
            <charset val="134"/>
          </rPr>
          <t>Administrator:</t>
        </r>
        <r>
          <rPr>
            <sz val="9"/>
            <rFont val="宋体"/>
            <charset val="134"/>
          </rPr>
          <t xml:space="preserve">
9/2 上客供RFID贴纸10512pcs
</t>
        </r>
      </text>
    </comment>
    <comment ref="AF25" authorId="0">
      <text>
        <r>
          <rPr>
            <b/>
            <sz val="9"/>
            <rFont val="宋体"/>
            <charset val="134"/>
          </rPr>
          <t>Administrator:</t>
        </r>
        <r>
          <rPr>
            <sz val="9"/>
            <rFont val="宋体"/>
            <charset val="134"/>
          </rPr>
          <t xml:space="preserve">
5000144 10/22 1391pcs 华3b14</t>
        </r>
      </text>
    </comment>
    <comment ref="AF26" authorId="0">
      <text>
        <r>
          <rPr>
            <b/>
            <sz val="9"/>
            <rFont val="宋体"/>
            <charset val="134"/>
          </rPr>
          <t>Administrator:</t>
        </r>
        <r>
          <rPr>
            <sz val="9"/>
            <rFont val="宋体"/>
            <charset val="134"/>
          </rPr>
          <t xml:space="preserve">
5000144 10/22 2574pcs 华3b8</t>
        </r>
      </text>
    </comment>
    <comment ref="AF27" authorId="0">
      <text>
        <r>
          <rPr>
            <b/>
            <sz val="9"/>
            <rFont val="宋体"/>
            <charset val="134"/>
          </rPr>
          <t>Administrator:</t>
        </r>
        <r>
          <rPr>
            <sz val="9"/>
            <rFont val="宋体"/>
            <charset val="134"/>
          </rPr>
          <t xml:space="preserve">
5000144 10/22 32pcs华3b13
5000157 10/23 928pcs
华3b8</t>
        </r>
      </text>
    </comment>
    <comment ref="AH27" authorId="0">
      <text>
        <r>
          <rPr>
            <b/>
            <sz val="9"/>
            <rFont val="宋体"/>
            <charset val="134"/>
          </rPr>
          <t>Administrator:</t>
        </r>
        <r>
          <rPr>
            <sz val="9"/>
            <rFont val="宋体"/>
            <charset val="134"/>
          </rPr>
          <t xml:space="preserve">
9/8 上客供RFID贴纸960pcs</t>
        </r>
      </text>
    </comment>
    <comment ref="AF28" authorId="0">
      <text>
        <r>
          <rPr>
            <b/>
            <sz val="9"/>
            <rFont val="宋体"/>
            <charset val="134"/>
          </rPr>
          <t>Administrator:</t>
        </r>
        <r>
          <rPr>
            <sz val="9"/>
            <rFont val="宋体"/>
            <charset val="134"/>
          </rPr>
          <t xml:space="preserve">
5000144 10/22 32pcs
华3b13
5000157 10/23 928pcs
华3b8
</t>
        </r>
      </text>
    </comment>
    <comment ref="AH28" authorId="0">
      <text>
        <r>
          <rPr>
            <b/>
            <sz val="9"/>
            <rFont val="宋体"/>
            <charset val="134"/>
          </rPr>
          <t>Administrator:</t>
        </r>
        <r>
          <rPr>
            <sz val="9"/>
            <rFont val="宋体"/>
            <charset val="134"/>
          </rPr>
          <t xml:space="preserve">
9/8 上客供RFID贴纸960pcs
</t>
        </r>
      </text>
    </comment>
    <comment ref="AF29" authorId="0">
      <text>
        <r>
          <rPr>
            <b/>
            <sz val="9"/>
            <rFont val="宋体"/>
            <charset val="134"/>
          </rPr>
          <t>Administrator:</t>
        </r>
        <r>
          <rPr>
            <sz val="9"/>
            <rFont val="宋体"/>
            <charset val="134"/>
          </rPr>
          <t xml:space="preserve">
5000144 10/22 32pcs
华3b13
5000157 10/23 928pcs
华3b8
</t>
        </r>
      </text>
    </comment>
    <comment ref="AH29" authorId="0">
      <text>
        <r>
          <rPr>
            <b/>
            <sz val="9"/>
            <rFont val="宋体"/>
            <charset val="134"/>
          </rPr>
          <t>Administrator:</t>
        </r>
        <r>
          <rPr>
            <sz val="9"/>
            <rFont val="宋体"/>
            <charset val="134"/>
          </rPr>
          <t xml:space="preserve">
9/8 上客供RFID贴纸960pcs
</t>
        </r>
      </text>
    </comment>
    <comment ref="AF30" authorId="0">
      <text>
        <r>
          <rPr>
            <b/>
            <sz val="9"/>
            <rFont val="宋体"/>
            <charset val="134"/>
          </rPr>
          <t>Administrator:</t>
        </r>
        <r>
          <rPr>
            <sz val="9"/>
            <rFont val="宋体"/>
            <charset val="134"/>
          </rPr>
          <t xml:space="preserve">
5000144 10/22 32pcs
华3b13
5000157 10/23 928pcs
华3b8
</t>
        </r>
      </text>
    </comment>
    <comment ref="AH30" authorId="0">
      <text>
        <r>
          <rPr>
            <b/>
            <sz val="9"/>
            <rFont val="宋体"/>
            <charset val="134"/>
          </rPr>
          <t>Administrator:</t>
        </r>
        <r>
          <rPr>
            <sz val="9"/>
            <rFont val="宋体"/>
            <charset val="134"/>
          </rPr>
          <t xml:space="preserve">
9/8 上客供RFID贴纸960pcs
</t>
        </r>
      </text>
    </comment>
    <comment ref="AF31" authorId="0">
      <text>
        <r>
          <rPr>
            <b/>
            <sz val="9"/>
            <rFont val="宋体"/>
            <charset val="134"/>
          </rPr>
          <t>Administrator:</t>
        </r>
        <r>
          <rPr>
            <sz val="9"/>
            <rFont val="宋体"/>
            <charset val="134"/>
          </rPr>
          <t xml:space="preserve">
5000144 10/22 32pcs
华3b13
5000157 10/23 928pcs
华3b8
</t>
        </r>
      </text>
    </comment>
    <comment ref="AH31" authorId="0">
      <text>
        <r>
          <rPr>
            <b/>
            <sz val="9"/>
            <rFont val="宋体"/>
            <charset val="134"/>
          </rPr>
          <t>Administrator:</t>
        </r>
        <r>
          <rPr>
            <sz val="9"/>
            <rFont val="宋体"/>
            <charset val="134"/>
          </rPr>
          <t xml:space="preserve">
9/8 上客供RFID贴纸960pcs
</t>
        </r>
      </text>
    </comment>
    <comment ref="AF32" authorId="0">
      <text>
        <r>
          <rPr>
            <b/>
            <sz val="9"/>
            <rFont val="宋体"/>
            <charset val="134"/>
          </rPr>
          <t>Administrator:</t>
        </r>
        <r>
          <rPr>
            <sz val="9"/>
            <rFont val="宋体"/>
            <charset val="134"/>
          </rPr>
          <t xml:space="preserve">
4001014 10/24 1944pcs 华3a30
4001014 10/24 11928pcs 华3a30
</t>
        </r>
      </text>
    </comment>
    <comment ref="AH32" authorId="0">
      <text>
        <r>
          <rPr>
            <b/>
            <sz val="9"/>
            <rFont val="宋体"/>
            <charset val="134"/>
          </rPr>
          <t>Administrator:</t>
        </r>
        <r>
          <rPr>
            <sz val="9"/>
            <rFont val="宋体"/>
            <charset val="134"/>
          </rPr>
          <t xml:space="preserve">
9/30 上客供亚马逊外箱贴纸1156pcs</t>
        </r>
      </text>
    </comment>
    <comment ref="AF33" authorId="0">
      <text>
        <r>
          <rPr>
            <b/>
            <sz val="9"/>
            <rFont val="宋体"/>
            <charset val="134"/>
          </rPr>
          <t>Administrator:</t>
        </r>
        <r>
          <rPr>
            <sz val="9"/>
            <rFont val="宋体"/>
            <charset val="134"/>
          </rPr>
          <t xml:space="preserve">
5000242 10/29 156pcs
王4a9</t>
        </r>
      </text>
    </comment>
    <comment ref="AH33" authorId="0">
      <text>
        <r>
          <rPr>
            <b/>
            <sz val="9"/>
            <rFont val="宋体"/>
            <charset val="134"/>
          </rPr>
          <t>Administrator:</t>
        </r>
        <r>
          <rPr>
            <sz val="9"/>
            <rFont val="宋体"/>
            <charset val="134"/>
          </rPr>
          <t xml:space="preserve">
9/30 上电池警告语贴纸312pcs
UPC条码贴纸156pcs</t>
        </r>
      </text>
    </comment>
    <comment ref="AF34" authorId="0">
      <text>
        <r>
          <rPr>
            <b/>
            <sz val="14"/>
            <rFont val="宋体"/>
            <charset val="134"/>
          </rPr>
          <t>Administrator:</t>
        </r>
        <r>
          <rPr>
            <sz val="14"/>
            <rFont val="宋体"/>
            <charset val="134"/>
          </rPr>
          <t xml:space="preserve">
1200266 11/1 26625 pcs 王付建四楼A9</t>
        </r>
      </text>
    </comment>
    <comment ref="AH34" authorId="0">
      <text>
        <r>
          <rPr>
            <b/>
            <sz val="9"/>
            <rFont val="宋体"/>
            <charset val="134"/>
          </rPr>
          <t>Administrator:</t>
        </r>
        <r>
          <rPr>
            <sz val="9"/>
            <rFont val="宋体"/>
            <charset val="134"/>
          </rPr>
          <t xml:space="preserve">
9/23 上客供外箱条码贴纸1480pcs
</t>
        </r>
      </text>
    </comment>
    <comment ref="AF35" authorId="0">
      <text>
        <r>
          <rPr>
            <b/>
            <sz val="12"/>
            <rFont val="宋体"/>
            <charset val="134"/>
          </rPr>
          <t>Administrator:</t>
        </r>
        <r>
          <rPr>
            <sz val="12"/>
            <rFont val="宋体"/>
            <charset val="134"/>
          </rPr>
          <t xml:space="preserve">
1200265 10/31 7225 pcs 华兴三楼B16
1200266 11/1 50 pcs 王付建</t>
        </r>
      </text>
    </comment>
    <comment ref="AH35" authorId="0">
      <text>
        <r>
          <rPr>
            <b/>
            <sz val="9"/>
            <rFont val="宋体"/>
            <charset val="134"/>
          </rPr>
          <t>Administrator:</t>
        </r>
        <r>
          <rPr>
            <sz val="9"/>
            <rFont val="宋体"/>
            <charset val="134"/>
          </rPr>
          <t xml:space="preserve">
10/8 上客供外箱条码贴纸294pcs</t>
        </r>
      </text>
    </comment>
    <comment ref="AF36" authorId="0">
      <text>
        <r>
          <rPr>
            <b/>
            <sz val="9"/>
            <rFont val="宋体"/>
            <charset val="134"/>
          </rPr>
          <t>Administrator:</t>
        </r>
        <r>
          <rPr>
            <sz val="9"/>
            <rFont val="宋体"/>
            <charset val="134"/>
          </rPr>
          <t xml:space="preserve">
5000235 10/29 8368pcs王4a6</t>
        </r>
      </text>
    </comment>
    <comment ref="AH36" authorId="0">
      <text>
        <r>
          <rPr>
            <b/>
            <sz val="9"/>
            <rFont val="宋体"/>
            <charset val="134"/>
          </rPr>
          <t>Administrator:</t>
        </r>
        <r>
          <rPr>
            <sz val="9"/>
            <rFont val="宋体"/>
            <charset val="134"/>
          </rPr>
          <t xml:space="preserve">
9/2 上客供RFID贴纸8368pcs
</t>
        </r>
      </text>
    </comment>
    <comment ref="AF37" authorId="0">
      <text>
        <r>
          <rPr>
            <b/>
            <sz val="9"/>
            <rFont val="宋体"/>
            <charset val="134"/>
          </rPr>
          <t>Administrator:</t>
        </r>
        <r>
          <rPr>
            <sz val="9"/>
            <rFont val="宋体"/>
            <charset val="134"/>
          </rPr>
          <t xml:space="preserve">
5000242 10/29 16pcs
王付键4a5
5000235 10/29 7968pcs
王4a5</t>
        </r>
      </text>
    </comment>
    <comment ref="AH37" authorId="0">
      <text>
        <r>
          <rPr>
            <b/>
            <sz val="9"/>
            <rFont val="宋体"/>
            <charset val="134"/>
          </rPr>
          <t>Administrator:</t>
        </r>
        <r>
          <rPr>
            <sz val="9"/>
            <rFont val="宋体"/>
            <charset val="134"/>
          </rPr>
          <t xml:space="preserve">
9/2 上客供RFID贴纸7984pcs
</t>
        </r>
      </text>
    </comment>
    <comment ref="AF38" authorId="0">
      <text>
        <r>
          <rPr>
            <b/>
            <sz val="9"/>
            <rFont val="宋体"/>
            <charset val="134"/>
          </rPr>
          <t>Administrator:</t>
        </r>
        <r>
          <rPr>
            <sz val="9"/>
            <rFont val="宋体"/>
            <charset val="134"/>
          </rPr>
          <t xml:space="preserve">
5000235 10/29 960pcs王4a6</t>
        </r>
      </text>
    </comment>
    <comment ref="AH38" authorId="0">
      <text>
        <r>
          <rPr>
            <b/>
            <sz val="9"/>
            <rFont val="宋体"/>
            <charset val="134"/>
          </rPr>
          <t>Administrator:</t>
        </r>
        <r>
          <rPr>
            <sz val="9"/>
            <rFont val="宋体"/>
            <charset val="134"/>
          </rPr>
          <t xml:space="preserve">
9/2 上客供RFID贴纸960pcs
</t>
        </r>
      </text>
    </comment>
    <comment ref="AF39" authorId="0">
      <text>
        <r>
          <rPr>
            <b/>
            <sz val="14"/>
            <rFont val="宋体"/>
            <charset val="134"/>
          </rPr>
          <t>Administrator:</t>
        </r>
        <r>
          <rPr>
            <sz val="14"/>
            <rFont val="宋体"/>
            <charset val="134"/>
          </rPr>
          <t xml:space="preserve">
1200326 11/7 5200 pcs 华兴三楼B14</t>
        </r>
      </text>
    </comment>
    <comment ref="AH39" authorId="0">
      <text>
        <r>
          <rPr>
            <b/>
            <sz val="9"/>
            <rFont val="宋体"/>
            <charset val="134"/>
          </rPr>
          <t>Administrator:</t>
        </r>
        <r>
          <rPr>
            <sz val="9"/>
            <rFont val="宋体"/>
            <charset val="134"/>
          </rPr>
          <t xml:space="preserve">
9/30 上多语贴纸5200pcs
10/13 上地址贴纸5200pcs</t>
        </r>
      </text>
    </comment>
    <comment ref="AF40" authorId="0">
      <text>
        <r>
          <rPr>
            <b/>
            <sz val="14"/>
            <rFont val="宋体"/>
            <charset val="134"/>
          </rPr>
          <t>Administrator:</t>
        </r>
        <r>
          <rPr>
            <sz val="14"/>
            <rFont val="宋体"/>
            <charset val="134"/>
          </rPr>
          <t xml:space="preserve">
3000196 10/27 132 pcs 文本云A栋一楼</t>
        </r>
      </text>
    </comment>
    <comment ref="AE41" authorId="0">
      <text>
        <r>
          <rPr>
            <b/>
            <sz val="14"/>
            <rFont val="宋体"/>
            <charset val="134"/>
          </rPr>
          <t>Administrator:</t>
        </r>
        <r>
          <rPr>
            <sz val="14"/>
            <rFont val="宋体"/>
            <charset val="134"/>
          </rPr>
          <t xml:space="preserve">
系统下单数量用量是错的</t>
        </r>
      </text>
    </comment>
    <comment ref="AF41" authorId="0">
      <text>
        <r>
          <rPr>
            <b/>
            <sz val="14"/>
            <rFont val="宋体"/>
            <charset val="134"/>
          </rPr>
          <t>Administrator:</t>
        </r>
        <r>
          <rPr>
            <sz val="14"/>
            <rFont val="宋体"/>
            <charset val="134"/>
          </rPr>
          <t xml:space="preserve">
1200266 11/1 5200 pcs 王付建四楼C8
</t>
        </r>
      </text>
    </comment>
    <comment ref="AH41" authorId="0">
      <text>
        <r>
          <rPr>
            <b/>
            <sz val="9"/>
            <rFont val="宋体"/>
            <charset val="134"/>
          </rPr>
          <t>Administrator:</t>
        </r>
        <r>
          <rPr>
            <sz val="9"/>
            <rFont val="宋体"/>
            <charset val="134"/>
          </rPr>
          <t xml:space="preserve">
10/13 上价格贴纸5200pcs
外箱条码贴纸200pc</t>
        </r>
      </text>
    </comment>
    <comment ref="AF42" authorId="0">
      <text>
        <r>
          <rPr>
            <b/>
            <sz val="14"/>
            <rFont val="宋体"/>
            <charset val="134"/>
          </rPr>
          <t>Administrator:</t>
        </r>
        <r>
          <rPr>
            <sz val="14"/>
            <rFont val="宋体"/>
            <charset val="134"/>
          </rPr>
          <t xml:space="preserve">
1200318 11/6 1209 pcs 直走</t>
        </r>
      </text>
    </comment>
    <comment ref="AH42" authorId="0">
      <text>
        <r>
          <rPr>
            <b/>
            <sz val="14"/>
            <rFont val="宋体"/>
            <charset val="134"/>
          </rPr>
          <t>Administrator:</t>
        </r>
        <r>
          <rPr>
            <sz val="14"/>
            <rFont val="宋体"/>
            <charset val="134"/>
          </rPr>
          <t xml:space="preserve">
9/30 上多语贴纸1209pcs
10/13 上5语警语贴纸1209pcs
10/14 上地址贴纸1209pcs
11/1上 警语贴纸 3627 pcs</t>
        </r>
      </text>
    </comment>
    <comment ref="AF43" authorId="0">
      <text>
        <r>
          <rPr>
            <b/>
            <sz val="14"/>
            <rFont val="宋体"/>
            <charset val="134"/>
          </rPr>
          <t>Administrator:</t>
        </r>
        <r>
          <rPr>
            <sz val="14"/>
            <rFont val="宋体"/>
            <charset val="134"/>
          </rPr>
          <t xml:space="preserve">
1200309 11/5 960 pcs 华兴三楼A15</t>
        </r>
      </text>
    </comment>
    <comment ref="AH43" authorId="0">
      <text>
        <r>
          <rPr>
            <b/>
            <sz val="9"/>
            <rFont val="宋体"/>
            <charset val="134"/>
          </rPr>
          <t>Administrator:</t>
        </r>
        <r>
          <rPr>
            <sz val="9"/>
            <rFont val="宋体"/>
            <charset val="134"/>
          </rPr>
          <t xml:space="preserve">
10/17 客供RFID贴纸960pcs</t>
        </r>
      </text>
    </comment>
    <comment ref="AF44" authorId="0">
      <text>
        <r>
          <rPr>
            <b/>
            <sz val="14"/>
            <rFont val="宋体"/>
            <charset val="134"/>
          </rPr>
          <t>Administrator:</t>
        </r>
        <r>
          <rPr>
            <sz val="14"/>
            <rFont val="宋体"/>
            <charset val="134"/>
          </rPr>
          <t xml:space="preserve">
1200309 11/5 960 pcs 华兴三楼A15</t>
        </r>
      </text>
    </comment>
    <comment ref="AH44" authorId="0">
      <text>
        <r>
          <rPr>
            <b/>
            <sz val="9"/>
            <rFont val="宋体"/>
            <charset val="134"/>
          </rPr>
          <t>Administrator:</t>
        </r>
        <r>
          <rPr>
            <sz val="9"/>
            <rFont val="宋体"/>
            <charset val="134"/>
          </rPr>
          <t xml:space="preserve">
10/17 客供RFID贴纸960pcs
</t>
        </r>
      </text>
    </comment>
    <comment ref="AF45" authorId="0">
      <text>
        <r>
          <rPr>
            <b/>
            <sz val="14"/>
            <rFont val="宋体"/>
            <charset val="134"/>
          </rPr>
          <t>Administrator:</t>
        </r>
        <r>
          <rPr>
            <sz val="14"/>
            <rFont val="宋体"/>
            <charset val="134"/>
          </rPr>
          <t xml:space="preserve">
1200309 11/5 960 pcs 华兴三楼A15</t>
        </r>
      </text>
    </comment>
    <comment ref="AH45" authorId="0">
      <text>
        <r>
          <rPr>
            <b/>
            <sz val="9"/>
            <rFont val="宋体"/>
            <charset val="134"/>
          </rPr>
          <t>Administrator:</t>
        </r>
        <r>
          <rPr>
            <sz val="9"/>
            <rFont val="宋体"/>
            <charset val="134"/>
          </rPr>
          <t xml:space="preserve">
10/17 客供RFID贴纸960pcs
</t>
        </r>
      </text>
    </comment>
    <comment ref="AF46" authorId="0">
      <text>
        <r>
          <rPr>
            <b/>
            <sz val="14"/>
            <rFont val="宋体"/>
            <charset val="134"/>
          </rPr>
          <t>Administrator:</t>
        </r>
        <r>
          <rPr>
            <sz val="14"/>
            <rFont val="宋体"/>
            <charset val="134"/>
          </rPr>
          <t xml:space="preserve">
1200313 11/5 5010 pcs 华兴三楼B8
1200331 11/8 30 pcs 直走</t>
        </r>
      </text>
    </comment>
    <comment ref="AF47" authorId="0">
      <text>
        <r>
          <rPr>
            <b/>
            <sz val="14"/>
            <rFont val="宋体"/>
            <charset val="134"/>
          </rPr>
          <t>Administrator:</t>
        </r>
        <r>
          <rPr>
            <sz val="14"/>
            <rFont val="宋体"/>
            <charset val="134"/>
          </rPr>
          <t xml:space="preserve">
1200350 11/10 4500 pcs F4              
1200352 11/10 5525 pcs 华兴一楼F4</t>
        </r>
      </text>
    </comment>
    <comment ref="AH47" authorId="0">
      <text>
        <r>
          <rPr>
            <b/>
            <sz val="9"/>
            <rFont val="宋体"/>
            <charset val="134"/>
          </rPr>
          <t>Administrator:</t>
        </r>
        <r>
          <rPr>
            <sz val="9"/>
            <rFont val="宋体"/>
            <charset val="134"/>
          </rPr>
          <t xml:space="preserve">
10/17 客供外箱条码贴纸405pcs</t>
        </r>
      </text>
    </comment>
    <comment ref="AF48" authorId="0">
      <text>
        <r>
          <rPr>
            <b/>
            <sz val="14"/>
            <rFont val="宋体"/>
            <charset val="134"/>
          </rPr>
          <t>Administrator:</t>
        </r>
        <r>
          <rPr>
            <sz val="14"/>
            <rFont val="宋体"/>
            <charset val="134"/>
          </rPr>
          <t xml:space="preserve">
1200411 11/15 960 pcs 本厂</t>
        </r>
      </text>
    </comment>
    <comment ref="AF49" authorId="0">
      <text>
        <r>
          <rPr>
            <b/>
            <sz val="12"/>
            <rFont val="宋体"/>
            <charset val="134"/>
          </rPr>
          <t>Administrator:</t>
        </r>
        <r>
          <rPr>
            <sz val="12"/>
            <rFont val="宋体"/>
            <charset val="134"/>
          </rPr>
          <t xml:space="preserve">
10月份生产已带给业务</t>
        </r>
      </text>
    </comment>
    <comment ref="AF50" authorId="0">
      <text>
        <r>
          <rPr>
            <b/>
            <sz val="14"/>
            <rFont val="宋体"/>
            <charset val="134"/>
          </rPr>
          <t>Administrator:</t>
        </r>
        <r>
          <rPr>
            <sz val="14"/>
            <rFont val="宋体"/>
            <charset val="134"/>
          </rPr>
          <t xml:space="preserve">
1200373 11/12 3003 pcs 直走</t>
        </r>
      </text>
    </comment>
    <comment ref="AH50" authorId="0">
      <text>
        <r>
          <rPr>
            <b/>
            <sz val="9"/>
            <rFont val="宋体"/>
            <charset val="134"/>
          </rPr>
          <t>Administrator:</t>
        </r>
        <r>
          <rPr>
            <sz val="9"/>
            <rFont val="宋体"/>
            <charset val="134"/>
          </rPr>
          <t xml:space="preserve">
10/24 多语警语折委贴纸285*31mm 3003pcs</t>
        </r>
      </text>
    </comment>
    <comment ref="AF51" authorId="0">
      <text>
        <r>
          <rPr>
            <b/>
            <sz val="14"/>
            <rFont val="宋体"/>
            <charset val="134"/>
          </rPr>
          <t>Administrator:</t>
        </r>
        <r>
          <rPr>
            <sz val="14"/>
            <rFont val="宋体"/>
            <charset val="134"/>
          </rPr>
          <t xml:space="preserve">
1200331 11/8 32 pcs 华兴三楼B8      
1200352 11/10 928 pcs</t>
        </r>
      </text>
    </comment>
    <comment ref="AH51" authorId="0">
      <text>
        <r>
          <rPr>
            <b/>
            <sz val="9"/>
            <rFont val="宋体"/>
            <charset val="134"/>
          </rPr>
          <t>Administrator:</t>
        </r>
        <r>
          <rPr>
            <sz val="9"/>
            <rFont val="宋体"/>
            <charset val="134"/>
          </rPr>
          <t xml:space="preserve">
10/17 客供RFID贴纸960pcs
</t>
        </r>
      </text>
    </comment>
    <comment ref="AF52" authorId="0">
      <text>
        <r>
          <rPr>
            <b/>
            <sz val="14"/>
            <rFont val="宋体"/>
            <charset val="134"/>
          </rPr>
          <t>Administrator:</t>
        </r>
        <r>
          <rPr>
            <sz val="14"/>
            <rFont val="宋体"/>
            <charset val="134"/>
          </rPr>
          <t xml:space="preserve">
11/8号生产已带给刘艳那边收 50套散件</t>
        </r>
      </text>
    </comment>
    <comment ref="AF53" authorId="0">
      <text>
        <r>
          <rPr>
            <b/>
            <sz val="14"/>
            <rFont val="宋体"/>
            <charset val="134"/>
          </rPr>
          <t>Administrator:</t>
        </r>
        <r>
          <rPr>
            <sz val="14"/>
            <rFont val="宋体"/>
            <charset val="134"/>
          </rPr>
          <t xml:space="preserve">
1200362 11/12 650 pcs 文本云</t>
        </r>
      </text>
    </comment>
    <comment ref="AF54" authorId="0">
      <text>
        <r>
          <rPr>
            <b/>
            <sz val="14"/>
            <rFont val="宋体"/>
            <charset val="134"/>
          </rPr>
          <t>Administrator:</t>
        </r>
        <r>
          <rPr>
            <sz val="14"/>
            <rFont val="宋体"/>
            <charset val="134"/>
          </rPr>
          <t xml:space="preserve">
1200362 11/12 2000 pcs 文本云</t>
        </r>
      </text>
    </comment>
    <comment ref="AF55" authorId="0">
      <text>
        <r>
          <rPr>
            <b/>
            <sz val="14"/>
            <rFont val="宋体"/>
            <charset val="134"/>
          </rPr>
          <t>Administrator:</t>
        </r>
        <r>
          <rPr>
            <sz val="14"/>
            <rFont val="宋体"/>
            <charset val="134"/>
          </rPr>
          <t xml:space="preserve">
1200381 11/11 520 pcs 直走</t>
        </r>
      </text>
    </comment>
    <comment ref="AF56" authorId="0">
      <text>
        <r>
          <rPr>
            <b/>
            <sz val="14"/>
            <rFont val="宋体"/>
            <charset val="134"/>
          </rPr>
          <t>Administrator:</t>
        </r>
        <r>
          <rPr>
            <sz val="14"/>
            <rFont val="宋体"/>
            <charset val="134"/>
          </rPr>
          <t xml:space="preserve">
1200411 11/15 52 pcs 华兴三楼B15</t>
        </r>
      </text>
    </comment>
    <comment ref="AF57" authorId="0">
      <text>
        <r>
          <rPr>
            <b/>
            <sz val="14"/>
            <rFont val="宋体"/>
            <charset val="134"/>
          </rPr>
          <t>Administrator:</t>
        </r>
        <r>
          <rPr>
            <sz val="14"/>
            <rFont val="宋体"/>
            <charset val="134"/>
          </rPr>
          <t xml:space="preserve">
1200411 11/15 500 pcs 华兴三楼A28
</t>
        </r>
      </text>
    </comment>
    <comment ref="AH57" authorId="0">
      <text>
        <r>
          <rPr>
            <b/>
            <sz val="9"/>
            <rFont val="宋体"/>
            <charset val="134"/>
          </rPr>
          <t>Administrator:</t>
        </r>
        <r>
          <rPr>
            <sz val="9"/>
            <rFont val="宋体"/>
            <charset val="134"/>
          </rPr>
          <t xml:space="preserve">
10/14 上地址贴纸500pcs
上WEEE带电池走货欧洲30语通用黑白说明书500pcs</t>
        </r>
      </text>
    </comment>
    <comment ref="AF58" authorId="0">
      <text>
        <r>
          <rPr>
            <b/>
            <sz val="14"/>
            <rFont val="宋体"/>
            <charset val="134"/>
          </rPr>
          <t>Administrator:</t>
        </r>
        <r>
          <rPr>
            <sz val="14"/>
            <rFont val="宋体"/>
            <charset val="134"/>
          </rPr>
          <t xml:space="preserve">
1200411 11/15 5075 pcs 华兴三楼A26
</t>
        </r>
      </text>
    </comment>
    <comment ref="AH58" authorId="0">
      <text>
        <r>
          <rPr>
            <b/>
            <sz val="9"/>
            <rFont val="宋体"/>
            <charset val="134"/>
          </rPr>
          <t>Administrator:</t>
        </r>
        <r>
          <rPr>
            <sz val="9"/>
            <rFont val="宋体"/>
            <charset val="134"/>
          </rPr>
          <t xml:space="preserve">
10/17 客供外箱条码贴纸206pcs</t>
        </r>
      </text>
    </comment>
    <comment ref="AF59" authorId="0">
      <text>
        <r>
          <rPr>
            <b/>
            <sz val="14"/>
            <rFont val="宋体"/>
            <charset val="134"/>
          </rPr>
          <t>Administrator:</t>
        </r>
        <r>
          <rPr>
            <sz val="14"/>
            <rFont val="宋体"/>
            <charset val="134"/>
          </rPr>
          <t xml:space="preserve">
1200411 11/15 780 pcs 华兴三楼A25</t>
        </r>
      </text>
    </comment>
    <comment ref="AF60" authorId="0">
      <text>
        <r>
          <rPr>
            <b/>
            <sz val="14"/>
            <rFont val="宋体"/>
            <charset val="134"/>
          </rPr>
          <t>Administrator:</t>
        </r>
        <r>
          <rPr>
            <sz val="14"/>
            <rFont val="宋体"/>
            <charset val="134"/>
          </rPr>
          <t xml:space="preserve">
1200411 11/15 429 pcs 华兴三楼A23</t>
        </r>
      </text>
    </comment>
    <comment ref="AF61" authorId="0">
      <text>
        <r>
          <rPr>
            <b/>
            <sz val="14"/>
            <rFont val="宋体"/>
            <charset val="134"/>
          </rPr>
          <t>Administrator:</t>
        </r>
        <r>
          <rPr>
            <sz val="14"/>
            <rFont val="宋体"/>
            <charset val="134"/>
          </rPr>
          <t xml:space="preserve">
1200411 11/15 2067 pcs B四楼B9</t>
        </r>
      </text>
    </comment>
    <comment ref="AF62" authorId="0">
      <text>
        <r>
          <rPr>
            <b/>
            <sz val="14"/>
            <rFont val="宋体"/>
            <charset val="134"/>
          </rPr>
          <t>Administrator:</t>
        </r>
        <r>
          <rPr>
            <sz val="14"/>
            <rFont val="宋体"/>
            <charset val="134"/>
          </rPr>
          <t xml:space="preserve">
1200411 11/15 960 pcs 华兴三楼A14
</t>
        </r>
      </text>
    </comment>
    <comment ref="AH62" authorId="0">
      <text>
        <r>
          <rPr>
            <b/>
            <sz val="14"/>
            <rFont val="宋体"/>
            <charset val="134"/>
          </rPr>
          <t>Administrator:</t>
        </r>
        <r>
          <rPr>
            <sz val="14"/>
            <rFont val="宋体"/>
            <charset val="134"/>
          </rPr>
          <t xml:space="preserve">
10/31上 客供RFID贴纸 960 pcs</t>
        </r>
      </text>
    </comment>
    <comment ref="AF63" authorId="0">
      <text>
        <r>
          <rPr>
            <b/>
            <sz val="14"/>
            <rFont val="宋体"/>
            <charset val="134"/>
          </rPr>
          <t>Administrator:</t>
        </r>
        <r>
          <rPr>
            <sz val="14"/>
            <rFont val="宋体"/>
            <charset val="134"/>
          </rPr>
          <t xml:space="preserve">
1200434 11/18 960 pcs 华兴三楼A15</t>
        </r>
      </text>
    </comment>
    <comment ref="AH63" authorId="0">
      <text>
        <r>
          <rPr>
            <b/>
            <sz val="14"/>
            <rFont val="宋体"/>
            <charset val="134"/>
          </rPr>
          <t>Administrator:</t>
        </r>
        <r>
          <rPr>
            <sz val="14"/>
            <rFont val="宋体"/>
            <charset val="134"/>
          </rPr>
          <t xml:space="preserve">
10/31上 客供RFID贴纸 960 pcs</t>
        </r>
      </text>
    </comment>
    <comment ref="AF64" authorId="0">
      <text>
        <r>
          <rPr>
            <b/>
            <sz val="9"/>
            <rFont val="宋体"/>
            <charset val="134"/>
          </rPr>
          <t>Administrator:</t>
        </r>
        <r>
          <rPr>
            <sz val="9"/>
            <rFont val="宋体"/>
            <charset val="134"/>
          </rPr>
          <t xml:space="preserve">
5000222 10/25 2747 华3a3</t>
        </r>
      </text>
    </comment>
    <comment ref="AH64" authorId="0">
      <text>
        <r>
          <rPr>
            <b/>
            <sz val="9"/>
            <rFont val="宋体"/>
            <charset val="134"/>
          </rPr>
          <t>Administrator:</t>
        </r>
        <r>
          <rPr>
            <sz val="9"/>
            <rFont val="宋体"/>
            <charset val="134"/>
          </rPr>
          <t xml:space="preserve">
9/30 上PDQ折页451pcs
10/13 上WIC贴纸8706pcs</t>
        </r>
      </text>
    </comment>
    <comment ref="AF65" authorId="0">
      <text>
        <r>
          <rPr>
            <b/>
            <sz val="9"/>
            <rFont val="宋体"/>
            <charset val="134"/>
          </rPr>
          <t>Administrator:</t>
        </r>
        <r>
          <rPr>
            <sz val="9"/>
            <rFont val="宋体"/>
            <charset val="134"/>
          </rPr>
          <t xml:space="preserve">
5000222 10/25 5496华3a3
</t>
        </r>
      </text>
    </comment>
    <comment ref="AH65" authorId="0">
      <text>
        <r>
          <rPr>
            <b/>
            <sz val="9"/>
            <rFont val="宋体"/>
            <charset val="134"/>
          </rPr>
          <t>Administrator:</t>
        </r>
        <r>
          <rPr>
            <sz val="9"/>
            <rFont val="宋体"/>
            <charset val="134"/>
          </rPr>
          <t xml:space="preserve">
10/21 WIC 贴纸14*4.5mm5496pcs</t>
        </r>
      </text>
    </comment>
    <comment ref="AF66" authorId="0">
      <text>
        <r>
          <rPr>
            <b/>
            <sz val="16"/>
            <rFont val="宋体"/>
            <charset val="134"/>
          </rPr>
          <t>Administrator:</t>
        </r>
        <r>
          <rPr>
            <sz val="16"/>
            <rFont val="宋体"/>
            <charset val="134"/>
          </rPr>
          <t xml:space="preserve">
5000222 10/25 480华3a3
1200465 11/20 3942 pcs  王四楼C5 
1200465 11/20  588 pcs C5              </t>
        </r>
      </text>
    </comment>
    <comment ref="AH66" authorId="0">
      <text>
        <r>
          <rPr>
            <b/>
            <sz val="9"/>
            <rFont val="宋体"/>
            <charset val="134"/>
          </rPr>
          <t>Administrator:</t>
        </r>
        <r>
          <rPr>
            <sz val="9"/>
            <rFont val="宋体"/>
            <charset val="134"/>
          </rPr>
          <t xml:space="preserve">
10/21 WIC 贴纸14*4.5mm4422pcs
</t>
        </r>
      </text>
    </comment>
    <comment ref="AF67" authorId="0">
      <text>
        <r>
          <rPr>
            <b/>
            <sz val="16"/>
            <rFont val="宋体"/>
            <charset val="134"/>
          </rPr>
          <t>Administrator:</t>
        </r>
        <r>
          <rPr>
            <sz val="16"/>
            <rFont val="宋体"/>
            <charset val="134"/>
          </rPr>
          <t xml:space="preserve">
1200465 11/20 6372 pcs 四楼C5</t>
        </r>
      </text>
    </comment>
    <comment ref="AH67" authorId="0">
      <text>
        <r>
          <rPr>
            <b/>
            <sz val="14"/>
            <rFont val="宋体"/>
            <charset val="134"/>
          </rPr>
          <t>Administrator:</t>
        </r>
        <r>
          <rPr>
            <sz val="14"/>
            <rFont val="宋体"/>
            <charset val="134"/>
          </rPr>
          <t xml:space="preserve">
10/21 WIC 贴纸14*4.5mm6372pcs
</t>
        </r>
      </text>
    </comment>
    <comment ref="AF68" authorId="0">
      <text>
        <r>
          <rPr>
            <b/>
            <sz val="16"/>
            <rFont val="宋体"/>
            <charset val="134"/>
          </rPr>
          <t>Administrator:</t>
        </r>
        <r>
          <rPr>
            <sz val="16"/>
            <rFont val="宋体"/>
            <charset val="134"/>
          </rPr>
          <t xml:space="preserve">
1200465 11/20 3780 pcs 四楼C5
</t>
        </r>
      </text>
    </comment>
    <comment ref="AH68" authorId="0">
      <text>
        <r>
          <rPr>
            <b/>
            <sz val="9"/>
            <rFont val="宋体"/>
            <charset val="134"/>
          </rPr>
          <t>Administrator:</t>
        </r>
        <r>
          <rPr>
            <sz val="9"/>
            <rFont val="宋体"/>
            <charset val="134"/>
          </rPr>
          <t xml:space="preserve">
10/21 WIC 贴纸14*4.5mm 3780pcs
</t>
        </r>
      </text>
    </comment>
    <comment ref="AF69" authorId="0">
      <text>
        <r>
          <rPr>
            <b/>
            <sz val="16"/>
            <rFont val="宋体"/>
            <charset val="134"/>
          </rPr>
          <t>Administrator:</t>
        </r>
        <r>
          <rPr>
            <sz val="16"/>
            <rFont val="宋体"/>
            <charset val="134"/>
          </rPr>
          <t xml:space="preserve">
1200465 11/20 4098 pcs 四楼C5
</t>
        </r>
      </text>
    </comment>
    <comment ref="AH69" authorId="0">
      <text>
        <r>
          <rPr>
            <b/>
            <sz val="9"/>
            <rFont val="宋体"/>
            <charset val="134"/>
          </rPr>
          <t>Administrator:</t>
        </r>
        <r>
          <rPr>
            <sz val="9"/>
            <rFont val="宋体"/>
            <charset val="134"/>
          </rPr>
          <t xml:space="preserve">
10/21 WIC 贴纸14*4.5mm 4098pcs</t>
        </r>
      </text>
    </comment>
    <comment ref="AF70" authorId="0">
      <text>
        <r>
          <rPr>
            <b/>
            <sz val="16"/>
            <rFont val="宋体"/>
            <charset val="134"/>
          </rPr>
          <t>Administrator:</t>
        </r>
        <r>
          <rPr>
            <sz val="16"/>
            <rFont val="宋体"/>
            <charset val="134"/>
          </rPr>
          <t xml:space="preserve">
1200465 11/20 5214 pcs 四楼C5
</t>
        </r>
      </text>
    </comment>
    <comment ref="AH70" authorId="0">
      <text>
        <r>
          <rPr>
            <b/>
            <sz val="9"/>
            <rFont val="宋体"/>
            <charset val="134"/>
          </rPr>
          <t>Administrator:</t>
        </r>
        <r>
          <rPr>
            <sz val="9"/>
            <rFont val="宋体"/>
            <charset val="134"/>
          </rPr>
          <t xml:space="preserve">
10/21 WIC 贴纸14*4.5mm 5214pcs</t>
        </r>
      </text>
    </comment>
    <comment ref="AF71" authorId="0">
      <text>
        <r>
          <rPr>
            <b/>
            <sz val="16"/>
            <rFont val="宋体"/>
            <charset val="134"/>
          </rPr>
          <t>Administrator:</t>
        </r>
        <r>
          <rPr>
            <sz val="16"/>
            <rFont val="宋体"/>
            <charset val="134"/>
          </rPr>
          <t xml:space="preserve">
1200466 11/20 2904 pcs 王四楼C5      
1200465 11/20 2922 pcs C5</t>
        </r>
      </text>
    </comment>
    <comment ref="AH71" authorId="0">
      <text>
        <r>
          <rPr>
            <b/>
            <sz val="9"/>
            <rFont val="宋体"/>
            <charset val="134"/>
          </rPr>
          <t>Administrator:</t>
        </r>
        <r>
          <rPr>
            <sz val="9"/>
            <rFont val="宋体"/>
            <charset val="134"/>
          </rPr>
          <t xml:space="preserve">
10/21 WIC 贴纸14*4.5mm 5826pcs</t>
        </r>
      </text>
    </comment>
    <comment ref="AF72" authorId="0">
      <text>
        <r>
          <rPr>
            <b/>
            <sz val="16"/>
            <rFont val="宋体"/>
            <charset val="134"/>
          </rPr>
          <t>Administrator:</t>
        </r>
        <r>
          <rPr>
            <sz val="16"/>
            <rFont val="宋体"/>
            <charset val="134"/>
          </rPr>
          <t xml:space="preserve">
1200466 11/20 4902 pcs 王四楼C5
有改单欠2箱</t>
        </r>
      </text>
    </comment>
    <comment ref="AH72" authorId="0">
      <text>
        <r>
          <rPr>
            <b/>
            <sz val="9"/>
            <rFont val="宋体"/>
            <charset val="134"/>
          </rPr>
          <t>Administrator:</t>
        </r>
        <r>
          <rPr>
            <sz val="9"/>
            <rFont val="宋体"/>
            <charset val="134"/>
          </rPr>
          <t xml:space="preserve">
10/21 WIC 贴纸14*4.5mm 4902pcs</t>
        </r>
      </text>
    </comment>
    <comment ref="AF73" authorId="0">
      <text>
        <r>
          <rPr>
            <b/>
            <sz val="14"/>
            <rFont val="宋体"/>
            <charset val="134"/>
          </rPr>
          <t>Administrator:</t>
        </r>
        <r>
          <rPr>
            <sz val="14"/>
            <rFont val="宋体"/>
            <charset val="134"/>
          </rPr>
          <t xml:space="preserve">
1200504 11/25 2886 pcs 直走</t>
        </r>
      </text>
    </comment>
    <comment ref="AH73" authorId="0">
      <text>
        <r>
          <rPr>
            <b/>
            <sz val="14"/>
            <rFont val="宋体"/>
            <charset val="134"/>
          </rPr>
          <t>Administrator:</t>
        </r>
        <r>
          <rPr>
            <sz val="14"/>
            <rFont val="宋体"/>
            <charset val="134"/>
          </rPr>
          <t xml:space="preserve">
10/30上 多语警语折叠贴纸 2886 pcs
11/11上 地址贴纸 2886 pcs
11/13上 WEEE带电池走货-说明书 2886 pcs</t>
        </r>
      </text>
    </comment>
    <comment ref="AF74" authorId="0">
      <text>
        <r>
          <rPr>
            <b/>
            <sz val="16"/>
            <rFont val="宋体"/>
            <charset val="134"/>
          </rPr>
          <t>Administrator:</t>
        </r>
        <r>
          <rPr>
            <sz val="16"/>
            <rFont val="宋体"/>
            <charset val="134"/>
          </rPr>
          <t xml:space="preserve">
1200435 11/18 816 pcs 华兴三楼A32</t>
        </r>
      </text>
    </comment>
    <comment ref="AH74" authorId="0">
      <text>
        <r>
          <rPr>
            <b/>
            <sz val="12"/>
            <rFont val="宋体"/>
            <charset val="134"/>
          </rPr>
          <t>Administrator:</t>
        </r>
        <r>
          <rPr>
            <sz val="12"/>
            <rFont val="宋体"/>
            <charset val="134"/>
          </rPr>
          <t xml:space="preserve">
</t>
        </r>
        <r>
          <rPr>
            <sz val="14"/>
            <rFont val="宋体"/>
            <charset val="134"/>
          </rPr>
          <t>10/28上 亚马逊外箱贴纸 68 pcs
11/6上 环保标贴纸 816 pcs</t>
        </r>
        <r>
          <rPr>
            <sz val="12"/>
            <rFont val="宋体"/>
            <charset val="134"/>
          </rPr>
          <t xml:space="preserve">
</t>
        </r>
        <r>
          <rPr>
            <sz val="14"/>
            <rFont val="宋体"/>
            <charset val="134"/>
          </rPr>
          <t>WEEE说明书11月份开始PMC订</t>
        </r>
      </text>
    </comment>
    <comment ref="AF75" authorId="0">
      <text>
        <r>
          <rPr>
            <b/>
            <sz val="16"/>
            <rFont val="宋体"/>
            <charset val="134"/>
          </rPr>
          <t>Administrator:</t>
        </r>
        <r>
          <rPr>
            <sz val="16"/>
            <rFont val="宋体"/>
            <charset val="134"/>
          </rPr>
          <t xml:space="preserve">
1200435 11/18 6950 pcs 华兴一楼F5
1200459 11/19 50 pcs</t>
        </r>
      </text>
    </comment>
    <comment ref="AH75" authorId="0">
      <text>
        <r>
          <rPr>
            <b/>
            <sz val="9"/>
            <rFont val="宋体"/>
            <charset val="134"/>
          </rPr>
          <t>Administrator:</t>
        </r>
        <r>
          <rPr>
            <sz val="9"/>
            <rFont val="宋体"/>
            <charset val="134"/>
          </rPr>
          <t xml:space="preserve">
10/27 客供外箱条码贴纸 283pcs</t>
        </r>
      </text>
    </comment>
    <comment ref="AF76" authorId="0">
      <text>
        <r>
          <rPr>
            <b/>
            <sz val="14"/>
            <rFont val="宋体"/>
            <charset val="134"/>
          </rPr>
          <t>Administrator:</t>
        </r>
        <r>
          <rPr>
            <sz val="14"/>
            <rFont val="宋体"/>
            <charset val="134"/>
          </rPr>
          <t xml:space="preserve">
1200411 11/15 960 pcs 华兴三楼A14
</t>
        </r>
      </text>
    </comment>
    <comment ref="AH76" authorId="0">
      <text>
        <r>
          <rPr>
            <b/>
            <sz val="14"/>
            <rFont val="宋体"/>
            <charset val="134"/>
          </rPr>
          <t>Administrator:</t>
        </r>
        <r>
          <rPr>
            <sz val="14"/>
            <rFont val="宋体"/>
            <charset val="134"/>
          </rPr>
          <t xml:space="preserve">
10/31上 客供RFID贴纸 960 pcs</t>
        </r>
      </text>
    </comment>
    <comment ref="AF77" authorId="0">
      <text>
        <r>
          <rPr>
            <b/>
            <sz val="14"/>
            <rFont val="宋体"/>
            <charset val="134"/>
          </rPr>
          <t>Administrator:</t>
        </r>
        <r>
          <rPr>
            <sz val="14"/>
            <rFont val="宋体"/>
            <charset val="134"/>
          </rPr>
          <t xml:space="preserve">
1200504 11/25 312 pcs 华兴三楼B14</t>
        </r>
      </text>
    </comment>
    <comment ref="AH77" authorId="0">
      <text>
        <r>
          <rPr>
            <b/>
            <sz val="14"/>
            <rFont val="宋体"/>
            <charset val="134"/>
          </rPr>
          <t>Administrator:</t>
        </r>
        <r>
          <rPr>
            <sz val="14"/>
            <rFont val="宋体"/>
            <charset val="134"/>
          </rPr>
          <t xml:space="preserve">
11/4上 QR code 贴纸 312 pcs
11/10上 进口商贴纸 312 pcs
 说明书贴纸 312 pcs
11/20补上 QPcode贴纸 100 pcs
11/21 上 贴纸 312 pcs</t>
        </r>
      </text>
    </comment>
    <comment ref="AF78" authorId="0">
      <text>
        <r>
          <rPr>
            <b/>
            <sz val="16"/>
            <rFont val="宋体"/>
            <charset val="134"/>
          </rPr>
          <t>Administrator:</t>
        </r>
        <r>
          <rPr>
            <sz val="16"/>
            <rFont val="宋体"/>
            <charset val="134"/>
          </rPr>
          <t xml:space="preserve">
1200435 11/18 6950 pcs 华兴三楼B15</t>
        </r>
      </text>
    </comment>
    <comment ref="AH78" authorId="0">
      <text>
        <r>
          <rPr>
            <b/>
            <sz val="9"/>
            <rFont val="宋体"/>
            <charset val="134"/>
          </rPr>
          <t>Administrator:</t>
        </r>
        <r>
          <rPr>
            <sz val="9"/>
            <rFont val="宋体"/>
            <charset val="134"/>
          </rPr>
          <t xml:space="preserve">
10/23 进口商贴纸25*15mm 2080pcs</t>
        </r>
      </text>
    </comment>
    <comment ref="AF79" authorId="0">
      <text>
        <r>
          <rPr>
            <b/>
            <sz val="14"/>
            <rFont val="宋体"/>
            <charset val="134"/>
          </rPr>
          <t>Administrator:</t>
        </r>
        <r>
          <rPr>
            <sz val="14"/>
            <rFont val="宋体"/>
            <charset val="134"/>
          </rPr>
          <t xml:space="preserve">
1200504 11/25 3211 pcs 华兴三楼B15</t>
        </r>
      </text>
    </comment>
    <comment ref="AH79" authorId="0">
      <text>
        <r>
          <rPr>
            <b/>
            <sz val="9"/>
            <rFont val="宋体"/>
            <charset val="134"/>
          </rPr>
          <t>Administrator:</t>
        </r>
        <r>
          <rPr>
            <sz val="9"/>
            <rFont val="宋体"/>
            <charset val="134"/>
          </rPr>
          <t xml:space="preserve">
10/24 多语警语折香贴纸285*31mm 3211pcs</t>
        </r>
      </text>
    </comment>
    <comment ref="AF80" authorId="0">
      <text>
        <r>
          <rPr>
            <b/>
            <sz val="14"/>
            <rFont val="宋体"/>
            <charset val="134"/>
          </rPr>
          <t>Administrator:</t>
        </r>
        <r>
          <rPr>
            <sz val="14"/>
            <rFont val="宋体"/>
            <charset val="134"/>
          </rPr>
          <t xml:space="preserve">
1200504 11/25 1440 pcs 华兴三楼B15</t>
        </r>
      </text>
    </comment>
    <comment ref="AH80" authorId="0">
      <text>
        <r>
          <rPr>
            <b/>
            <sz val="9"/>
            <rFont val="宋体"/>
            <charset val="134"/>
          </rPr>
          <t>Administrator:</t>
        </r>
        <r>
          <rPr>
            <sz val="9"/>
            <rFont val="宋体"/>
            <charset val="134"/>
          </rPr>
          <t xml:space="preserve">
10/24 多语警语折香贴纸285*31mm 1440pcs
</t>
        </r>
      </text>
    </comment>
    <comment ref="AF81" authorId="0">
      <text>
        <r>
          <rPr>
            <b/>
            <sz val="16"/>
            <rFont val="宋体"/>
            <charset val="134"/>
          </rPr>
          <t>Administrator:</t>
        </r>
        <r>
          <rPr>
            <sz val="16"/>
            <rFont val="宋体"/>
            <charset val="134"/>
          </rPr>
          <t xml:space="preserve">
1200435 11/18 504 pcs 华兴三楼A29</t>
        </r>
      </text>
    </comment>
    <comment ref="AH81" authorId="0">
      <text>
        <r>
          <rPr>
            <b/>
            <sz val="14"/>
            <rFont val="宋体"/>
            <charset val="134"/>
          </rPr>
          <t>Administrator:</t>
        </r>
        <r>
          <rPr>
            <sz val="14"/>
            <rFont val="宋体"/>
            <charset val="134"/>
          </rPr>
          <t xml:space="preserve">
10/30上 亚马逊外箱贴纸 42 pcs
11/6上 环保标贴纸 540 pcs
 WEEE带电池走货说明书欧洲EN 30L-B版 540 pcs
 11/13 WEEE带电池走货说明书欧洲EN 30L-B版 540 pcs
</t>
        </r>
      </text>
    </comment>
    <comment ref="AF82" authorId="0">
      <text>
        <r>
          <rPr>
            <b/>
            <sz val="16"/>
            <rFont val="宋体"/>
            <charset val="134"/>
          </rPr>
          <t>Administrator:</t>
        </r>
        <r>
          <rPr>
            <sz val="16"/>
            <rFont val="宋体"/>
            <charset val="134"/>
          </rPr>
          <t xml:space="preserve">
1200435 11/18 1056 pcs 华兴三楼B15</t>
        </r>
      </text>
    </comment>
    <comment ref="AH82" authorId="0">
      <text>
        <r>
          <rPr>
            <b/>
            <sz val="14"/>
            <rFont val="宋体"/>
            <charset val="134"/>
          </rPr>
          <t>Administrator:</t>
        </r>
        <r>
          <rPr>
            <sz val="14"/>
            <rFont val="宋体"/>
            <charset val="134"/>
          </rPr>
          <t xml:space="preserve">
10/30上 亚马逊外箱贴纸 42 pcs
11/6上 环保标贴纸 1056 pcs
 WEEE带电池走货说明书欧洲EN 30L-B版 1056 pcs
 11/13 WEEE带电池走货说明书欧洲EN 30L-B版 1056 pcs</t>
        </r>
      </text>
    </comment>
    <comment ref="AF83" authorId="0">
      <text>
        <r>
          <rPr>
            <b/>
            <sz val="16"/>
            <rFont val="宋体"/>
            <charset val="134"/>
          </rPr>
          <t>Administrator:</t>
        </r>
        <r>
          <rPr>
            <sz val="16"/>
            <rFont val="宋体"/>
            <charset val="134"/>
          </rPr>
          <t xml:space="preserve">
1200521 11/26 143 pcs 华兴三楼B13</t>
        </r>
      </text>
    </comment>
    <comment ref="AH83" authorId="0">
      <text>
        <r>
          <rPr>
            <b/>
            <sz val="14"/>
            <rFont val="宋体"/>
            <charset val="134"/>
          </rPr>
          <t>Administrator:</t>
        </r>
        <r>
          <rPr>
            <sz val="14"/>
            <rFont val="宋体"/>
            <charset val="134"/>
          </rPr>
          <t xml:space="preserve">
10/24 WEEE_带电池走货_说明书欧143pcs
11/4上 进口商贴纸 143 pcs</t>
        </r>
      </text>
    </comment>
    <comment ref="AF84" authorId="0">
      <text>
        <r>
          <rPr>
            <b/>
            <sz val="16"/>
            <rFont val="宋体"/>
            <charset val="134"/>
          </rPr>
          <t>Administrator:</t>
        </r>
        <r>
          <rPr>
            <sz val="16"/>
            <rFont val="宋体"/>
            <charset val="134"/>
          </rPr>
          <t xml:space="preserve">
1200521 11/26 240 pcs 华兴三楼B8</t>
        </r>
      </text>
    </comment>
    <comment ref="AH84" authorId="0">
      <text>
        <r>
          <rPr>
            <b/>
            <sz val="14"/>
            <rFont val="宋体"/>
            <charset val="134"/>
          </rPr>
          <t>Administrator:</t>
        </r>
        <r>
          <rPr>
            <sz val="14"/>
            <rFont val="宋体"/>
            <charset val="134"/>
          </rPr>
          <t xml:space="preserve">
10/24 WEEE_带电池走货_说明书欧240 pcs
11/4上 进口商贴纸 240 pcs</t>
        </r>
      </text>
    </comment>
    <comment ref="AF85" authorId="0">
      <text>
        <r>
          <rPr>
            <b/>
            <sz val="16"/>
            <rFont val="宋体"/>
            <charset val="134"/>
          </rPr>
          <t>Administrator:</t>
        </r>
        <r>
          <rPr>
            <sz val="16"/>
            <rFont val="宋体"/>
            <charset val="134"/>
          </rPr>
          <t xml:space="preserve">
1200517 11/26 4800 pcs 华兴三楼A26</t>
        </r>
      </text>
    </comment>
    <comment ref="AH85" authorId="0">
      <text>
        <r>
          <rPr>
            <b/>
            <sz val="14"/>
            <rFont val="宋体"/>
            <charset val="134"/>
          </rPr>
          <t>Administrator:</t>
        </r>
        <r>
          <rPr>
            <sz val="14"/>
            <rFont val="宋体"/>
            <charset val="134"/>
          </rPr>
          <t xml:space="preserve">
10/31上 WEEE说明书欧洲EN+30L-B版 4800 pcs
10/30上 多语警语折叠贴纸 4800 pcs
</t>
        </r>
      </text>
    </comment>
    <comment ref="AF86" authorId="0">
      <text>
        <r>
          <rPr>
            <b/>
            <sz val="14"/>
            <rFont val="宋体"/>
            <charset val="134"/>
          </rPr>
          <t>Administrator:</t>
        </r>
        <r>
          <rPr>
            <sz val="14"/>
            <rFont val="宋体"/>
            <charset val="134"/>
          </rPr>
          <t xml:space="preserve">
1200512 11/25 9000 pcs 因欠展示架送球回来东莞帮忙混装</t>
        </r>
      </text>
    </comment>
    <comment ref="AH86" authorId="0">
      <text>
        <r>
          <rPr>
            <b/>
            <sz val="14"/>
            <rFont val="宋体"/>
            <charset val="134"/>
          </rPr>
          <t>Administrator:</t>
        </r>
        <r>
          <rPr>
            <sz val="14"/>
            <rFont val="宋体"/>
            <charset val="134"/>
          </rPr>
          <t xml:space="preserve">
10/31上 WEEE说明书欧洲EN+30L-B版 9000 pcs
10/30上 多语警语折叠贴纸 9000 pcs
</t>
        </r>
      </text>
    </comment>
    <comment ref="AF87" authorId="0">
      <text>
        <r>
          <rPr>
            <b/>
            <sz val="14"/>
            <rFont val="宋体"/>
            <charset val="134"/>
          </rPr>
          <t>Administrator:</t>
        </r>
        <r>
          <rPr>
            <sz val="14"/>
            <rFont val="宋体"/>
            <charset val="134"/>
          </rPr>
          <t xml:space="preserve">
1200560 11/28 1209 pcs 华兴三楼B13</t>
        </r>
      </text>
    </comment>
    <comment ref="AH87" authorId="0">
      <text>
        <r>
          <rPr>
            <b/>
            <sz val="14"/>
            <rFont val="宋体"/>
            <charset val="134"/>
          </rPr>
          <t>Administrator:</t>
        </r>
        <r>
          <rPr>
            <sz val="14"/>
            <rFont val="宋体"/>
            <charset val="134"/>
          </rPr>
          <t xml:space="preserve">
11/13上 WEEE带电池走货说明书 1209 pcs
11/17上 进口商贴纸 1209 pcs</t>
        </r>
      </text>
    </comment>
    <comment ref="AF88" authorId="0">
      <text>
        <r>
          <rPr>
            <b/>
            <sz val="14"/>
            <rFont val="宋体"/>
            <charset val="134"/>
          </rPr>
          <t>Administrator:</t>
        </r>
        <r>
          <rPr>
            <sz val="14"/>
            <rFont val="宋体"/>
            <charset val="134"/>
          </rPr>
          <t xml:space="preserve">
1200558 11/27 1040 pcs  华兴三楼B8</t>
        </r>
      </text>
    </comment>
    <comment ref="AF89" authorId="0">
      <text>
        <r>
          <rPr>
            <b/>
            <sz val="14"/>
            <rFont val="宋体"/>
            <charset val="134"/>
          </rPr>
          <t>Administrator:</t>
        </r>
        <r>
          <rPr>
            <sz val="14"/>
            <rFont val="宋体"/>
            <charset val="134"/>
          </rPr>
          <t xml:space="preserve">
1200558 11/27 195 pcs 华兴三楼B13</t>
        </r>
      </text>
    </comment>
    <comment ref="AH89" authorId="0">
      <text>
        <r>
          <rPr>
            <b/>
            <sz val="14"/>
            <rFont val="宋体"/>
            <charset val="134"/>
          </rPr>
          <t>Administrator:</t>
        </r>
        <r>
          <rPr>
            <sz val="14"/>
            <rFont val="宋体"/>
            <charset val="134"/>
          </rPr>
          <t xml:space="preserve">
10/25 警告语贴纸42*29mm 780pcs
10/25 通用WEEE 带电池走货 说明 195pcs
10/25 语言/客人进口商地址贴纸195pcs
</t>
        </r>
      </text>
    </comment>
    <comment ref="AF90" authorId="0">
      <text>
        <r>
          <rPr>
            <b/>
            <sz val="14"/>
            <rFont val="宋体"/>
            <charset val="134"/>
          </rPr>
          <t>Administrator:</t>
        </r>
        <r>
          <rPr>
            <sz val="14"/>
            <rFont val="宋体"/>
            <charset val="134"/>
          </rPr>
          <t xml:space="preserve">
1200578 12/1 351 pcs 华兴三楼B14
1200590 12/2 26 pcs B14</t>
        </r>
      </text>
    </comment>
    <comment ref="AH90" authorId="0">
      <text>
        <r>
          <rPr>
            <b/>
            <sz val="14"/>
            <rFont val="宋体"/>
            <charset val="134"/>
          </rPr>
          <t>Administrator:</t>
        </r>
        <r>
          <rPr>
            <sz val="14"/>
            <rFont val="宋体"/>
            <charset val="134"/>
          </rPr>
          <t xml:space="preserve">
11/10上 纽扣电池警告语贴纸 754 pcs
11/14上 KM外箱贴纸 29 pcs
11/21上 白色防盗贴纸 377 pcs</t>
        </r>
      </text>
    </comment>
    <comment ref="AF91" authorId="0">
      <text>
        <r>
          <rPr>
            <b/>
            <sz val="14"/>
            <rFont val="宋体"/>
            <charset val="134"/>
          </rPr>
          <t>Administrator:</t>
        </r>
        <r>
          <rPr>
            <sz val="14"/>
            <rFont val="宋体"/>
            <charset val="134"/>
          </rPr>
          <t xml:space="preserve">
1200578 12/1 4277 pcs  华兴三楼B16
1200590 12/2 2808 pcs B16</t>
        </r>
      </text>
    </comment>
    <comment ref="AH91" authorId="0">
      <text>
        <r>
          <rPr>
            <b/>
            <sz val="14"/>
            <rFont val="宋体"/>
            <charset val="134"/>
          </rPr>
          <t>Administrator:</t>
        </r>
        <r>
          <rPr>
            <sz val="14"/>
            <rFont val="宋体"/>
            <charset val="134"/>
          </rPr>
          <t xml:space="preserve">
11/10上 纽扣电池警告语贴纸 14170 pcs
11/14上 KM外箱贴纸 545 pcs
11/21上 白色防盗贴纸 7085 pcs
</t>
        </r>
      </text>
    </comment>
    <comment ref="AF92" authorId="0">
      <text>
        <r>
          <rPr>
            <b/>
            <sz val="14"/>
            <rFont val="宋体"/>
            <charset val="134"/>
          </rPr>
          <t>Administrator:</t>
        </r>
        <r>
          <rPr>
            <sz val="14"/>
            <rFont val="宋体"/>
            <charset val="134"/>
          </rPr>
          <t xml:space="preserve">
4001150 12/3 960 pcs 华兴三楼B13</t>
        </r>
      </text>
    </comment>
    <comment ref="AH92" authorId="0">
      <text>
        <r>
          <rPr>
            <b/>
            <sz val="14"/>
            <rFont val="宋体"/>
            <charset val="134"/>
          </rPr>
          <t>Administrator:</t>
        </r>
        <r>
          <rPr>
            <sz val="14"/>
            <rFont val="宋体"/>
            <charset val="134"/>
          </rPr>
          <t xml:space="preserve">
11/21上 客供PFID贴纸 960 pcs</t>
        </r>
      </text>
    </comment>
    <comment ref="AF93" authorId="0">
      <text>
        <r>
          <rPr>
            <b/>
            <sz val="14"/>
            <rFont val="宋体"/>
            <charset val="134"/>
          </rPr>
          <t>Administrator:</t>
        </r>
        <r>
          <rPr>
            <sz val="14"/>
            <rFont val="宋体"/>
            <charset val="134"/>
          </rPr>
          <t xml:space="preserve">
4001150 12/3 960 pcs 华兴三楼B13
</t>
        </r>
      </text>
    </comment>
    <comment ref="AH93" authorId="0">
      <text>
        <r>
          <rPr>
            <b/>
            <sz val="14"/>
            <rFont val="宋体"/>
            <charset val="134"/>
          </rPr>
          <t>Administrator:</t>
        </r>
        <r>
          <rPr>
            <sz val="14"/>
            <rFont val="宋体"/>
            <charset val="134"/>
          </rPr>
          <t xml:space="preserve">
11/21上 客供PFID贴纸 960 pcs</t>
        </r>
      </text>
    </comment>
    <comment ref="AF94" authorId="0">
      <text>
        <r>
          <rPr>
            <b/>
            <sz val="14"/>
            <rFont val="宋体"/>
            <charset val="134"/>
          </rPr>
          <t>Administrator:</t>
        </r>
        <r>
          <rPr>
            <sz val="14"/>
            <rFont val="宋体"/>
            <charset val="134"/>
          </rPr>
          <t xml:space="preserve">
4001150 12/3 960 pcs 华兴三楼B13
</t>
        </r>
      </text>
    </comment>
    <comment ref="AH94" authorId="0">
      <text>
        <r>
          <rPr>
            <b/>
            <sz val="14"/>
            <rFont val="宋体"/>
            <charset val="134"/>
          </rPr>
          <t>Administrator:</t>
        </r>
        <r>
          <rPr>
            <sz val="14"/>
            <rFont val="宋体"/>
            <charset val="134"/>
          </rPr>
          <t xml:space="preserve">
11/21上 客供PFID贴纸 960 pcs</t>
        </r>
      </text>
    </comment>
    <comment ref="AF95" authorId="0">
      <text>
        <r>
          <rPr>
            <b/>
            <sz val="14"/>
            <rFont val="宋体"/>
            <charset val="134"/>
          </rPr>
          <t>Administrator:</t>
        </r>
        <r>
          <rPr>
            <sz val="14"/>
            <rFont val="宋体"/>
            <charset val="134"/>
          </rPr>
          <t xml:space="preserve">
4001150 12/3 944 pcs 华兴三楼B13
1200645 12/4 16 pcs A13</t>
        </r>
      </text>
    </comment>
    <comment ref="AH95" authorId="0">
      <text>
        <r>
          <rPr>
            <b/>
            <sz val="14"/>
            <rFont val="宋体"/>
            <charset val="134"/>
          </rPr>
          <t>Administrator:</t>
        </r>
        <r>
          <rPr>
            <sz val="14"/>
            <rFont val="宋体"/>
            <charset val="134"/>
          </rPr>
          <t xml:space="preserve">
11/21上 客供PFID贴纸 960 pcs</t>
        </r>
      </text>
    </comment>
    <comment ref="AF96" authorId="0">
      <text>
        <r>
          <rPr>
            <b/>
            <sz val="14"/>
            <rFont val="宋体"/>
            <charset val="134"/>
          </rPr>
          <t>Administrator:</t>
        </r>
        <r>
          <rPr>
            <sz val="14"/>
            <rFont val="宋体"/>
            <charset val="134"/>
          </rPr>
          <t xml:space="preserve">
4001150 12/3 944 pcs 华兴三楼B13
1200645 12/4 16 pcs A13</t>
        </r>
      </text>
    </comment>
    <comment ref="AH96" authorId="0">
      <text>
        <r>
          <rPr>
            <b/>
            <sz val="14"/>
            <rFont val="宋体"/>
            <charset val="134"/>
          </rPr>
          <t>Administrator:</t>
        </r>
        <r>
          <rPr>
            <sz val="14"/>
            <rFont val="宋体"/>
            <charset val="134"/>
          </rPr>
          <t xml:space="preserve">
11/21上 客供PFID贴纸 960 pcs</t>
        </r>
      </text>
    </comment>
    <comment ref="AF97" authorId="0">
      <text>
        <r>
          <rPr>
            <b/>
            <sz val="14"/>
            <rFont val="宋体"/>
            <charset val="134"/>
          </rPr>
          <t>Administrator:</t>
        </r>
        <r>
          <rPr>
            <sz val="14"/>
            <rFont val="宋体"/>
            <charset val="134"/>
          </rPr>
          <t xml:space="preserve">
1200612 12/2 520 pcs 华兴三楼B14</t>
        </r>
      </text>
    </comment>
    <comment ref="AH97" authorId="0">
      <text>
        <r>
          <rPr>
            <b/>
            <sz val="14"/>
            <rFont val="宋体"/>
            <charset val="134"/>
          </rPr>
          <t>Administrator:</t>
        </r>
        <r>
          <rPr>
            <sz val="14"/>
            <rFont val="宋体"/>
            <charset val="134"/>
          </rPr>
          <t xml:space="preserve">
11/18上 进口商贴纸 520 pcs
 空白贴纸 520 pcs</t>
        </r>
      </text>
    </comment>
    <comment ref="AF98" authorId="0">
      <text>
        <r>
          <rPr>
            <b/>
            <sz val="14"/>
            <rFont val="宋体"/>
            <charset val="134"/>
          </rPr>
          <t>Administrator:</t>
        </r>
        <r>
          <rPr>
            <sz val="14"/>
            <rFont val="宋体"/>
            <charset val="134"/>
          </rPr>
          <t xml:space="preserve">
1200599 12/3 816 pcs 华兴三楼B14</t>
        </r>
      </text>
    </comment>
    <comment ref="AH98" authorId="0">
      <text>
        <r>
          <rPr>
            <b/>
            <sz val="14"/>
            <rFont val="宋体"/>
            <charset val="134"/>
          </rPr>
          <t>Administrator:</t>
        </r>
        <r>
          <rPr>
            <sz val="14"/>
            <rFont val="宋体"/>
            <charset val="134"/>
          </rPr>
          <t xml:space="preserve">
11/11上 亚马逊外箱贴纸 68 pcs
11/13上 环保标贴纸 816 pcs
WEEE带电池走货说明书欧洲EN 30L-B版 816 pcs</t>
        </r>
      </text>
    </comment>
    <comment ref="AF99" authorId="0">
      <text>
        <r>
          <rPr>
            <b/>
            <sz val="14"/>
            <rFont val="宋体"/>
            <charset val="134"/>
          </rPr>
          <t>Administrator:</t>
        </r>
        <r>
          <rPr>
            <sz val="14"/>
            <rFont val="宋体"/>
            <charset val="134"/>
          </rPr>
          <t xml:space="preserve">
1200599 12/3 312 pcs 华兴三楼B14</t>
        </r>
      </text>
    </comment>
    <comment ref="AH99" authorId="0">
      <text>
        <r>
          <rPr>
            <b/>
            <sz val="14"/>
            <rFont val="宋体"/>
            <charset val="134"/>
          </rPr>
          <t>Administrator:</t>
        </r>
        <r>
          <rPr>
            <sz val="14"/>
            <rFont val="宋体"/>
            <charset val="134"/>
          </rPr>
          <t xml:space="preserve">
11/4上 WEEE带电池走货欧洲通用说明书 312 pcs
  法国回收IOGO贴纸 312 pcs</t>
        </r>
      </text>
    </comment>
    <comment ref="AF100" authorId="0">
      <text>
        <r>
          <rPr>
            <b/>
            <sz val="14"/>
            <rFont val="宋体"/>
            <charset val="134"/>
          </rPr>
          <t>Administrator:</t>
        </r>
        <r>
          <rPr>
            <sz val="14"/>
            <rFont val="宋体"/>
            <charset val="134"/>
          </rPr>
          <t xml:space="preserve">
4001152 12/3 5616 pcs 华兴三楼B17</t>
        </r>
      </text>
    </comment>
    <comment ref="AH100" authorId="0">
      <text>
        <r>
          <rPr>
            <b/>
            <sz val="14"/>
            <rFont val="宋体"/>
            <charset val="134"/>
          </rPr>
          <t>Administrator:</t>
        </r>
        <r>
          <rPr>
            <sz val="14"/>
            <rFont val="宋体"/>
            <charset val="134"/>
          </rPr>
          <t xml:space="preserve">
11/10上 PDQ数量贴纸 1404 pcs
  客户EAN条码贴纸 5616 pcs
11/14上 客户EAN条码贴纸 5616 pcs</t>
        </r>
      </text>
    </comment>
    <comment ref="AF101" authorId="0">
      <text>
        <r>
          <rPr>
            <b/>
            <sz val="14"/>
            <rFont val="宋体"/>
            <charset val="134"/>
          </rPr>
          <t>Administrator:</t>
        </r>
        <r>
          <rPr>
            <sz val="14"/>
            <rFont val="宋体"/>
            <charset val="134"/>
          </rPr>
          <t xml:space="preserve">
4001152 12/3 400 pcs 华兴三楼B14</t>
        </r>
      </text>
    </comment>
    <comment ref="AH101" authorId="0">
      <text>
        <r>
          <rPr>
            <b/>
            <sz val="16"/>
            <rFont val="宋体"/>
            <charset val="134"/>
          </rPr>
          <t>Administrator:</t>
        </r>
        <r>
          <rPr>
            <sz val="16"/>
            <rFont val="宋体"/>
            <charset val="134"/>
          </rPr>
          <t xml:space="preserve">
11/17上 进口商贴纸 400 pcs
  UPC贴纸 400 pcs</t>
        </r>
      </text>
    </comment>
    <comment ref="AF102" authorId="0">
      <text>
        <r>
          <rPr>
            <b/>
            <sz val="14"/>
            <rFont val="宋体"/>
            <charset val="134"/>
          </rPr>
          <t>Administrator:</t>
        </r>
        <r>
          <rPr>
            <sz val="14"/>
            <rFont val="宋体"/>
            <charset val="134"/>
          </rPr>
          <t xml:space="preserve">
4001155 12/4 9175 pcs 华兴三楼B16
1200191 12/6 25 pcs B16</t>
        </r>
      </text>
    </comment>
    <comment ref="AH102" authorId="0">
      <text>
        <r>
          <rPr>
            <b/>
            <sz val="14"/>
            <rFont val="宋体"/>
            <charset val="134"/>
          </rPr>
          <t>Administrator:</t>
        </r>
        <r>
          <rPr>
            <sz val="14"/>
            <rFont val="宋体"/>
            <charset val="134"/>
          </rPr>
          <t xml:space="preserve">
11/6上 客供外箱条码贴纸 372 pcs</t>
        </r>
      </text>
    </comment>
    <comment ref="AF103" authorId="0">
      <text>
        <r>
          <rPr>
            <b/>
            <sz val="14"/>
            <rFont val="宋体"/>
            <charset val="134"/>
          </rPr>
          <t>Administrator:</t>
        </r>
        <r>
          <rPr>
            <sz val="14"/>
            <rFont val="宋体"/>
            <charset val="134"/>
          </rPr>
          <t xml:space="preserve">
1200000 12/2 960 pcs 华兴三楼B1</t>
        </r>
      </text>
    </comment>
    <comment ref="AH103" authorId="0">
      <text>
        <r>
          <rPr>
            <b/>
            <sz val="14"/>
            <rFont val="宋体"/>
            <charset val="134"/>
          </rPr>
          <t>Administrator:</t>
        </r>
        <r>
          <rPr>
            <sz val="14"/>
            <rFont val="宋体"/>
            <charset val="134"/>
          </rPr>
          <t xml:space="preserve">
11/21上 客供PFID贴纸 960 pcs</t>
        </r>
      </text>
    </comment>
    <comment ref="AF104" authorId="0">
      <text>
        <r>
          <rPr>
            <b/>
            <sz val="14"/>
            <rFont val="宋体"/>
            <charset val="134"/>
          </rPr>
          <t>Administrator:</t>
        </r>
        <r>
          <rPr>
            <sz val="14"/>
            <rFont val="宋体"/>
            <charset val="134"/>
          </rPr>
          <t xml:space="preserve">
1200645 12/4 260 pcs  华兴三楼B15
</t>
        </r>
      </text>
    </comment>
    <comment ref="AF105" authorId="0">
      <text>
        <r>
          <rPr>
            <b/>
            <sz val="14"/>
            <rFont val="宋体"/>
            <charset val="134"/>
          </rPr>
          <t>Administrator:</t>
        </r>
        <r>
          <rPr>
            <sz val="14"/>
            <rFont val="宋体"/>
            <charset val="134"/>
          </rPr>
          <t xml:space="preserve">
1200645 12/4 247 pcs华兴三楼B15</t>
        </r>
      </text>
    </comment>
    <comment ref="AH105" authorId="0">
      <text>
        <r>
          <rPr>
            <b/>
            <sz val="14"/>
            <rFont val="宋体"/>
            <charset val="134"/>
          </rPr>
          <t>Administrator:</t>
        </r>
        <r>
          <rPr>
            <sz val="14"/>
            <rFont val="宋体"/>
            <charset val="134"/>
          </rPr>
          <t xml:space="preserve">
11/21上 客供UCC贴纸 19 pcs</t>
        </r>
      </text>
    </comment>
    <comment ref="AF106" authorId="0">
      <text>
        <r>
          <rPr>
            <b/>
            <sz val="14"/>
            <rFont val="宋体"/>
            <charset val="134"/>
          </rPr>
          <t>Administrator:</t>
        </r>
        <r>
          <rPr>
            <sz val="14"/>
            <rFont val="宋体"/>
            <charset val="134"/>
          </rPr>
          <t xml:space="preserve">
1200645 12/4 247 pcs 华兴三楼B15</t>
        </r>
      </text>
    </comment>
    <comment ref="AH106" authorId="0">
      <text>
        <r>
          <rPr>
            <b/>
            <sz val="14"/>
            <rFont val="宋体"/>
            <charset val="134"/>
          </rPr>
          <t>Administrator:</t>
        </r>
        <r>
          <rPr>
            <sz val="14"/>
            <rFont val="宋体"/>
            <charset val="134"/>
          </rPr>
          <t xml:space="preserve">
11/21上 客供UCC贴纸 19 pcs</t>
        </r>
      </text>
    </comment>
    <comment ref="AF107" authorId="0">
      <text>
        <r>
          <rPr>
            <b/>
            <sz val="14"/>
            <rFont val="宋体"/>
            <charset val="134"/>
          </rPr>
          <t>Administrator:</t>
        </r>
        <r>
          <rPr>
            <sz val="14"/>
            <rFont val="宋体"/>
            <charset val="134"/>
          </rPr>
          <t xml:space="preserve">
1200645 12/4 247 pcs 华兴三楼B15</t>
        </r>
      </text>
    </comment>
    <comment ref="AH107" authorId="0">
      <text>
        <r>
          <rPr>
            <b/>
            <sz val="14"/>
            <rFont val="宋体"/>
            <charset val="134"/>
          </rPr>
          <t>Administrator:</t>
        </r>
        <r>
          <rPr>
            <sz val="14"/>
            <rFont val="宋体"/>
            <charset val="134"/>
          </rPr>
          <t xml:space="preserve">
11/21上 客供UCC贴纸 19 pcs</t>
        </r>
      </text>
    </comment>
    <comment ref="AF108" authorId="0">
      <text>
        <r>
          <rPr>
            <b/>
            <sz val="14"/>
            <rFont val="宋体"/>
            <charset val="134"/>
          </rPr>
          <t>Administrator:</t>
        </r>
        <r>
          <rPr>
            <sz val="14"/>
            <rFont val="宋体"/>
            <charset val="134"/>
          </rPr>
          <t xml:space="preserve">
1200645 12/4 208 pcs 华兴三楼B15</t>
        </r>
      </text>
    </comment>
    <comment ref="AF109" authorId="0">
      <text>
        <r>
          <rPr>
            <b/>
            <sz val="14"/>
            <rFont val="宋体"/>
            <charset val="134"/>
          </rPr>
          <t>Administrator:</t>
        </r>
        <r>
          <rPr>
            <sz val="14"/>
            <rFont val="宋体"/>
            <charset val="134"/>
          </rPr>
          <t xml:space="preserve">
1200191 12/6 4560 pcs 华兴三楼B9</t>
        </r>
      </text>
    </comment>
    <comment ref="AH109" authorId="0">
      <text>
        <r>
          <rPr>
            <b/>
            <sz val="14"/>
            <rFont val="宋体"/>
            <charset val="134"/>
          </rPr>
          <t>Administrator:</t>
        </r>
        <r>
          <rPr>
            <sz val="14"/>
            <rFont val="宋体"/>
            <charset val="134"/>
          </rPr>
          <t xml:space="preserve">
10/31上 WEEE说明书欧洲EN+30L-B版 4560 pcs
11/18上 德语警语贴纸 4560 pcs
11/24上 客供价格贴纸 4560 pcs
11/26上 地址贴纸 4560 pcs
   多上5000pcs</t>
        </r>
      </text>
    </comment>
    <comment ref="AF110" authorId="0">
      <text>
        <r>
          <rPr>
            <b/>
            <sz val="14"/>
            <rFont val="宋体"/>
            <charset val="134"/>
          </rPr>
          <t>Administrator:</t>
        </r>
        <r>
          <rPr>
            <sz val="14"/>
            <rFont val="宋体"/>
            <charset val="134"/>
          </rPr>
          <t xml:space="preserve">
1200214 12/8 1157 pcs 华兴三楼A27
1200218 12/9 13 pcs</t>
        </r>
      </text>
    </comment>
    <comment ref="AH110" authorId="0">
      <text>
        <r>
          <rPr>
            <b/>
            <sz val="14"/>
            <rFont val="宋体"/>
            <charset val="134"/>
          </rPr>
          <t>Administrator:</t>
        </r>
        <r>
          <rPr>
            <sz val="14"/>
            <rFont val="宋体"/>
            <charset val="134"/>
          </rPr>
          <t xml:space="preserve">
11/24上 德意警告语贴纸 1170 pcs
11/26上 地址贴纸 1170 pcs</t>
        </r>
      </text>
    </comment>
    <comment ref="AF111" authorId="0">
      <text>
        <r>
          <rPr>
            <b/>
            <sz val="14"/>
            <rFont val="宋体"/>
            <charset val="134"/>
          </rPr>
          <t>Administrator:</t>
        </r>
        <r>
          <rPr>
            <sz val="14"/>
            <rFont val="宋体"/>
            <charset val="134"/>
          </rPr>
          <t xml:space="preserve">
12000231 12/10 507 pcs 华兴三楼B13</t>
        </r>
      </text>
    </comment>
    <comment ref="AH111" authorId="0">
      <text>
        <r>
          <rPr>
            <b/>
            <sz val="12"/>
            <rFont val="宋体"/>
            <charset val="134"/>
          </rPr>
          <t>Administrator:</t>
        </r>
        <r>
          <rPr>
            <sz val="12"/>
            <rFont val="宋体"/>
            <charset val="134"/>
          </rPr>
          <t xml:space="preserve">
11/21上 警告语贴纸 507 pcs
11/24上 可折叠贴纸 507 pcs</t>
        </r>
      </text>
    </comment>
    <comment ref="AF112" authorId="0">
      <text>
        <r>
          <rPr>
            <b/>
            <sz val="14"/>
            <rFont val="宋体"/>
            <charset val="134"/>
          </rPr>
          <t>Administrator:</t>
        </r>
        <r>
          <rPr>
            <sz val="14"/>
            <rFont val="宋体"/>
            <charset val="134"/>
          </rPr>
          <t xml:space="preserve">
1200235 12/10 3300 pcs 王四楼B4</t>
        </r>
      </text>
    </comment>
    <comment ref="AH112" authorId="0">
      <text>
        <r>
          <rPr>
            <b/>
            <sz val="12"/>
            <rFont val="宋体"/>
            <charset val="134"/>
          </rPr>
          <t>Administrator:</t>
        </r>
        <r>
          <rPr>
            <sz val="12"/>
            <rFont val="宋体"/>
            <charset val="134"/>
          </rPr>
          <t xml:space="preserve">
11/21上 警告语贴纸 3300 pcs
11/24上 可折叠贴纸 3300 pcs
11/28上 警告语贴纸 11421 pcs
因贴纸贴在纸袋上，贴纸需要*4 ，有ABCD四包</t>
        </r>
      </text>
    </comment>
    <comment ref="AF113" authorId="0">
      <text>
        <r>
          <rPr>
            <b/>
            <sz val="14"/>
            <rFont val="宋体"/>
            <charset val="134"/>
          </rPr>
          <t>Administrator:</t>
        </r>
        <r>
          <rPr>
            <sz val="14"/>
            <rFont val="宋体"/>
            <charset val="134"/>
          </rPr>
          <t xml:space="preserve">
1200764 12/12 156 pcs 王四楼A8</t>
        </r>
      </text>
    </comment>
    <comment ref="AH113" authorId="0">
      <text>
        <r>
          <rPr>
            <b/>
            <sz val="14"/>
            <rFont val="宋体"/>
            <charset val="134"/>
          </rPr>
          <t>Administrator:</t>
        </r>
        <r>
          <rPr>
            <sz val="14"/>
            <rFont val="宋体"/>
            <charset val="134"/>
          </rPr>
          <t xml:space="preserve">
11/21上 白色防盗贴纸 156 pcs
11/26上 KM外箱贴纸 12 pcs
11/27上  纽扣电池警告语贴纸 312</t>
        </r>
      </text>
    </comment>
    <comment ref="AF114" authorId="0">
      <text>
        <r>
          <rPr>
            <b/>
            <sz val="14"/>
            <rFont val="宋体"/>
            <charset val="134"/>
          </rPr>
          <t>Administrator:</t>
        </r>
        <r>
          <rPr>
            <sz val="14"/>
            <rFont val="宋体"/>
            <charset val="134"/>
          </rPr>
          <t xml:space="preserve">
1200764 12/12 1430 pcs 王四楼B1
</t>
        </r>
      </text>
    </comment>
    <comment ref="AH114" authorId="0">
      <text>
        <r>
          <rPr>
            <b/>
            <sz val="14"/>
            <rFont val="宋体"/>
            <charset val="134"/>
          </rPr>
          <t>Administrator:</t>
        </r>
        <r>
          <rPr>
            <sz val="14"/>
            <rFont val="宋体"/>
            <charset val="134"/>
          </rPr>
          <t xml:space="preserve">
11/21上 白色防盗贴纸 1430 pcs
11/26上 KM外箱贴纸 110 pcs
11/27上 纽扣电池警告语贴纸 2860 pcs
</t>
        </r>
      </text>
    </comment>
    <comment ref="AF115" authorId="0">
      <text>
        <r>
          <rPr>
            <b/>
            <sz val="14"/>
            <rFont val="宋体"/>
            <charset val="134"/>
          </rPr>
          <t>Administrator:</t>
        </r>
        <r>
          <rPr>
            <sz val="14"/>
            <rFont val="宋体"/>
            <charset val="134"/>
          </rPr>
          <t xml:space="preserve">
1200764 12/12 1300 pcs 王四楼C9
</t>
        </r>
      </text>
    </comment>
    <comment ref="AH115" authorId="0">
      <text>
        <r>
          <rPr>
            <b/>
            <sz val="14"/>
            <rFont val="宋体"/>
            <charset val="134"/>
          </rPr>
          <t>Administrator:</t>
        </r>
        <r>
          <rPr>
            <sz val="14"/>
            <rFont val="宋体"/>
            <charset val="134"/>
          </rPr>
          <t xml:space="preserve">
11/21上 白色防盗贴纸 1300 pcs
11/26上 KM外箱贴纸 100 pcs
11/27上 纽扣电池警告语贴纸 2600</t>
        </r>
      </text>
    </comment>
    <comment ref="AF116" authorId="0">
      <text>
        <r>
          <rPr>
            <b/>
            <sz val="14"/>
            <rFont val="宋体"/>
            <charset val="134"/>
          </rPr>
          <t>Administrator:</t>
        </r>
        <r>
          <rPr>
            <sz val="14"/>
            <rFont val="宋体"/>
            <charset val="134"/>
          </rPr>
          <t xml:space="preserve">
1200764 12/12 208 pcs 王四楼B1
</t>
        </r>
      </text>
    </comment>
    <comment ref="AH116" authorId="0">
      <text>
        <r>
          <rPr>
            <b/>
            <sz val="14"/>
            <rFont val="宋体"/>
            <charset val="134"/>
          </rPr>
          <t>Administrator:</t>
        </r>
        <r>
          <rPr>
            <sz val="14"/>
            <rFont val="宋体"/>
            <charset val="134"/>
          </rPr>
          <t xml:space="preserve">
11/21上 白色防盗贴纸 208 pcs
11/26上 KM外箱贴纸 16 pcs
11/27上 纽扣电池警告语贴纸 416 pcs
</t>
        </r>
      </text>
    </comment>
    <comment ref="AF117" authorId="0">
      <text>
        <r>
          <rPr>
            <b/>
            <sz val="14"/>
            <rFont val="宋体"/>
            <charset val="134"/>
          </rPr>
          <t>Administrator:</t>
        </r>
        <r>
          <rPr>
            <sz val="14"/>
            <rFont val="宋体"/>
            <charset val="134"/>
          </rPr>
          <t xml:space="preserve">
1200764 12/12 960 pcs 王四楼B1</t>
        </r>
      </text>
    </comment>
    <comment ref="AH117" authorId="0">
      <text>
        <r>
          <rPr>
            <b/>
            <sz val="14"/>
            <rFont val="宋体"/>
            <charset val="134"/>
          </rPr>
          <t>Administrator:</t>
        </r>
        <r>
          <rPr>
            <sz val="14"/>
            <rFont val="宋体"/>
            <charset val="134"/>
          </rPr>
          <t xml:space="preserve">
11/27上 客供PFID贴纸 960 pcs</t>
        </r>
      </text>
    </comment>
    <comment ref="AF118" authorId="0">
      <text>
        <r>
          <rPr>
            <b/>
            <sz val="14"/>
            <rFont val="宋体"/>
            <charset val="134"/>
          </rPr>
          <t>Administrator:</t>
        </r>
        <r>
          <rPr>
            <sz val="14"/>
            <rFont val="宋体"/>
            <charset val="134"/>
          </rPr>
          <t xml:space="preserve">
1200764 12/12 960 pcs 王四楼B1</t>
        </r>
      </text>
    </comment>
    <comment ref="AH118" authorId="0">
      <text>
        <r>
          <rPr>
            <b/>
            <sz val="14"/>
            <rFont val="宋体"/>
            <charset val="134"/>
          </rPr>
          <t>Administrator:</t>
        </r>
        <r>
          <rPr>
            <sz val="14"/>
            <rFont val="宋体"/>
            <charset val="134"/>
          </rPr>
          <t xml:space="preserve">
11/21上 客供PFID贴纸 960 pcs</t>
        </r>
      </text>
    </comment>
    <comment ref="AF119" authorId="0">
      <text>
        <r>
          <rPr>
            <b/>
            <sz val="14"/>
            <rFont val="宋体"/>
            <charset val="134"/>
          </rPr>
          <t>Administrator:</t>
        </r>
        <r>
          <rPr>
            <sz val="14"/>
            <rFont val="宋体"/>
            <charset val="134"/>
          </rPr>
          <t xml:space="preserve">
1200764 12/12 960 pcs 王四楼B1</t>
        </r>
      </text>
    </comment>
    <comment ref="AH119" authorId="0">
      <text>
        <r>
          <rPr>
            <b/>
            <sz val="14"/>
            <rFont val="宋体"/>
            <charset val="134"/>
          </rPr>
          <t>Administrator:</t>
        </r>
        <r>
          <rPr>
            <sz val="14"/>
            <rFont val="宋体"/>
            <charset val="134"/>
          </rPr>
          <t xml:space="preserve">
11/21上 客供PFID贴纸 960 pcs</t>
        </r>
      </text>
    </comment>
    <comment ref="AF120" authorId="0">
      <text>
        <r>
          <rPr>
            <b/>
            <sz val="14"/>
            <rFont val="宋体"/>
            <charset val="134"/>
          </rPr>
          <t>Administrator:</t>
        </r>
        <r>
          <rPr>
            <sz val="14"/>
            <rFont val="宋体"/>
            <charset val="134"/>
          </rPr>
          <t xml:space="preserve">
1200786 12/13 1000 pcs 华兴三楼A27</t>
        </r>
      </text>
    </comment>
    <comment ref="AH120" authorId="0">
      <text>
        <r>
          <rPr>
            <b/>
            <sz val="14"/>
            <rFont val="宋体"/>
            <charset val="134"/>
          </rPr>
          <t>Administrator:</t>
        </r>
        <r>
          <rPr>
            <sz val="14"/>
            <rFont val="宋体"/>
            <charset val="134"/>
          </rPr>
          <t xml:space="preserve">
11/18上 警告语贴纸 1000 pcs</t>
        </r>
      </text>
    </comment>
    <comment ref="AF121" authorId="0">
      <text>
        <r>
          <rPr>
            <b/>
            <sz val="14"/>
            <rFont val="宋体"/>
            <charset val="134"/>
          </rPr>
          <t>Administrator:</t>
        </r>
        <r>
          <rPr>
            <sz val="14"/>
            <rFont val="宋体"/>
            <charset val="134"/>
          </rPr>
          <t xml:space="preserve">
1200941 12/16 195 pcs 华兴三楼B13</t>
        </r>
      </text>
    </comment>
    <comment ref="AH121" authorId="0">
      <text>
        <r>
          <rPr>
            <b/>
            <sz val="14"/>
            <rFont val="宋体"/>
            <charset val="134"/>
          </rPr>
          <t>Administrator:</t>
        </r>
        <r>
          <rPr>
            <sz val="14"/>
            <rFont val="宋体"/>
            <charset val="134"/>
          </rPr>
          <t xml:space="preserve">
12/28上 客供外箱贴纸 15 pcs</t>
        </r>
      </text>
    </comment>
    <comment ref="AF122" authorId="0">
      <text>
        <r>
          <rPr>
            <b/>
            <sz val="14"/>
            <rFont val="宋体"/>
            <charset val="134"/>
          </rPr>
          <t>Administrator:</t>
        </r>
        <r>
          <rPr>
            <sz val="14"/>
            <rFont val="宋体"/>
            <charset val="134"/>
          </rPr>
          <t xml:space="preserve">
1200947 12/16 50套散件</t>
        </r>
      </text>
    </comment>
    <comment ref="AF123" authorId="0">
      <text>
        <r>
          <rPr>
            <b/>
            <sz val="14"/>
            <rFont val="宋体"/>
            <charset val="134"/>
          </rPr>
          <t>Administrator:</t>
        </r>
        <r>
          <rPr>
            <sz val="14"/>
            <rFont val="宋体"/>
            <charset val="134"/>
          </rPr>
          <t xml:space="preserve">
1200947 12/16 20 套散件</t>
        </r>
      </text>
    </comment>
    <comment ref="AF124" authorId="0">
      <text>
        <r>
          <rPr>
            <b/>
            <sz val="14"/>
            <rFont val="宋体"/>
            <charset val="134"/>
          </rPr>
          <t>Administrator:</t>
        </r>
        <r>
          <rPr>
            <sz val="14"/>
            <rFont val="宋体"/>
            <charset val="134"/>
          </rPr>
          <t xml:space="preserve">
1200941 12/16 12 pcs 华兴三楼B13
</t>
        </r>
      </text>
    </comment>
    <comment ref="AH124" authorId="0">
      <text>
        <r>
          <rPr>
            <b/>
            <sz val="14"/>
            <rFont val="宋体"/>
            <charset val="134"/>
          </rPr>
          <t>Administrator:</t>
        </r>
        <r>
          <rPr>
            <sz val="14"/>
            <rFont val="宋体"/>
            <charset val="134"/>
          </rPr>
          <t xml:space="preserve">
11/27上 客供亚马逊外箱贴纸 1 pcs</t>
        </r>
      </text>
    </comment>
    <comment ref="AF125" authorId="0">
      <text>
        <r>
          <rPr>
            <b/>
            <sz val="14"/>
            <rFont val="宋体"/>
            <charset val="134"/>
          </rPr>
          <t>Administrator:</t>
        </r>
        <r>
          <rPr>
            <sz val="14"/>
            <rFont val="宋体"/>
            <charset val="134"/>
          </rPr>
          <t xml:space="preserve">
1200941 12/16 12 pcs 华兴三楼B13
</t>
        </r>
      </text>
    </comment>
    <comment ref="AH125" authorId="0">
      <text>
        <r>
          <rPr>
            <b/>
            <sz val="14"/>
            <rFont val="宋体"/>
            <charset val="134"/>
          </rPr>
          <t>Administrator:</t>
        </r>
        <r>
          <rPr>
            <sz val="14"/>
            <rFont val="宋体"/>
            <charset val="134"/>
          </rPr>
          <t xml:space="preserve">
11/27上 客供亚马逊外箱贴纸 1 pcs</t>
        </r>
      </text>
    </comment>
    <comment ref="AF126" authorId="0">
      <text>
        <r>
          <rPr>
            <b/>
            <sz val="14"/>
            <rFont val="宋体"/>
            <charset val="134"/>
          </rPr>
          <t>Administrator:</t>
        </r>
        <r>
          <rPr>
            <sz val="14"/>
            <rFont val="宋体"/>
            <charset val="134"/>
          </rPr>
          <t xml:space="preserve">
1200941 12/16 12 pcs 华兴三楼B13
</t>
        </r>
      </text>
    </comment>
    <comment ref="AH126" authorId="0">
      <text>
        <r>
          <rPr>
            <b/>
            <sz val="14"/>
            <rFont val="宋体"/>
            <charset val="134"/>
          </rPr>
          <t>Administrator:</t>
        </r>
        <r>
          <rPr>
            <sz val="14"/>
            <rFont val="宋体"/>
            <charset val="134"/>
          </rPr>
          <t xml:space="preserve">
11/27上 客供亚马逊外箱贴纸 1 pcs</t>
        </r>
      </text>
    </comment>
    <comment ref="AF127" authorId="0">
      <text>
        <r>
          <rPr>
            <b/>
            <sz val="14"/>
            <rFont val="宋体"/>
            <charset val="134"/>
          </rPr>
          <t>Administrator:</t>
        </r>
        <r>
          <rPr>
            <sz val="14"/>
            <rFont val="宋体"/>
            <charset val="134"/>
          </rPr>
          <t xml:space="preserve">
1200941 12/16 12 pcs 华兴三楼B13
</t>
        </r>
      </text>
    </comment>
    <comment ref="AH127" authorId="0">
      <text>
        <r>
          <rPr>
            <b/>
            <sz val="14"/>
            <rFont val="宋体"/>
            <charset val="134"/>
          </rPr>
          <t>Administrator:</t>
        </r>
        <r>
          <rPr>
            <sz val="14"/>
            <rFont val="宋体"/>
            <charset val="134"/>
          </rPr>
          <t xml:space="preserve">
11/27上 客供亚马逊外箱贴纸 1 pcs</t>
        </r>
      </text>
    </comment>
    <comment ref="AF128" authorId="0">
      <text>
        <r>
          <rPr>
            <b/>
            <sz val="14"/>
            <rFont val="宋体"/>
            <charset val="134"/>
          </rPr>
          <t>Administrator:</t>
        </r>
        <r>
          <rPr>
            <sz val="14"/>
            <rFont val="宋体"/>
            <charset val="134"/>
          </rPr>
          <t xml:space="preserve">
1200941 12/16 12 pcs 华兴三楼B13
</t>
        </r>
      </text>
    </comment>
    <comment ref="AH128" authorId="0">
      <text>
        <r>
          <rPr>
            <b/>
            <sz val="14"/>
            <rFont val="宋体"/>
            <charset val="134"/>
          </rPr>
          <t>Administrator:</t>
        </r>
        <r>
          <rPr>
            <sz val="14"/>
            <rFont val="宋体"/>
            <charset val="134"/>
          </rPr>
          <t xml:space="preserve">
11/27上 客供亚马逊外箱贴纸 1 pcs</t>
        </r>
      </text>
    </comment>
    <comment ref="AF129" authorId="0">
      <text>
        <r>
          <rPr>
            <b/>
            <sz val="14"/>
            <rFont val="宋体"/>
            <charset val="134"/>
          </rPr>
          <t>Administrator:</t>
        </r>
        <r>
          <rPr>
            <sz val="14"/>
            <rFont val="宋体"/>
            <charset val="134"/>
          </rPr>
          <t xml:space="preserve">
1200941 12/16 1080 pcs 华兴三楼B14
</t>
        </r>
      </text>
    </comment>
    <comment ref="AH129" authorId="0">
      <text>
        <r>
          <rPr>
            <b/>
            <sz val="14"/>
            <rFont val="宋体"/>
            <charset val="134"/>
          </rPr>
          <t>Administrator:</t>
        </r>
        <r>
          <rPr>
            <sz val="14"/>
            <rFont val="宋体"/>
            <charset val="134"/>
          </rPr>
          <t xml:space="preserve">
11/26上 亚马逊外箱贴纸 90 pcs
12/3上 环保标贴纸 1080 pcs
贴纸少数
12/15补上 环保标贴纸 100 pcs</t>
        </r>
      </text>
    </comment>
    <comment ref="AF130" authorId="0">
      <text>
        <r>
          <rPr>
            <b/>
            <sz val="14"/>
            <rFont val="宋体"/>
            <charset val="134"/>
          </rPr>
          <t>Administrator:</t>
        </r>
        <r>
          <rPr>
            <sz val="14"/>
            <rFont val="宋体"/>
            <charset val="134"/>
          </rPr>
          <t xml:space="preserve">
1200999 12/18 1050 pcs 华兴三楼B5</t>
        </r>
      </text>
    </comment>
    <comment ref="AH130" authorId="0">
      <text>
        <r>
          <rPr>
            <b/>
            <sz val="14"/>
            <rFont val="宋体"/>
            <charset val="134"/>
          </rPr>
          <t>Administrator:</t>
        </r>
        <r>
          <rPr>
            <sz val="14"/>
            <rFont val="宋体"/>
            <charset val="134"/>
          </rPr>
          <t xml:space="preserve">
11/28上 UPC贴纸 1050 pcs
 进口商贴纸 1050 pcs</t>
        </r>
      </text>
    </comment>
    <comment ref="AF131" authorId="0">
      <text>
        <r>
          <rPr>
            <b/>
            <sz val="14"/>
            <rFont val="宋体"/>
            <charset val="134"/>
          </rPr>
          <t>Administrator:</t>
        </r>
        <r>
          <rPr>
            <sz val="14"/>
            <rFont val="宋体"/>
            <charset val="134"/>
          </rPr>
          <t xml:space="preserve">
1200999 12/18 1500 pcs 华兴三楼B5</t>
        </r>
      </text>
    </comment>
    <comment ref="AH131" authorId="0">
      <text>
        <r>
          <rPr>
            <b/>
            <sz val="14"/>
            <rFont val="宋体"/>
            <charset val="134"/>
          </rPr>
          <t>Administrator:</t>
        </r>
        <r>
          <rPr>
            <sz val="14"/>
            <rFont val="宋体"/>
            <charset val="134"/>
          </rPr>
          <t xml:space="preserve">
11/28上 UPC贴纸 1500 pcs
 进口商贴纸 1500 pcs</t>
        </r>
      </text>
    </comment>
    <comment ref="AF132" authorId="0">
      <text>
        <r>
          <rPr>
            <b/>
            <sz val="14"/>
            <rFont val="宋体"/>
            <charset val="134"/>
          </rPr>
          <t>Administrator:</t>
        </r>
        <r>
          <rPr>
            <sz val="14"/>
            <rFont val="宋体"/>
            <charset val="134"/>
          </rPr>
          <t xml:space="preserve">
1200999 12/18 1250 pcs 华兴三楼B8</t>
        </r>
      </text>
    </comment>
    <comment ref="AH132" authorId="0">
      <text>
        <r>
          <rPr>
            <b/>
            <sz val="14"/>
            <rFont val="宋体"/>
            <charset val="134"/>
          </rPr>
          <t>Administrator:</t>
        </r>
        <r>
          <rPr>
            <sz val="14"/>
            <rFont val="宋体"/>
            <charset val="134"/>
          </rPr>
          <t xml:space="preserve">
11/28上 UPC贴纸 1250 pcs
 进口商贴纸 1250 pcs</t>
        </r>
      </text>
    </comment>
    <comment ref="AF133" authorId="0">
      <text>
        <r>
          <rPr>
            <b/>
            <sz val="14"/>
            <rFont val="宋体"/>
            <charset val="134"/>
          </rPr>
          <t>Administrator:</t>
        </r>
        <r>
          <rPr>
            <sz val="14"/>
            <rFont val="宋体"/>
            <charset val="134"/>
          </rPr>
          <t xml:space="preserve">
1200946 12/16 2640 pcs
    2850 pcs 文本云
1200925 12/17 1488 pcs
     30 pcs B四楼B1</t>
        </r>
      </text>
    </comment>
    <comment ref="AH133" authorId="0">
      <text>
        <r>
          <rPr>
            <b/>
            <sz val="14"/>
            <rFont val="宋体"/>
            <charset val="134"/>
          </rPr>
          <t>Administrator:</t>
        </r>
        <r>
          <rPr>
            <sz val="14"/>
            <rFont val="宋体"/>
            <charset val="134"/>
          </rPr>
          <t xml:space="preserve">
12/3上 WIC贴纸 7008 pcs</t>
        </r>
      </text>
    </comment>
    <comment ref="AF134" authorId="0">
      <text>
        <r>
          <rPr>
            <b/>
            <sz val="14"/>
            <rFont val="宋体"/>
            <charset val="134"/>
          </rPr>
          <t>Administrator:</t>
        </r>
        <r>
          <rPr>
            <sz val="14"/>
            <rFont val="宋体"/>
            <charset val="134"/>
          </rPr>
          <t xml:space="preserve">
1201029 12/20 5200 pcs 王四楼A6
</t>
        </r>
      </text>
    </comment>
    <comment ref="AH134" authorId="0">
      <text>
        <r>
          <rPr>
            <b/>
            <sz val="14"/>
            <rFont val="宋体"/>
            <charset val="134"/>
          </rPr>
          <t>Administrator:</t>
        </r>
        <r>
          <rPr>
            <sz val="14"/>
            <rFont val="宋体"/>
            <charset val="134"/>
          </rPr>
          <t xml:space="preserve">
12/3上 价格贴纸 5200 pcs
 外箱条码贴纸 200 pcs</t>
        </r>
      </text>
    </comment>
    <comment ref="AF135" authorId="0">
      <text>
        <r>
          <rPr>
            <b/>
            <sz val="14"/>
            <rFont val="宋体"/>
            <charset val="134"/>
          </rPr>
          <t>Administrator:</t>
        </r>
        <r>
          <rPr>
            <sz val="14"/>
            <rFont val="宋体"/>
            <charset val="134"/>
          </rPr>
          <t xml:space="preserve">
1600017 12/22 12700 pcs 四楼B5</t>
        </r>
      </text>
    </comment>
    <comment ref="AH135" authorId="0">
      <text>
        <r>
          <rPr>
            <b/>
            <sz val="14"/>
            <rFont val="宋体"/>
            <charset val="134"/>
          </rPr>
          <t>Administrator:</t>
        </r>
        <r>
          <rPr>
            <sz val="14"/>
            <rFont val="宋体"/>
            <charset val="134"/>
          </rPr>
          <t xml:space="preserve">
11/21上 客供外箱贴纸 514 pcs</t>
        </r>
      </text>
    </comment>
    <comment ref="AF136" authorId="0">
      <text>
        <r>
          <rPr>
            <b/>
            <sz val="14"/>
            <rFont val="宋体"/>
            <charset val="134"/>
          </rPr>
          <t>Administrator:</t>
        </r>
        <r>
          <rPr>
            <sz val="14"/>
            <rFont val="宋体"/>
            <charset val="134"/>
          </rPr>
          <t xml:space="preserve">
1200167 12/20 3000 pcs 王四楼A2
</t>
        </r>
      </text>
    </comment>
    <comment ref="AH136" authorId="0">
      <text>
        <r>
          <rPr>
            <b/>
            <sz val="14"/>
            <rFont val="宋体"/>
            <charset val="134"/>
          </rPr>
          <t>Administrator:</t>
        </r>
        <r>
          <rPr>
            <sz val="14"/>
            <rFont val="宋体"/>
            <charset val="134"/>
          </rPr>
          <t xml:space="preserve">
12/1上 客供价格贴纸 3085 pcs
12/8上 保证书 3000 pcs
 包装贴纸 3000 pcs
 说明书贴纸 3000 pcs
 UPC贴纸 3000 pcs
12/11上 保证书 3500 pcs</t>
        </r>
      </text>
    </comment>
    <comment ref="AF137" authorId="0">
      <text>
        <r>
          <rPr>
            <b/>
            <sz val="14"/>
            <rFont val="宋体"/>
            <charset val="134"/>
          </rPr>
          <t>Administrator:</t>
        </r>
        <r>
          <rPr>
            <sz val="14"/>
            <rFont val="宋体"/>
            <charset val="134"/>
          </rPr>
          <t xml:space="preserve">
1200167 12/20 450 pcs 王四楼A2
1600017 12/22 50 pcs A2</t>
        </r>
      </text>
    </comment>
    <comment ref="AH137" authorId="0">
      <text>
        <r>
          <rPr>
            <b/>
            <sz val="14"/>
            <rFont val="宋体"/>
            <charset val="134"/>
          </rPr>
          <t>Administrator:</t>
        </r>
        <r>
          <rPr>
            <sz val="14"/>
            <rFont val="宋体"/>
            <charset val="134"/>
          </rPr>
          <t xml:space="preserve">
12/1上 客供价格贴纸 531 pcs</t>
        </r>
        <r>
          <rPr>
            <sz val="9"/>
            <rFont val="宋体"/>
            <charset val="134"/>
          </rPr>
          <t xml:space="preserve">
</t>
        </r>
        <r>
          <rPr>
            <sz val="14"/>
            <rFont val="宋体"/>
            <charset val="134"/>
          </rPr>
          <t>12/8上 保证书 500 pcs
 包装贴纸 500 pcs
 说明书贴纸 500 pcs
 UPC贴纸 500 pcs</t>
        </r>
      </text>
    </comment>
    <comment ref="AF138" authorId="0">
      <text>
        <r>
          <rPr>
            <b/>
            <sz val="14"/>
            <rFont val="宋体"/>
            <charset val="134"/>
          </rPr>
          <t>Administrator:</t>
        </r>
        <r>
          <rPr>
            <sz val="14"/>
            <rFont val="宋体"/>
            <charset val="134"/>
          </rPr>
          <t xml:space="preserve">
1201029 12/20 6075 pcs 王四楼B2
</t>
        </r>
      </text>
    </comment>
    <comment ref="AH138" authorId="0">
      <text>
        <r>
          <rPr>
            <b/>
            <sz val="14"/>
            <rFont val="宋体"/>
            <charset val="134"/>
          </rPr>
          <t>Administrator:</t>
        </r>
        <r>
          <rPr>
            <sz val="14"/>
            <rFont val="宋体"/>
            <charset val="134"/>
          </rPr>
          <t xml:space="preserve">
11/21上 客供外箱贴纸 246 pcs</t>
        </r>
      </text>
    </comment>
    <comment ref="AF139" authorId="0">
      <text>
        <r>
          <rPr>
            <b/>
            <sz val="14"/>
            <rFont val="宋体"/>
            <charset val="134"/>
          </rPr>
          <t>Administrator:</t>
        </r>
        <r>
          <rPr>
            <sz val="14"/>
            <rFont val="宋体"/>
            <charset val="134"/>
          </rPr>
          <t xml:space="preserve">
1201029 12/20 5200 pcs 王四楼B2</t>
        </r>
      </text>
    </comment>
    <comment ref="AH139" authorId="0">
      <text>
        <r>
          <rPr>
            <b/>
            <sz val="14"/>
            <rFont val="宋体"/>
            <charset val="134"/>
          </rPr>
          <t>Administrator:</t>
        </r>
        <r>
          <rPr>
            <sz val="14"/>
            <rFont val="宋体"/>
            <charset val="134"/>
          </rPr>
          <t xml:space="preserve">
12/3上 客户EAN条码贴纸 5200 pcs
 PDQ数量贴纸 5200 pcs</t>
        </r>
      </text>
    </comment>
    <comment ref="AF140" authorId="0">
      <text>
        <r>
          <rPr>
            <b/>
            <sz val="14"/>
            <rFont val="宋体"/>
            <charset val="134"/>
          </rPr>
          <t>Administrator:</t>
        </r>
        <r>
          <rPr>
            <sz val="14"/>
            <rFont val="宋体"/>
            <charset val="134"/>
          </rPr>
          <t xml:space="preserve">
1200167 12/20 1250 pcs 王四楼B1
</t>
        </r>
      </text>
    </comment>
    <comment ref="AH140" authorId="0">
      <text>
        <r>
          <rPr>
            <b/>
            <sz val="14"/>
            <rFont val="宋体"/>
            <charset val="134"/>
          </rPr>
          <t>Administrator:</t>
        </r>
        <r>
          <rPr>
            <sz val="14"/>
            <rFont val="宋体"/>
            <charset val="134"/>
          </rPr>
          <t xml:space="preserve">
12/8上 保证书 1250 pcs
  UPC贴纸 1250 pcs
 进口商贴纸 1250 pcs</t>
        </r>
      </text>
    </comment>
    <comment ref="AF141" authorId="0">
      <text>
        <r>
          <rPr>
            <b/>
            <sz val="14"/>
            <rFont val="宋体"/>
            <charset val="134"/>
          </rPr>
          <t>Administrator:</t>
        </r>
        <r>
          <rPr>
            <sz val="14"/>
            <rFont val="宋体"/>
            <charset val="134"/>
          </rPr>
          <t xml:space="preserve">
1200999 12/18 960 pcs 华兴三楼A15</t>
        </r>
      </text>
    </comment>
    <comment ref="AH141" authorId="0">
      <text>
        <r>
          <rPr>
            <b/>
            <sz val="14"/>
            <rFont val="宋体"/>
            <charset val="134"/>
          </rPr>
          <t>Administrator:</t>
        </r>
        <r>
          <rPr>
            <sz val="14"/>
            <rFont val="宋体"/>
            <charset val="134"/>
          </rPr>
          <t xml:space="preserve">
11/27上 客供PFID贴纸 960 pcs</t>
        </r>
      </text>
    </comment>
    <comment ref="AF142" authorId="0">
      <text>
        <r>
          <rPr>
            <b/>
            <sz val="14"/>
            <rFont val="宋体"/>
            <charset val="134"/>
          </rPr>
          <t>Administrator:</t>
        </r>
        <r>
          <rPr>
            <sz val="14"/>
            <rFont val="宋体"/>
            <charset val="134"/>
          </rPr>
          <t xml:space="preserve">
1200163 12/19 520 pcs 四楼B1</t>
        </r>
      </text>
    </comment>
    <comment ref="AH142" authorId="0">
      <text>
        <r>
          <rPr>
            <b/>
            <sz val="14"/>
            <rFont val="宋体"/>
            <charset val="134"/>
          </rPr>
          <t>Administrator:</t>
        </r>
        <r>
          <rPr>
            <sz val="14"/>
            <rFont val="宋体"/>
            <charset val="134"/>
          </rPr>
          <t xml:space="preserve">
12/6上 进口商贴纸 520 pcs</t>
        </r>
      </text>
    </comment>
    <comment ref="AF143" authorId="0">
      <text>
        <r>
          <rPr>
            <b/>
            <sz val="14"/>
            <rFont val="宋体"/>
            <charset val="134"/>
          </rPr>
          <t>Administrator:</t>
        </r>
        <r>
          <rPr>
            <sz val="14"/>
            <rFont val="宋体"/>
            <charset val="134"/>
          </rPr>
          <t xml:space="preserve">
1600100 12/26 390 pcs 本厂一楼</t>
        </r>
      </text>
    </comment>
    <comment ref="AF144" authorId="0">
      <text>
        <r>
          <rPr>
            <b/>
            <sz val="14"/>
            <rFont val="宋体"/>
            <charset val="134"/>
          </rPr>
          <t>Administrator:</t>
        </r>
        <r>
          <rPr>
            <sz val="14"/>
            <rFont val="宋体"/>
            <charset val="134"/>
          </rPr>
          <t xml:space="preserve">
1600100 12/26 1250 pcs 本厂一楼</t>
        </r>
      </text>
    </comment>
    <comment ref="AF145" authorId="0">
      <text>
        <r>
          <rPr>
            <b/>
            <sz val="14"/>
            <rFont val="宋体"/>
            <charset val="134"/>
          </rPr>
          <t>Administrator:</t>
        </r>
        <r>
          <rPr>
            <sz val="14"/>
            <rFont val="宋体"/>
            <charset val="134"/>
          </rPr>
          <t xml:space="preserve">
1600077 12/24 300 pcs 华兴一楼F11</t>
        </r>
      </text>
    </comment>
    <comment ref="AH145" authorId="0">
      <text>
        <r>
          <rPr>
            <b/>
            <sz val="14"/>
            <rFont val="宋体"/>
            <charset val="134"/>
          </rPr>
          <t>Administrator:</t>
        </r>
        <r>
          <rPr>
            <sz val="14"/>
            <rFont val="宋体"/>
            <charset val="134"/>
          </rPr>
          <t xml:space="preserve">
12/5上 EAN贴纸 300 pcs
 警告语贴纸 300 pcs</t>
        </r>
      </text>
    </comment>
    <comment ref="AF146" authorId="0">
      <text>
        <r>
          <rPr>
            <b/>
            <sz val="14"/>
            <rFont val="宋体"/>
            <charset val="134"/>
          </rPr>
          <t>Administrator:</t>
        </r>
        <r>
          <rPr>
            <sz val="14"/>
            <rFont val="宋体"/>
            <charset val="134"/>
          </rPr>
          <t xml:space="preserve">
1600062 12/25 2000 pcs 华兴三楼B17</t>
        </r>
      </text>
    </comment>
    <comment ref="AH146" authorId="0">
      <text>
        <r>
          <rPr>
            <b/>
            <sz val="14"/>
            <rFont val="宋体"/>
            <charset val="134"/>
          </rPr>
          <t>Administrator:</t>
        </r>
        <r>
          <rPr>
            <sz val="14"/>
            <rFont val="宋体"/>
            <charset val="134"/>
          </rPr>
          <t xml:space="preserve">
12/9上 保证书 2000 pcs
 产品贴纸 2000 pcs
 包装贴纸 2000 pcs
 UPC贴纸 2000 pcs
说明书贴纸 2000 pcs
12/10上 外箱贴纸 80 pcs</t>
        </r>
      </text>
    </comment>
    <comment ref="AF147" authorId="0">
      <text>
        <r>
          <rPr>
            <b/>
            <sz val="14"/>
            <rFont val="宋体"/>
            <charset val="134"/>
          </rPr>
          <t>Administrator:</t>
        </r>
        <r>
          <rPr>
            <sz val="14"/>
            <rFont val="宋体"/>
            <charset val="134"/>
          </rPr>
          <t xml:space="preserve">
1600064 12/25 22008 pcs 华兴一楼F5
1600065 12/26 3024 pcs F5</t>
        </r>
      </text>
    </comment>
    <comment ref="AH147" authorId="0">
      <text>
        <r>
          <rPr>
            <b/>
            <sz val="14"/>
            <rFont val="宋体"/>
            <charset val="134"/>
          </rPr>
          <t>Administrator:</t>
        </r>
        <r>
          <rPr>
            <sz val="14"/>
            <rFont val="宋体"/>
            <charset val="134"/>
          </rPr>
          <t xml:space="preserve">
12/3上 WIC贴纸 25032 pcs</t>
        </r>
      </text>
    </comment>
    <comment ref="AF148" authorId="0">
      <text>
        <r>
          <rPr>
            <b/>
            <sz val="14"/>
            <rFont val="宋体"/>
            <charset val="134"/>
          </rPr>
          <t>Administrator:</t>
        </r>
        <r>
          <rPr>
            <sz val="14"/>
            <rFont val="宋体"/>
            <charset val="134"/>
          </rPr>
          <t xml:space="preserve">
1600062 12/25 300 pcs 华兴一楼B13</t>
        </r>
      </text>
    </comment>
    <comment ref="AF149" authorId="0">
      <text>
        <r>
          <rPr>
            <b/>
            <sz val="14"/>
            <rFont val="宋体"/>
            <charset val="134"/>
          </rPr>
          <t>Administrator:</t>
        </r>
        <r>
          <rPr>
            <sz val="14"/>
            <rFont val="宋体"/>
            <charset val="134"/>
          </rPr>
          <t xml:space="preserve">
1600042 12/22 14989 pcs</t>
        </r>
      </text>
    </comment>
    <comment ref="AH149" authorId="0">
      <text>
        <r>
          <rPr>
            <b/>
            <sz val="14"/>
            <rFont val="宋体"/>
            <charset val="134"/>
          </rPr>
          <t>Administrator:</t>
        </r>
        <r>
          <rPr>
            <sz val="14"/>
            <rFont val="宋体"/>
            <charset val="134"/>
          </rPr>
          <t xml:space="preserve">
11/28上 价格贴纸 14989 pcs
12/28上 客供外箱贴纸 1153 pcs
12/6上 黄色贴纸 1153 pcs</t>
        </r>
      </text>
    </comment>
    <comment ref="AF150" authorId="0">
      <text>
        <r>
          <rPr>
            <b/>
            <sz val="14"/>
            <rFont val="宋体"/>
            <charset val="134"/>
          </rPr>
          <t>Administrator:</t>
        </r>
        <r>
          <rPr>
            <sz val="14"/>
            <rFont val="宋体"/>
            <charset val="134"/>
          </rPr>
          <t xml:space="preserve">
1600100 12/26 2000 pcs 四楼A9</t>
        </r>
      </text>
    </comment>
    <comment ref="AF151" authorId="0">
      <text>
        <r>
          <rPr>
            <b/>
            <sz val="14"/>
            <rFont val="宋体"/>
            <charset val="134"/>
          </rPr>
          <t>Administrator:</t>
        </r>
        <r>
          <rPr>
            <sz val="14"/>
            <rFont val="宋体"/>
            <charset val="134"/>
          </rPr>
          <t xml:space="preserve">
1600103 12/26 960 pcs 四楼C10</t>
        </r>
      </text>
    </comment>
    <comment ref="AH151" authorId="0">
      <text>
        <r>
          <rPr>
            <b/>
            <sz val="14"/>
            <rFont val="宋体"/>
            <charset val="134"/>
          </rPr>
          <t>Administrator:</t>
        </r>
        <r>
          <rPr>
            <sz val="14"/>
            <rFont val="宋体"/>
            <charset val="134"/>
          </rPr>
          <t xml:space="preserve">
11/27上 客供PFID贴纸 960 pcs</t>
        </r>
      </text>
    </comment>
    <comment ref="AF152" authorId="0">
      <text>
        <r>
          <rPr>
            <b/>
            <sz val="14"/>
            <rFont val="宋体"/>
            <charset val="134"/>
          </rPr>
          <t>Administrator:</t>
        </r>
        <r>
          <rPr>
            <sz val="14"/>
            <rFont val="宋体"/>
            <charset val="134"/>
          </rPr>
          <t xml:space="preserve">
1600103 12/26 960 pcs 四楼C10</t>
        </r>
      </text>
    </comment>
    <comment ref="AH152" authorId="0">
      <text>
        <r>
          <rPr>
            <b/>
            <sz val="14"/>
            <rFont val="宋体"/>
            <charset val="134"/>
          </rPr>
          <t>Administrator:</t>
        </r>
        <r>
          <rPr>
            <sz val="14"/>
            <rFont val="宋体"/>
            <charset val="134"/>
          </rPr>
          <t xml:space="preserve">
11/27上 客供PFID贴纸 960 pcs</t>
        </r>
      </text>
    </comment>
    <comment ref="AF153" authorId="0">
      <text>
        <r>
          <rPr>
            <b/>
            <sz val="14"/>
            <rFont val="宋体"/>
            <charset val="134"/>
          </rPr>
          <t>Administrator:</t>
        </r>
        <r>
          <rPr>
            <sz val="14"/>
            <rFont val="宋体"/>
            <charset val="134"/>
          </rPr>
          <t xml:space="preserve">
1600103 12/26 960 pcs 四楼C10</t>
        </r>
      </text>
    </comment>
    <comment ref="AH153" authorId="0">
      <text>
        <r>
          <rPr>
            <b/>
            <sz val="14"/>
            <rFont val="宋体"/>
            <charset val="134"/>
          </rPr>
          <t>Administrator:</t>
        </r>
        <r>
          <rPr>
            <sz val="14"/>
            <rFont val="宋体"/>
            <charset val="134"/>
          </rPr>
          <t xml:space="preserve">
11/27上 客供PFID贴纸 960 pcs</t>
        </r>
      </text>
    </comment>
    <comment ref="AF154" authorId="0">
      <text>
        <r>
          <rPr>
            <b/>
            <sz val="14"/>
            <rFont val="宋体"/>
            <charset val="134"/>
          </rPr>
          <t>Administrator:</t>
        </r>
        <r>
          <rPr>
            <sz val="14"/>
            <rFont val="宋体"/>
            <charset val="134"/>
          </rPr>
          <t xml:space="preserve">
1600103 12/26 960 pcs 四楼C10</t>
        </r>
      </text>
    </comment>
    <comment ref="AH154" authorId="0">
      <text>
        <r>
          <rPr>
            <b/>
            <sz val="14"/>
            <rFont val="宋体"/>
            <charset val="134"/>
          </rPr>
          <t>Administrator:</t>
        </r>
        <r>
          <rPr>
            <sz val="14"/>
            <rFont val="宋体"/>
            <charset val="134"/>
          </rPr>
          <t xml:space="preserve">
11/27上 客供PFID贴纸 960 pcs</t>
        </r>
      </text>
    </comment>
    <comment ref="AF155" authorId="0">
      <text>
        <r>
          <rPr>
            <b/>
            <sz val="14"/>
            <rFont val="宋体"/>
            <charset val="134"/>
          </rPr>
          <t>Administrator:</t>
        </r>
        <r>
          <rPr>
            <sz val="14"/>
            <rFont val="宋体"/>
            <charset val="134"/>
          </rPr>
          <t xml:space="preserve">
1600103 12/26 960 pcs 四楼C10</t>
        </r>
      </text>
    </comment>
    <comment ref="AH155" authorId="0">
      <text>
        <r>
          <rPr>
            <b/>
            <sz val="14"/>
            <rFont val="宋体"/>
            <charset val="134"/>
          </rPr>
          <t>Administrator:</t>
        </r>
        <r>
          <rPr>
            <sz val="14"/>
            <rFont val="宋体"/>
            <charset val="134"/>
          </rPr>
          <t xml:space="preserve">
11/27上 客供PFID贴纸 960 pcs</t>
        </r>
      </text>
    </comment>
    <comment ref="AF156" authorId="0">
      <text>
        <r>
          <rPr>
            <b/>
            <sz val="14"/>
            <rFont val="宋体"/>
            <charset val="134"/>
          </rPr>
          <t>Administrator:</t>
        </r>
        <r>
          <rPr>
            <sz val="14"/>
            <rFont val="宋体"/>
            <charset val="134"/>
          </rPr>
          <t xml:space="preserve">
1600103 12/26 960 pcs 四楼C10</t>
        </r>
      </text>
    </comment>
    <comment ref="AH156" authorId="0">
      <text>
        <r>
          <rPr>
            <b/>
            <sz val="14"/>
            <rFont val="宋体"/>
            <charset val="134"/>
          </rPr>
          <t>Administrator:</t>
        </r>
        <r>
          <rPr>
            <sz val="14"/>
            <rFont val="宋体"/>
            <charset val="134"/>
          </rPr>
          <t xml:space="preserve">
11/27上 客供PFID贴纸 960 pcs</t>
        </r>
      </text>
    </comment>
    <comment ref="AF157" authorId="0">
      <text>
        <r>
          <rPr>
            <b/>
            <sz val="14"/>
            <rFont val="宋体"/>
            <charset val="134"/>
          </rPr>
          <t>Administrator:</t>
        </r>
        <r>
          <rPr>
            <sz val="14"/>
            <rFont val="宋体"/>
            <charset val="134"/>
          </rPr>
          <t xml:space="preserve">
1600103 12/26 960 pcs 四楼C10</t>
        </r>
      </text>
    </comment>
    <comment ref="AH157" authorId="0">
      <text>
        <r>
          <rPr>
            <b/>
            <sz val="14"/>
            <rFont val="宋体"/>
            <charset val="134"/>
          </rPr>
          <t>Administrator:</t>
        </r>
        <r>
          <rPr>
            <sz val="14"/>
            <rFont val="宋体"/>
            <charset val="134"/>
          </rPr>
          <t xml:space="preserve">
11/27上 客供PFID贴纸 960 pcs</t>
        </r>
      </text>
    </comment>
    <comment ref="AF158" authorId="0">
      <text>
        <r>
          <rPr>
            <b/>
            <sz val="14"/>
            <rFont val="宋体"/>
            <charset val="134"/>
          </rPr>
          <t>Administrator:</t>
        </r>
        <r>
          <rPr>
            <sz val="14"/>
            <rFont val="宋体"/>
            <charset val="134"/>
          </rPr>
          <t xml:space="preserve">
1600115 12/27 4950 pcs 四楼A8     
1600123 12/27 50 pcs</t>
        </r>
      </text>
    </comment>
    <comment ref="AH158" authorId="0">
      <text>
        <r>
          <rPr>
            <b/>
            <sz val="16"/>
            <rFont val="宋体"/>
            <charset val="134"/>
          </rPr>
          <t>Administrator:</t>
        </r>
        <r>
          <rPr>
            <sz val="16"/>
            <rFont val="宋体"/>
            <charset val="134"/>
          </rPr>
          <t xml:space="preserve">
11/17上 进口商贴纸 5000 pcs
  UPC贴纸 5000 pcs</t>
        </r>
      </text>
    </comment>
    <comment ref="AF159" authorId="0">
      <text>
        <r>
          <rPr>
            <b/>
            <sz val="14"/>
            <rFont val="宋体"/>
            <charset val="134"/>
          </rPr>
          <t>Administrator:</t>
        </r>
        <r>
          <rPr>
            <sz val="14"/>
            <rFont val="宋体"/>
            <charset val="134"/>
          </rPr>
          <t xml:space="preserve">
1600123 12/27 864 pcs 华兴三楼B13</t>
        </r>
      </text>
    </comment>
    <comment ref="AH159" authorId="0">
      <text>
        <r>
          <rPr>
            <b/>
            <sz val="14"/>
            <rFont val="宋体"/>
            <charset val="134"/>
          </rPr>
          <t>Administrator:</t>
        </r>
        <r>
          <rPr>
            <sz val="14"/>
            <rFont val="宋体"/>
            <charset val="134"/>
          </rPr>
          <t xml:space="preserve">
12/1上 亚马逊外箱贴纸 72 pcs
12/5上 环保标贴纸 864 pcs</t>
        </r>
      </text>
    </comment>
    <comment ref="AF160" authorId="0">
      <text>
        <r>
          <rPr>
            <b/>
            <sz val="14"/>
            <rFont val="宋体"/>
            <charset val="134"/>
          </rPr>
          <t>Administrator:</t>
        </r>
        <r>
          <rPr>
            <sz val="14"/>
            <rFont val="宋体"/>
            <charset val="134"/>
          </rPr>
          <t xml:space="preserve">
1600123 12/27 876 pcs 华兴三楼B15</t>
        </r>
      </text>
    </comment>
    <comment ref="AH160" authorId="0">
      <text>
        <r>
          <rPr>
            <b/>
            <sz val="16"/>
            <rFont val="宋体"/>
            <charset val="134"/>
          </rPr>
          <t>Administrator:</t>
        </r>
        <r>
          <rPr>
            <sz val="16"/>
            <rFont val="宋体"/>
            <charset val="134"/>
          </rPr>
          <t xml:space="preserve">
11/26上 亚马逊外箱贴纸 73 pcs
12/3上 环保标贴纸 876 pcs</t>
        </r>
      </text>
    </comment>
    <comment ref="AF161" authorId="0">
      <text>
        <r>
          <rPr>
            <b/>
            <sz val="14"/>
            <rFont val="宋体"/>
            <charset val="134"/>
          </rPr>
          <t>Administrator:</t>
        </r>
        <r>
          <rPr>
            <sz val="14"/>
            <rFont val="宋体"/>
            <charset val="134"/>
          </rPr>
          <t xml:space="preserve">
1600115 12/27 1248 pcs 四楼B5</t>
        </r>
      </text>
    </comment>
    <comment ref="AH161" authorId="0">
      <text>
        <r>
          <rPr>
            <b/>
            <sz val="14"/>
            <rFont val="宋体"/>
            <charset val="134"/>
          </rPr>
          <t>Administrator:</t>
        </r>
        <r>
          <rPr>
            <sz val="14"/>
            <rFont val="宋体"/>
            <charset val="134"/>
          </rPr>
          <t xml:space="preserve">
12/5上 德语警语贴纸 1248 pcs
12/12上 地址贴纸 1248 pcs</t>
        </r>
      </text>
    </comment>
    <comment ref="AF162" authorId="0">
      <text>
        <r>
          <rPr>
            <b/>
            <sz val="14"/>
            <rFont val="宋体"/>
            <charset val="134"/>
          </rPr>
          <t>Administrator:</t>
        </r>
        <r>
          <rPr>
            <sz val="14"/>
            <rFont val="宋体"/>
            <charset val="134"/>
          </rPr>
          <t xml:space="preserve">
1600143 12/29 1950 pcs B栋四楼B7
1600155 12/30 25 pcs</t>
        </r>
      </text>
    </comment>
    <comment ref="AH162" authorId="0">
      <text>
        <r>
          <rPr>
            <b/>
            <sz val="14"/>
            <rFont val="宋体"/>
            <charset val="134"/>
          </rPr>
          <t>Administrator:</t>
        </r>
        <r>
          <rPr>
            <sz val="14"/>
            <rFont val="宋体"/>
            <charset val="134"/>
          </rPr>
          <t xml:space="preserve">
12/6上 客户进口商贴纸含西班牙环保标 1975 pcs 
 PDQ贴纸含EAN条码 79 pcs
覆盖条码贴纸 1975 pcs</t>
        </r>
      </text>
    </comment>
    <comment ref="AF163" authorId="0">
      <text>
        <r>
          <rPr>
            <b/>
            <sz val="14"/>
            <rFont val="宋体"/>
            <charset val="134"/>
          </rPr>
          <t>Administrator:</t>
        </r>
        <r>
          <rPr>
            <sz val="14"/>
            <rFont val="宋体"/>
            <charset val="134"/>
          </rPr>
          <t xml:space="preserve">
1600981 1/3 1290 pcs 华兴三楼B16</t>
        </r>
      </text>
    </comment>
    <comment ref="AH163" authorId="0">
      <text>
        <r>
          <rPr>
            <b/>
            <sz val="14"/>
            <rFont val="宋体"/>
            <charset val="134"/>
          </rPr>
          <t>Administrator:</t>
        </r>
        <r>
          <rPr>
            <sz val="14"/>
            <rFont val="宋体"/>
            <charset val="134"/>
          </rPr>
          <t xml:space="preserve">
12/6上 客户进口商贴纸含西班牙环保标 1290 pcs 
 PDQ贴纸含EAN条码 1290 pcs
覆盖条码贴纸 43 pcs</t>
        </r>
      </text>
    </comment>
    <comment ref="AF164" authorId="0">
      <text>
        <r>
          <rPr>
            <b/>
            <sz val="14"/>
            <rFont val="宋体"/>
            <charset val="134"/>
          </rPr>
          <t>Administrator:</t>
        </r>
        <r>
          <rPr>
            <sz val="14"/>
            <rFont val="宋体"/>
            <charset val="134"/>
          </rPr>
          <t xml:space="preserve">
1600115 12/27 1456 pcs 四楼B5   
1600123 12/27 52 pcs B6
</t>
        </r>
      </text>
    </comment>
    <comment ref="AH164" authorId="0">
      <text>
        <r>
          <rPr>
            <b/>
            <sz val="14"/>
            <rFont val="宋体"/>
            <charset val="134"/>
          </rPr>
          <t>Administrator:</t>
        </r>
        <r>
          <rPr>
            <sz val="14"/>
            <rFont val="宋体"/>
            <charset val="134"/>
          </rPr>
          <t xml:space="preserve">
12/10上 纽扣电池警告语贴纸 3016pcs
 小警语贴纸 1508 pcs
12/11上 KM外箱贴纸 116 pcs
12/15上 防盜贴纸 1508 pcs</t>
        </r>
      </text>
    </comment>
    <comment ref="AF165" authorId="0">
      <text>
        <r>
          <rPr>
            <b/>
            <sz val="14"/>
            <rFont val="宋体"/>
            <charset val="134"/>
          </rPr>
          <t>Administrator:</t>
        </r>
        <r>
          <rPr>
            <sz val="14"/>
            <rFont val="宋体"/>
            <charset val="134"/>
          </rPr>
          <t xml:space="preserve">
1201212 1/4 122 pcs</t>
        </r>
      </text>
    </comment>
    <comment ref="AH166" authorId="0">
      <text>
        <r>
          <rPr>
            <b/>
            <sz val="14"/>
            <rFont val="宋体"/>
            <charset val="134"/>
          </rPr>
          <t>Administrator:</t>
        </r>
        <r>
          <rPr>
            <sz val="14"/>
            <rFont val="宋体"/>
            <charset val="134"/>
          </rPr>
          <t xml:space="preserve">
12/8上 进口商贴纸（含客户条码） 10000 pcs</t>
        </r>
      </text>
    </comment>
    <comment ref="AH167" authorId="0">
      <text>
        <r>
          <rPr>
            <b/>
            <sz val="14"/>
            <rFont val="宋体"/>
            <charset val="134"/>
          </rPr>
          <t>Administrator:</t>
        </r>
        <r>
          <rPr>
            <sz val="14"/>
            <rFont val="宋体"/>
            <charset val="134"/>
          </rPr>
          <t xml:space="preserve">
12/6上 客户进口商贴纸含西班牙环保标 2496 pcs 
 PDQ贴纸含EAN条码 192 pcs
覆盖条码贴纸 2496 pcs
贴纸错的
12/30补上  PDQ贴纸含EAN条码 192 pcs
  客户进口商贴纸含西班牙环保标 2496 pcs
1/6补上贴纸返工 客户进口商贴纸含西班牙环保标 2496 pcs
</t>
        </r>
      </text>
    </comment>
    <comment ref="AH168" authorId="0">
      <text>
        <r>
          <rPr>
            <b/>
            <sz val="12"/>
            <rFont val="宋体"/>
            <charset val="134"/>
          </rPr>
          <t>Administrator:</t>
        </r>
        <r>
          <rPr>
            <sz val="12"/>
            <rFont val="宋体"/>
            <charset val="134"/>
          </rPr>
          <t xml:space="preserve">
11/27上 保证书 10000 pcs
12/16上 产品贴纸 1000 pcs
  包装贴纸 1000 pcs
  说明书贴纸 1000 pcs
 UPC贴纸 1000 pcs</t>
        </r>
      </text>
    </comment>
    <comment ref="AH169" authorId="0">
      <text>
        <r>
          <rPr>
            <b/>
            <sz val="14"/>
            <rFont val="宋体"/>
            <charset val="134"/>
          </rPr>
          <t>Administrator:</t>
        </r>
        <r>
          <rPr>
            <sz val="14"/>
            <rFont val="宋体"/>
            <charset val="134"/>
          </rPr>
          <t xml:space="preserve">
12/16上 进口商贴纸 3600 pcs
 UPC贴纸 3600 pcs</t>
        </r>
      </text>
    </comment>
    <comment ref="AH170" authorId="0">
      <text>
        <r>
          <rPr>
            <b/>
            <sz val="14"/>
            <rFont val="宋体"/>
            <charset val="134"/>
          </rPr>
          <t>Administrator:</t>
        </r>
        <r>
          <rPr>
            <sz val="14"/>
            <rFont val="宋体"/>
            <charset val="134"/>
          </rPr>
          <t xml:space="preserve">
12/18上 小电池警告语贴纸 5000 pcs
 大电池警告语贴纸 10000 pcs</t>
        </r>
      </text>
    </comment>
    <comment ref="AH171" authorId="0">
      <text>
        <r>
          <rPr>
            <b/>
            <sz val="14"/>
            <rFont val="宋体"/>
            <charset val="134"/>
          </rPr>
          <t>Administrator:</t>
        </r>
        <r>
          <rPr>
            <sz val="14"/>
            <rFont val="宋体"/>
            <charset val="134"/>
          </rPr>
          <t xml:space="preserve">
12/18上 小电池警告语贴纸 3000 pcs
 大电池警告语贴纸 6000 pcs</t>
        </r>
      </text>
    </comment>
    <comment ref="AH172" authorId="0">
      <text>
        <r>
          <rPr>
            <b/>
            <sz val="14"/>
            <rFont val="宋体"/>
            <charset val="134"/>
          </rPr>
          <t>Administrator:</t>
        </r>
        <r>
          <rPr>
            <sz val="14"/>
            <rFont val="宋体"/>
            <charset val="134"/>
          </rPr>
          <t xml:space="preserve">
12/3上 款号条码贴纸 5150 pcs
12/6上 折叠贴纸 5150 pcs</t>
        </r>
      </text>
    </comment>
    <comment ref="AH173" authorId="0">
      <text>
        <r>
          <rPr>
            <b/>
            <sz val="14"/>
            <rFont val="宋体"/>
            <charset val="134"/>
          </rPr>
          <t>Administrator:</t>
        </r>
        <r>
          <rPr>
            <sz val="14"/>
            <rFont val="宋体"/>
            <charset val="134"/>
          </rPr>
          <t xml:space="preserve">
12/18上 进口商贴纸 5564 pcs</t>
        </r>
      </text>
    </comment>
    <comment ref="AH174" authorId="0">
      <text>
        <r>
          <rPr>
            <b/>
            <sz val="14"/>
            <rFont val="宋体"/>
            <charset val="134"/>
          </rPr>
          <t>Administrator:</t>
        </r>
        <r>
          <rPr>
            <sz val="14"/>
            <rFont val="宋体"/>
            <charset val="134"/>
          </rPr>
          <t xml:space="preserve">
12/22上 客户EAN条码贴纸 3016 pcs
 PDQ数量贴纸 754 pcs</t>
        </r>
      </text>
    </comment>
    <comment ref="AH175" authorId="0">
      <text>
        <r>
          <rPr>
            <b/>
            <sz val="14"/>
            <rFont val="宋体"/>
            <charset val="134"/>
          </rPr>
          <t>Administrator:</t>
        </r>
        <r>
          <rPr>
            <sz val="14"/>
            <rFont val="宋体"/>
            <charset val="134"/>
          </rPr>
          <t xml:space="preserve">
12/18上 UPC条码贴纸 750 pcs
 进口商贴纸 750 pcs</t>
        </r>
      </text>
    </comment>
    <comment ref="AH176" authorId="0">
      <text>
        <r>
          <rPr>
            <b/>
            <sz val="14"/>
            <rFont val="宋体"/>
            <charset val="134"/>
          </rPr>
          <t>Administrator:</t>
        </r>
        <r>
          <rPr>
            <sz val="14"/>
            <rFont val="宋体"/>
            <charset val="134"/>
          </rPr>
          <t xml:space="preserve">
12/16上 进口商贴纸 3600 pcs
 UPC贴纸 3600 pcs</t>
        </r>
      </text>
    </comment>
    <comment ref="AH177" authorId="0">
      <text>
        <r>
          <rPr>
            <b/>
            <sz val="14"/>
            <rFont val="宋体"/>
            <charset val="134"/>
          </rPr>
          <t>Administrator:</t>
        </r>
        <r>
          <rPr>
            <sz val="14"/>
            <rFont val="宋体"/>
            <charset val="134"/>
          </rPr>
          <t xml:space="preserve">
12/16上 客户进口商内容和西班牙环保标贴纸 600 pcs</t>
        </r>
      </text>
    </comment>
    <comment ref="AH178" authorId="0">
      <text>
        <r>
          <rPr>
            <b/>
            <sz val="14"/>
            <rFont val="宋体"/>
            <charset val="134"/>
          </rPr>
          <t>Administrator:</t>
        </r>
        <r>
          <rPr>
            <sz val="14"/>
            <rFont val="宋体"/>
            <charset val="134"/>
          </rPr>
          <t xml:space="preserve">
12/15上 客供PFID贴纸 960 pcs</t>
        </r>
      </text>
    </comment>
    <comment ref="AH179" authorId="0">
      <text>
        <r>
          <rPr>
            <b/>
            <sz val="14"/>
            <rFont val="宋体"/>
            <charset val="134"/>
          </rPr>
          <t>Administrator:</t>
        </r>
        <r>
          <rPr>
            <sz val="14"/>
            <rFont val="宋体"/>
            <charset val="134"/>
          </rPr>
          <t xml:space="preserve">
12/15上 客供PFID贴纸 960 pcs</t>
        </r>
      </text>
    </comment>
    <comment ref="AH180" authorId="0">
      <text>
        <r>
          <rPr>
            <b/>
            <sz val="14"/>
            <rFont val="宋体"/>
            <charset val="134"/>
          </rPr>
          <t>Administrator:</t>
        </r>
        <r>
          <rPr>
            <sz val="14"/>
            <rFont val="宋体"/>
            <charset val="134"/>
          </rPr>
          <t xml:space="preserve">
12/15上 客供PFID贴纸 960 pcs</t>
        </r>
      </text>
    </comment>
    <comment ref="AH181" authorId="0">
      <text>
        <r>
          <rPr>
            <b/>
            <sz val="14"/>
            <rFont val="宋体"/>
            <charset val="134"/>
          </rPr>
          <t>Administrator:</t>
        </r>
        <r>
          <rPr>
            <sz val="14"/>
            <rFont val="宋体"/>
            <charset val="134"/>
          </rPr>
          <t xml:space="preserve">
12/15上 客供PFID贴纸 960 pcs</t>
        </r>
      </text>
    </comment>
    <comment ref="AH182" authorId="0">
      <text>
        <r>
          <rPr>
            <b/>
            <sz val="14"/>
            <rFont val="宋体"/>
            <charset val="134"/>
          </rPr>
          <t>Administrator:</t>
        </r>
        <r>
          <rPr>
            <sz val="14"/>
            <rFont val="宋体"/>
            <charset val="134"/>
          </rPr>
          <t xml:space="preserve">
12/15上 客供PFID贴纸 960 pcs</t>
        </r>
      </text>
    </comment>
    <comment ref="AH183" authorId="0">
      <text>
        <r>
          <rPr>
            <b/>
            <sz val="14"/>
            <rFont val="宋体"/>
            <charset val="134"/>
          </rPr>
          <t>Administrator:</t>
        </r>
        <r>
          <rPr>
            <sz val="14"/>
            <rFont val="宋体"/>
            <charset val="134"/>
          </rPr>
          <t xml:space="preserve">
12/15上 防盜贴纸 1404 pcs
12/23上 KM外箱贴纸 108 pcs
12/25上 纽扣电池警告语贴纸 2808pcs
 小警告语贴纸 1404 pcs</t>
        </r>
      </text>
    </comment>
    <comment ref="AH184" authorId="0">
      <text>
        <r>
          <rPr>
            <b/>
            <sz val="14"/>
            <rFont val="宋体"/>
            <charset val="134"/>
          </rPr>
          <t>Administrator:</t>
        </r>
        <r>
          <rPr>
            <sz val="14"/>
            <rFont val="宋体"/>
            <charset val="134"/>
          </rPr>
          <t xml:space="preserve">
12/15上 防盜贴纸 104 pcs
12/23上 KM外箱贴纸 8 pcs
12/25上 纽扣电池警告语贴纸 208 pcs
 小警告语贴纸 104 pcs
</t>
        </r>
      </text>
    </comment>
    <comment ref="AF185" authorId="0">
      <text>
        <r>
          <rPr>
            <b/>
            <sz val="14"/>
            <rFont val="宋体"/>
            <charset val="134"/>
          </rPr>
          <t>Administrator:</t>
        </r>
        <r>
          <rPr>
            <sz val="14"/>
            <rFont val="宋体"/>
            <charset val="134"/>
          </rPr>
          <t xml:space="preserve">
1600992 1/5 350 pcs 四楼B1</t>
        </r>
      </text>
    </comment>
    <comment ref="AH185" authorId="0">
      <text>
        <r>
          <rPr>
            <b/>
            <sz val="14"/>
            <rFont val="宋体"/>
            <charset val="134"/>
          </rPr>
          <t>Administrator:</t>
        </r>
        <r>
          <rPr>
            <sz val="14"/>
            <rFont val="宋体"/>
            <charset val="134"/>
          </rPr>
          <t xml:space="preserve">
11/24上 UPC贴纸 350 pcs</t>
        </r>
      </text>
    </comment>
    <comment ref="AH188" authorId="0">
      <text>
        <r>
          <rPr>
            <b/>
            <sz val="14"/>
            <rFont val="宋体"/>
            <charset val="134"/>
          </rPr>
          <t>Administrator:</t>
        </r>
        <r>
          <rPr>
            <sz val="14"/>
            <rFont val="宋体"/>
            <charset val="134"/>
          </rPr>
          <t xml:space="preserve">
12/10上 UPC贴纸 1000 pcs</t>
        </r>
      </text>
    </comment>
    <comment ref="AH189" authorId="0">
      <text>
        <r>
          <rPr>
            <b/>
            <sz val="14"/>
            <rFont val="宋体"/>
            <charset val="134"/>
          </rPr>
          <t>Administrator:</t>
        </r>
        <r>
          <rPr>
            <sz val="14"/>
            <rFont val="宋体"/>
            <charset val="134"/>
          </rPr>
          <t xml:space="preserve">
12/25上 UPC贴纸 1000 pcs</t>
        </r>
      </text>
    </comment>
    <comment ref="AH191" authorId="0">
      <text>
        <r>
          <rPr>
            <b/>
            <sz val="14"/>
            <rFont val="宋体"/>
            <charset val="134"/>
          </rPr>
          <t>Administrator:</t>
        </r>
        <r>
          <rPr>
            <sz val="14"/>
            <rFont val="宋体"/>
            <charset val="134"/>
          </rPr>
          <t xml:space="preserve">
12/25上 西班牙环保标贴纸 2400 pcs</t>
        </r>
      </text>
    </comment>
    <comment ref="AH192" authorId="0">
      <text>
        <r>
          <rPr>
            <b/>
            <sz val="14"/>
            <rFont val="宋体"/>
            <charset val="134"/>
          </rPr>
          <t>Administrator:</t>
        </r>
        <r>
          <rPr>
            <sz val="14"/>
            <rFont val="宋体"/>
            <charset val="134"/>
          </rPr>
          <t xml:space="preserve">
12/25上 客户EAN条码贴纸 3120 pcs
  PDQ数量贴纸 780 pcs</t>
        </r>
      </text>
    </comment>
    <comment ref="AH193" authorId="0">
      <text>
        <r>
          <rPr>
            <b/>
            <sz val="14"/>
            <rFont val="宋体"/>
            <charset val="134"/>
          </rPr>
          <t>Administrator:</t>
        </r>
        <r>
          <rPr>
            <sz val="14"/>
            <rFont val="宋体"/>
            <charset val="134"/>
          </rPr>
          <t xml:space="preserve">
12/23上 客供亚马逊外箱贴纸 1 pcs</t>
        </r>
      </text>
    </comment>
    <comment ref="AH194" authorId="0">
      <text>
        <r>
          <rPr>
            <b/>
            <sz val="14"/>
            <rFont val="宋体"/>
            <charset val="134"/>
          </rPr>
          <t>Administrator:</t>
        </r>
        <r>
          <rPr>
            <sz val="14"/>
            <rFont val="宋体"/>
            <charset val="134"/>
          </rPr>
          <t xml:space="preserve">
12/15上 客供PFID贴纸 960 pcs</t>
        </r>
      </text>
    </comment>
    <comment ref="AH195" authorId="0">
      <text>
        <r>
          <rPr>
            <b/>
            <sz val="14"/>
            <rFont val="宋体"/>
            <charset val="134"/>
          </rPr>
          <t>Administrator:</t>
        </r>
        <r>
          <rPr>
            <sz val="14"/>
            <rFont val="宋体"/>
            <charset val="134"/>
          </rPr>
          <t xml:space="preserve">
12/15上 防盜贴纸 1365 pcs
12/25上 纽扣电池警告语贴纸 2730 pcs
12/31上 KM外箱贴纸 105 pcs</t>
        </r>
      </text>
    </comment>
    <comment ref="AH196" authorId="0">
      <text>
        <r>
          <rPr>
            <b/>
            <sz val="14"/>
            <rFont val="宋体"/>
            <charset val="134"/>
          </rPr>
          <t>Administrator:</t>
        </r>
        <r>
          <rPr>
            <sz val="14"/>
            <rFont val="宋体"/>
            <charset val="134"/>
          </rPr>
          <t xml:space="preserve">
12/15上 防盜贴纸 143 pcs
12/25上 纽扣电池警告语贴纸 286 pcs
12/31上 KM外箱贴纸 11 pcs
</t>
        </r>
      </text>
    </comment>
    <comment ref="AH197" authorId="0">
      <text>
        <r>
          <rPr>
            <b/>
            <sz val="16"/>
            <rFont val="宋体"/>
            <charset val="134"/>
          </rPr>
          <t>Administrator:</t>
        </r>
        <r>
          <rPr>
            <sz val="16"/>
            <rFont val="宋体"/>
            <charset val="134"/>
          </rPr>
          <t xml:space="preserve">
12/27上 进口商贴纸 1500 pcs
 UPC贴纸 1500 pcs</t>
        </r>
      </text>
    </comment>
    <comment ref="AH198" authorId="0">
      <text>
        <r>
          <rPr>
            <b/>
            <sz val="14"/>
            <rFont val="宋体"/>
            <charset val="134"/>
          </rPr>
          <t>Administrator:</t>
        </r>
        <r>
          <rPr>
            <sz val="14"/>
            <rFont val="宋体"/>
            <charset val="134"/>
          </rPr>
          <t xml:space="preserve">
12/29上 进口商贴纸 6000 pcs</t>
        </r>
      </text>
    </comment>
    <comment ref="AH199" authorId="0">
      <text>
        <r>
          <rPr>
            <b/>
            <sz val="14"/>
            <rFont val="宋体"/>
            <charset val="134"/>
          </rPr>
          <t>Administrator:</t>
        </r>
        <r>
          <rPr>
            <sz val="14"/>
            <rFont val="宋体"/>
            <charset val="134"/>
          </rPr>
          <t xml:space="preserve">
12/25上 PDQ UPC条码贴纸 167 pcs</t>
        </r>
        <r>
          <rPr>
            <sz val="9"/>
            <rFont val="宋体"/>
            <charset val="134"/>
          </rPr>
          <t xml:space="preserve">
</t>
        </r>
      </text>
    </comment>
    <comment ref="AH200" authorId="0">
      <text>
        <r>
          <rPr>
            <b/>
            <sz val="14"/>
            <rFont val="宋体"/>
            <charset val="134"/>
          </rPr>
          <t>Administrator:</t>
        </r>
        <r>
          <rPr>
            <sz val="14"/>
            <rFont val="宋体"/>
            <charset val="134"/>
          </rPr>
          <t xml:space="preserve">
12/25上 PDQ UPC条码贴纸 205 pcs</t>
        </r>
        <r>
          <rPr>
            <sz val="9"/>
            <rFont val="宋体"/>
            <charset val="134"/>
          </rPr>
          <t xml:space="preserve">
</t>
        </r>
      </text>
    </comment>
    <comment ref="AH201" authorId="0">
      <text>
        <r>
          <rPr>
            <b/>
            <sz val="14"/>
            <rFont val="宋体"/>
            <charset val="134"/>
          </rPr>
          <t>Administrator:</t>
        </r>
        <r>
          <rPr>
            <sz val="14"/>
            <rFont val="宋体"/>
            <charset val="134"/>
          </rPr>
          <t xml:space="preserve">
12/29上 价格贴纸 3016 pcs
 外箱条码贴纸 116 pcs</t>
        </r>
      </text>
    </comment>
    <comment ref="AH202" authorId="0">
      <text>
        <r>
          <rPr>
            <b/>
            <sz val="14"/>
            <rFont val="宋体"/>
            <charset val="134"/>
          </rPr>
          <t>Administrator:</t>
        </r>
        <r>
          <rPr>
            <sz val="14"/>
            <rFont val="宋体"/>
            <charset val="134"/>
          </rPr>
          <t xml:space="preserve">
12/22上 亚马逊外箱贴纸 49 pcs
1/4上 环保标贴纸 588 pcs</t>
        </r>
      </text>
    </comment>
    <comment ref="AH203" authorId="0">
      <text>
        <r>
          <rPr>
            <b/>
            <sz val="14"/>
            <rFont val="宋体"/>
            <charset val="134"/>
          </rPr>
          <t>Administrator:</t>
        </r>
        <r>
          <rPr>
            <sz val="14"/>
            <rFont val="宋体"/>
            <charset val="134"/>
          </rPr>
          <t xml:space="preserve">
12/15上 客供PFID贴纸 960 pcs</t>
        </r>
      </text>
    </comment>
    <comment ref="AH204" authorId="0">
      <text>
        <r>
          <rPr>
            <b/>
            <sz val="14"/>
            <rFont val="宋体"/>
            <charset val="134"/>
          </rPr>
          <t>Administrator:</t>
        </r>
        <r>
          <rPr>
            <sz val="14"/>
            <rFont val="宋体"/>
            <charset val="134"/>
          </rPr>
          <t xml:space="preserve">
12/15上 客供PFID贴纸 960 pcs</t>
        </r>
      </text>
    </comment>
    <comment ref="AH205" authorId="0">
      <text>
        <r>
          <rPr>
            <b/>
            <sz val="14"/>
            <rFont val="宋体"/>
            <charset val="134"/>
          </rPr>
          <t>Administrator:</t>
        </r>
        <r>
          <rPr>
            <sz val="14"/>
            <rFont val="宋体"/>
            <charset val="134"/>
          </rPr>
          <t xml:space="preserve">
12/15上 客供PFID贴纸 960 pcs</t>
        </r>
      </text>
    </comment>
    <comment ref="AH206" authorId="0">
      <text>
        <r>
          <rPr>
            <b/>
            <sz val="14"/>
            <rFont val="宋体"/>
            <charset val="134"/>
          </rPr>
          <t>Administrator:</t>
        </r>
        <r>
          <rPr>
            <sz val="14"/>
            <rFont val="宋体"/>
            <charset val="134"/>
          </rPr>
          <t xml:space="preserve">
12/15上 防盜贴纸 19360 pcs</t>
        </r>
      </text>
    </comment>
    <comment ref="AH211" authorId="0">
      <text>
        <r>
          <rPr>
            <b/>
            <sz val="14"/>
            <rFont val="宋体"/>
            <charset val="134"/>
          </rPr>
          <t>Administrator:</t>
        </r>
        <r>
          <rPr>
            <sz val="14"/>
            <rFont val="宋体"/>
            <charset val="134"/>
          </rPr>
          <t xml:space="preserve">
12/23上 说明书纽扣电池警告语贴纸 4004 pcs
 收缩膜纽扣电池警告语贴纸 4004 pcs
 小警语贴纸 4004 pcs</t>
        </r>
      </text>
    </comment>
    <comment ref="AH217" authorId="0">
      <text>
        <r>
          <rPr>
            <b/>
            <sz val="14"/>
            <rFont val="宋体"/>
            <charset val="134"/>
          </rPr>
          <t>Administrator:</t>
        </r>
        <r>
          <rPr>
            <sz val="14"/>
            <rFont val="宋体"/>
            <charset val="134"/>
          </rPr>
          <t xml:space="preserve">
12/15上 客供PFID贴纸 960 pcs</t>
        </r>
      </text>
    </comment>
    <comment ref="AH218" authorId="0">
      <text>
        <r>
          <rPr>
            <b/>
            <sz val="14"/>
            <rFont val="宋体"/>
            <charset val="134"/>
          </rPr>
          <t>Administrator:</t>
        </r>
        <r>
          <rPr>
            <sz val="14"/>
            <rFont val="宋体"/>
            <charset val="134"/>
          </rPr>
          <t xml:space="preserve">
12/15上 客供PFID贴纸 960 pcs</t>
        </r>
      </text>
    </comment>
    <comment ref="AH222" authorId="0">
      <text>
        <r>
          <rPr>
            <b/>
            <sz val="14"/>
            <rFont val="宋体"/>
            <charset val="134"/>
          </rPr>
          <t>Administrator:</t>
        </r>
        <r>
          <rPr>
            <sz val="14"/>
            <rFont val="宋体"/>
            <charset val="134"/>
          </rPr>
          <t xml:space="preserve">
12/23上  UPC贴纸 2500 pcs
  红色iogo贴纸 2500 pcs
  保证书 2500 pcs
  收缩膜进口商贴纸 2500 pcs
 产品进口商贴纸 2500 pcs
 说明书进口商贴纸 2500 pcs</t>
        </r>
      </text>
    </comment>
    <comment ref="AH224" authorId="0">
      <text>
        <r>
          <rPr>
            <b/>
            <sz val="14"/>
            <rFont val="宋体"/>
            <charset val="134"/>
          </rPr>
          <t>Administrator:</t>
        </r>
        <r>
          <rPr>
            <sz val="14"/>
            <rFont val="宋体"/>
            <charset val="134"/>
          </rPr>
          <t xml:space="preserve">
1/5上 进口商贴纸 780 pcs</t>
        </r>
      </text>
    </comment>
    <comment ref="AH226" authorId="0">
      <text>
        <r>
          <rPr>
            <b/>
            <sz val="14"/>
            <rFont val="宋体"/>
            <charset val="134"/>
          </rPr>
          <t>Administrator:</t>
        </r>
        <r>
          <rPr>
            <sz val="14"/>
            <rFont val="宋体"/>
            <charset val="134"/>
          </rPr>
          <t xml:space="preserve">
1/5上 客供PFID贴纸 960 pcs</t>
        </r>
      </text>
    </comment>
    <comment ref="AH227" authorId="0">
      <text>
        <r>
          <rPr>
            <b/>
            <sz val="14"/>
            <rFont val="宋体"/>
            <charset val="134"/>
          </rPr>
          <t>Administrator:</t>
        </r>
        <r>
          <rPr>
            <sz val="14"/>
            <rFont val="宋体"/>
            <charset val="134"/>
          </rPr>
          <t xml:space="preserve">
1/5上 客供PFID贴纸 960 pcs</t>
        </r>
      </text>
    </comment>
    <comment ref="AH228" authorId="0">
      <text>
        <r>
          <rPr>
            <b/>
            <sz val="14"/>
            <rFont val="宋体"/>
            <charset val="134"/>
          </rPr>
          <t>Administrator:</t>
        </r>
        <r>
          <rPr>
            <sz val="14"/>
            <rFont val="宋体"/>
            <charset val="134"/>
          </rPr>
          <t xml:space="preserve">
1/5上 客供PFID贴纸 960 pcs</t>
        </r>
      </text>
    </comment>
    <comment ref="AH229" authorId="0">
      <text>
        <r>
          <rPr>
            <b/>
            <sz val="14"/>
            <rFont val="宋体"/>
            <charset val="134"/>
          </rPr>
          <t>Administrator:</t>
        </r>
        <r>
          <rPr>
            <sz val="14"/>
            <rFont val="宋体"/>
            <charset val="134"/>
          </rPr>
          <t xml:space="preserve">
1/5上 客供PFID贴纸 960 pcs</t>
        </r>
      </text>
    </comment>
    <comment ref="AH230" authorId="0">
      <text>
        <r>
          <rPr>
            <b/>
            <sz val="14"/>
            <rFont val="宋体"/>
            <charset val="134"/>
          </rPr>
          <t>Administrator:</t>
        </r>
        <r>
          <rPr>
            <sz val="14"/>
            <rFont val="宋体"/>
            <charset val="134"/>
          </rPr>
          <t xml:space="preserve">
1/5上 客供PFID贴纸 960 pcs</t>
        </r>
      </text>
    </comment>
    <comment ref="AH231" authorId="0">
      <text>
        <r>
          <rPr>
            <b/>
            <sz val="14"/>
            <rFont val="宋体"/>
            <charset val="134"/>
          </rPr>
          <t>Administrator:</t>
        </r>
        <r>
          <rPr>
            <sz val="14"/>
            <rFont val="宋体"/>
            <charset val="134"/>
          </rPr>
          <t xml:space="preserve">
1/5上 客供PFID贴纸 960 pcs</t>
        </r>
      </text>
    </comment>
    <comment ref="AH232" authorId="0">
      <text>
        <r>
          <rPr>
            <b/>
            <sz val="14"/>
            <rFont val="宋体"/>
            <charset val="134"/>
          </rPr>
          <t>Administrator:</t>
        </r>
        <r>
          <rPr>
            <sz val="14"/>
            <rFont val="宋体"/>
            <charset val="134"/>
          </rPr>
          <t xml:space="preserve">
1/5上 客供PFID贴纸 960 pcs</t>
        </r>
      </text>
    </comment>
    <comment ref="AH233" authorId="0">
      <text>
        <r>
          <rPr>
            <b/>
            <sz val="14"/>
            <rFont val="宋体"/>
            <charset val="134"/>
          </rPr>
          <t>Administrator:</t>
        </r>
        <r>
          <rPr>
            <sz val="14"/>
            <rFont val="宋体"/>
            <charset val="134"/>
          </rPr>
          <t xml:space="preserve">
1/5上 客供PFID贴纸 960 pcs</t>
        </r>
      </text>
    </comment>
    <comment ref="AH234" authorId="0">
      <text>
        <r>
          <rPr>
            <b/>
            <sz val="14"/>
            <rFont val="宋体"/>
            <charset val="134"/>
          </rPr>
          <t>Administrator:</t>
        </r>
        <r>
          <rPr>
            <sz val="14"/>
            <rFont val="宋体"/>
            <charset val="134"/>
          </rPr>
          <t xml:space="preserve">
1/5上 客供PFID贴纸 960 pcs</t>
        </r>
      </text>
    </comment>
    <comment ref="AH235" authorId="0">
      <text>
        <r>
          <rPr>
            <b/>
            <sz val="14"/>
            <rFont val="宋体"/>
            <charset val="134"/>
          </rPr>
          <t>Administrator:</t>
        </r>
        <r>
          <rPr>
            <sz val="14"/>
            <rFont val="宋体"/>
            <charset val="134"/>
          </rPr>
          <t xml:space="preserve">
1/5上 客供PFID贴纸 960 pcs</t>
        </r>
      </text>
    </comment>
  </commentList>
</comments>
</file>

<file path=xl/comments6.xml><?xml version="1.0" encoding="utf-8"?>
<comments xmlns="http://schemas.openxmlformats.org/spreadsheetml/2006/main">
  <authors>
    <author>Administrator</author>
  </authors>
  <commentList>
    <comment ref="AF4" authorId="0">
      <text>
        <r>
          <rPr>
            <b/>
            <sz val="12"/>
            <rFont val="宋体"/>
            <charset val="134"/>
          </rPr>
          <t>Administrator:</t>
        </r>
        <r>
          <rPr>
            <sz val="12"/>
            <rFont val="宋体"/>
            <charset val="134"/>
          </rPr>
          <t xml:space="preserve">
10月份生产已带给业务</t>
        </r>
      </text>
    </comment>
    <comment ref="AF5" authorId="0">
      <text>
        <r>
          <rPr>
            <b/>
            <sz val="14"/>
            <rFont val="宋体"/>
            <charset val="134"/>
          </rPr>
          <t>Administrator:</t>
        </r>
        <r>
          <rPr>
            <sz val="14"/>
            <rFont val="宋体"/>
            <charset val="134"/>
          </rPr>
          <t xml:space="preserve">
1200764 12/12 960 pcs 王四楼B1</t>
        </r>
      </text>
    </comment>
    <comment ref="AH5" authorId="0">
      <text>
        <r>
          <rPr>
            <b/>
            <sz val="14"/>
            <rFont val="宋体"/>
            <charset val="134"/>
          </rPr>
          <t>Administrator:</t>
        </r>
        <r>
          <rPr>
            <sz val="14"/>
            <rFont val="宋体"/>
            <charset val="134"/>
          </rPr>
          <t xml:space="preserve">
11/21上 客供PFID贴纸 960 pcs</t>
        </r>
      </text>
    </comment>
    <comment ref="AF6" authorId="0">
      <text>
        <r>
          <rPr>
            <b/>
            <sz val="14"/>
            <rFont val="宋体"/>
            <charset val="134"/>
          </rPr>
          <t>Administrator:</t>
        </r>
        <r>
          <rPr>
            <sz val="14"/>
            <rFont val="宋体"/>
            <charset val="134"/>
          </rPr>
          <t xml:space="preserve">
1200786 12/13 1000 pcs 华兴三楼A27</t>
        </r>
      </text>
    </comment>
    <comment ref="AH6" authorId="0">
      <text>
        <r>
          <rPr>
            <b/>
            <sz val="14"/>
            <rFont val="宋体"/>
            <charset val="134"/>
          </rPr>
          <t>Administrator:</t>
        </r>
        <r>
          <rPr>
            <sz val="14"/>
            <rFont val="宋体"/>
            <charset val="134"/>
          </rPr>
          <t xml:space="preserve">
11/18上 警告语贴纸 1000 pcs</t>
        </r>
      </text>
    </comment>
    <comment ref="AF7" authorId="0">
      <text>
        <r>
          <rPr>
            <b/>
            <sz val="14"/>
            <rFont val="宋体"/>
            <charset val="134"/>
          </rPr>
          <t>Administrator:</t>
        </r>
        <r>
          <rPr>
            <sz val="14"/>
            <rFont val="宋体"/>
            <charset val="134"/>
          </rPr>
          <t xml:space="preserve">
1200947 12/16 50套散件</t>
        </r>
      </text>
    </comment>
    <comment ref="AF8" authorId="0">
      <text>
        <r>
          <rPr>
            <b/>
            <sz val="14"/>
            <rFont val="宋体"/>
            <charset val="134"/>
          </rPr>
          <t>Administrator:</t>
        </r>
        <r>
          <rPr>
            <sz val="14"/>
            <rFont val="宋体"/>
            <charset val="134"/>
          </rPr>
          <t xml:space="preserve">
1200947 12/16 20 套散件</t>
        </r>
      </text>
    </comment>
    <comment ref="AF9" authorId="0">
      <text>
        <r>
          <rPr>
            <b/>
            <sz val="14"/>
            <rFont val="宋体"/>
            <charset val="134"/>
          </rPr>
          <t>Administrator:</t>
        </r>
        <r>
          <rPr>
            <sz val="14"/>
            <rFont val="宋体"/>
            <charset val="134"/>
          </rPr>
          <t xml:space="preserve">
1200946 12/16 2640 pcs
    2850 pcs 文本云
1200925 12/17 1488 pcs
     30 pcs B四楼B1</t>
        </r>
      </text>
    </comment>
    <comment ref="AH9" authorId="0">
      <text>
        <r>
          <rPr>
            <b/>
            <sz val="14"/>
            <rFont val="宋体"/>
            <charset val="134"/>
          </rPr>
          <t>Administrator:</t>
        </r>
        <r>
          <rPr>
            <sz val="14"/>
            <rFont val="宋体"/>
            <charset val="134"/>
          </rPr>
          <t xml:space="preserve">
12/3上 WIC贴纸 7008 pcs</t>
        </r>
      </text>
    </comment>
    <comment ref="AF10" authorId="0">
      <text>
        <r>
          <rPr>
            <b/>
            <sz val="14"/>
            <rFont val="宋体"/>
            <charset val="134"/>
          </rPr>
          <t>Administrator:</t>
        </r>
        <r>
          <rPr>
            <sz val="14"/>
            <rFont val="宋体"/>
            <charset val="134"/>
          </rPr>
          <t xml:space="preserve">
1200167 12/20 3000 pcs 王四楼A2
</t>
        </r>
      </text>
    </comment>
    <comment ref="AH10" authorId="0">
      <text>
        <r>
          <rPr>
            <b/>
            <sz val="14"/>
            <rFont val="宋体"/>
            <charset val="134"/>
          </rPr>
          <t>Administrator:</t>
        </r>
        <r>
          <rPr>
            <sz val="14"/>
            <rFont val="宋体"/>
            <charset val="134"/>
          </rPr>
          <t xml:space="preserve">
12/1上 客供价格贴纸 3085 pcs
12/8上 保证书 3000 pcs
 包装贴纸 3000 pcs
 说明书贴纸 3000 pcs
 UPC贴纸 3000 pcs
12/11上 保证书 3500 pcs</t>
        </r>
      </text>
    </comment>
    <comment ref="AF11" authorId="0">
      <text>
        <r>
          <rPr>
            <b/>
            <sz val="14"/>
            <rFont val="宋体"/>
            <charset val="134"/>
          </rPr>
          <t>Administrator:</t>
        </r>
        <r>
          <rPr>
            <sz val="14"/>
            <rFont val="宋体"/>
            <charset val="134"/>
          </rPr>
          <t xml:space="preserve">
1200167 12/20 450 pcs 王四楼A2
1600017 12/22 50 pcs A2</t>
        </r>
      </text>
    </comment>
    <comment ref="AH11" authorId="0">
      <text>
        <r>
          <rPr>
            <b/>
            <sz val="14"/>
            <rFont val="宋体"/>
            <charset val="134"/>
          </rPr>
          <t>Administrator:</t>
        </r>
        <r>
          <rPr>
            <sz val="14"/>
            <rFont val="宋体"/>
            <charset val="134"/>
          </rPr>
          <t xml:space="preserve">
12/1上 客供价格贴纸 531 pcs</t>
        </r>
        <r>
          <rPr>
            <sz val="9"/>
            <rFont val="宋体"/>
            <charset val="134"/>
          </rPr>
          <t xml:space="preserve">
</t>
        </r>
        <r>
          <rPr>
            <sz val="14"/>
            <rFont val="宋体"/>
            <charset val="134"/>
          </rPr>
          <t>12/8上 保证书 500 pcs
 包装贴纸 500 pcs
 说明书贴纸 500 pcs
 UPC贴纸 500 pcs</t>
        </r>
      </text>
    </comment>
    <comment ref="AF12" authorId="0">
      <text>
        <r>
          <rPr>
            <b/>
            <sz val="14"/>
            <rFont val="宋体"/>
            <charset val="134"/>
          </rPr>
          <t>Administrator:</t>
        </r>
        <r>
          <rPr>
            <sz val="14"/>
            <rFont val="宋体"/>
            <charset val="134"/>
          </rPr>
          <t xml:space="preserve">
1200999 12/18 960 pcs 华兴三楼A15</t>
        </r>
      </text>
    </comment>
    <comment ref="AH12" authorId="0">
      <text>
        <r>
          <rPr>
            <b/>
            <sz val="14"/>
            <rFont val="宋体"/>
            <charset val="134"/>
          </rPr>
          <t>Administrator:</t>
        </r>
        <r>
          <rPr>
            <sz val="14"/>
            <rFont val="宋体"/>
            <charset val="134"/>
          </rPr>
          <t xml:space="preserve">
11/27上 客供PFID贴纸 960 pcs</t>
        </r>
      </text>
    </comment>
    <comment ref="AF13" authorId="0">
      <text>
        <r>
          <rPr>
            <b/>
            <sz val="14"/>
            <rFont val="宋体"/>
            <charset val="134"/>
          </rPr>
          <t>Administrator:</t>
        </r>
        <r>
          <rPr>
            <sz val="14"/>
            <rFont val="宋体"/>
            <charset val="134"/>
          </rPr>
          <t xml:space="preserve">
1600100 12/26 390 pcs 本厂一楼</t>
        </r>
      </text>
    </comment>
    <comment ref="AF14" authorId="0">
      <text>
        <r>
          <rPr>
            <b/>
            <sz val="14"/>
            <rFont val="宋体"/>
            <charset val="134"/>
          </rPr>
          <t>Administrator:</t>
        </r>
        <r>
          <rPr>
            <sz val="14"/>
            <rFont val="宋体"/>
            <charset val="134"/>
          </rPr>
          <t xml:space="preserve">
1600100 12/26 1250 pcs 本厂一楼</t>
        </r>
      </text>
    </comment>
    <comment ref="AF15" authorId="0">
      <text>
        <r>
          <rPr>
            <b/>
            <sz val="14"/>
            <rFont val="宋体"/>
            <charset val="134"/>
          </rPr>
          <t>Administrator:</t>
        </r>
        <r>
          <rPr>
            <sz val="14"/>
            <rFont val="宋体"/>
            <charset val="134"/>
          </rPr>
          <t xml:space="preserve">
1600064 12/25 22008 pcs 华兴一楼F5
1600065 12/26 3024 pcs F5</t>
        </r>
      </text>
    </comment>
    <comment ref="AH15" authorId="0">
      <text>
        <r>
          <rPr>
            <b/>
            <sz val="14"/>
            <rFont val="宋体"/>
            <charset val="134"/>
          </rPr>
          <t>Administrator:</t>
        </r>
        <r>
          <rPr>
            <sz val="14"/>
            <rFont val="宋体"/>
            <charset val="134"/>
          </rPr>
          <t xml:space="preserve">
12/3上 WIC贴纸 25032 pcs</t>
        </r>
      </text>
    </comment>
    <comment ref="AF16" authorId="0">
      <text>
        <r>
          <rPr>
            <b/>
            <sz val="14"/>
            <rFont val="宋体"/>
            <charset val="134"/>
          </rPr>
          <t>Administrator:</t>
        </r>
        <r>
          <rPr>
            <sz val="14"/>
            <rFont val="宋体"/>
            <charset val="134"/>
          </rPr>
          <t xml:space="preserve">
1600062 12/25 300 pcs 华兴一楼B13</t>
        </r>
      </text>
    </comment>
    <comment ref="AF17" authorId="0">
      <text>
        <r>
          <rPr>
            <b/>
            <sz val="14"/>
            <rFont val="宋体"/>
            <charset val="134"/>
          </rPr>
          <t>Administrator:</t>
        </r>
        <r>
          <rPr>
            <sz val="14"/>
            <rFont val="宋体"/>
            <charset val="134"/>
          </rPr>
          <t xml:space="preserve">
1600103 12/26 960 pcs 四楼C10</t>
        </r>
      </text>
    </comment>
    <comment ref="AH17" authorId="0">
      <text>
        <r>
          <rPr>
            <b/>
            <sz val="14"/>
            <rFont val="宋体"/>
            <charset val="134"/>
          </rPr>
          <t>Administrator:</t>
        </r>
        <r>
          <rPr>
            <sz val="14"/>
            <rFont val="宋体"/>
            <charset val="134"/>
          </rPr>
          <t xml:space="preserve">
11/27上 客供PFID贴纸 960 pcs</t>
        </r>
      </text>
    </comment>
    <comment ref="AF18" authorId="0">
      <text>
        <r>
          <rPr>
            <b/>
            <sz val="14"/>
            <rFont val="宋体"/>
            <charset val="134"/>
          </rPr>
          <t>Administrator:</t>
        </r>
        <r>
          <rPr>
            <sz val="14"/>
            <rFont val="宋体"/>
            <charset val="134"/>
          </rPr>
          <t xml:space="preserve">
1600103 12/26 960 pcs 四楼C10</t>
        </r>
      </text>
    </comment>
    <comment ref="AH18" authorId="0">
      <text>
        <r>
          <rPr>
            <b/>
            <sz val="14"/>
            <rFont val="宋体"/>
            <charset val="134"/>
          </rPr>
          <t>Administrator:</t>
        </r>
        <r>
          <rPr>
            <sz val="14"/>
            <rFont val="宋体"/>
            <charset val="134"/>
          </rPr>
          <t xml:space="preserve">
11/27上 客供PFID贴纸 960 pcs</t>
        </r>
      </text>
    </comment>
    <comment ref="AF19" authorId="0">
      <text>
        <r>
          <rPr>
            <b/>
            <sz val="14"/>
            <rFont val="宋体"/>
            <charset val="134"/>
          </rPr>
          <t>Administrator:</t>
        </r>
        <r>
          <rPr>
            <sz val="14"/>
            <rFont val="宋体"/>
            <charset val="134"/>
          </rPr>
          <t xml:space="preserve">
1600103 12/26 960 pcs 四楼C10</t>
        </r>
      </text>
    </comment>
    <comment ref="AH19" authorId="0">
      <text>
        <r>
          <rPr>
            <b/>
            <sz val="14"/>
            <rFont val="宋体"/>
            <charset val="134"/>
          </rPr>
          <t>Administrator:</t>
        </r>
        <r>
          <rPr>
            <sz val="14"/>
            <rFont val="宋体"/>
            <charset val="134"/>
          </rPr>
          <t xml:space="preserve">
11/27上 客供PFID贴纸 960 pcs</t>
        </r>
      </text>
    </comment>
    <comment ref="AF20" authorId="0">
      <text>
        <r>
          <rPr>
            <b/>
            <sz val="14"/>
            <rFont val="宋体"/>
            <charset val="134"/>
          </rPr>
          <t>Administrator:</t>
        </r>
        <r>
          <rPr>
            <sz val="14"/>
            <rFont val="宋体"/>
            <charset val="134"/>
          </rPr>
          <t xml:space="preserve">
1600103 12/26 960 pcs 四楼C10</t>
        </r>
      </text>
    </comment>
    <comment ref="AH20" authorId="0">
      <text>
        <r>
          <rPr>
            <b/>
            <sz val="14"/>
            <rFont val="宋体"/>
            <charset val="134"/>
          </rPr>
          <t>Administrator:</t>
        </r>
        <r>
          <rPr>
            <sz val="14"/>
            <rFont val="宋体"/>
            <charset val="134"/>
          </rPr>
          <t xml:space="preserve">
11/27上 客供PFID贴纸 960 pcs</t>
        </r>
      </text>
    </comment>
    <comment ref="AF21" authorId="0">
      <text>
        <r>
          <rPr>
            <b/>
            <sz val="14"/>
            <rFont val="宋体"/>
            <charset val="134"/>
          </rPr>
          <t>Administrator:</t>
        </r>
        <r>
          <rPr>
            <sz val="14"/>
            <rFont val="宋体"/>
            <charset val="134"/>
          </rPr>
          <t xml:space="preserve">
1600103 12/26 960 pcs 四楼C10</t>
        </r>
      </text>
    </comment>
    <comment ref="AH21" authorId="0">
      <text>
        <r>
          <rPr>
            <b/>
            <sz val="14"/>
            <rFont val="宋体"/>
            <charset val="134"/>
          </rPr>
          <t>Administrator:</t>
        </r>
        <r>
          <rPr>
            <sz val="14"/>
            <rFont val="宋体"/>
            <charset val="134"/>
          </rPr>
          <t xml:space="preserve">
11/27上 客供PFID贴纸 960 pcs</t>
        </r>
      </text>
    </comment>
    <comment ref="AF22" authorId="0">
      <text>
        <r>
          <rPr>
            <b/>
            <sz val="14"/>
            <rFont val="宋体"/>
            <charset val="134"/>
          </rPr>
          <t>Administrator:</t>
        </r>
        <r>
          <rPr>
            <sz val="14"/>
            <rFont val="宋体"/>
            <charset val="134"/>
          </rPr>
          <t xml:space="preserve">
1600103 12/26 960 pcs 四楼C10</t>
        </r>
      </text>
    </comment>
    <comment ref="AH22" authorId="0">
      <text>
        <r>
          <rPr>
            <b/>
            <sz val="14"/>
            <rFont val="宋体"/>
            <charset val="134"/>
          </rPr>
          <t>Administrator:</t>
        </r>
        <r>
          <rPr>
            <sz val="14"/>
            <rFont val="宋体"/>
            <charset val="134"/>
          </rPr>
          <t xml:space="preserve">
11/27上 客供PFID贴纸 960 pcs</t>
        </r>
      </text>
    </comment>
    <comment ref="AF23" authorId="0">
      <text>
        <r>
          <rPr>
            <b/>
            <sz val="14"/>
            <rFont val="宋体"/>
            <charset val="134"/>
          </rPr>
          <t>Administrator:</t>
        </r>
        <r>
          <rPr>
            <sz val="14"/>
            <rFont val="宋体"/>
            <charset val="134"/>
          </rPr>
          <t xml:space="preserve">
1600103 12/26 960 pcs 四楼C10</t>
        </r>
      </text>
    </comment>
    <comment ref="AH23" authorId="0">
      <text>
        <r>
          <rPr>
            <b/>
            <sz val="14"/>
            <rFont val="宋体"/>
            <charset val="134"/>
          </rPr>
          <t>Administrator:</t>
        </r>
        <r>
          <rPr>
            <sz val="14"/>
            <rFont val="宋体"/>
            <charset val="134"/>
          </rPr>
          <t xml:space="preserve">
11/27上 客供PFID贴纸 960 pcs</t>
        </r>
      </text>
    </comment>
    <comment ref="AF24" authorId="0">
      <text>
        <r>
          <rPr>
            <b/>
            <sz val="14"/>
            <rFont val="宋体"/>
            <charset val="134"/>
          </rPr>
          <t>Administrator:</t>
        </r>
        <r>
          <rPr>
            <sz val="14"/>
            <rFont val="宋体"/>
            <charset val="134"/>
          </rPr>
          <t xml:space="preserve">
1600123 12/27 864 pcs 华兴三楼B13</t>
        </r>
      </text>
    </comment>
    <comment ref="AH24" authorId="0">
      <text>
        <r>
          <rPr>
            <b/>
            <sz val="14"/>
            <rFont val="宋体"/>
            <charset val="134"/>
          </rPr>
          <t>Administrator:</t>
        </r>
        <r>
          <rPr>
            <sz val="14"/>
            <rFont val="宋体"/>
            <charset val="134"/>
          </rPr>
          <t xml:space="preserve">
12/1上 亚马逊外箱贴纸 72 pcs
12/5上 环保标贴纸 864 pcs</t>
        </r>
      </text>
    </comment>
    <comment ref="AF25" authorId="0">
      <text>
        <r>
          <rPr>
            <b/>
            <sz val="14"/>
            <rFont val="宋体"/>
            <charset val="134"/>
          </rPr>
          <t>Administrator:</t>
        </r>
        <r>
          <rPr>
            <sz val="14"/>
            <rFont val="宋体"/>
            <charset val="134"/>
          </rPr>
          <t xml:space="preserve">
1600123 12/27 876 pcs 华兴三楼B15</t>
        </r>
      </text>
    </comment>
    <comment ref="AH25" authorId="0">
      <text>
        <r>
          <rPr>
            <b/>
            <sz val="16"/>
            <rFont val="宋体"/>
            <charset val="134"/>
          </rPr>
          <t>Administrator:</t>
        </r>
        <r>
          <rPr>
            <sz val="16"/>
            <rFont val="宋体"/>
            <charset val="134"/>
          </rPr>
          <t xml:space="preserve">
11/26上 亚马逊外箱贴纸 73 pcs
12/3上 环保标贴纸 876 pcs</t>
        </r>
      </text>
    </comment>
    <comment ref="AF26" authorId="0">
      <text>
        <r>
          <rPr>
            <b/>
            <sz val="14"/>
            <rFont val="宋体"/>
            <charset val="134"/>
          </rPr>
          <t>Administrator:</t>
        </r>
        <r>
          <rPr>
            <sz val="14"/>
            <rFont val="宋体"/>
            <charset val="134"/>
          </rPr>
          <t xml:space="preserve">
1600143 12/29 1950 pcs B栋四楼B7
1600155 12/30 25 pcs</t>
        </r>
      </text>
    </comment>
    <comment ref="AH26" authorId="0">
      <text>
        <r>
          <rPr>
            <b/>
            <sz val="14"/>
            <rFont val="宋体"/>
            <charset val="134"/>
          </rPr>
          <t>Administrator:</t>
        </r>
        <r>
          <rPr>
            <sz val="14"/>
            <rFont val="宋体"/>
            <charset val="134"/>
          </rPr>
          <t xml:space="preserve">
12/6上 客户进口商贴纸含西班牙环保标 1975 pcs 
 PDQ贴纸含EAN条码 79 pcs
覆盖条码贴纸 1975 pcs</t>
        </r>
      </text>
    </comment>
    <comment ref="AF27" authorId="0">
      <text>
        <r>
          <rPr>
            <b/>
            <sz val="14"/>
            <rFont val="宋体"/>
            <charset val="134"/>
          </rPr>
          <t>Administrator:</t>
        </r>
        <r>
          <rPr>
            <sz val="14"/>
            <rFont val="宋体"/>
            <charset val="134"/>
          </rPr>
          <t xml:space="preserve">
1600981 1/3 1290 pcs 华兴三楼B16</t>
        </r>
      </text>
    </comment>
    <comment ref="AH27" authorId="0">
      <text>
        <r>
          <rPr>
            <b/>
            <sz val="14"/>
            <rFont val="宋体"/>
            <charset val="134"/>
          </rPr>
          <t>Administrator:</t>
        </r>
        <r>
          <rPr>
            <sz val="14"/>
            <rFont val="宋体"/>
            <charset val="134"/>
          </rPr>
          <t xml:space="preserve">
12/6上 客户进口商贴纸含西班牙环保标 1290 pcs 
 PDQ贴纸含EAN条码 1290 pcs
覆盖条码贴纸 43 pcs</t>
        </r>
      </text>
    </comment>
    <comment ref="AF28" authorId="0">
      <text>
        <r>
          <rPr>
            <b/>
            <sz val="14"/>
            <rFont val="宋体"/>
            <charset val="134"/>
          </rPr>
          <t>Administrator:</t>
        </r>
        <r>
          <rPr>
            <sz val="14"/>
            <rFont val="宋体"/>
            <charset val="134"/>
          </rPr>
          <t xml:space="preserve">
1201212 1/4 122 pcs</t>
        </r>
      </text>
    </comment>
    <comment ref="AF29" authorId="0">
      <text>
        <r>
          <rPr>
            <b/>
            <sz val="14"/>
            <rFont val="宋体"/>
            <charset val="134"/>
          </rPr>
          <t>Administrator:</t>
        </r>
        <r>
          <rPr>
            <sz val="14"/>
            <rFont val="宋体"/>
            <charset val="134"/>
          </rPr>
          <t xml:space="preserve">
1601026 1/7 9700 pcs 华兴三楼A29   
1601043 1/8 300 pcd </t>
        </r>
      </text>
    </comment>
    <comment ref="AH29" authorId="0">
      <text>
        <r>
          <rPr>
            <b/>
            <sz val="14"/>
            <rFont val="宋体"/>
            <charset val="134"/>
          </rPr>
          <t>Administrator:</t>
        </r>
        <r>
          <rPr>
            <sz val="14"/>
            <rFont val="宋体"/>
            <charset val="134"/>
          </rPr>
          <t xml:space="preserve">
12/8上 进口商贴纸（含客户条码） 10000 pcs</t>
        </r>
      </text>
    </comment>
    <comment ref="AF30" authorId="0">
      <text>
        <r>
          <rPr>
            <b/>
            <sz val="14"/>
            <rFont val="宋体"/>
            <charset val="134"/>
          </rPr>
          <t>Administrator:</t>
        </r>
        <r>
          <rPr>
            <sz val="14"/>
            <rFont val="宋体"/>
            <charset val="134"/>
          </rPr>
          <t xml:space="preserve">
1601043 1/8 2496 pcs 四楼B5</t>
        </r>
      </text>
    </comment>
    <comment ref="AH30" authorId="0">
      <text>
        <r>
          <rPr>
            <b/>
            <sz val="14"/>
            <rFont val="宋体"/>
            <charset val="134"/>
          </rPr>
          <t>Administrator:</t>
        </r>
        <r>
          <rPr>
            <sz val="14"/>
            <rFont val="宋体"/>
            <charset val="134"/>
          </rPr>
          <t xml:space="preserve">
12/6上 客户进口商贴纸含西班牙环保标 2496 pcs 
 PDQ贴纸含EAN条码 192 pcs
覆盖条码贴纸 2496 pcs
贴纸错的
12/30补上  PDQ贴纸含EAN条码 192 pcs
  客户进口商贴纸含西班牙环保标 2496 pcs
1/6补上贴纸返工 客户进口商贴纸含西班牙环保标 2496 pcs
</t>
        </r>
      </text>
    </comment>
    <comment ref="AF31" authorId="0">
      <text>
        <r>
          <rPr>
            <b/>
            <sz val="14"/>
            <rFont val="宋体"/>
            <charset val="134"/>
          </rPr>
          <t>Administrator:</t>
        </r>
        <r>
          <rPr>
            <sz val="14"/>
            <rFont val="宋体"/>
            <charset val="134"/>
          </rPr>
          <t xml:space="preserve">
1601026 1/7 10000 pcs</t>
        </r>
      </text>
    </comment>
    <comment ref="AH31" authorId="0">
      <text>
        <r>
          <rPr>
            <b/>
            <sz val="12"/>
            <rFont val="宋体"/>
            <charset val="134"/>
          </rPr>
          <t>Administrator:</t>
        </r>
        <r>
          <rPr>
            <sz val="12"/>
            <rFont val="宋体"/>
            <charset val="134"/>
          </rPr>
          <t xml:space="preserve">
11/27上 保证书 10000 pcs
12/16上 产品贴纸 1000 pcs
  包装贴纸 1000 pcs
  说明书贴纸 1000 pcs
 UPC贴纸 1000 pcs</t>
        </r>
      </text>
    </comment>
    <comment ref="AF32" authorId="0">
      <text>
        <r>
          <rPr>
            <b/>
            <sz val="14"/>
            <rFont val="宋体"/>
            <charset val="134"/>
          </rPr>
          <t>Administrator:</t>
        </r>
        <r>
          <rPr>
            <sz val="14"/>
            <rFont val="宋体"/>
            <charset val="134"/>
          </rPr>
          <t xml:space="preserve">
1601016 1/9 3600 pcs 四楼A3</t>
        </r>
      </text>
    </comment>
    <comment ref="AH32" authorId="0">
      <text>
        <r>
          <rPr>
            <b/>
            <sz val="14"/>
            <rFont val="宋体"/>
            <charset val="134"/>
          </rPr>
          <t>Administrator:</t>
        </r>
        <r>
          <rPr>
            <sz val="14"/>
            <rFont val="宋体"/>
            <charset val="134"/>
          </rPr>
          <t xml:space="preserve">
12/16上 进口商贴纸 3600 pcs
 UPC贴纸 3600 pcs</t>
        </r>
      </text>
    </comment>
    <comment ref="AF33" authorId="0">
      <text>
        <r>
          <rPr>
            <b/>
            <sz val="14"/>
            <rFont val="宋体"/>
            <charset val="134"/>
          </rPr>
          <t>Administrator:</t>
        </r>
        <r>
          <rPr>
            <sz val="14"/>
            <rFont val="宋体"/>
            <charset val="134"/>
          </rPr>
          <t xml:space="preserve">
1601064 1/9 5000 pcs 华兴三楼B8</t>
        </r>
      </text>
    </comment>
    <comment ref="AH33" authorId="0">
      <text>
        <r>
          <rPr>
            <b/>
            <sz val="14"/>
            <rFont val="宋体"/>
            <charset val="134"/>
          </rPr>
          <t>Administrator:</t>
        </r>
        <r>
          <rPr>
            <sz val="14"/>
            <rFont val="宋体"/>
            <charset val="134"/>
          </rPr>
          <t xml:space="preserve">
12/18上 小电池警告语贴纸 5000 pcs
 大电池警告语贴纸 10000 pcs</t>
        </r>
      </text>
    </comment>
    <comment ref="AF34" authorId="0">
      <text>
        <r>
          <rPr>
            <b/>
            <sz val="14"/>
            <rFont val="宋体"/>
            <charset val="134"/>
          </rPr>
          <t>Administrator:</t>
        </r>
        <r>
          <rPr>
            <sz val="14"/>
            <rFont val="宋体"/>
            <charset val="134"/>
          </rPr>
          <t xml:space="preserve">
1601016 1/9 3000 pcs 四楼B3</t>
        </r>
      </text>
    </comment>
    <comment ref="AH34" authorId="0">
      <text>
        <r>
          <rPr>
            <b/>
            <sz val="14"/>
            <rFont val="宋体"/>
            <charset val="134"/>
          </rPr>
          <t>Administrator:</t>
        </r>
        <r>
          <rPr>
            <sz val="14"/>
            <rFont val="宋体"/>
            <charset val="134"/>
          </rPr>
          <t xml:space="preserve">
12/18上 小电池警告语贴纸 3000 pcs
 大电池警告语贴纸 6000 pcs</t>
        </r>
      </text>
    </comment>
    <comment ref="AF35" authorId="0">
      <text>
        <r>
          <rPr>
            <b/>
            <sz val="14"/>
            <rFont val="宋体"/>
            <charset val="134"/>
          </rPr>
          <t>Administrator:</t>
        </r>
        <r>
          <rPr>
            <sz val="14"/>
            <rFont val="宋体"/>
            <charset val="134"/>
          </rPr>
          <t xml:space="preserve">
1601016 1/9 2912 pcs 四楼B3       
1601081 1/10 104 pcs B3</t>
        </r>
      </text>
    </comment>
    <comment ref="AH35" authorId="0">
      <text>
        <r>
          <rPr>
            <b/>
            <sz val="14"/>
            <rFont val="宋体"/>
            <charset val="134"/>
          </rPr>
          <t>Administrator:</t>
        </r>
        <r>
          <rPr>
            <sz val="14"/>
            <rFont val="宋体"/>
            <charset val="134"/>
          </rPr>
          <t xml:space="preserve">
12/22上 客户EAN条码贴纸 3016 pcs
 PDQ数量贴纸 754 pcs</t>
        </r>
      </text>
    </comment>
    <comment ref="AF36" authorId="0">
      <text>
        <r>
          <rPr>
            <b/>
            <sz val="14"/>
            <rFont val="宋体"/>
            <charset val="134"/>
          </rPr>
          <t>Administrator:</t>
        </r>
        <r>
          <rPr>
            <sz val="14"/>
            <rFont val="宋体"/>
            <charset val="134"/>
          </rPr>
          <t xml:space="preserve">
1601064 1/9 550 pcs 华兴三楼B14     
1601081 1/10 50 pcs</t>
        </r>
      </text>
    </comment>
    <comment ref="AH36" authorId="0">
      <text>
        <r>
          <rPr>
            <b/>
            <sz val="14"/>
            <rFont val="宋体"/>
            <charset val="134"/>
          </rPr>
          <t>Administrator:</t>
        </r>
        <r>
          <rPr>
            <sz val="14"/>
            <rFont val="宋体"/>
            <charset val="134"/>
          </rPr>
          <t xml:space="preserve">
12/16上 客户进口商内容和西班牙环保标贴纸 600 pcs</t>
        </r>
      </text>
    </comment>
    <comment ref="AF37" authorId="0">
      <text>
        <r>
          <rPr>
            <b/>
            <sz val="14"/>
            <rFont val="宋体"/>
            <charset val="134"/>
          </rPr>
          <t>Administrator:</t>
        </r>
        <r>
          <rPr>
            <sz val="14"/>
            <rFont val="宋体"/>
            <charset val="134"/>
          </rPr>
          <t xml:space="preserve">
1601069 1/10 5150 pcs 华兴三楼B9</t>
        </r>
      </text>
    </comment>
    <comment ref="AH37" authorId="0">
      <text>
        <r>
          <rPr>
            <b/>
            <sz val="14"/>
            <rFont val="宋体"/>
            <charset val="134"/>
          </rPr>
          <t>Administrator:</t>
        </r>
        <r>
          <rPr>
            <sz val="14"/>
            <rFont val="宋体"/>
            <charset val="134"/>
          </rPr>
          <t xml:space="preserve">
12/3上 款号条码贴纸 5150 pcs
12/6上 折叠贴纸 5150 pcs</t>
        </r>
      </text>
    </comment>
    <comment ref="AF38" authorId="0">
      <text>
        <r>
          <rPr>
            <b/>
            <sz val="14"/>
            <rFont val="宋体"/>
            <charset val="134"/>
          </rPr>
          <t>Administrator:</t>
        </r>
        <r>
          <rPr>
            <sz val="14"/>
            <rFont val="宋体"/>
            <charset val="134"/>
          </rPr>
          <t xml:space="preserve">
1601081 1/10 750 pcs 四楼A9
</t>
        </r>
      </text>
    </comment>
    <comment ref="AH38" authorId="0">
      <text>
        <r>
          <rPr>
            <b/>
            <sz val="14"/>
            <rFont val="宋体"/>
            <charset val="134"/>
          </rPr>
          <t>Administrator:</t>
        </r>
        <r>
          <rPr>
            <sz val="14"/>
            <rFont val="宋体"/>
            <charset val="134"/>
          </rPr>
          <t xml:space="preserve">
12/18上 UPC条码贴纸 750 pcs
 进口商贴纸 750 pcs</t>
        </r>
      </text>
    </comment>
    <comment ref="AF39" authorId="0">
      <text>
        <r>
          <rPr>
            <b/>
            <sz val="14"/>
            <rFont val="宋体"/>
            <charset val="134"/>
          </rPr>
          <t>Administrator:</t>
        </r>
        <r>
          <rPr>
            <sz val="14"/>
            <rFont val="宋体"/>
            <charset val="134"/>
          </rPr>
          <t xml:space="preserve">
1601064 1/9 3600 pcs 华兴三楼B 10</t>
        </r>
      </text>
    </comment>
    <comment ref="AH39" authorId="0">
      <text>
        <r>
          <rPr>
            <b/>
            <sz val="14"/>
            <rFont val="宋体"/>
            <charset val="134"/>
          </rPr>
          <t>Administrator:</t>
        </r>
        <r>
          <rPr>
            <sz val="14"/>
            <rFont val="宋体"/>
            <charset val="134"/>
          </rPr>
          <t xml:space="preserve">
12/16上 进口商贴纸 3600 pcs
 UPC贴纸 3600 pcs</t>
        </r>
      </text>
    </comment>
    <comment ref="AF40" authorId="0">
      <text>
        <r>
          <rPr>
            <b/>
            <sz val="14"/>
            <rFont val="宋体"/>
            <charset val="134"/>
          </rPr>
          <t>Administrator:</t>
        </r>
        <r>
          <rPr>
            <sz val="14"/>
            <rFont val="宋体"/>
            <charset val="134"/>
          </rPr>
          <t xml:space="preserve">
1600992 1/5 350 pcs 四楼B1</t>
        </r>
      </text>
    </comment>
    <comment ref="AH40" authorId="0">
      <text>
        <r>
          <rPr>
            <b/>
            <sz val="14"/>
            <rFont val="宋体"/>
            <charset val="134"/>
          </rPr>
          <t>Administrator:</t>
        </r>
        <r>
          <rPr>
            <sz val="14"/>
            <rFont val="宋体"/>
            <charset val="134"/>
          </rPr>
          <t xml:space="preserve">
11/24上 UPC贴纸 350 pcs</t>
        </r>
      </text>
    </comment>
    <comment ref="AF41" authorId="0">
      <text>
        <r>
          <rPr>
            <b/>
            <sz val="14"/>
            <rFont val="宋体"/>
            <charset val="134"/>
          </rPr>
          <t>Administrator:</t>
        </r>
        <r>
          <rPr>
            <sz val="14"/>
            <rFont val="宋体"/>
            <charset val="134"/>
          </rPr>
          <t xml:space="preserve">
1601115 1/13 5564 pcs 华兴三楼B8</t>
        </r>
      </text>
    </comment>
    <comment ref="AH41" authorId="0">
      <text>
        <r>
          <rPr>
            <b/>
            <sz val="14"/>
            <rFont val="宋体"/>
            <charset val="134"/>
          </rPr>
          <t>Administrator:</t>
        </r>
        <r>
          <rPr>
            <sz val="14"/>
            <rFont val="宋体"/>
            <charset val="134"/>
          </rPr>
          <t xml:space="preserve">
12/18上 进口商贴纸 5564 pcs</t>
        </r>
      </text>
    </comment>
    <comment ref="AF42" authorId="0">
      <text>
        <r>
          <rPr>
            <b/>
            <sz val="14"/>
            <rFont val="宋体"/>
            <charset val="134"/>
          </rPr>
          <t>Administrator:</t>
        </r>
        <r>
          <rPr>
            <sz val="14"/>
            <rFont val="宋体"/>
            <charset val="134"/>
          </rPr>
          <t xml:space="preserve">
1601122 1/13 960 pcs 四楼B5</t>
        </r>
      </text>
    </comment>
    <comment ref="AH42" authorId="0">
      <text>
        <r>
          <rPr>
            <b/>
            <sz val="14"/>
            <rFont val="宋体"/>
            <charset val="134"/>
          </rPr>
          <t>Administrator:</t>
        </r>
        <r>
          <rPr>
            <sz val="14"/>
            <rFont val="宋体"/>
            <charset val="134"/>
          </rPr>
          <t xml:space="preserve">
12/15上 客供PFID贴纸 960 pcs</t>
        </r>
      </text>
    </comment>
    <comment ref="AF43" authorId="0">
      <text>
        <r>
          <rPr>
            <b/>
            <sz val="14"/>
            <rFont val="宋体"/>
            <charset val="134"/>
          </rPr>
          <t>Administrator:</t>
        </r>
        <r>
          <rPr>
            <sz val="14"/>
            <rFont val="宋体"/>
            <charset val="134"/>
          </rPr>
          <t xml:space="preserve">
1601122 1/13 960 pcs 四楼B5
</t>
        </r>
      </text>
    </comment>
    <comment ref="AH43" authorId="0">
      <text>
        <r>
          <rPr>
            <b/>
            <sz val="14"/>
            <rFont val="宋体"/>
            <charset val="134"/>
          </rPr>
          <t>Administrator:</t>
        </r>
        <r>
          <rPr>
            <sz val="14"/>
            <rFont val="宋体"/>
            <charset val="134"/>
          </rPr>
          <t xml:space="preserve">
12/15上 客供PFID贴纸 960 pcs</t>
        </r>
      </text>
    </comment>
    <comment ref="AF44" authorId="0">
      <text>
        <r>
          <rPr>
            <b/>
            <sz val="14"/>
            <rFont val="宋体"/>
            <charset val="134"/>
          </rPr>
          <t>Administrator:</t>
        </r>
        <r>
          <rPr>
            <sz val="14"/>
            <rFont val="宋体"/>
            <charset val="134"/>
          </rPr>
          <t xml:space="preserve">
1601122 1/13 960 pcs 四楼B5
</t>
        </r>
      </text>
    </comment>
    <comment ref="AH44" authorId="0">
      <text>
        <r>
          <rPr>
            <b/>
            <sz val="14"/>
            <rFont val="宋体"/>
            <charset val="134"/>
          </rPr>
          <t>Administrator:</t>
        </r>
        <r>
          <rPr>
            <sz val="14"/>
            <rFont val="宋体"/>
            <charset val="134"/>
          </rPr>
          <t xml:space="preserve">
12/15上 客供PFID贴纸 960 pcs</t>
        </r>
      </text>
    </comment>
    <comment ref="AF45" authorId="0">
      <text>
        <r>
          <rPr>
            <b/>
            <sz val="14"/>
            <rFont val="宋体"/>
            <charset val="134"/>
          </rPr>
          <t>Administrator:</t>
        </r>
        <r>
          <rPr>
            <sz val="14"/>
            <rFont val="宋体"/>
            <charset val="134"/>
          </rPr>
          <t xml:space="preserve">
1601122 1/13 960 pcs 四楼B5
</t>
        </r>
      </text>
    </comment>
    <comment ref="AH45" authorId="0">
      <text>
        <r>
          <rPr>
            <b/>
            <sz val="14"/>
            <rFont val="宋体"/>
            <charset val="134"/>
          </rPr>
          <t>Administrator:</t>
        </r>
        <r>
          <rPr>
            <sz val="14"/>
            <rFont val="宋体"/>
            <charset val="134"/>
          </rPr>
          <t xml:space="preserve">
12/15上 客供PFID贴纸 960 pcs</t>
        </r>
      </text>
    </comment>
    <comment ref="AF46" authorId="0">
      <text>
        <r>
          <rPr>
            <b/>
            <sz val="14"/>
            <rFont val="宋体"/>
            <charset val="134"/>
          </rPr>
          <t>Administrator:</t>
        </r>
        <r>
          <rPr>
            <sz val="14"/>
            <rFont val="宋体"/>
            <charset val="134"/>
          </rPr>
          <t xml:space="preserve">
1601122 1/13 960 pcs 四楼B5
</t>
        </r>
      </text>
    </comment>
    <comment ref="AH46" authorId="0">
      <text>
        <r>
          <rPr>
            <b/>
            <sz val="14"/>
            <rFont val="宋体"/>
            <charset val="134"/>
          </rPr>
          <t>Administrator:</t>
        </r>
        <r>
          <rPr>
            <sz val="14"/>
            <rFont val="宋体"/>
            <charset val="134"/>
          </rPr>
          <t xml:space="preserve">
12/15上 客供PFID贴纸 960 pcs</t>
        </r>
      </text>
    </comment>
    <comment ref="AF47" authorId="0">
      <text>
        <r>
          <rPr>
            <b/>
            <sz val="14"/>
            <rFont val="宋体"/>
            <charset val="134"/>
          </rPr>
          <t>Administrator:</t>
        </r>
        <r>
          <rPr>
            <sz val="14"/>
            <rFont val="宋体"/>
            <charset val="134"/>
          </rPr>
          <t xml:space="preserve">
1601104 1/12 1404 pcs 四楼A9</t>
        </r>
      </text>
    </comment>
    <comment ref="AH47" authorId="0">
      <text>
        <r>
          <rPr>
            <b/>
            <sz val="14"/>
            <rFont val="宋体"/>
            <charset val="134"/>
          </rPr>
          <t>Administrator:</t>
        </r>
        <r>
          <rPr>
            <sz val="14"/>
            <rFont val="宋体"/>
            <charset val="134"/>
          </rPr>
          <t xml:space="preserve">
12/15上 防盜贴纸 1404 pcs
12/23上 KM外箱贴纸 108 pcs
12/25上 纽扣电池警告语贴纸 2808pcs
 小警告语贴纸 1404 pcs</t>
        </r>
      </text>
    </comment>
    <comment ref="AF48" authorId="0">
      <text>
        <r>
          <rPr>
            <b/>
            <sz val="14"/>
            <rFont val="宋体"/>
            <charset val="134"/>
          </rPr>
          <t>Administrator:</t>
        </r>
        <r>
          <rPr>
            <sz val="14"/>
            <rFont val="宋体"/>
            <charset val="134"/>
          </rPr>
          <t xml:space="preserve">
1601104 1/12 104 pcs 四楼B1</t>
        </r>
      </text>
    </comment>
    <comment ref="AH48" authorId="0">
      <text>
        <r>
          <rPr>
            <b/>
            <sz val="14"/>
            <rFont val="宋体"/>
            <charset val="134"/>
          </rPr>
          <t>Administrator:</t>
        </r>
        <r>
          <rPr>
            <sz val="14"/>
            <rFont val="宋体"/>
            <charset val="134"/>
          </rPr>
          <t xml:space="preserve">
12/15上 防盜贴纸 104 pcs
12/23上 KM外箱贴纸 8 pcs
12/25上 纽扣电池警告语贴纸 208 pcs
 小警告语贴纸 104 pcs
</t>
        </r>
      </text>
    </comment>
    <comment ref="AF49" authorId="0">
      <text>
        <r>
          <rPr>
            <b/>
            <sz val="14"/>
            <rFont val="宋体"/>
            <charset val="134"/>
          </rPr>
          <t>Administrator:</t>
        </r>
        <r>
          <rPr>
            <sz val="14"/>
            <rFont val="宋体"/>
            <charset val="134"/>
          </rPr>
          <t xml:space="preserve">
1601122 1/13 2028 pcs 四楼A6
1601128 1/14 39 pcs 多一箱备品 A6</t>
        </r>
      </text>
    </comment>
    <comment ref="AF50" authorId="0">
      <text>
        <r>
          <rPr>
            <b/>
            <sz val="14"/>
            <rFont val="宋体"/>
            <charset val="134"/>
          </rPr>
          <t>Administrator:</t>
        </r>
        <r>
          <rPr>
            <sz val="14"/>
            <rFont val="宋体"/>
            <charset val="134"/>
          </rPr>
          <t xml:space="preserve">
1601117 1/13 8套空展示架+配齐展示架Demo+吸塑盒 pcs</t>
        </r>
      </text>
    </comment>
    <comment ref="AF51" authorId="0">
      <text>
        <r>
          <rPr>
            <b/>
            <sz val="14"/>
            <rFont val="宋体"/>
            <charset val="134"/>
          </rPr>
          <t>Administrator:</t>
        </r>
        <r>
          <rPr>
            <sz val="14"/>
            <rFont val="宋体"/>
            <charset val="134"/>
          </rPr>
          <t xml:space="preserve">
1201220 1/15 10套散件 文本云A一楼</t>
        </r>
      </text>
    </comment>
    <comment ref="AF52" authorId="0">
      <text>
        <r>
          <rPr>
            <b/>
            <sz val="14"/>
            <rFont val="宋体"/>
            <charset val="134"/>
          </rPr>
          <t>Administrator:</t>
        </r>
        <r>
          <rPr>
            <sz val="14"/>
            <rFont val="宋体"/>
            <charset val="134"/>
          </rPr>
          <t xml:space="preserve">
1601154 1/16 950 pcs 华兴三楼B14
1601183 1/16 50 pcs B14</t>
        </r>
      </text>
    </comment>
    <comment ref="AH52" authorId="0">
      <text>
        <r>
          <rPr>
            <b/>
            <sz val="14"/>
            <rFont val="宋体"/>
            <charset val="134"/>
          </rPr>
          <t>Administrator:</t>
        </r>
        <r>
          <rPr>
            <sz val="14"/>
            <rFont val="宋体"/>
            <charset val="134"/>
          </rPr>
          <t xml:space="preserve">
12/10上 UPC贴纸 1000 pcs</t>
        </r>
      </text>
    </comment>
    <comment ref="AF53" authorId="0">
      <text>
        <r>
          <rPr>
            <b/>
            <sz val="14"/>
            <rFont val="宋体"/>
            <charset val="134"/>
          </rPr>
          <t>Administrator:</t>
        </r>
        <r>
          <rPr>
            <sz val="14"/>
            <rFont val="宋体"/>
            <charset val="134"/>
          </rPr>
          <t xml:space="preserve">
1601169 1/15 9650 pcs 华兴三楼B11
1601154 1/16 350 pcs B11</t>
        </r>
      </text>
    </comment>
    <comment ref="AH53" authorId="0">
      <text>
        <r>
          <rPr>
            <b/>
            <sz val="14"/>
            <rFont val="宋体"/>
            <charset val="134"/>
          </rPr>
          <t>Administrator:</t>
        </r>
        <r>
          <rPr>
            <sz val="14"/>
            <rFont val="宋体"/>
            <charset val="134"/>
          </rPr>
          <t xml:space="preserve">
12/25上 UPC贴纸 1000 pcs</t>
        </r>
      </text>
    </comment>
    <comment ref="AF54" authorId="0">
      <text>
        <r>
          <rPr>
            <b/>
            <sz val="14"/>
            <rFont val="宋体"/>
            <charset val="134"/>
          </rPr>
          <t>Administrator:</t>
        </r>
        <r>
          <rPr>
            <sz val="14"/>
            <rFont val="宋体"/>
            <charset val="134"/>
          </rPr>
          <t xml:space="preserve">
1201220 1/15 24套散件 文本云A一楼</t>
        </r>
      </text>
    </comment>
    <comment ref="AF55" authorId="0">
      <text>
        <r>
          <rPr>
            <b/>
            <sz val="14"/>
            <rFont val="宋体"/>
            <charset val="134"/>
          </rPr>
          <t>Administrator:</t>
        </r>
        <r>
          <rPr>
            <sz val="14"/>
            <rFont val="宋体"/>
            <charset val="134"/>
          </rPr>
          <t xml:space="preserve">
1601069 1/10 2400 pcs 华兴三楼B9</t>
        </r>
      </text>
    </comment>
    <comment ref="AH55" authorId="0">
      <text>
        <r>
          <rPr>
            <b/>
            <sz val="14"/>
            <rFont val="宋体"/>
            <charset val="134"/>
          </rPr>
          <t>Administrator:</t>
        </r>
        <r>
          <rPr>
            <sz val="14"/>
            <rFont val="宋体"/>
            <charset val="134"/>
          </rPr>
          <t xml:space="preserve">
12/25上 西班牙环保标贴纸 2400 pcs</t>
        </r>
      </text>
    </comment>
    <comment ref="AF56" authorId="0">
      <text>
        <r>
          <rPr>
            <b/>
            <sz val="14"/>
            <rFont val="宋体"/>
            <charset val="134"/>
          </rPr>
          <t>Administrator:</t>
        </r>
        <r>
          <rPr>
            <sz val="14"/>
            <rFont val="宋体"/>
            <charset val="134"/>
          </rPr>
          <t xml:space="preserve">
1601154 1/16 3120 pcs 华兴一楼3</t>
        </r>
      </text>
    </comment>
    <comment ref="AH56" authorId="0">
      <text>
        <r>
          <rPr>
            <b/>
            <sz val="14"/>
            <rFont val="宋体"/>
            <charset val="134"/>
          </rPr>
          <t>Administrator:</t>
        </r>
        <r>
          <rPr>
            <sz val="14"/>
            <rFont val="宋体"/>
            <charset val="134"/>
          </rPr>
          <t xml:space="preserve">
12/25上 客户EAN条码贴纸 3120 pcs
  PDQ数量贴纸 780 pcs</t>
        </r>
      </text>
    </comment>
    <comment ref="AF57" authorId="0">
      <text>
        <r>
          <rPr>
            <b/>
            <sz val="14"/>
            <rFont val="宋体"/>
            <charset val="134"/>
          </rPr>
          <t>Administrator:</t>
        </r>
        <r>
          <rPr>
            <sz val="14"/>
            <rFont val="宋体"/>
            <charset val="134"/>
          </rPr>
          <t xml:space="preserve">
1601183 1/16 12 pcs 前一楼</t>
        </r>
      </text>
    </comment>
    <comment ref="AH57" authorId="0">
      <text>
        <r>
          <rPr>
            <b/>
            <sz val="14"/>
            <rFont val="宋体"/>
            <charset val="134"/>
          </rPr>
          <t>Administrator:</t>
        </r>
        <r>
          <rPr>
            <sz val="14"/>
            <rFont val="宋体"/>
            <charset val="134"/>
          </rPr>
          <t xml:space="preserve">
12/23上 客供亚马逊外箱贴纸 1 pcs</t>
        </r>
      </text>
    </comment>
    <comment ref="AF58" authorId="0">
      <text>
        <r>
          <rPr>
            <b/>
            <sz val="14"/>
            <rFont val="宋体"/>
            <charset val="134"/>
          </rPr>
          <t>Administrator:</t>
        </r>
        <r>
          <rPr>
            <sz val="14"/>
            <rFont val="宋体"/>
            <charset val="134"/>
          </rPr>
          <t xml:space="preserve">
1601157 1/15 960 pcs 华兴三楼A11</t>
        </r>
      </text>
    </comment>
    <comment ref="AH58" authorId="0">
      <text>
        <r>
          <rPr>
            <b/>
            <sz val="14"/>
            <rFont val="宋体"/>
            <charset val="134"/>
          </rPr>
          <t>Administrator:</t>
        </r>
        <r>
          <rPr>
            <sz val="14"/>
            <rFont val="宋体"/>
            <charset val="134"/>
          </rPr>
          <t xml:space="preserve">
12/15上 客供PFID贴纸 960 pcs</t>
        </r>
      </text>
    </comment>
    <comment ref="AF59" authorId="0">
      <text>
        <r>
          <rPr>
            <b/>
            <sz val="14"/>
            <rFont val="宋体"/>
            <charset val="134"/>
          </rPr>
          <t>Administrator:</t>
        </r>
        <r>
          <rPr>
            <sz val="14"/>
            <rFont val="宋体"/>
            <charset val="134"/>
          </rPr>
          <t xml:space="preserve">
1601154 1/16 1365 pcs 华兴一楼4</t>
        </r>
      </text>
    </comment>
    <comment ref="AH59" authorId="0">
      <text>
        <r>
          <rPr>
            <b/>
            <sz val="14"/>
            <rFont val="宋体"/>
            <charset val="134"/>
          </rPr>
          <t>Administrator:</t>
        </r>
        <r>
          <rPr>
            <sz val="14"/>
            <rFont val="宋体"/>
            <charset val="134"/>
          </rPr>
          <t xml:space="preserve">
12/15上 防盜贴纸 1365 pcs
12/25上 纽扣电池警告语贴纸 2730 pcs
12/31上 KM外箱贴纸 105 pcs</t>
        </r>
      </text>
    </comment>
    <comment ref="AF60" authorId="0">
      <text>
        <r>
          <rPr>
            <b/>
            <sz val="14"/>
            <rFont val="宋体"/>
            <charset val="134"/>
          </rPr>
          <t>Administrator:</t>
        </r>
        <r>
          <rPr>
            <sz val="14"/>
            <rFont val="宋体"/>
            <charset val="134"/>
          </rPr>
          <t xml:space="preserve">
1601154 1/16 143 pcs 华兴三楼B10</t>
        </r>
      </text>
    </comment>
    <comment ref="AH60" authorId="0">
      <text>
        <r>
          <rPr>
            <b/>
            <sz val="14"/>
            <rFont val="宋体"/>
            <charset val="134"/>
          </rPr>
          <t>Administrator:</t>
        </r>
        <r>
          <rPr>
            <sz val="14"/>
            <rFont val="宋体"/>
            <charset val="134"/>
          </rPr>
          <t xml:space="preserve">
12/15上 防盜贴纸 143 pcs
12/25上 纽扣电池警告语贴纸 286 pcs
12/31上 KM外箱贴纸 11 pcs
</t>
        </r>
      </text>
    </comment>
    <comment ref="AF61" authorId="0">
      <text>
        <r>
          <rPr>
            <b/>
            <sz val="14"/>
            <rFont val="宋体"/>
            <charset val="134"/>
          </rPr>
          <t>Administrator:</t>
        </r>
        <r>
          <rPr>
            <sz val="14"/>
            <rFont val="宋体"/>
            <charset val="134"/>
          </rPr>
          <t xml:space="preserve">
1601154 1/16 5950 pcs 华兴一楼7
1601191 1/19 50 pcs</t>
        </r>
      </text>
    </comment>
    <comment ref="AH61" authorId="0">
      <text>
        <r>
          <rPr>
            <b/>
            <sz val="14"/>
            <rFont val="宋体"/>
            <charset val="134"/>
          </rPr>
          <t>Administrator:</t>
        </r>
        <r>
          <rPr>
            <sz val="14"/>
            <rFont val="宋体"/>
            <charset val="134"/>
          </rPr>
          <t xml:space="preserve">
12/29上 进口商贴纸 6000 pcs</t>
        </r>
      </text>
    </comment>
    <comment ref="AF62" authorId="0">
      <text>
        <r>
          <rPr>
            <b/>
            <sz val="14"/>
            <rFont val="宋体"/>
            <charset val="134"/>
          </rPr>
          <t>Administrator:</t>
        </r>
        <r>
          <rPr>
            <sz val="14"/>
            <rFont val="宋体"/>
            <charset val="134"/>
          </rPr>
          <t xml:space="preserve">
1601169 1/15 4175 pcs 华兴三楼B13
</t>
        </r>
      </text>
    </comment>
    <comment ref="AH62" authorId="0">
      <text>
        <r>
          <rPr>
            <b/>
            <sz val="14"/>
            <rFont val="宋体"/>
            <charset val="134"/>
          </rPr>
          <t>Administrator:</t>
        </r>
        <r>
          <rPr>
            <sz val="14"/>
            <rFont val="宋体"/>
            <charset val="134"/>
          </rPr>
          <t xml:space="preserve">
12/25上 PDQ UPC条码贴纸 167 pcs</t>
        </r>
        <r>
          <rPr>
            <sz val="9"/>
            <rFont val="宋体"/>
            <charset val="134"/>
          </rPr>
          <t xml:space="preserve">
</t>
        </r>
      </text>
    </comment>
    <comment ref="AF63" authorId="0">
      <text>
        <r>
          <rPr>
            <b/>
            <sz val="14"/>
            <rFont val="宋体"/>
            <charset val="134"/>
          </rPr>
          <t>Administrator:</t>
        </r>
        <r>
          <rPr>
            <sz val="14"/>
            <rFont val="宋体"/>
            <charset val="134"/>
          </rPr>
          <t xml:space="preserve">
1601169 1/15 5125 pcs 华兴三楼A27
</t>
        </r>
      </text>
    </comment>
    <comment ref="AH63" authorId="0">
      <text>
        <r>
          <rPr>
            <b/>
            <sz val="14"/>
            <rFont val="宋体"/>
            <charset val="134"/>
          </rPr>
          <t>Administrator:</t>
        </r>
        <r>
          <rPr>
            <sz val="14"/>
            <rFont val="宋体"/>
            <charset val="134"/>
          </rPr>
          <t xml:space="preserve">
12/25上 PDQ UPC条码贴纸 205 pcs</t>
        </r>
        <r>
          <rPr>
            <sz val="9"/>
            <rFont val="宋体"/>
            <charset val="134"/>
          </rPr>
          <t xml:space="preserve">
</t>
        </r>
      </text>
    </comment>
    <comment ref="AF64" authorId="0">
      <text>
        <r>
          <rPr>
            <b/>
            <sz val="14"/>
            <rFont val="宋体"/>
            <charset val="134"/>
          </rPr>
          <t>Administrator:</t>
        </r>
        <r>
          <rPr>
            <sz val="14"/>
            <rFont val="宋体"/>
            <charset val="134"/>
          </rPr>
          <t xml:space="preserve">
1601154 1/16 2912 pcs 华兴三楼A32
1601191 1/19 104 pcs</t>
        </r>
      </text>
    </comment>
    <comment ref="AH64" authorId="0">
      <text>
        <r>
          <rPr>
            <b/>
            <sz val="14"/>
            <rFont val="宋体"/>
            <charset val="134"/>
          </rPr>
          <t>Administrator:</t>
        </r>
        <r>
          <rPr>
            <sz val="14"/>
            <rFont val="宋体"/>
            <charset val="134"/>
          </rPr>
          <t xml:space="preserve">
12/29上 价格贴纸 3016 pcs
 外箱条码贴纸 116 pcs</t>
        </r>
      </text>
    </comment>
    <comment ref="AF65" authorId="0">
      <text>
        <r>
          <rPr>
            <b/>
            <sz val="14"/>
            <rFont val="宋体"/>
            <charset val="134"/>
          </rPr>
          <t>Administrator:</t>
        </r>
        <r>
          <rPr>
            <sz val="14"/>
            <rFont val="宋体"/>
            <charset val="134"/>
          </rPr>
          <t xml:space="preserve">
1601157 1/15 960 pcs 华兴三楼A11
</t>
        </r>
      </text>
    </comment>
    <comment ref="AH65" authorId="0">
      <text>
        <r>
          <rPr>
            <b/>
            <sz val="14"/>
            <rFont val="宋体"/>
            <charset val="134"/>
          </rPr>
          <t>Administrator:</t>
        </r>
        <r>
          <rPr>
            <sz val="14"/>
            <rFont val="宋体"/>
            <charset val="134"/>
          </rPr>
          <t xml:space="preserve">
12/15上 客供PFID贴纸 960 pcs</t>
        </r>
      </text>
    </comment>
    <comment ref="AF66" authorId="0">
      <text>
        <r>
          <rPr>
            <b/>
            <sz val="14"/>
            <rFont val="宋体"/>
            <charset val="134"/>
          </rPr>
          <t>Administrator:</t>
        </r>
        <r>
          <rPr>
            <sz val="14"/>
            <rFont val="宋体"/>
            <charset val="134"/>
          </rPr>
          <t xml:space="preserve">
1601157 1/15 960 pcs 华兴三楼A11
</t>
        </r>
      </text>
    </comment>
    <comment ref="AH66" authorId="0">
      <text>
        <r>
          <rPr>
            <b/>
            <sz val="14"/>
            <rFont val="宋体"/>
            <charset val="134"/>
          </rPr>
          <t>Administrator:</t>
        </r>
        <r>
          <rPr>
            <sz val="14"/>
            <rFont val="宋体"/>
            <charset val="134"/>
          </rPr>
          <t xml:space="preserve">
12/15上 客供PFID贴纸 960 pcs</t>
        </r>
      </text>
    </comment>
    <comment ref="AF67" authorId="0">
      <text>
        <r>
          <rPr>
            <b/>
            <sz val="14"/>
            <rFont val="宋体"/>
            <charset val="134"/>
          </rPr>
          <t>Administrator:</t>
        </r>
        <r>
          <rPr>
            <sz val="14"/>
            <rFont val="宋体"/>
            <charset val="134"/>
          </rPr>
          <t xml:space="preserve">
1601157 1/15 960 pcs 华兴三楼A11
</t>
        </r>
      </text>
    </comment>
    <comment ref="AH67" authorId="0">
      <text>
        <r>
          <rPr>
            <b/>
            <sz val="14"/>
            <rFont val="宋体"/>
            <charset val="134"/>
          </rPr>
          <t>Administrator:</t>
        </r>
        <r>
          <rPr>
            <sz val="14"/>
            <rFont val="宋体"/>
            <charset val="134"/>
          </rPr>
          <t xml:space="preserve">
12/15上 客供PFID贴纸 960 pcs</t>
        </r>
      </text>
    </comment>
    <comment ref="AF68" authorId="0">
      <text>
        <r>
          <rPr>
            <b/>
            <sz val="14"/>
            <rFont val="宋体"/>
            <charset val="134"/>
          </rPr>
          <t>Administrator:</t>
        </r>
        <r>
          <rPr>
            <sz val="14"/>
            <rFont val="宋体"/>
            <charset val="134"/>
          </rPr>
          <t xml:space="preserve">
1601157 1/15 960 pcs 华兴三楼A11
</t>
        </r>
      </text>
    </comment>
    <comment ref="AH68" authorId="0">
      <text>
        <r>
          <rPr>
            <b/>
            <sz val="14"/>
            <rFont val="宋体"/>
            <charset val="134"/>
          </rPr>
          <t>Administrator:</t>
        </r>
        <r>
          <rPr>
            <sz val="14"/>
            <rFont val="宋体"/>
            <charset val="134"/>
          </rPr>
          <t xml:space="preserve">
12/15上 客供PFID贴纸 960 pcs</t>
        </r>
      </text>
    </comment>
    <comment ref="AF69" authorId="0">
      <text>
        <r>
          <rPr>
            <b/>
            <sz val="14"/>
            <rFont val="宋体"/>
            <charset val="134"/>
          </rPr>
          <t>Administrator:</t>
        </r>
        <r>
          <rPr>
            <sz val="14"/>
            <rFont val="宋体"/>
            <charset val="134"/>
          </rPr>
          <t xml:space="preserve">
1601157 1/15 960 pcs 华兴三楼A11
</t>
        </r>
      </text>
    </comment>
    <comment ref="AH69" authorId="0">
      <text>
        <r>
          <rPr>
            <b/>
            <sz val="14"/>
            <rFont val="宋体"/>
            <charset val="134"/>
          </rPr>
          <t>Administrator:</t>
        </r>
        <r>
          <rPr>
            <sz val="14"/>
            <rFont val="宋体"/>
            <charset val="134"/>
          </rPr>
          <t xml:space="preserve">
12/15上 客供PFID贴纸 960 pcs</t>
        </r>
      </text>
    </comment>
    <comment ref="AF70" authorId="0">
      <text>
        <r>
          <rPr>
            <b/>
            <sz val="14"/>
            <rFont val="宋体"/>
            <charset val="134"/>
          </rPr>
          <t>Administrator:</t>
        </r>
        <r>
          <rPr>
            <sz val="14"/>
            <rFont val="宋体"/>
            <charset val="134"/>
          </rPr>
          <t xml:space="preserve">
1601227 1/19 1450 pcs 华兴三楼B15 
1601219 1/21 50 pcs B15</t>
        </r>
      </text>
    </comment>
    <comment ref="AH70" authorId="0">
      <text>
        <r>
          <rPr>
            <b/>
            <sz val="16"/>
            <rFont val="宋体"/>
            <charset val="134"/>
          </rPr>
          <t>Administrator:</t>
        </r>
        <r>
          <rPr>
            <sz val="16"/>
            <rFont val="宋体"/>
            <charset val="134"/>
          </rPr>
          <t xml:space="preserve">
12/27上 进口商贴纸 1500 pcs
 UPC贴纸 1500 pcs</t>
        </r>
      </text>
    </comment>
    <comment ref="AF71" authorId="0">
      <text>
        <r>
          <rPr>
            <b/>
            <sz val="14"/>
            <rFont val="宋体"/>
            <charset val="134"/>
          </rPr>
          <t>Administrator:</t>
        </r>
        <r>
          <rPr>
            <sz val="14"/>
            <rFont val="宋体"/>
            <charset val="134"/>
          </rPr>
          <t xml:space="preserve">
1601219 1/21 588 pcs 华兴登一楼</t>
        </r>
      </text>
    </comment>
    <comment ref="AH71" authorId="0">
      <text>
        <r>
          <rPr>
            <b/>
            <sz val="14"/>
            <rFont val="宋体"/>
            <charset val="134"/>
          </rPr>
          <t>Administrator:</t>
        </r>
        <r>
          <rPr>
            <sz val="14"/>
            <rFont val="宋体"/>
            <charset val="134"/>
          </rPr>
          <t xml:space="preserve">
12/22上 亚马逊外箱贴纸 49 pcs
1/4上 环保标贴纸 588 pcs</t>
        </r>
      </text>
    </comment>
    <comment ref="AF72" authorId="0">
      <text>
        <r>
          <rPr>
            <b/>
            <sz val="14"/>
            <rFont val="宋体"/>
            <charset val="134"/>
          </rPr>
          <t>Administrator:</t>
        </r>
        <r>
          <rPr>
            <sz val="14"/>
            <rFont val="宋体"/>
            <charset val="134"/>
          </rPr>
          <t xml:space="preserve">
1601278 1/23 19360 pcs 华兴一楼F11
1601284 1/23 展示吸塑 230 套</t>
        </r>
      </text>
    </comment>
    <comment ref="AH72" authorId="0">
      <text>
        <r>
          <rPr>
            <b/>
            <sz val="14"/>
            <rFont val="宋体"/>
            <charset val="134"/>
          </rPr>
          <t>Administrator:</t>
        </r>
        <r>
          <rPr>
            <sz val="14"/>
            <rFont val="宋体"/>
            <charset val="134"/>
          </rPr>
          <t xml:space="preserve">
12/15上 防盜贴纸 19360 pcs
1/7上 纽扣电池警告语贴纸 38720pcs</t>
        </r>
      </text>
    </comment>
    <comment ref="AF73" authorId="0">
      <text>
        <r>
          <rPr>
            <b/>
            <sz val="14"/>
            <rFont val="宋体"/>
            <charset val="134"/>
          </rPr>
          <t>Administrator:</t>
        </r>
        <r>
          <rPr>
            <sz val="14"/>
            <rFont val="宋体"/>
            <charset val="134"/>
          </rPr>
          <t xml:space="preserve">
1601249 1/22 600 pcs 华兴三楼B15</t>
        </r>
      </text>
    </comment>
    <comment ref="AH73" authorId="0">
      <text>
        <r>
          <rPr>
            <b/>
            <sz val="14"/>
            <rFont val="宋体"/>
            <charset val="134"/>
          </rPr>
          <t>Administrator:</t>
        </r>
        <r>
          <rPr>
            <sz val="14"/>
            <rFont val="宋体"/>
            <charset val="134"/>
          </rPr>
          <t xml:space="preserve">
1/9上 UPC贴纸 600 pcs</t>
        </r>
      </text>
    </comment>
    <comment ref="AF74" authorId="0">
      <text>
        <r>
          <rPr>
            <b/>
            <sz val="14"/>
            <rFont val="宋体"/>
            <charset val="134"/>
          </rPr>
          <t>Administrator:</t>
        </r>
        <r>
          <rPr>
            <sz val="14"/>
            <rFont val="宋体"/>
            <charset val="134"/>
          </rPr>
          <t xml:space="preserve">
1601249 1/22 1000 pcs 华兴三楼B15
</t>
        </r>
      </text>
    </comment>
    <comment ref="AH74" authorId="0">
      <text>
        <r>
          <rPr>
            <b/>
            <sz val="14"/>
            <rFont val="宋体"/>
            <charset val="134"/>
          </rPr>
          <t>Administrator:</t>
        </r>
        <r>
          <rPr>
            <sz val="14"/>
            <rFont val="宋体"/>
            <charset val="134"/>
          </rPr>
          <t xml:space="preserve">
1/9上 UPC贴纸 1000 pcs</t>
        </r>
      </text>
    </comment>
    <comment ref="AF75" authorId="0">
      <text>
        <r>
          <rPr>
            <b/>
            <sz val="14"/>
            <rFont val="宋体"/>
            <charset val="134"/>
          </rPr>
          <t>Administrator:</t>
        </r>
        <r>
          <rPr>
            <sz val="14"/>
            <rFont val="宋体"/>
            <charset val="134"/>
          </rPr>
          <t xml:space="preserve">
1601249 1/22 1100 pcs 华兴三楼B15
</t>
        </r>
      </text>
    </comment>
    <comment ref="AH75" authorId="0">
      <text>
        <r>
          <rPr>
            <b/>
            <sz val="14"/>
            <rFont val="宋体"/>
            <charset val="134"/>
          </rPr>
          <t>Administrator:</t>
        </r>
        <r>
          <rPr>
            <sz val="14"/>
            <rFont val="宋体"/>
            <charset val="134"/>
          </rPr>
          <t xml:space="preserve">
1/9上 UPC贴纸 1100 pcs</t>
        </r>
      </text>
    </comment>
    <comment ref="AF76" authorId="0">
      <text>
        <r>
          <rPr>
            <b/>
            <sz val="14"/>
            <rFont val="宋体"/>
            <charset val="134"/>
          </rPr>
          <t>Administrator:</t>
        </r>
        <r>
          <rPr>
            <sz val="14"/>
            <rFont val="宋体"/>
            <charset val="134"/>
          </rPr>
          <t xml:space="preserve">
1601249 1/22 700 pcs 华兴三楼B15
</t>
        </r>
      </text>
    </comment>
    <comment ref="AH76" authorId="0">
      <text>
        <r>
          <rPr>
            <b/>
            <sz val="14"/>
            <rFont val="宋体"/>
            <charset val="134"/>
          </rPr>
          <t>Administrator:</t>
        </r>
        <r>
          <rPr>
            <sz val="14"/>
            <rFont val="宋体"/>
            <charset val="134"/>
          </rPr>
          <t xml:space="preserve">
1/9上 UPC贴纸 700 pcs</t>
        </r>
      </text>
    </comment>
    <comment ref="AF77" authorId="0">
      <text>
        <r>
          <rPr>
            <b/>
            <sz val="14"/>
            <rFont val="宋体"/>
            <charset val="134"/>
          </rPr>
          <t>Administrator:</t>
        </r>
        <r>
          <rPr>
            <sz val="14"/>
            <rFont val="宋体"/>
            <charset val="134"/>
          </rPr>
          <t xml:space="preserve">
1601249 1/22 1500 pcs 华兴三楼B15
</t>
        </r>
      </text>
    </comment>
    <comment ref="AH77" authorId="0">
      <text>
        <r>
          <rPr>
            <b/>
            <sz val="14"/>
            <rFont val="宋体"/>
            <charset val="134"/>
          </rPr>
          <t>Administrator:</t>
        </r>
        <r>
          <rPr>
            <sz val="14"/>
            <rFont val="宋体"/>
            <charset val="134"/>
          </rPr>
          <t xml:space="preserve">
1/9上 UPC贴纸 1500 pcs</t>
        </r>
      </text>
    </comment>
    <comment ref="AF78" authorId="0">
      <text>
        <r>
          <rPr>
            <b/>
            <sz val="14"/>
            <rFont val="宋体"/>
            <charset val="134"/>
          </rPr>
          <t>Administrator:</t>
        </r>
        <r>
          <rPr>
            <sz val="14"/>
            <rFont val="宋体"/>
            <charset val="134"/>
          </rPr>
          <t xml:space="preserve">
1601270 1/23 4500 pcs 华兴三楼A21</t>
        </r>
      </text>
    </comment>
    <comment ref="AF79" authorId="0">
      <text>
        <r>
          <rPr>
            <b/>
            <sz val="14"/>
            <rFont val="宋体"/>
            <charset val="134"/>
          </rPr>
          <t>Administrator:</t>
        </r>
        <r>
          <rPr>
            <sz val="14"/>
            <rFont val="宋体"/>
            <charset val="134"/>
          </rPr>
          <t xml:space="preserve">
1601249 1/22 300 pcs 华兴三楼B15
</t>
        </r>
      </text>
    </comment>
    <comment ref="AH79" authorId="0">
      <text>
        <r>
          <rPr>
            <b/>
            <sz val="14"/>
            <rFont val="宋体"/>
            <charset val="134"/>
          </rPr>
          <t>Administrator:</t>
        </r>
        <r>
          <rPr>
            <sz val="14"/>
            <rFont val="宋体"/>
            <charset val="134"/>
          </rPr>
          <t xml:space="preserve">
1/9上 UPC贴纸 300 pcs</t>
        </r>
      </text>
    </comment>
    <comment ref="AF80" authorId="0">
      <text>
        <r>
          <rPr>
            <b/>
            <sz val="14"/>
            <rFont val="宋体"/>
            <charset val="134"/>
          </rPr>
          <t>Administrator:</t>
        </r>
        <r>
          <rPr>
            <sz val="14"/>
            <rFont val="宋体"/>
            <charset val="134"/>
          </rPr>
          <t xml:space="preserve">
1601135 1/25 2392 pcs 华兴三楼B13</t>
        </r>
      </text>
    </comment>
    <comment ref="AH80" authorId="0">
      <text>
        <r>
          <rPr>
            <b/>
            <sz val="14"/>
            <rFont val="宋体"/>
            <charset val="134"/>
          </rPr>
          <t>Administrator:</t>
        </r>
        <r>
          <rPr>
            <sz val="14"/>
            <rFont val="宋体"/>
            <charset val="134"/>
          </rPr>
          <t xml:space="preserve">
1/7上 纽扣电池警告语贴纸 4784 pcs</t>
        </r>
        <r>
          <rPr>
            <sz val="9"/>
            <rFont val="宋体"/>
            <charset val="134"/>
          </rPr>
          <t xml:space="preserve">
</t>
        </r>
        <r>
          <rPr>
            <sz val="14"/>
            <rFont val="宋体"/>
            <charset val="134"/>
          </rPr>
          <t>1/12上 KM外箱贴纸 184 pcs
1/13上 白色防盗贴纸 2392 pcs</t>
        </r>
      </text>
    </comment>
    <comment ref="AF81" authorId="0">
      <text>
        <r>
          <rPr>
            <b/>
            <sz val="14"/>
            <rFont val="宋体"/>
            <charset val="134"/>
          </rPr>
          <t>Administrator:</t>
        </r>
        <r>
          <rPr>
            <sz val="14"/>
            <rFont val="宋体"/>
            <charset val="134"/>
          </rPr>
          <t xml:space="preserve">
1601135 1/25 1963 pcs 华兴三楼A26</t>
        </r>
      </text>
    </comment>
    <comment ref="AH81" authorId="0">
      <text>
        <r>
          <rPr>
            <b/>
            <sz val="14"/>
            <rFont val="宋体"/>
            <charset val="134"/>
          </rPr>
          <t>Administrator:</t>
        </r>
        <r>
          <rPr>
            <sz val="14"/>
            <rFont val="宋体"/>
            <charset val="134"/>
          </rPr>
          <t xml:space="preserve">
1/7上 纽扣电池警告语贴纸 3926 pcs</t>
        </r>
        <r>
          <rPr>
            <sz val="9"/>
            <rFont val="宋体"/>
            <charset val="134"/>
          </rPr>
          <t xml:space="preserve">
</t>
        </r>
        <r>
          <rPr>
            <sz val="14"/>
            <rFont val="宋体"/>
            <charset val="134"/>
          </rPr>
          <t>1/12上 KM外箱贴纸 151 pcs</t>
        </r>
        <r>
          <rPr>
            <sz val="9"/>
            <rFont val="宋体"/>
            <charset val="134"/>
          </rPr>
          <t xml:space="preserve">
</t>
        </r>
        <r>
          <rPr>
            <sz val="14"/>
            <rFont val="宋体"/>
            <charset val="134"/>
          </rPr>
          <t>1/13上 白色防盗贴纸 1963 pcs</t>
        </r>
        <r>
          <rPr>
            <sz val="9"/>
            <rFont val="宋体"/>
            <charset val="134"/>
          </rPr>
          <t xml:space="preserve">
</t>
        </r>
      </text>
    </comment>
    <comment ref="AF82" authorId="0">
      <text>
        <r>
          <rPr>
            <b/>
            <sz val="14"/>
            <rFont val="宋体"/>
            <charset val="134"/>
          </rPr>
          <t>Administrator:</t>
        </r>
        <r>
          <rPr>
            <sz val="14"/>
            <rFont val="宋体"/>
            <charset val="134"/>
          </rPr>
          <t xml:space="preserve">
1601135 1/25 1508 pcs 华兴三楼B130</t>
        </r>
      </text>
    </comment>
    <comment ref="AH82" authorId="0">
      <text>
        <r>
          <rPr>
            <b/>
            <sz val="14"/>
            <rFont val="宋体"/>
            <charset val="134"/>
          </rPr>
          <t>Administrator:</t>
        </r>
        <r>
          <rPr>
            <sz val="14"/>
            <rFont val="宋体"/>
            <charset val="134"/>
          </rPr>
          <t xml:space="preserve">
1/7上 纽扣电池警告语贴纸 3016 pcs</t>
        </r>
        <r>
          <rPr>
            <sz val="9"/>
            <rFont val="宋体"/>
            <charset val="134"/>
          </rPr>
          <t xml:space="preserve">
</t>
        </r>
        <r>
          <rPr>
            <sz val="14"/>
            <rFont val="宋体"/>
            <charset val="134"/>
          </rPr>
          <t>1/12上 KM外箱贴纸 116 pcs</t>
        </r>
        <r>
          <rPr>
            <sz val="9"/>
            <rFont val="宋体"/>
            <charset val="134"/>
          </rPr>
          <t xml:space="preserve">
</t>
        </r>
        <r>
          <rPr>
            <sz val="14"/>
            <rFont val="宋体"/>
            <charset val="134"/>
          </rPr>
          <t>1/13上 白色防盗贴纸 1508 pcs</t>
        </r>
        <r>
          <rPr>
            <sz val="9"/>
            <rFont val="宋体"/>
            <charset val="134"/>
          </rPr>
          <t xml:space="preserve">
</t>
        </r>
      </text>
    </comment>
    <comment ref="AF83" authorId="0">
      <text>
        <r>
          <rPr>
            <b/>
            <sz val="14"/>
            <rFont val="宋体"/>
            <charset val="134"/>
          </rPr>
          <t>Administrator:</t>
        </r>
        <r>
          <rPr>
            <sz val="14"/>
            <rFont val="宋体"/>
            <charset val="134"/>
          </rPr>
          <t xml:space="preserve">
1601135 1/25 143 pcs 华兴三楼B13
</t>
        </r>
      </text>
    </comment>
    <comment ref="AH83" authorId="0">
      <text>
        <r>
          <rPr>
            <b/>
            <sz val="14"/>
            <rFont val="宋体"/>
            <charset val="134"/>
          </rPr>
          <t>Administrator:</t>
        </r>
        <r>
          <rPr>
            <sz val="14"/>
            <rFont val="宋体"/>
            <charset val="134"/>
          </rPr>
          <t xml:space="preserve">
1/7上 纽扣电池警告语贴纸 286 pcs</t>
        </r>
        <r>
          <rPr>
            <sz val="9"/>
            <rFont val="宋体"/>
            <charset val="134"/>
          </rPr>
          <t xml:space="preserve">
</t>
        </r>
        <r>
          <rPr>
            <sz val="14"/>
            <rFont val="宋体"/>
            <charset val="134"/>
          </rPr>
          <t>1/12上 KM外箱贴纸 11 pcs</t>
        </r>
        <r>
          <rPr>
            <sz val="9"/>
            <rFont val="宋体"/>
            <charset val="134"/>
          </rPr>
          <t xml:space="preserve">
</t>
        </r>
        <r>
          <rPr>
            <sz val="14"/>
            <rFont val="宋体"/>
            <charset val="134"/>
          </rPr>
          <t>1/13上 白色防盗贴纸 143 pcs</t>
        </r>
        <r>
          <rPr>
            <sz val="9"/>
            <rFont val="宋体"/>
            <charset val="134"/>
          </rPr>
          <t xml:space="preserve">
</t>
        </r>
      </text>
    </comment>
    <comment ref="AF84" authorId="0">
      <text>
        <r>
          <rPr>
            <b/>
            <sz val="14"/>
            <rFont val="宋体"/>
            <charset val="134"/>
          </rPr>
          <t>Administrator:</t>
        </r>
        <r>
          <rPr>
            <sz val="14"/>
            <rFont val="宋体"/>
            <charset val="134"/>
          </rPr>
          <t xml:space="preserve">
1601135 1/25 4004 pcs 华兴三楼A26
</t>
        </r>
      </text>
    </comment>
    <comment ref="AH84" authorId="0">
      <text>
        <r>
          <rPr>
            <b/>
            <sz val="14"/>
            <rFont val="宋体"/>
            <charset val="134"/>
          </rPr>
          <t>Administrator:</t>
        </r>
        <r>
          <rPr>
            <sz val="14"/>
            <rFont val="宋体"/>
            <charset val="134"/>
          </rPr>
          <t xml:space="preserve">
12/23上 说明书纽扣电池警告语贴纸 4004 pcs
 收缩膜纽扣电池警告语贴纸 4004 pcs
 小警语贴纸 4004 pcs
1/20上 SSCC外箱贴纸 308 pcs</t>
        </r>
      </text>
    </comment>
    <comment ref="AF85" authorId="0">
      <text>
        <r>
          <rPr>
            <b/>
            <sz val="14"/>
            <rFont val="宋体"/>
            <charset val="134"/>
          </rPr>
          <t>Administrator:</t>
        </r>
        <r>
          <rPr>
            <sz val="14"/>
            <rFont val="宋体"/>
            <charset val="134"/>
          </rPr>
          <t xml:space="preserve">
1601144 1/26 624 pcs 华兴三楼B8</t>
        </r>
      </text>
    </comment>
    <comment ref="AH85" authorId="0">
      <text>
        <r>
          <rPr>
            <b/>
            <sz val="14"/>
            <rFont val="宋体"/>
            <charset val="134"/>
          </rPr>
          <t>Administrator:</t>
        </r>
        <r>
          <rPr>
            <sz val="14"/>
            <rFont val="宋体"/>
            <charset val="134"/>
          </rPr>
          <t xml:space="preserve">
1/14上 进口商贴纸 624 pcs
 条码贴纸 624 pcs
</t>
        </r>
      </text>
    </comment>
    <comment ref="AF86" authorId="0">
      <text>
        <r>
          <rPr>
            <b/>
            <sz val="14"/>
            <rFont val="宋体"/>
            <charset val="134"/>
          </rPr>
          <t>Administrator:</t>
        </r>
        <r>
          <rPr>
            <sz val="14"/>
            <rFont val="宋体"/>
            <charset val="134"/>
          </rPr>
          <t xml:space="preserve">
5000253 1/27 2450 pcs 华兴三楼B17
1405701 1/29 50 pcs</t>
        </r>
      </text>
    </comment>
    <comment ref="AH86" authorId="0">
      <text>
        <r>
          <rPr>
            <b/>
            <sz val="14"/>
            <rFont val="宋体"/>
            <charset val="134"/>
          </rPr>
          <t>Administrator:</t>
        </r>
        <r>
          <rPr>
            <sz val="14"/>
            <rFont val="宋体"/>
            <charset val="134"/>
          </rPr>
          <t xml:space="preserve">
12/23上  UPC贴纸 2500 pcs
  红色iogo贴纸 2500 pcs
  保证书 2500 pcs
  收缩膜进口商贴纸 2500 pcs
 产品进口商贴纸 2500 pcs
 说明书进口商贴纸 2500 pcs</t>
        </r>
      </text>
    </comment>
    <comment ref="AF87" authorId="0">
      <text>
        <r>
          <rPr>
            <b/>
            <sz val="14"/>
            <rFont val="宋体"/>
            <charset val="134"/>
          </rPr>
          <t>Administrator:</t>
        </r>
        <r>
          <rPr>
            <sz val="14"/>
            <rFont val="宋体"/>
            <charset val="134"/>
          </rPr>
          <t xml:space="preserve">
5000253 1/27 2350 pcs 华兴三楼A32
1405711 1/28 150 pcs A32</t>
        </r>
      </text>
    </comment>
    <comment ref="AH87" authorId="0">
      <text>
        <r>
          <rPr>
            <b/>
            <sz val="14"/>
            <rFont val="宋体"/>
            <charset val="134"/>
          </rPr>
          <t>Administrator:</t>
        </r>
        <r>
          <rPr>
            <sz val="14"/>
            <rFont val="宋体"/>
            <charset val="134"/>
          </rPr>
          <t xml:space="preserve">
1/12上 进口商贴纸 2500 pcs
  UPC贴纸 2500 pcs
 保证书 2500 pcs</t>
        </r>
      </text>
    </comment>
    <comment ref="AF88" authorId="0">
      <text>
        <r>
          <rPr>
            <b/>
            <sz val="14"/>
            <rFont val="宋体"/>
            <charset val="134"/>
          </rPr>
          <t>Administrator:</t>
        </r>
        <r>
          <rPr>
            <sz val="14"/>
            <rFont val="宋体"/>
            <charset val="134"/>
          </rPr>
          <t xml:space="preserve">
1601144 1/26 780 pcs 华兴三楼B13</t>
        </r>
      </text>
    </comment>
    <comment ref="AH88" authorId="0">
      <text>
        <r>
          <rPr>
            <b/>
            <sz val="14"/>
            <rFont val="宋体"/>
            <charset val="134"/>
          </rPr>
          <t>Administrator:</t>
        </r>
        <r>
          <rPr>
            <sz val="14"/>
            <rFont val="宋体"/>
            <charset val="134"/>
          </rPr>
          <t xml:space="preserve">
1/5上 进口商贴纸 780 pcs
1/15上 UPC贴纸 780 pcs</t>
        </r>
      </text>
    </comment>
    <comment ref="AF89" authorId="0">
      <text>
        <r>
          <rPr>
            <b/>
            <sz val="14"/>
            <rFont val="宋体"/>
            <charset val="134"/>
          </rPr>
          <t>Administrator:</t>
        </r>
        <r>
          <rPr>
            <sz val="14"/>
            <rFont val="宋体"/>
            <charset val="134"/>
          </rPr>
          <t xml:space="preserve">
5000253 1/27 2700 pcs 华兴三楼A32
1405711 1/28 50 pcs A32</t>
        </r>
      </text>
    </comment>
    <comment ref="AH89" authorId="0">
      <text>
        <r>
          <rPr>
            <b/>
            <sz val="14"/>
            <rFont val="宋体"/>
            <charset val="134"/>
          </rPr>
          <t>Administrator:</t>
        </r>
        <r>
          <rPr>
            <sz val="14"/>
            <rFont val="宋体"/>
            <charset val="134"/>
          </rPr>
          <t xml:space="preserve">
1/19上 进口商贴纸 2750 pcs
  UPC 贴纸 2750 pcs</t>
        </r>
      </text>
    </comment>
    <comment ref="AF90" authorId="0">
      <text>
        <r>
          <rPr>
            <b/>
            <sz val="14"/>
            <rFont val="宋体"/>
            <charset val="134"/>
          </rPr>
          <t>Administrator:</t>
        </r>
        <r>
          <rPr>
            <sz val="14"/>
            <rFont val="宋体"/>
            <charset val="134"/>
          </rPr>
          <t xml:space="preserve">
1405655 2/2 960 pcs 华兴三楼A21</t>
        </r>
      </text>
    </comment>
    <comment ref="AH90" authorId="0">
      <text>
        <r>
          <rPr>
            <b/>
            <sz val="14"/>
            <rFont val="宋体"/>
            <charset val="134"/>
          </rPr>
          <t>Administrator:</t>
        </r>
        <r>
          <rPr>
            <sz val="14"/>
            <rFont val="宋体"/>
            <charset val="134"/>
          </rPr>
          <t xml:space="preserve">
1/5上 客供PFID贴纸 960 pcs</t>
        </r>
      </text>
    </comment>
    <comment ref="AF91" authorId="0">
      <text>
        <r>
          <rPr>
            <b/>
            <sz val="14"/>
            <rFont val="宋体"/>
            <charset val="134"/>
          </rPr>
          <t>Administrator:</t>
        </r>
        <r>
          <rPr>
            <sz val="14"/>
            <rFont val="宋体"/>
            <charset val="134"/>
          </rPr>
          <t xml:space="preserve">
1405655 2/2 960 pcs 华兴三楼A21
</t>
        </r>
      </text>
    </comment>
    <comment ref="AH91" authorId="0">
      <text>
        <r>
          <rPr>
            <b/>
            <sz val="14"/>
            <rFont val="宋体"/>
            <charset val="134"/>
          </rPr>
          <t>Administrator:</t>
        </r>
        <r>
          <rPr>
            <sz val="14"/>
            <rFont val="宋体"/>
            <charset val="134"/>
          </rPr>
          <t xml:space="preserve">
1/5上 客供PFID贴纸 960 pcs</t>
        </r>
      </text>
    </comment>
    <comment ref="AF92" authorId="0">
      <text>
        <r>
          <rPr>
            <b/>
            <sz val="14"/>
            <rFont val="宋体"/>
            <charset val="134"/>
          </rPr>
          <t>Administrator:</t>
        </r>
        <r>
          <rPr>
            <sz val="14"/>
            <rFont val="宋体"/>
            <charset val="134"/>
          </rPr>
          <t xml:space="preserve">
1405655 2/2 960 pcs  华兴三楼A21
</t>
        </r>
      </text>
    </comment>
    <comment ref="AH92" authorId="0">
      <text>
        <r>
          <rPr>
            <b/>
            <sz val="14"/>
            <rFont val="宋体"/>
            <charset val="134"/>
          </rPr>
          <t>Administrator:</t>
        </r>
        <r>
          <rPr>
            <sz val="14"/>
            <rFont val="宋体"/>
            <charset val="134"/>
          </rPr>
          <t xml:space="preserve">
1/5上 客供PFID贴纸 960 pcs</t>
        </r>
      </text>
    </comment>
    <comment ref="AF93" authorId="0">
      <text>
        <r>
          <rPr>
            <b/>
            <sz val="14"/>
            <rFont val="宋体"/>
            <charset val="134"/>
          </rPr>
          <t>Administrator:</t>
        </r>
        <r>
          <rPr>
            <sz val="14"/>
            <rFont val="宋体"/>
            <charset val="134"/>
          </rPr>
          <t xml:space="preserve">
1405655 2/2 960 pcs 华兴三楼A21
</t>
        </r>
      </text>
    </comment>
    <comment ref="AH93" authorId="0">
      <text>
        <r>
          <rPr>
            <b/>
            <sz val="14"/>
            <rFont val="宋体"/>
            <charset val="134"/>
          </rPr>
          <t>Administrator:</t>
        </r>
        <r>
          <rPr>
            <sz val="14"/>
            <rFont val="宋体"/>
            <charset val="134"/>
          </rPr>
          <t xml:space="preserve">
1/5上 客供PFID贴纸 960 pcs</t>
        </r>
      </text>
    </comment>
    <comment ref="AF94" authorId="0">
      <text>
        <r>
          <rPr>
            <b/>
            <sz val="14"/>
            <rFont val="宋体"/>
            <charset val="134"/>
          </rPr>
          <t>Administrator:</t>
        </r>
        <r>
          <rPr>
            <sz val="14"/>
            <rFont val="宋体"/>
            <charset val="134"/>
          </rPr>
          <t xml:space="preserve">
1405655 2/2 928 pcs 华兴三楼A21
1405665 2/3 32 pcs A21</t>
        </r>
      </text>
    </comment>
    <comment ref="AH94" authorId="0">
      <text>
        <r>
          <rPr>
            <b/>
            <sz val="14"/>
            <rFont val="宋体"/>
            <charset val="134"/>
          </rPr>
          <t>Administrator:</t>
        </r>
        <r>
          <rPr>
            <sz val="14"/>
            <rFont val="宋体"/>
            <charset val="134"/>
          </rPr>
          <t xml:space="preserve">
1/5上 客供PFID贴纸 960 pcs</t>
        </r>
      </text>
    </comment>
    <comment ref="AF95" authorId="0">
      <text>
        <r>
          <rPr>
            <b/>
            <sz val="14"/>
            <rFont val="宋体"/>
            <charset val="134"/>
          </rPr>
          <t>Administrator:</t>
        </r>
        <r>
          <rPr>
            <sz val="14"/>
            <rFont val="宋体"/>
            <charset val="134"/>
          </rPr>
          <t xml:space="preserve">
1405655 2/2 944 pcs 华兴三楼A21
1405665 2/3 16 pcs A21</t>
        </r>
      </text>
    </comment>
    <comment ref="AH95" authorId="0">
      <text>
        <r>
          <rPr>
            <b/>
            <sz val="14"/>
            <rFont val="宋体"/>
            <charset val="134"/>
          </rPr>
          <t>Administrator:</t>
        </r>
        <r>
          <rPr>
            <sz val="14"/>
            <rFont val="宋体"/>
            <charset val="134"/>
          </rPr>
          <t xml:space="preserve">
1/5上 客供PFID贴纸 960 pcs</t>
        </r>
      </text>
    </comment>
    <comment ref="AF96" authorId="0">
      <text>
        <r>
          <rPr>
            <b/>
            <sz val="14"/>
            <rFont val="宋体"/>
            <charset val="134"/>
          </rPr>
          <t>Administrator:</t>
        </r>
        <r>
          <rPr>
            <sz val="14"/>
            <rFont val="宋体"/>
            <charset val="134"/>
          </rPr>
          <t xml:space="preserve">
1405655 2/2 944 pcs 华兴三楼A21
1405665 2/3 16 pcs A21</t>
        </r>
      </text>
    </comment>
    <comment ref="AH96" authorId="0">
      <text>
        <r>
          <rPr>
            <b/>
            <sz val="14"/>
            <rFont val="宋体"/>
            <charset val="134"/>
          </rPr>
          <t>Administrator:</t>
        </r>
        <r>
          <rPr>
            <sz val="14"/>
            <rFont val="宋体"/>
            <charset val="134"/>
          </rPr>
          <t xml:space="preserve">
1/5上 客供PFID贴纸 960 pcs</t>
        </r>
      </text>
    </comment>
    <comment ref="AF97" authorId="0">
      <text>
        <r>
          <rPr>
            <b/>
            <sz val="14"/>
            <rFont val="宋体"/>
            <charset val="134"/>
          </rPr>
          <t>Administrator:</t>
        </r>
        <r>
          <rPr>
            <sz val="14"/>
            <rFont val="宋体"/>
            <charset val="134"/>
          </rPr>
          <t xml:space="preserve">
1405655 2/2 960 pcs 华兴三楼A21
</t>
        </r>
      </text>
    </comment>
    <comment ref="AH97" authorId="0">
      <text>
        <r>
          <rPr>
            <b/>
            <sz val="14"/>
            <rFont val="宋体"/>
            <charset val="134"/>
          </rPr>
          <t>Administrator:</t>
        </r>
        <r>
          <rPr>
            <sz val="14"/>
            <rFont val="宋体"/>
            <charset val="134"/>
          </rPr>
          <t xml:space="preserve">
1/5上 客供PFID贴纸 960 pcs</t>
        </r>
      </text>
    </comment>
    <comment ref="AF98" authorId="0">
      <text>
        <r>
          <rPr>
            <b/>
            <sz val="14"/>
            <rFont val="宋体"/>
            <charset val="134"/>
          </rPr>
          <t>Administrator:</t>
        </r>
        <r>
          <rPr>
            <sz val="14"/>
            <rFont val="宋体"/>
            <charset val="134"/>
          </rPr>
          <t xml:space="preserve">
1405655 2/2 960 pcs 华兴三楼A21
</t>
        </r>
      </text>
    </comment>
    <comment ref="AH98" authorId="0">
      <text>
        <r>
          <rPr>
            <b/>
            <sz val="14"/>
            <rFont val="宋体"/>
            <charset val="134"/>
          </rPr>
          <t>Administrator:</t>
        </r>
        <r>
          <rPr>
            <sz val="14"/>
            <rFont val="宋体"/>
            <charset val="134"/>
          </rPr>
          <t xml:space="preserve">
1/5上 客供PFID贴纸 960 pcs</t>
        </r>
      </text>
    </comment>
    <comment ref="AF99" authorId="0">
      <text>
        <r>
          <rPr>
            <b/>
            <sz val="14"/>
            <rFont val="宋体"/>
            <charset val="134"/>
          </rPr>
          <t>Administrator:</t>
        </r>
        <r>
          <rPr>
            <sz val="14"/>
            <rFont val="宋体"/>
            <charset val="134"/>
          </rPr>
          <t xml:space="preserve">
1405655 2/2 960 pcs 华兴三楼A21
</t>
        </r>
      </text>
    </comment>
    <comment ref="AH99" authorId="0">
      <text>
        <r>
          <rPr>
            <b/>
            <sz val="14"/>
            <rFont val="宋体"/>
            <charset val="134"/>
          </rPr>
          <t>Administrator:</t>
        </r>
        <r>
          <rPr>
            <sz val="14"/>
            <rFont val="宋体"/>
            <charset val="134"/>
          </rPr>
          <t xml:space="preserve">
1/5上 客供PFID贴纸 960 pcs</t>
        </r>
      </text>
    </comment>
    <comment ref="AF100" authorId="0">
      <text>
        <r>
          <rPr>
            <b/>
            <sz val="14"/>
            <rFont val="宋体"/>
            <charset val="134"/>
          </rPr>
          <t>Administrator:</t>
        </r>
        <r>
          <rPr>
            <sz val="14"/>
            <rFont val="宋体"/>
            <charset val="134"/>
          </rPr>
          <t xml:space="preserve">
1405584 2/6 960 pcs 华兴三楼A23</t>
        </r>
      </text>
    </comment>
    <comment ref="AH100" authorId="0">
      <text>
        <r>
          <rPr>
            <b/>
            <sz val="14"/>
            <rFont val="宋体"/>
            <charset val="134"/>
          </rPr>
          <t>Administrator:</t>
        </r>
        <r>
          <rPr>
            <sz val="14"/>
            <rFont val="宋体"/>
            <charset val="134"/>
          </rPr>
          <t xml:space="preserve">
1/21上 客供PFID贴纸 960 pcs</t>
        </r>
      </text>
    </comment>
    <comment ref="AF101" authorId="0">
      <text>
        <r>
          <rPr>
            <b/>
            <sz val="14"/>
            <rFont val="宋体"/>
            <charset val="134"/>
          </rPr>
          <t>Administrator:</t>
        </r>
        <r>
          <rPr>
            <sz val="14"/>
            <rFont val="宋体"/>
            <charset val="134"/>
          </rPr>
          <t xml:space="preserve">
1405584 2/6 960 pcs 华兴三楼A23
</t>
        </r>
      </text>
    </comment>
    <comment ref="AH101" authorId="0">
      <text>
        <r>
          <rPr>
            <b/>
            <sz val="14"/>
            <rFont val="宋体"/>
            <charset val="134"/>
          </rPr>
          <t>Administrator:</t>
        </r>
        <r>
          <rPr>
            <sz val="14"/>
            <rFont val="宋体"/>
            <charset val="134"/>
          </rPr>
          <t xml:space="preserve">
1/21上 客供PFID贴纸 960 pcs</t>
        </r>
      </text>
    </comment>
    <comment ref="AF102" authorId="0">
      <text>
        <r>
          <rPr>
            <b/>
            <sz val="14"/>
            <rFont val="宋体"/>
            <charset val="134"/>
          </rPr>
          <t>Administrator:</t>
        </r>
        <r>
          <rPr>
            <sz val="14"/>
            <rFont val="宋体"/>
            <charset val="134"/>
          </rPr>
          <t xml:space="preserve">
1405584 2/6 960 pcs 华兴三楼A23
</t>
        </r>
      </text>
    </comment>
    <comment ref="AH102" authorId="0">
      <text>
        <r>
          <rPr>
            <b/>
            <sz val="14"/>
            <rFont val="宋体"/>
            <charset val="134"/>
          </rPr>
          <t>Administrator:</t>
        </r>
        <r>
          <rPr>
            <sz val="14"/>
            <rFont val="宋体"/>
            <charset val="134"/>
          </rPr>
          <t xml:space="preserve">
1/21上 客供PFID贴纸 960 pcs</t>
        </r>
      </text>
    </comment>
    <comment ref="AF103" authorId="0">
      <text>
        <r>
          <rPr>
            <b/>
            <sz val="14"/>
            <rFont val="宋体"/>
            <charset val="134"/>
          </rPr>
          <t>Administrator:</t>
        </r>
        <r>
          <rPr>
            <sz val="14"/>
            <rFont val="宋体"/>
            <charset val="134"/>
          </rPr>
          <t xml:space="preserve">
1405584 2/6 960 pcs 华兴三楼A23
</t>
        </r>
      </text>
    </comment>
    <comment ref="AH103" authorId="0">
      <text>
        <r>
          <rPr>
            <b/>
            <sz val="14"/>
            <rFont val="宋体"/>
            <charset val="134"/>
          </rPr>
          <t>Administrator:</t>
        </r>
        <r>
          <rPr>
            <sz val="14"/>
            <rFont val="宋体"/>
            <charset val="134"/>
          </rPr>
          <t xml:space="preserve">
1/21上 客供PFID贴纸 960 pcs</t>
        </r>
      </text>
    </comment>
    <comment ref="AF104" authorId="0">
      <text>
        <r>
          <rPr>
            <b/>
            <sz val="14"/>
            <rFont val="宋体"/>
            <charset val="134"/>
          </rPr>
          <t>Administrator:</t>
        </r>
        <r>
          <rPr>
            <sz val="14"/>
            <rFont val="宋体"/>
            <charset val="134"/>
          </rPr>
          <t xml:space="preserve">
1405584 2/6 960 pcs 华兴三楼A23
</t>
        </r>
      </text>
    </comment>
    <comment ref="AH104" authorId="0">
      <text>
        <r>
          <rPr>
            <b/>
            <sz val="14"/>
            <rFont val="宋体"/>
            <charset val="134"/>
          </rPr>
          <t>Administrator:</t>
        </r>
        <r>
          <rPr>
            <sz val="14"/>
            <rFont val="宋体"/>
            <charset val="134"/>
          </rPr>
          <t xml:space="preserve">
1/21上 客供PFID贴纸 960 pcs</t>
        </r>
      </text>
    </comment>
    <comment ref="AF105" authorId="0">
      <text>
        <r>
          <rPr>
            <b/>
            <sz val="14"/>
            <rFont val="宋体"/>
            <charset val="134"/>
          </rPr>
          <t>Administrator:</t>
        </r>
        <r>
          <rPr>
            <sz val="14"/>
            <rFont val="宋体"/>
            <charset val="134"/>
          </rPr>
          <t xml:space="preserve">
1405584 2/6 960 pcs 华兴三楼A23
</t>
        </r>
      </text>
    </comment>
    <comment ref="AH105" authorId="0">
      <text>
        <r>
          <rPr>
            <b/>
            <sz val="14"/>
            <rFont val="宋体"/>
            <charset val="134"/>
          </rPr>
          <t>Administrator:</t>
        </r>
        <r>
          <rPr>
            <sz val="14"/>
            <rFont val="宋体"/>
            <charset val="134"/>
          </rPr>
          <t xml:space="preserve">
1/21上 客供PFID贴纸 960 pcs</t>
        </r>
      </text>
    </comment>
    <comment ref="AF106" authorId="0">
      <text>
        <r>
          <rPr>
            <b/>
            <sz val="14"/>
            <rFont val="宋体"/>
            <charset val="134"/>
          </rPr>
          <t>Administrator:</t>
        </r>
        <r>
          <rPr>
            <sz val="14"/>
            <rFont val="宋体"/>
            <charset val="134"/>
          </rPr>
          <t xml:space="preserve">
1405584 2/6 1000 pcs 华兴三楼B14</t>
        </r>
      </text>
    </comment>
    <comment ref="AH106" authorId="0">
      <text>
        <r>
          <rPr>
            <b/>
            <sz val="14"/>
            <rFont val="宋体"/>
            <charset val="134"/>
          </rPr>
          <t>Administrator:</t>
        </r>
        <r>
          <rPr>
            <sz val="14"/>
            <rFont val="宋体"/>
            <charset val="134"/>
          </rPr>
          <t xml:space="preserve">
1/21上 进口商贴纸 1000 pcs
 价标贴纸 1000 pcs
 说明书贴纸 1000 pcs
2/3上 客供ASN贴纸 20 pcs
 客供MU贴纸（条码贴）20 pcs
这个客不需要UPC贴纸</t>
        </r>
      </text>
    </comment>
    <comment ref="AH107" authorId="0">
      <text>
        <r>
          <rPr>
            <b/>
            <sz val="14"/>
            <rFont val="宋体"/>
            <charset val="134"/>
          </rPr>
          <t>Administrator:</t>
        </r>
        <r>
          <rPr>
            <sz val="14"/>
            <rFont val="宋体"/>
            <charset val="134"/>
          </rPr>
          <t xml:space="preserve">
1/21上 PDQ贴纸 56 pcs
1/26上 客户进口商贴纸含西班牙环保标 728 pcs
 覆盖条码贴纸 728 pcs</t>
        </r>
      </text>
    </comment>
    <comment ref="AF108" authorId="0">
      <text>
        <r>
          <rPr>
            <b/>
            <sz val="14"/>
            <rFont val="宋体"/>
            <charset val="134"/>
          </rPr>
          <t>Administrator:</t>
        </r>
        <r>
          <rPr>
            <sz val="14"/>
            <rFont val="宋体"/>
            <charset val="134"/>
          </rPr>
          <t xml:space="preserve">
1405539 2/9 1170 pcs 华兴一楼3    
1405540 2/9 30 pcs 一楼3</t>
        </r>
      </text>
    </comment>
    <comment ref="AH108" authorId="0">
      <text>
        <r>
          <rPr>
            <b/>
            <sz val="14"/>
            <rFont val="宋体"/>
            <charset val="134"/>
          </rPr>
          <t>Administrator:</t>
        </r>
        <r>
          <rPr>
            <sz val="14"/>
            <rFont val="宋体"/>
            <charset val="134"/>
          </rPr>
          <t xml:space="preserve">
1/21上 PDQ贴纸 40 pcs
1/26上 客户进口商贴纸含西班牙环保标 1200 pcs
 覆盖条码贴纸 1200 pcs
</t>
        </r>
      </text>
    </comment>
    <comment ref="AF109" authorId="0">
      <text>
        <r>
          <rPr>
            <b/>
            <sz val="14"/>
            <rFont val="宋体"/>
            <charset val="134"/>
          </rPr>
          <t>Administrator:</t>
        </r>
        <r>
          <rPr>
            <sz val="14"/>
            <rFont val="宋体"/>
            <charset val="134"/>
          </rPr>
          <t xml:space="preserve">
1405573 2/7 1300 pcs 四楼B4</t>
        </r>
        <r>
          <rPr>
            <sz val="9"/>
            <rFont val="宋体"/>
            <charset val="134"/>
          </rPr>
          <t xml:space="preserve">
</t>
        </r>
      </text>
    </comment>
    <comment ref="AF110" authorId="0">
      <text>
        <r>
          <rPr>
            <b/>
            <sz val="14"/>
            <rFont val="宋体"/>
            <charset val="134"/>
          </rPr>
          <t>Administrator:</t>
        </r>
        <r>
          <rPr>
            <sz val="14"/>
            <rFont val="宋体"/>
            <charset val="134"/>
          </rPr>
          <t xml:space="preserve">
1405539 2/9 2964 pcs 华兴一楼3     
1405540 2/9 52 pcs 一楼3</t>
        </r>
      </text>
    </comment>
    <comment ref="AH110" authorId="0">
      <text>
        <r>
          <rPr>
            <b/>
            <sz val="14"/>
            <rFont val="宋体"/>
            <charset val="134"/>
          </rPr>
          <t>Administrator:</t>
        </r>
        <r>
          <rPr>
            <sz val="14"/>
            <rFont val="宋体"/>
            <charset val="134"/>
          </rPr>
          <t xml:space="preserve">
1/19上 1/19上 价格贴纸 3016 pcs
 外箱条码贴纸 116 pcs
</t>
        </r>
      </text>
    </comment>
    <comment ref="AF111" authorId="0">
      <text>
        <r>
          <rPr>
            <b/>
            <sz val="14"/>
            <rFont val="宋体"/>
            <charset val="134"/>
          </rPr>
          <t>Administrator:</t>
        </r>
        <r>
          <rPr>
            <sz val="14"/>
            <rFont val="宋体"/>
            <charset val="134"/>
          </rPr>
          <t xml:space="preserve">
1405564 2/7 450 pcs 华兴三楼B13
1405540 2/9 50 pcs B14</t>
        </r>
      </text>
    </comment>
    <comment ref="AF112" authorId="0">
      <text>
        <r>
          <rPr>
            <b/>
            <sz val="14"/>
            <rFont val="宋体"/>
            <charset val="134"/>
          </rPr>
          <t>Administrator:</t>
        </r>
        <r>
          <rPr>
            <sz val="14"/>
            <rFont val="宋体"/>
            <charset val="134"/>
          </rPr>
          <t xml:space="preserve">
1405573 2/7 3400 pcs 华兴一楼3 </t>
        </r>
      </text>
    </comment>
    <comment ref="AH112" authorId="0">
      <text>
        <r>
          <rPr>
            <b/>
            <sz val="14"/>
            <rFont val="宋体"/>
            <charset val="134"/>
          </rPr>
          <t>Administrator:</t>
        </r>
        <r>
          <rPr>
            <sz val="14"/>
            <rFont val="宋体"/>
            <charset val="134"/>
          </rPr>
          <t xml:space="preserve">
1/26上 PDQUPC条码贴纸 136 pcs</t>
        </r>
        <r>
          <rPr>
            <sz val="9"/>
            <rFont val="宋体"/>
            <charset val="134"/>
          </rPr>
          <t xml:space="preserve">
</t>
        </r>
      </text>
    </comment>
    <comment ref="AF113" authorId="0">
      <text>
        <r>
          <rPr>
            <b/>
            <sz val="14"/>
            <rFont val="宋体"/>
            <charset val="134"/>
          </rPr>
          <t>Administrator:</t>
        </r>
        <r>
          <rPr>
            <sz val="14"/>
            <rFont val="宋体"/>
            <charset val="134"/>
          </rPr>
          <t xml:space="preserve">
1405551 2/24 2775 pcs 华兴三楼A16</t>
        </r>
      </text>
    </comment>
    <comment ref="AH113" authorId="0">
      <text>
        <r>
          <rPr>
            <b/>
            <sz val="14"/>
            <rFont val="宋体"/>
            <charset val="134"/>
          </rPr>
          <t>Administrator:</t>
        </r>
        <r>
          <rPr>
            <sz val="14"/>
            <rFont val="宋体"/>
            <charset val="134"/>
          </rPr>
          <t xml:space="preserve">
2/3上 PDQUPC贴纸 112 pcs</t>
        </r>
        <r>
          <rPr>
            <sz val="9"/>
            <rFont val="宋体"/>
            <charset val="134"/>
          </rPr>
          <t xml:space="preserve">
</t>
        </r>
      </text>
    </comment>
    <comment ref="AF114" authorId="0">
      <text>
        <r>
          <rPr>
            <b/>
            <sz val="14"/>
            <rFont val="宋体"/>
            <charset val="134"/>
          </rPr>
          <t>Administrator:</t>
        </r>
        <r>
          <rPr>
            <sz val="14"/>
            <rFont val="宋体"/>
            <charset val="134"/>
          </rPr>
          <t xml:space="preserve">
1405540 2/9 12 pcs 华兴三楼B13</t>
        </r>
      </text>
    </comment>
    <comment ref="AH114" authorId="0">
      <text>
        <r>
          <rPr>
            <b/>
            <sz val="14"/>
            <rFont val="宋体"/>
            <charset val="134"/>
          </rPr>
          <t>Administrator:</t>
        </r>
        <r>
          <rPr>
            <sz val="14"/>
            <rFont val="宋体"/>
            <charset val="134"/>
          </rPr>
          <t xml:space="preserve">
1/30上 客供亚马逊外箱贴纸 1 pcs</t>
        </r>
      </text>
    </comment>
    <comment ref="AF115" authorId="0">
      <text>
        <r>
          <rPr>
            <b/>
            <sz val="14"/>
            <rFont val="宋体"/>
            <charset val="134"/>
          </rPr>
          <t>Administrator:</t>
        </r>
        <r>
          <rPr>
            <sz val="14"/>
            <rFont val="宋体"/>
            <charset val="134"/>
          </rPr>
          <t xml:space="preserve">
1405540 2/9 12 pcs 华兴三楼B13</t>
        </r>
      </text>
    </comment>
    <comment ref="AH115" authorId="0">
      <text>
        <r>
          <rPr>
            <b/>
            <sz val="14"/>
            <rFont val="宋体"/>
            <charset val="134"/>
          </rPr>
          <t>Administrator:</t>
        </r>
        <r>
          <rPr>
            <sz val="14"/>
            <rFont val="宋体"/>
            <charset val="134"/>
          </rPr>
          <t xml:space="preserve">
1/30上 客供亚马逊外箱贴纸 1 pcs</t>
        </r>
      </text>
    </comment>
    <comment ref="AH116" authorId="0">
      <text>
        <r>
          <rPr>
            <b/>
            <sz val="14"/>
            <rFont val="宋体"/>
            <charset val="134"/>
          </rPr>
          <t>Administrator:</t>
        </r>
        <r>
          <rPr>
            <sz val="14"/>
            <rFont val="宋体"/>
            <charset val="134"/>
          </rPr>
          <t xml:space="preserve">
1/30上 进口商贴纸 3000 pcs
  UPC贴纸 3000 pcs
 保证书 3000 pcs</t>
        </r>
      </text>
    </comment>
    <comment ref="AH117" authorId="0">
      <text>
        <r>
          <rPr>
            <b/>
            <sz val="14"/>
            <rFont val="宋体"/>
            <charset val="134"/>
          </rPr>
          <t>Administrator:</t>
        </r>
        <r>
          <rPr>
            <sz val="14"/>
            <rFont val="宋体"/>
            <charset val="134"/>
          </rPr>
          <t xml:space="preserve">
2/5上 进口商贴纸 1650 pcs
 UPC贴纸 1650 pcs</t>
        </r>
      </text>
    </comment>
    <comment ref="AH118" authorId="0">
      <text>
        <r>
          <rPr>
            <b/>
            <sz val="14"/>
            <rFont val="宋体"/>
            <charset val="134"/>
          </rPr>
          <t>Administrator:</t>
        </r>
        <r>
          <rPr>
            <sz val="14"/>
            <rFont val="宋体"/>
            <charset val="134"/>
          </rPr>
          <t xml:space="preserve">
2/2上 亚马逊外箱贴纸 42 pcs
2/9上 环保标贴纸 504 pcs</t>
        </r>
      </text>
    </comment>
    <comment ref="AH119" authorId="0">
      <text>
        <r>
          <rPr>
            <b/>
            <sz val="14"/>
            <rFont val="宋体"/>
            <charset val="134"/>
          </rPr>
          <t>Administrator:</t>
        </r>
        <r>
          <rPr>
            <sz val="14"/>
            <rFont val="宋体"/>
            <charset val="134"/>
          </rPr>
          <t xml:space="preserve">
12/24上 客供防窜码贴纸1拖13 1000 pcs</t>
        </r>
      </text>
    </comment>
    <comment ref="AH120" authorId="0">
      <text>
        <r>
          <rPr>
            <b/>
            <sz val="14"/>
            <rFont val="宋体"/>
            <charset val="134"/>
          </rPr>
          <t>Administrator:</t>
        </r>
        <r>
          <rPr>
            <sz val="14"/>
            <rFont val="宋体"/>
            <charset val="134"/>
          </rPr>
          <t xml:space="preserve">
12/24上 客供防窜码贴纸1拖13 308 pcs</t>
        </r>
      </text>
    </comment>
    <comment ref="AH121" authorId="0">
      <text>
        <r>
          <rPr>
            <b/>
            <sz val="14"/>
            <rFont val="宋体"/>
            <charset val="134"/>
          </rPr>
          <t>Administrator:</t>
        </r>
        <r>
          <rPr>
            <sz val="14"/>
            <rFont val="宋体"/>
            <charset val="134"/>
          </rPr>
          <t xml:space="preserve">
1/15上 客供防窜码贴纸1拖13 35 pcs</t>
        </r>
      </text>
    </comment>
    <comment ref="AH122" authorId="0">
      <text>
        <r>
          <rPr>
            <b/>
            <sz val="14"/>
            <rFont val="宋体"/>
            <charset val="134"/>
          </rPr>
          <t>Administrator:</t>
        </r>
        <r>
          <rPr>
            <sz val="14"/>
            <rFont val="宋体"/>
            <charset val="134"/>
          </rPr>
          <t xml:space="preserve">
1/15上 客供防窜码贴纸1拖13 300 pcs</t>
        </r>
      </text>
    </comment>
    <comment ref="AH123" authorId="0">
      <text>
        <r>
          <rPr>
            <b/>
            <sz val="14"/>
            <rFont val="宋体"/>
            <charset val="134"/>
          </rPr>
          <t>Administrator:</t>
        </r>
        <r>
          <rPr>
            <sz val="14"/>
            <rFont val="宋体"/>
            <charset val="134"/>
          </rPr>
          <t xml:space="preserve">
1/21上 客供PFID贴纸 960 pcs</t>
        </r>
      </text>
    </comment>
    <comment ref="AH124" authorId="0">
      <text>
        <r>
          <rPr>
            <b/>
            <sz val="14"/>
            <rFont val="宋体"/>
            <charset val="134"/>
          </rPr>
          <t>Administrator:</t>
        </r>
        <r>
          <rPr>
            <sz val="14"/>
            <rFont val="宋体"/>
            <charset val="134"/>
          </rPr>
          <t xml:space="preserve">
1/21上 客供PFID贴纸 960 pcs</t>
        </r>
      </text>
    </comment>
    <comment ref="AH125" authorId="0">
      <text>
        <r>
          <rPr>
            <b/>
            <sz val="14"/>
            <rFont val="宋体"/>
            <charset val="134"/>
          </rPr>
          <t>Administrator:</t>
        </r>
        <r>
          <rPr>
            <sz val="14"/>
            <rFont val="宋体"/>
            <charset val="134"/>
          </rPr>
          <t xml:space="preserve">
1/21上 客供PFID贴纸 960 pcs</t>
        </r>
      </text>
    </comment>
    <comment ref="AH126" authorId="0">
      <text>
        <r>
          <rPr>
            <b/>
            <sz val="14"/>
            <rFont val="宋体"/>
            <charset val="134"/>
          </rPr>
          <t>Administrator:</t>
        </r>
        <r>
          <rPr>
            <sz val="14"/>
            <rFont val="宋体"/>
            <charset val="134"/>
          </rPr>
          <t xml:space="preserve">
1/21上 客供PFID贴纸 960 pcs</t>
        </r>
      </text>
    </comment>
    <comment ref="AH127" authorId="0">
      <text>
        <r>
          <rPr>
            <b/>
            <sz val="14"/>
            <rFont val="宋体"/>
            <charset val="134"/>
          </rPr>
          <t>Administrator:</t>
        </r>
        <r>
          <rPr>
            <sz val="14"/>
            <rFont val="宋体"/>
            <charset val="134"/>
          </rPr>
          <t xml:space="preserve">
1/21上 客供PFID贴纸 960 pcs</t>
        </r>
      </text>
    </comment>
    <comment ref="AH128" authorId="0">
      <text>
        <r>
          <rPr>
            <b/>
            <sz val="14"/>
            <rFont val="宋体"/>
            <charset val="134"/>
          </rPr>
          <t>Administrator:</t>
        </r>
        <r>
          <rPr>
            <sz val="14"/>
            <rFont val="宋体"/>
            <charset val="134"/>
          </rPr>
          <t xml:space="preserve">
1/21上 客供PFID贴纸 960 pcs</t>
        </r>
      </text>
    </comment>
    <comment ref="AH129" authorId="0">
      <text>
        <r>
          <rPr>
            <b/>
            <sz val="14"/>
            <rFont val="宋体"/>
            <charset val="134"/>
          </rPr>
          <t>Administrator:</t>
        </r>
        <r>
          <rPr>
            <sz val="14"/>
            <rFont val="宋体"/>
            <charset val="134"/>
          </rPr>
          <t xml:space="preserve">
1/21上 客供PFID贴纸 960 pcs</t>
        </r>
      </text>
    </comment>
    <comment ref="AH131" authorId="0">
      <text>
        <r>
          <rPr>
            <b/>
            <sz val="14"/>
            <rFont val="宋体"/>
            <charset val="134"/>
          </rPr>
          <t>Administrator:</t>
        </r>
        <r>
          <rPr>
            <sz val="14"/>
            <rFont val="宋体"/>
            <charset val="134"/>
          </rPr>
          <t xml:space="preserve">
2/3上 UPC贴纸 200 pcs</t>
        </r>
      </text>
    </comment>
    <comment ref="AH159" authorId="0">
      <text>
        <r>
          <rPr>
            <b/>
            <sz val="14"/>
            <rFont val="宋体"/>
            <charset val="134"/>
          </rPr>
          <t>Administrator:</t>
        </r>
        <r>
          <rPr>
            <sz val="14"/>
            <rFont val="宋体"/>
            <charset val="134"/>
          </rPr>
          <t xml:space="preserve">
1/26上 客供外箱条码贴纸 730 pcs</t>
        </r>
      </text>
    </comment>
  </commentList>
</comments>
</file>

<file path=xl/comments7.xml><?xml version="1.0" encoding="utf-8"?>
<comments xmlns="http://schemas.openxmlformats.org/spreadsheetml/2006/main">
  <authors>
    <author>Administrator</author>
  </authors>
  <commentList>
    <comment ref="AD31" authorId="0">
      <text>
        <r>
          <rPr>
            <b/>
            <sz val="9"/>
            <rFont val="宋体"/>
            <charset val="134"/>
          </rPr>
          <t>Administrator:</t>
        </r>
        <r>
          <rPr>
            <sz val="9"/>
            <rFont val="宋体"/>
            <charset val="134"/>
          </rPr>
          <t xml:space="preserve">
5/28 上说明书贴纸3601pcs</t>
        </r>
      </text>
    </comment>
    <comment ref="AE37" authorId="0">
      <text>
        <r>
          <rPr>
            <b/>
            <sz val="9"/>
            <rFont val="宋体"/>
            <charset val="134"/>
          </rPr>
          <t>Administrator:</t>
        </r>
        <r>
          <rPr>
            <sz val="9"/>
            <rFont val="宋体"/>
            <charset val="134"/>
          </rPr>
          <t xml:space="preserve">
8/27 上环保标贴纸1008pcs
UPC贴纸1008pcs
警语贴纸1008pcs
两个同PO共用</t>
        </r>
      </text>
    </comment>
    <comment ref="AD39" authorId="0">
      <text>
        <r>
          <rPr>
            <b/>
            <sz val="9"/>
            <rFont val="宋体"/>
            <charset val="134"/>
          </rPr>
          <t>Administrator:</t>
        </r>
        <r>
          <rPr>
            <sz val="9"/>
            <rFont val="宋体"/>
            <charset val="134"/>
          </rPr>
          <t xml:space="preserve">
9/19 上白色防盗贴纸1495pcs
9/26 上说明书纽扣电池警告语贴纸1495pcs
收藏指南电池警告语贴纸1495pcs
10/10 h KM 单外箱贴纸115pcs</t>
        </r>
      </text>
    </comment>
    <comment ref="AD40" authorId="0">
      <text>
        <r>
          <rPr>
            <b/>
            <sz val="9"/>
            <rFont val="宋体"/>
            <charset val="134"/>
          </rPr>
          <t>Administrator:</t>
        </r>
        <r>
          <rPr>
            <sz val="9"/>
            <rFont val="宋体"/>
            <charset val="134"/>
          </rPr>
          <t xml:space="preserve">
9/19 上白色防盗贴纸312pcs
9/26 上说明书纽扣电池警告语贴纸312pcs
收藏指南电池警告语贴纸312pcs
10/10 上KM单外箱贴纸24pcs</t>
        </r>
      </text>
    </comment>
    <comment ref="AD41" authorId="0">
      <text>
        <r>
          <rPr>
            <b/>
            <sz val="9"/>
            <rFont val="宋体"/>
            <charset val="134"/>
          </rPr>
          <t>Administrator:</t>
        </r>
        <r>
          <rPr>
            <sz val="9"/>
            <rFont val="宋体"/>
            <charset val="134"/>
          </rPr>
          <t xml:space="preserve">
10/6 上说明书纽扣电池警告语贴纸1352pcs
收藏指南纽扣电池警告语贴纸1352pcs
10/8 上白色防盗贴纸1352pcs</t>
        </r>
      </text>
    </comment>
    <comment ref="AD42" authorId="0">
      <text>
        <r>
          <rPr>
            <b/>
            <sz val="9"/>
            <rFont val="宋体"/>
            <charset val="134"/>
          </rPr>
          <t>Administrator:</t>
        </r>
        <r>
          <rPr>
            <sz val="9"/>
            <rFont val="宋体"/>
            <charset val="134"/>
          </rPr>
          <t xml:space="preserve">
9/19 上白色防盗贴纸156pcs
10/6 上说明书纽扣电池警告语贴纸156pcs
收藏指南纽扣电池警告语贴纸156pcs
</t>
        </r>
      </text>
    </comment>
    <comment ref="AD47" authorId="0">
      <text>
        <r>
          <rPr>
            <b/>
            <sz val="9"/>
            <rFont val="宋体"/>
            <charset val="134"/>
          </rPr>
          <t>Administrator:</t>
        </r>
        <r>
          <rPr>
            <sz val="9"/>
            <rFont val="宋体"/>
            <charset val="134"/>
          </rPr>
          <t xml:space="preserve">
12/10 上WICker贴纸6396pcs</t>
        </r>
      </text>
    </comment>
    <comment ref="AB48" authorId="0">
      <text>
        <r>
          <rPr>
            <b/>
            <sz val="9"/>
            <rFont val="宋体"/>
            <charset val="134"/>
          </rPr>
          <t>Administrator:</t>
        </r>
        <r>
          <rPr>
            <sz val="9"/>
            <rFont val="宋体"/>
            <charset val="134"/>
          </rPr>
          <t xml:space="preserve">
0002115 11/20 6396pcs华3B9</t>
        </r>
      </text>
    </comment>
    <comment ref="AD48" authorId="0">
      <text>
        <r>
          <rPr>
            <b/>
            <sz val="9"/>
            <rFont val="宋体"/>
            <charset val="134"/>
          </rPr>
          <t>Administrator:</t>
        </r>
        <r>
          <rPr>
            <sz val="9"/>
            <rFont val="宋体"/>
            <charset val="134"/>
          </rPr>
          <t xml:space="preserve">
11/11 上WICker贴纸31980pcs
三个同PO共用</t>
        </r>
      </text>
    </comment>
    <comment ref="AB49" authorId="0">
      <text>
        <r>
          <rPr>
            <b/>
            <sz val="9"/>
            <rFont val="宋体"/>
            <charset val="134"/>
          </rPr>
          <t>Administrator:</t>
        </r>
        <r>
          <rPr>
            <sz val="9"/>
            <rFont val="宋体"/>
            <charset val="134"/>
          </rPr>
          <t xml:space="preserve">
0000641 12/6 19188pcs华3A22</t>
        </r>
      </text>
    </comment>
    <comment ref="AC51" authorId="0">
      <text>
        <r>
          <rPr>
            <b/>
            <sz val="9"/>
            <rFont val="宋体"/>
            <charset val="134"/>
          </rPr>
          <t>Administrator:</t>
        </r>
        <r>
          <rPr>
            <sz val="9"/>
            <rFont val="宋体"/>
            <charset val="134"/>
          </rPr>
          <t xml:space="preserve">
咨询取消时生产已经完成了订单，货在湖南仓库</t>
        </r>
      </text>
    </comment>
    <comment ref="AD51" authorId="0">
      <text>
        <r>
          <rPr>
            <b/>
            <sz val="9"/>
            <rFont val="宋体"/>
            <charset val="134"/>
          </rPr>
          <t>Administrator:</t>
        </r>
        <r>
          <rPr>
            <sz val="9"/>
            <rFont val="宋体"/>
            <charset val="134"/>
          </rPr>
          <t xml:space="preserve">
1/18 上这供外箱条码贴纸415pcs
</t>
        </r>
      </text>
    </comment>
    <comment ref="AD52" authorId="0">
      <text>
        <r>
          <rPr>
            <b/>
            <sz val="9"/>
            <rFont val="宋体"/>
            <charset val="134"/>
          </rPr>
          <t>Administrator:</t>
        </r>
        <r>
          <rPr>
            <sz val="9"/>
            <rFont val="宋体"/>
            <charset val="134"/>
          </rPr>
          <t xml:space="preserve">
1/6 上包装电池警告贴纸1508pcs
说明书电池警告语贴纸1508pcs</t>
        </r>
      </text>
    </comment>
    <comment ref="AD53" authorId="0">
      <text>
        <r>
          <rPr>
            <b/>
            <sz val="9"/>
            <rFont val="宋体"/>
            <charset val="134"/>
          </rPr>
          <t>Administrator:</t>
        </r>
        <r>
          <rPr>
            <sz val="9"/>
            <rFont val="宋体"/>
            <charset val="134"/>
          </rPr>
          <t xml:space="preserve">
3/31 上白色防盗贴纸1339pcs
3/31 上电池敬重语贴纸1339pcs
包装警告语贴纸1339pcs</t>
        </r>
      </text>
    </comment>
    <comment ref="AD54" authorId="0">
      <text>
        <r>
          <rPr>
            <b/>
            <sz val="9"/>
            <rFont val="宋体"/>
            <charset val="134"/>
          </rPr>
          <t>Administrator:</t>
        </r>
        <r>
          <rPr>
            <sz val="9"/>
            <rFont val="宋体"/>
            <charset val="134"/>
          </rPr>
          <t xml:space="preserve">
3/31 上白色防盗贴纸169pcs
3/31 上电池敬重语贴纸169pcs
包装警告语贴纸169pcs
</t>
        </r>
      </text>
    </comment>
    <comment ref="AD55" authorId="0">
      <text>
        <r>
          <rPr>
            <b/>
            <sz val="9"/>
            <rFont val="宋体"/>
            <charset val="134"/>
          </rPr>
          <t>Administrator:</t>
        </r>
        <r>
          <rPr>
            <sz val="9"/>
            <rFont val="宋体"/>
            <charset val="134"/>
          </rPr>
          <t xml:space="preserve">
3/31 上白色防盗贴纸182pcs
</t>
        </r>
      </text>
    </comment>
    <comment ref="AD56" authorId="0">
      <text>
        <r>
          <rPr>
            <b/>
            <sz val="9"/>
            <rFont val="宋体"/>
            <charset val="134"/>
          </rPr>
          <t>Administrator:</t>
        </r>
        <r>
          <rPr>
            <sz val="9"/>
            <rFont val="宋体"/>
            <charset val="134"/>
          </rPr>
          <t xml:space="preserve">
3/31 上白色防盗贴纸1326pcs
</t>
        </r>
      </text>
    </comment>
    <comment ref="AH70" authorId="0">
      <text>
        <r>
          <rPr>
            <b/>
            <sz val="9"/>
            <rFont val="宋体"/>
            <charset val="134"/>
          </rPr>
          <t>Administrator:</t>
        </r>
        <r>
          <rPr>
            <sz val="9"/>
            <rFont val="宋体"/>
            <charset val="134"/>
          </rPr>
          <t xml:space="preserve">
10/21 WIC 贴纸14*4.5mm 588pcs</t>
        </r>
      </text>
    </comment>
    <comment ref="AH74" authorId="0">
      <text>
        <r>
          <rPr>
            <b/>
            <sz val="14"/>
            <rFont val="宋体"/>
            <charset val="134"/>
          </rPr>
          <t>Administrator:</t>
        </r>
        <r>
          <rPr>
            <sz val="14"/>
            <rFont val="宋体"/>
            <charset val="134"/>
          </rPr>
          <t xml:space="preserve">
12/24上 客供防窜码贴纸1拖13 1000 pcs</t>
        </r>
      </text>
    </comment>
    <comment ref="AH75" authorId="0">
      <text>
        <r>
          <rPr>
            <b/>
            <sz val="14"/>
            <rFont val="宋体"/>
            <charset val="134"/>
          </rPr>
          <t>Administrator:</t>
        </r>
        <r>
          <rPr>
            <sz val="14"/>
            <rFont val="宋体"/>
            <charset val="134"/>
          </rPr>
          <t xml:space="preserve">
12/24上 客供防窜码贴纸1拖13 308 pcs</t>
        </r>
      </text>
    </comment>
  </commentList>
</comments>
</file>

<file path=xl/sharedStrings.xml><?xml version="1.0" encoding="utf-8"?>
<sst xmlns="http://schemas.openxmlformats.org/spreadsheetml/2006/main" count="27700" uniqueCount="6346">
  <si>
    <r>
      <rPr>
        <b/>
        <sz val="16"/>
        <rFont val="Arial"/>
        <charset val="0"/>
      </rPr>
      <t xml:space="preserve">ZURU  </t>
    </r>
    <r>
      <rPr>
        <b/>
        <sz val="16"/>
        <rFont val="宋体"/>
        <charset val="0"/>
      </rPr>
      <t>（</t>
    </r>
    <r>
      <rPr>
        <b/>
        <sz val="16"/>
        <rFont val="Arial"/>
        <charset val="0"/>
      </rPr>
      <t xml:space="preserve">77515 Mini Brands </t>
    </r>
    <r>
      <rPr>
        <b/>
        <sz val="16"/>
        <rFont val="宋体"/>
        <charset val="0"/>
      </rPr>
      <t>迷你球</t>
    </r>
    <r>
      <rPr>
        <b/>
        <sz val="16"/>
        <rFont val="Arial"/>
        <charset val="0"/>
      </rPr>
      <t>DIY</t>
    </r>
    <r>
      <rPr>
        <b/>
        <sz val="16"/>
        <rFont val="宋体"/>
        <charset val="0"/>
      </rPr>
      <t>厨艺系列）生产排期表</t>
    </r>
  </si>
  <si>
    <r>
      <rPr>
        <b/>
        <sz val="8"/>
        <color rgb="FFFF0000"/>
        <rFont val="Arial"/>
        <charset val="0"/>
      </rPr>
      <t>77555SK1-S002</t>
    </r>
    <r>
      <rPr>
        <b/>
        <sz val="8"/>
        <color rgb="FFFF0000"/>
        <rFont val="宋体"/>
        <charset val="0"/>
      </rPr>
      <t>这款是带底座</t>
    </r>
  </si>
  <si>
    <r>
      <rPr>
        <b/>
        <sz val="16"/>
        <color rgb="FFFF0000"/>
        <rFont val="宋体"/>
        <charset val="0"/>
      </rPr>
      <t>走</t>
    </r>
    <r>
      <rPr>
        <b/>
        <sz val="16"/>
        <color rgb="FFFF0000"/>
        <rFont val="Arial"/>
        <charset val="0"/>
      </rPr>
      <t>KM</t>
    </r>
    <r>
      <rPr>
        <b/>
        <sz val="16"/>
        <color rgb="FFFF0000"/>
        <rFont val="宋体"/>
        <charset val="0"/>
      </rPr>
      <t>澳洲和出新西兰的说明书都要加纽扣电池警语贴纸</t>
    </r>
  </si>
  <si>
    <t>收縮膜</t>
  </si>
  <si>
    <t>收藏指南</t>
  </si>
  <si>
    <t>PDQ盒</t>
  </si>
  <si>
    <t>香港接单日期</t>
  </si>
  <si>
    <t>第三方客户名称</t>
  </si>
  <si>
    <t>走货国家</t>
  </si>
  <si>
    <t>ZURU PO NO#</t>
  </si>
  <si>
    <r>
      <rPr>
        <b/>
        <sz val="11"/>
        <rFont val="宋体"/>
        <charset val="0"/>
      </rPr>
      <t>第三方客户</t>
    </r>
    <r>
      <rPr>
        <b/>
        <sz val="11"/>
        <rFont val="Arial"/>
        <charset val="0"/>
      </rPr>
      <t xml:space="preserve">
 PO NO#</t>
    </r>
  </si>
  <si>
    <t>SKU</t>
  </si>
  <si>
    <t>ITEM#</t>
  </si>
  <si>
    <t>中文名</t>
  </si>
  <si>
    <t>PO数量
(pcs)</t>
  </si>
  <si>
    <t>内箱装箱数量(pcs)</t>
  </si>
  <si>
    <t>外箱装箱数量(pcs)</t>
  </si>
  <si>
    <t>总箱数</t>
  </si>
  <si>
    <t>计划出货期</t>
  </si>
  <si>
    <t>计划验货期</t>
  </si>
  <si>
    <t>第三方客户公证行验货</t>
  </si>
  <si>
    <t>驗貨結果</t>
  </si>
  <si>
    <r>
      <rPr>
        <b/>
        <sz val="11"/>
        <rFont val="Arial"/>
        <charset val="0"/>
      </rPr>
      <t>S/0</t>
    </r>
    <r>
      <rPr>
        <b/>
        <sz val="11"/>
        <rFont val="宋体"/>
        <charset val="0"/>
      </rPr>
      <t>船期</t>
    </r>
  </si>
  <si>
    <t>箱唛资料(收到日期)</t>
  </si>
  <si>
    <t>外箱贴纸</t>
  </si>
  <si>
    <t>客供贴纸AI(收到日期)</t>
  </si>
  <si>
    <t>备注</t>
  </si>
  <si>
    <t>ZURU 跟单</t>
  </si>
  <si>
    <t>单价USD</t>
  </si>
  <si>
    <t>金额USD</t>
  </si>
  <si>
    <t>發票號</t>
  </si>
  <si>
    <t>系统货号</t>
  </si>
  <si>
    <t>是否入系统</t>
  </si>
  <si>
    <t>已送情况</t>
  </si>
  <si>
    <t>欠数</t>
  </si>
  <si>
    <t>贴纸</t>
  </si>
  <si>
    <t>生产地点</t>
  </si>
  <si>
    <t>球数</t>
  </si>
  <si>
    <t>无香味版本</t>
  </si>
  <si>
    <t>删除组合10（猪肉）</t>
  </si>
  <si>
    <r>
      <rPr>
        <b/>
        <sz val="11"/>
        <rFont val="Arial"/>
        <charset val="0"/>
      </rPr>
      <t>MA  3</t>
    </r>
    <r>
      <rPr>
        <b/>
        <sz val="11"/>
        <rFont val="宋体"/>
        <charset val="0"/>
      </rPr>
      <t>语</t>
    </r>
    <r>
      <rPr>
        <b/>
        <sz val="11"/>
        <rFont val="Arial"/>
        <charset val="0"/>
      </rPr>
      <t xml:space="preserve"> </t>
    </r>
    <r>
      <rPr>
        <b/>
        <sz val="11"/>
        <rFont val="宋体"/>
        <charset val="0"/>
      </rPr>
      <t>收缩膜</t>
    </r>
    <r>
      <rPr>
        <b/>
        <sz val="11"/>
        <rFont val="Arial"/>
        <charset val="0"/>
      </rPr>
      <t xml:space="preserve"> </t>
    </r>
    <r>
      <rPr>
        <b/>
        <sz val="11"/>
        <rFont val="宋体"/>
        <charset val="0"/>
      </rPr>
      <t>无条码</t>
    </r>
  </si>
  <si>
    <r>
      <rPr>
        <b/>
        <sz val="11"/>
        <rFont val="Arial"/>
        <charset val="0"/>
      </rPr>
      <t>MA  1</t>
    </r>
    <r>
      <rPr>
        <b/>
        <sz val="11"/>
        <rFont val="宋体"/>
        <charset val="0"/>
      </rPr>
      <t>语收缩膜</t>
    </r>
  </si>
  <si>
    <r>
      <rPr>
        <b/>
        <sz val="11"/>
        <color rgb="FFFF0000"/>
        <rFont val="Arial"/>
        <charset val="0"/>
      </rPr>
      <t>MA  3</t>
    </r>
    <r>
      <rPr>
        <b/>
        <sz val="11"/>
        <color rgb="FFFF0000"/>
        <rFont val="宋体"/>
        <charset val="0"/>
      </rPr>
      <t>语收缩膜</t>
    </r>
  </si>
  <si>
    <t>客版收缩膜</t>
  </si>
  <si>
    <t>客版 3L 收缩膜</t>
  </si>
  <si>
    <r>
      <rPr>
        <b/>
        <sz val="11"/>
        <rFont val="Arial"/>
        <charset val="0"/>
      </rPr>
      <t>MA  5L</t>
    </r>
    <r>
      <rPr>
        <b/>
        <sz val="11"/>
        <rFont val="宋体"/>
        <charset val="0"/>
      </rPr>
      <t>语收藏指南</t>
    </r>
  </si>
  <si>
    <r>
      <rPr>
        <b/>
        <sz val="11"/>
        <color rgb="FF00B0F0"/>
        <rFont val="Arial"/>
        <charset val="0"/>
      </rPr>
      <t>ESAL</t>
    </r>
    <r>
      <rPr>
        <b/>
        <sz val="11"/>
        <color rgb="FF00B0F0"/>
        <rFont val="宋体"/>
        <charset val="0"/>
      </rPr>
      <t>客版指南</t>
    </r>
    <r>
      <rPr>
        <b/>
        <sz val="11"/>
        <color rgb="FF00B0F0"/>
        <rFont val="Arial"/>
        <charset val="0"/>
      </rPr>
      <t>/</t>
    </r>
    <r>
      <rPr>
        <b/>
        <sz val="11"/>
        <color rgb="FF00B0F0"/>
        <rFont val="宋体"/>
        <charset val="0"/>
      </rPr>
      <t>说明书</t>
    </r>
  </si>
  <si>
    <r>
      <rPr>
        <b/>
        <sz val="11"/>
        <color rgb="FF00B0F0"/>
        <rFont val="Arial"/>
        <charset val="0"/>
      </rPr>
      <t>WM</t>
    </r>
    <r>
      <rPr>
        <b/>
        <sz val="11"/>
        <color rgb="FF00B0F0"/>
        <rFont val="宋体"/>
        <charset val="0"/>
      </rPr>
      <t>客版</t>
    </r>
  </si>
  <si>
    <t>外挂中文收藏指南+中文收藏指南(每一款都不同)</t>
  </si>
  <si>
    <t>GQ5-S001 21PCS 1L</t>
  </si>
  <si>
    <t>GQ5-S001 21PCS 3L</t>
  </si>
  <si>
    <r>
      <rPr>
        <sz val="11"/>
        <color rgb="FF00B0F0"/>
        <rFont val="Arial"/>
        <charset val="0"/>
      </rPr>
      <t xml:space="preserve">WM </t>
    </r>
    <r>
      <rPr>
        <sz val="11"/>
        <color rgb="FF00B0F0"/>
        <rFont val="宋体"/>
        <charset val="0"/>
      </rPr>
      <t>客版</t>
    </r>
    <r>
      <rPr>
        <sz val="11"/>
        <color rgb="FF00B0F0"/>
        <rFont val="Arial"/>
        <charset val="0"/>
      </rPr>
      <t>GQ5</t>
    </r>
  </si>
  <si>
    <r>
      <rPr>
        <sz val="11"/>
        <color rgb="FF00B0F0"/>
        <rFont val="Arial"/>
        <charset val="0"/>
      </rPr>
      <t xml:space="preserve">WM </t>
    </r>
    <r>
      <rPr>
        <sz val="11"/>
        <color rgb="FF00B0F0"/>
        <rFont val="宋体"/>
        <charset val="0"/>
      </rPr>
      <t>客版</t>
    </r>
    <r>
      <rPr>
        <sz val="11"/>
        <color rgb="FF00B0F0"/>
        <rFont val="Arial"/>
        <charset val="0"/>
      </rPr>
      <t>GQ6</t>
    </r>
  </si>
  <si>
    <t>GQ6-S001 12PCS 1L</t>
  </si>
  <si>
    <t>GQ6-S001 12PCS 3L</t>
  </si>
  <si>
    <t>GQ1-S001 13pcs 1L</t>
  </si>
  <si>
    <t>GQ1-S001 13pcs 3L</t>
  </si>
  <si>
    <t>GQ2-S001 25pcs 1L</t>
  </si>
  <si>
    <t>GQ2-S001 25pcs 3L</t>
  </si>
  <si>
    <r>
      <rPr>
        <sz val="11"/>
        <rFont val="Arial"/>
        <charset val="0"/>
      </rPr>
      <t xml:space="preserve">SK-S001 60PCS 1L </t>
    </r>
    <r>
      <rPr>
        <sz val="11"/>
        <rFont val="宋体"/>
        <charset val="0"/>
      </rPr>
      <t>不含底座</t>
    </r>
    <r>
      <rPr>
        <sz val="11"/>
        <rFont val="Arial"/>
        <charset val="0"/>
      </rPr>
      <t xml:space="preserve"> </t>
    </r>
    <r>
      <rPr>
        <sz val="11"/>
        <rFont val="宋体"/>
        <charset val="0"/>
      </rPr>
      <t>配挂钩</t>
    </r>
  </si>
  <si>
    <r>
      <rPr>
        <sz val="11"/>
        <rFont val="Arial"/>
        <charset val="0"/>
      </rPr>
      <t xml:space="preserve">SK-S002 60PCS 1L </t>
    </r>
    <r>
      <rPr>
        <sz val="11"/>
        <rFont val="宋体"/>
        <charset val="0"/>
      </rPr>
      <t>含底座</t>
    </r>
  </si>
  <si>
    <r>
      <rPr>
        <sz val="11"/>
        <color rgb="FFFF0000"/>
        <rFont val="Arial"/>
        <charset val="0"/>
      </rPr>
      <t xml:space="preserve">SK-S002 60PCS 3L </t>
    </r>
    <r>
      <rPr>
        <sz val="11"/>
        <color rgb="FFFF0000"/>
        <rFont val="宋体"/>
        <charset val="0"/>
      </rPr>
      <t>含底座</t>
    </r>
  </si>
  <si>
    <r>
      <rPr>
        <sz val="11"/>
        <color rgb="FF000000"/>
        <rFont val="Arial"/>
        <charset val="0"/>
      </rPr>
      <t xml:space="preserve">77515SK1-S002 30pcs 1L </t>
    </r>
    <r>
      <rPr>
        <sz val="11"/>
        <color rgb="FF000000"/>
        <rFont val="宋体"/>
        <charset val="0"/>
      </rPr>
      <t>含底座</t>
    </r>
  </si>
  <si>
    <r>
      <rPr>
        <sz val="11"/>
        <color rgb="FFFF0000"/>
        <rFont val="Arial"/>
        <charset val="0"/>
      </rPr>
      <t xml:space="preserve">77515SK1-S001 30pcs 3L </t>
    </r>
    <r>
      <rPr>
        <sz val="11"/>
        <color rgb="FFFF0000"/>
        <rFont val="宋体"/>
        <charset val="0"/>
      </rPr>
      <t>不带底座</t>
    </r>
  </si>
  <si>
    <t>SK1底座</t>
  </si>
  <si>
    <r>
      <rPr>
        <sz val="11"/>
        <color rgb="FFFF0000"/>
        <rFont val="Arial"/>
        <charset val="0"/>
      </rPr>
      <t>FD</t>
    </r>
    <r>
      <rPr>
        <sz val="11"/>
        <color rgb="FFFF0000"/>
        <rFont val="宋体"/>
        <charset val="0"/>
      </rPr>
      <t>客</t>
    </r>
    <r>
      <rPr>
        <sz val="11"/>
        <color rgb="FFFF0000"/>
        <rFont val="Arial"/>
        <charset val="0"/>
      </rPr>
      <t xml:space="preserve"> 77515GQ3</t>
    </r>
  </si>
  <si>
    <r>
      <rPr>
        <sz val="11"/>
        <rFont val="Arial"/>
        <charset val="0"/>
      </rPr>
      <t xml:space="preserve">77515GQ3-S001 </t>
    </r>
    <r>
      <rPr>
        <sz val="11"/>
        <rFont val="宋体"/>
        <charset val="0"/>
      </rPr>
      <t>客版</t>
    </r>
    <r>
      <rPr>
        <sz val="11"/>
        <rFont val="Arial"/>
        <charset val="0"/>
      </rPr>
      <t xml:space="preserve"> 8PCS</t>
    </r>
  </si>
  <si>
    <t>圆筒</t>
  </si>
  <si>
    <t>3L 彩纸</t>
  </si>
  <si>
    <t>合计数量</t>
  </si>
  <si>
    <t>ZURU</t>
  </si>
  <si>
    <t>库有</t>
  </si>
  <si>
    <t>ZMPO23692</t>
  </si>
  <si>
    <t>77515-S001</t>
  </si>
  <si>
    <t>DIY厨艺大师</t>
  </si>
  <si>
    <t>OK</t>
  </si>
  <si>
    <t>周转箱</t>
  </si>
  <si>
    <t>无</t>
  </si>
  <si>
    <t>跟PP订单一起安排</t>
  </si>
  <si>
    <t>84014-2.19</t>
  </si>
  <si>
    <t>DG</t>
  </si>
  <si>
    <t xml:space="preserve"> </t>
  </si>
  <si>
    <r>
      <rPr>
        <sz val="11"/>
        <color rgb="FF0000FF"/>
        <rFont val="Arial"/>
        <charset val="0"/>
      </rPr>
      <t>30</t>
    </r>
    <r>
      <rPr>
        <sz val="11"/>
        <color rgb="FF0000FF"/>
        <rFont val="宋体"/>
        <charset val="0"/>
      </rPr>
      <t>套散件</t>
    </r>
  </si>
  <si>
    <t>跟PP订单一起安排/只需要全套散件，麻烦用胶袋分装好一套为一袋</t>
  </si>
  <si>
    <t>ZPO2311001</t>
  </si>
  <si>
    <t>ZMPO23783</t>
  </si>
  <si>
    <r>
      <rPr>
        <sz val="11"/>
        <color rgb="FF0000FF"/>
        <rFont val="Arial"/>
        <charset val="0"/>
      </rPr>
      <t>5</t>
    </r>
    <r>
      <rPr>
        <sz val="11"/>
        <color rgb="FF0000FF"/>
        <rFont val="宋体"/>
        <charset val="0"/>
      </rPr>
      <t>套</t>
    </r>
  </si>
  <si>
    <t>3/14 寄深圳</t>
  </si>
  <si>
    <t>左图中散件每款各5PCS</t>
  </si>
  <si>
    <t>84562-4.17</t>
  </si>
  <si>
    <t>左图中每款散件各5PCS</t>
  </si>
  <si>
    <t>ZMPO23775</t>
  </si>
  <si>
    <t>pass</t>
  </si>
  <si>
    <t>3/6 已送500pcs</t>
  </si>
  <si>
    <t>大货最新版本/款号平均/请按款号装箱，并在外箱上注明款号/请用大货标准箱装箱24PCS/箱共84箱/箱唛请参照邮件附件</t>
  </si>
  <si>
    <t>84234-3.14</t>
  </si>
  <si>
    <t>77515GQ2-S001</t>
  </si>
  <si>
    <t>80个满PDQ 大货最新版本/大货标准箱装箱/箱唛请参照邮件附件</t>
  </si>
  <si>
    <t>ZMPO24005</t>
  </si>
  <si>
    <r>
      <rPr>
        <sz val="11"/>
        <rFont val="Arial"/>
        <charset val="0"/>
      </rPr>
      <t>150</t>
    </r>
    <r>
      <rPr>
        <sz val="11"/>
        <rFont val="宋体"/>
        <charset val="0"/>
      </rPr>
      <t>套散件</t>
    </r>
  </si>
  <si>
    <t>大货订单最新版本/只需要全套散件，麻烦用胶袋分装好一套为一袋</t>
  </si>
  <si>
    <t>84561-4.17</t>
  </si>
  <si>
    <t>ZMPO24030</t>
  </si>
  <si>
    <t>左图中7款散件每款各200PCS/要做好的散件成品</t>
  </si>
  <si>
    <t>84661-4.29</t>
  </si>
  <si>
    <t>左图中4款配件每款散件各200PCS</t>
  </si>
  <si>
    <t>ZMPO24071</t>
  </si>
  <si>
    <t>77515SK1-S002</t>
  </si>
  <si>
    <r>
      <rPr>
        <sz val="11"/>
        <color rgb="FF0000FF"/>
        <rFont val="Arial"/>
        <charset val="0"/>
      </rPr>
      <t>5</t>
    </r>
    <r>
      <rPr>
        <sz val="11"/>
        <color rgb="FF0000FF"/>
        <rFont val="宋体"/>
        <charset val="0"/>
      </rPr>
      <t>套满展示架</t>
    </r>
  </si>
  <si>
    <t>20024/2/22</t>
  </si>
  <si>
    <t>3/22 送库有</t>
  </si>
  <si>
    <t>大货订单最新版本/里面产品按大货配比/箱唛参照邮件附件</t>
  </si>
  <si>
    <t>84558-4.17</t>
  </si>
  <si>
    <t>ZMPO24079</t>
  </si>
  <si>
    <r>
      <rPr>
        <sz val="11"/>
        <rFont val="Arial"/>
        <charset val="0"/>
      </rPr>
      <t>200</t>
    </r>
    <r>
      <rPr>
        <sz val="11"/>
        <rFont val="宋体"/>
        <charset val="0"/>
      </rPr>
      <t>套散件</t>
    </r>
  </si>
  <si>
    <t>左图中14款酱每款200PCS/共2800PCS/麻烦用胶袋分装好14款一套为一袋</t>
  </si>
  <si>
    <t>TARGET US</t>
  </si>
  <si>
    <t>美国</t>
  </si>
  <si>
    <t>0086-7227519-0584</t>
  </si>
  <si>
    <t>4500119549-10</t>
  </si>
  <si>
    <t>77515GQ5-S002</t>
  </si>
  <si>
    <t>AOD</t>
  </si>
  <si>
    <t>1/29 客上柜 空运</t>
  </si>
  <si>
    <t>有</t>
  </si>
  <si>
    <t>1/9 寄出</t>
  </si>
  <si>
    <t>日期码格式：ZURU INC(BVI) 标准格式 日期：按实际生产日期
Packaging Info: MA PDQ
Remark: 1. 77515GQ5-S002-MINI BRAND-MASTER CHEF MINI BRANDS-SERIES 1,21pcs/Gravity PDQ, 21pcs/CTN,No Inner,STD Color Assortment (White drop)
2. MA PDQ, 产品UPC 显示193052061034; 11 assortment have the same ratio；
3. 外箱正唛左上角位置粘贴条码箱贴纸，每箱只贴一张，由ZURU订购。来料贴纸上显示的客户DPCI# 086-02-9598， UPC显示10193052061031;
4. 外箱正唛箱唛内容右侧需贴一张Event label，内容显示 Toys Set Date：3/3/2024，工厂自行订购
5. 产品和包装上印刷 tracking code信息，格式为ZURU常规格式;
6. 出货方式：货代自提。</t>
  </si>
  <si>
    <t>Holly Zheng</t>
  </si>
  <si>
    <t>78917-1.30</t>
  </si>
  <si>
    <t>已入</t>
  </si>
  <si>
    <t>0086-5971609-0581</t>
  </si>
  <si>
    <t>4500119550-10</t>
  </si>
  <si>
    <t>78916-1.30</t>
  </si>
  <si>
    <t>0086-6266753-0581</t>
  </si>
  <si>
    <t>4500119551-10</t>
  </si>
  <si>
    <t>1/30 客上柜</t>
  </si>
  <si>
    <t>日期码格式：ZURU INC(BVI) 标准格式 日期：按实际生产日期
Packaging Info: MA PDQ
Remark: 1. 77515GQ5-S002-MINI BRAND-MASTER CHEF MINI BRANDS-SERIES 1,21pcs/Gravity PDQ, 21pcs/CTN,No Inner,STD Color Assortment (White drop)
2. MA PDQ, 产品UPC 显示193052061034; 11 assortment have the same ratio；
3. 外箱正唛左上角位置粘贴条码箱贴纸，每箱只贴一张，由ZURU订购。来料贴纸上显示的客户DPCI# 086-02-9598， UPC显示10193052061031;
4. 产品和包装上印刷 tracking code信息，格式为ZURU常规格式;
5. 出货方式：货代自提。</t>
  </si>
  <si>
    <t>78918-1.30</t>
  </si>
  <si>
    <t>0086-3900914-0581</t>
  </si>
  <si>
    <t>4500119557-10</t>
  </si>
  <si>
    <t>78919-1.30</t>
  </si>
  <si>
    <t>0086-9221446-0584</t>
  </si>
  <si>
    <t>4500119555-10</t>
  </si>
  <si>
    <t>1/31 客上柜</t>
  </si>
  <si>
    <t>78951-1.31</t>
  </si>
  <si>
    <t>0086-3865926-0581</t>
  </si>
  <si>
    <t>4500119558-10</t>
  </si>
  <si>
    <t>84011-2.19</t>
  </si>
  <si>
    <t>0086-1598304-0584</t>
  </si>
  <si>
    <t>4500119553-10</t>
  </si>
  <si>
    <t>2/2 客上柜</t>
  </si>
  <si>
    <t>84010-2.19</t>
  </si>
  <si>
    <t>AMAZON.COM.DEDC,LLC</t>
  </si>
  <si>
    <t>4500122098-10</t>
  </si>
  <si>
    <t>2/2 交仓 空运订单</t>
  </si>
  <si>
    <t>外箱正面印ZURU Logo+SSCC LABEL（客供贴纸), 侧面印item#</t>
  </si>
  <si>
    <t>日期码格式：ZURU INC(BVI) 标准格式 日期：按实际生产日期
Packaging Info: 77515：MA 1L. 加防伪贴纸， 跟单提供。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</si>
  <si>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Agnes Zheng</t>
  </si>
  <si>
    <t>84009-2.19</t>
  </si>
  <si>
    <t>MEIJER</t>
  </si>
  <si>
    <t>4500120916-10</t>
  </si>
  <si>
    <t>77515GQ1-S003</t>
  </si>
  <si>
    <t>2/19入仓</t>
  </si>
  <si>
    <t>日期码格式：ZURU INC(BVI) 标准格式 日期：按实际生产日期
Packaging Info: 1. MA 1L 包装
2. 客人指定箱唛排版
Remark: 出货前 Zuru QC 验货</t>
  </si>
  <si>
    <t>Sophia Zhou</t>
  </si>
  <si>
    <t>84028-2.20</t>
  </si>
  <si>
    <t>4500120919-10</t>
  </si>
  <si>
    <t>84029-2.20</t>
  </si>
  <si>
    <t>4500120905-10</t>
  </si>
  <si>
    <t>84023-2.20</t>
  </si>
  <si>
    <t>4500120910-10</t>
  </si>
  <si>
    <t>84025-2.20</t>
  </si>
  <si>
    <t>4500120915-10</t>
  </si>
  <si>
    <t>84027-2.20</t>
  </si>
  <si>
    <t>4500120914-10</t>
  </si>
  <si>
    <t>84026-2.20</t>
  </si>
  <si>
    <t>4500120920-10</t>
  </si>
  <si>
    <t>84030-2.20</t>
  </si>
  <si>
    <t>4500120909-10</t>
  </si>
  <si>
    <t>84024-2.20</t>
  </si>
  <si>
    <t>AMAZON FR</t>
  </si>
  <si>
    <t>法国</t>
  </si>
  <si>
    <t>6MVKQO1E</t>
  </si>
  <si>
    <t>4500116508-10</t>
  </si>
  <si>
    <t>空白外箱（加印带Zuru字样的黑色色带，除了邮包盒直接做外箱的产品</t>
  </si>
  <si>
    <t>12/5 订外箱贴纸</t>
  </si>
  <si>
    <t>日期码格式：ZURU INC(BVI) 标准格式 日期：按实际生产日期
Packaging Info: Amazon FR:
1. 77515: 24pcs/ctn, no inner; MA 3L A收缩膜包装+3张贴纸(含FR/DE/IT/ES警告语&lt;(&gt;&amp;&lt;)&gt;IT sorting label 贴纸+FR sorting label贴纸+UPC#贴纸）;
2. 验货时间不迟于2024/2/5；
Remark: "1.空白外箱（加印带Zuru字样的黑色色带，除了邮包盒直接做外箱的产品）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有不同流水及条码，且需要检查条码是否能正常扫描，如工厂不按此要求导致贴纸有任何问题产生的罚款将由工厂承担一切责任 。’MADE IN CHINA 外箱只印一正
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或
-包装材料清单，包括包装油墨或物质的信息
-油墨制造商的证书。</t>
  </si>
  <si>
    <t>Crystal Chen</t>
  </si>
  <si>
    <t>84008-2.19</t>
  </si>
  <si>
    <t>77515-S001-3L</t>
  </si>
  <si>
    <t>KMART AUSTRALIA LTD</t>
  </si>
  <si>
    <t>澳大利亚</t>
  </si>
  <si>
    <t>4500121356-70</t>
  </si>
  <si>
    <t>2/22入仓</t>
  </si>
  <si>
    <t>日期码格式：ZURU INC(BVI) 标准格式 日期：按实际生产日期
Packaging Info: 
3.77515GQ1:MA英语UPC版本包装（首选1LUPC，如果无1L可用多语含英语UPC版本）+防盗贴纸+箱唛+箱唛贴纸(1PCS/CTN),77515防盗贴纸请贴在顶部中央，大货生产前请返回1pcs确认.此外77515含纽扣电池，需要增加电池警告语贴纸，贴纸及其位置图后面提供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
77515GQ1-S003:3PCS AG13 Batteries(Included)</t>
  </si>
  <si>
    <t>Sara Wang</t>
  </si>
  <si>
    <t>84074-2.26</t>
  </si>
  <si>
    <t>0086-1793817-0581</t>
  </si>
  <si>
    <t>4500121729-10</t>
  </si>
  <si>
    <t>2/22 客上柜</t>
  </si>
  <si>
    <t>1/11 寄出</t>
  </si>
  <si>
    <t>日期码格式：ZURU INC(BVI) 标准格式 日期：按实际生产日期
Packaging Info: 产品包装MA 1L, MA PDQ
Remark: 1. 77515GQ5-S002-MINI BRAND-MASTER CHEF MINI BRANDS-SERIES 1,21pcs/Gravity PDQ, 21pcs/CTN,No Inner,STD Color Assortment (White drop)
2. 产品包装MA 1L, MA PDQ, 产品UPC 显示193052061034; 11 assortment have the same ratio；
3. 外箱正唛左上角位置粘贴条码箱贴纸，每箱只贴一张，由ZURU订购。来料贴纸上显示的客户DPCI# 086-02-9598， UPC显示10193052061031;
4. 产品和包装上印刷 tracking code信息，格式为ZURU常规格式;
5. 出货方式：货代自提。</t>
  </si>
  <si>
    <t>84048-2.22</t>
  </si>
  <si>
    <t>0086-1260120-0581</t>
  </si>
  <si>
    <t>4500121728-10</t>
  </si>
  <si>
    <t>2/24 客上柜</t>
  </si>
  <si>
    <t>84082-2.27</t>
  </si>
  <si>
    <t>MPO02537</t>
  </si>
  <si>
    <t>77515GQ6-S001</t>
  </si>
  <si>
    <t>2/29 送库有组装</t>
  </si>
  <si>
    <t>Remark: 1.77515GQ6: MA 1L收缩膜+1张防盗标贴纸贴在球的顶部（工厂自行订购此贴纸，此防盗贴纸产品款号:10111896/产品名称: 40R ECON YBL DE 8.2 1kr）+MA
1L PDQ+MA 23 L收藏指南/说明书+MA 5L ACCESSORY BAG;
UPC#193052061034，请先检查条码是否正确再安排做货;
2. 产品及包装需要印UKCA图标，包装需要有ZURU UK LTD/ZURU France地址信息，QC同事请核查，如有问题与跟单确认
3.每座展示架放3个#77515GQ6 PDQ=12x3=36pcs，请务必按照每座展示架数量配好每个assortment的配比，方便组装厂直接组装展示架，配比跟MA标准款，如有不清楚
的请找客制部和跟单核查
4.外箱可以直接用周转箱或者其他，工厂自行安排即可，请在外箱上写好每箱装多少和总箱数方便点数；
5.送货到库有时请在送货单上备库有客供给TESCO UK PO#/#MSLD76组装展示架用
6.组装厂会安排最终验货，请准备好备品，验货后需要马上安排补货，届时请务必按时送货到库有厂
7.请确保交货数量准确，与收货方交收清楚，如收货方提出任何异常，请立即安排处理解决。
8.以上订单的任何生产要求与资料、要求备品数量等等，请以跟单发给贵司的邮件为准！
9.子件工厂在交货到母件工厂时，将MPO（有注明45开头订单号）附在送货单上一起送货,或者送货单上备注45开头订单号。</t>
  </si>
  <si>
    <t>Sheba</t>
  </si>
  <si>
    <t>86012R1-7.16</t>
  </si>
  <si>
    <t>Smyths Toys HQ UC UK</t>
  </si>
  <si>
    <t>英国</t>
  </si>
  <si>
    <t>4500119795-10</t>
  </si>
  <si>
    <t>77515GQ5-S001</t>
  </si>
  <si>
    <t>2/28 出货</t>
  </si>
  <si>
    <t>日期码格式：ZURU INC(BVI) 标准格式 日期：按实际生产日期
Packaging Info: 77515GQ5:MA 3L最新收缩膜+贴纸（德国CALLOUT 和荷兰警告语 ）+UPC贴纸（UPC#193052061034）
+MA 5L收藏指南+MA3LPDQ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t>
  </si>
  <si>
    <t>Sheba Ye</t>
  </si>
  <si>
    <t>84103-2.29</t>
  </si>
  <si>
    <t>77515GQ5-S001-3L</t>
  </si>
  <si>
    <t>爱尔兰</t>
  </si>
  <si>
    <t>4500119796-10</t>
  </si>
  <si>
    <t>日期码格式：ZURU INC(BVI) 标准格式 日期：按实际生产日期
Packaging Info: 77515GQ5:MA 3L最新收缩膜+贴纸（德国CALLOUT 和荷兰警告语 ）+UPC贴纸（UPC#193052061034）
全部贴纸翻#4500119795+MA 5L收藏指南+MA3LPDQ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t>
  </si>
  <si>
    <t>84104-2.29</t>
  </si>
  <si>
    <t>THE ENTERTAINER</t>
  </si>
  <si>
    <t>FB10932</t>
  </si>
  <si>
    <t>4500121348-30</t>
  </si>
  <si>
    <t>2/29 出货</t>
  </si>
  <si>
    <t>日期码格式：ZURU INC(BVI) 标准格式 日期：按实际生产日期
Packaging Info: 
77515GQ5-S001:MA-3L+5L warning 配套包装(必须为多语warning 版本，需要在西班牙售卖）+一张条码贴覆盖ZURU条码，另外产品内包装再加多一张9国语言电池说
明书（电池说明书和77489相同） ，即产品内含2张说明书 （ZURU标准说明书1张+9国语言电池说明书）
产品信息：11 assortment have the same ratio
Remark: *包装日期码按ZURU格式即可，请确保不迟于外箱日期码，可等于或者早于外箱日期码，必须为法定工作日。
*订单必须经过ZURU QC验货并且通过后方可出货。
*MA版本按工厂现有最新库存即可，请注意检查产品及包装应带UKCA图标，包装显示ZURU UK LTD信息，QC同事请查核，如有问题与跟单确认。
*订单必须经过ZURU QC验货并且通过后方可出货。
*条码以订单为准，请做货前先核对再安排生产 。
*产品会同时在英国和西班牙市场售卖 ，注意按要求使用多语warning 包装版本。</t>
  </si>
  <si>
    <t>Sherry Lu</t>
  </si>
  <si>
    <t>84125-3.2</t>
  </si>
  <si>
    <t>KMART AUSTRALIA LTD(NEW ZEALAND)</t>
  </si>
  <si>
    <t>新西兰</t>
  </si>
  <si>
    <t>4500122071-10</t>
  </si>
  <si>
    <t>AOD 漏说明书贴纸</t>
  </si>
  <si>
    <t>3/1 交仓</t>
  </si>
  <si>
    <t>日期码格式：ZURU INC(BVI) 标准格式 日期：按实际生产日期
Packaging Info: 77515GQ1:MA英语UPC版本包装（首选3LUPC，如果无1L可用多语含英语UPC版本）+防盗贴纸+箱唛+箱唛贴纸(1PCS/CTN).此外77515含纽扣电池，需要增加电池警告语
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7.77515GQ1-S003:3PCS AG13 Batteries(Included)</t>
  </si>
  <si>
    <t>84124-3.2</t>
  </si>
  <si>
    <t>77515GQ1-S003-3L</t>
  </si>
  <si>
    <t>4500122070-10</t>
  </si>
  <si>
    <t>日期码格式：ZURU INC(BVI) 标准格式 日期：按实际生产日期
Packaging Info: 77515GQ1:MA英语UPC版本包装（首选1LUPC，如果无1L可用多语含英语UPC版本）+防盗贴纸+箱唛+箱唛贴纸(1PCS/CTN).此外77515含纽扣电池，需要增加电池警告语
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7.77515GQ1-S003:3PCS AG13 Batteries(Included)</t>
  </si>
  <si>
    <t>84123-3.2</t>
  </si>
  <si>
    <t>ASDA STORES LTD</t>
  </si>
  <si>
    <t>4500121807-10</t>
  </si>
  <si>
    <t>77515GQ6-S002</t>
  </si>
  <si>
    <t>3/5 出货</t>
  </si>
  <si>
    <t>日期码格式：ZURU INC(BVI) 标准格式 日期：按实际生产日期
Packaging Info: 1. 77515: MA 1L收缩膜/PDQ+MA 23L收藏指南/说明书+MA 5L ACCESSORY BAG
UPC#193052061034，请先检查条码是否正确再安排做货
11 assortment have the same ratio
Remark: 1. 产品及包装需要印UKCA图标，包装需要有ZURU UK LTD/ZURU France地址信息，QC同事请核查，如有问题与跟单确认
2.请在2/29按时提供客人格式自检报告给我们发给客人审批了才能出货
3. 产品/包装/外箱都需要打ZURU格式日期码，日期必须为法定工作日。</t>
  </si>
  <si>
    <t>84397-3.2</t>
  </si>
  <si>
    <t>77515GQ6-S002-3L</t>
  </si>
  <si>
    <t>ZURU France</t>
  </si>
  <si>
    <t>4500122374-20</t>
  </si>
  <si>
    <t>77515GQ5-S002-MTS</t>
  </si>
  <si>
    <t>3/1 出货散货</t>
  </si>
  <si>
    <t>日期码格式：ZURU INC(BVI) 标准格式 日期：按实际生产日期
Packaging Info: 1.包装：
#77515GQ5 ：MA 3L PDQ/ MA 5L收藏指南/MA 23L说明书/MA 3L EAN版本收缩膜+警告语贴纸+警告语贴纸（共两张贴纸
Remark: 2. 订单出欧洲国家（法国/西班牙），所有产品不能含有闪粉/微塑料！
3.订单出法国，所有出口法国的产品, 法规规定禁止在包装和共公众用的印刷品中使用矿物油中含有的物质, 包装印刷油墨中含有的MOAH/MOSH的质量浓度不能超过1
%, 否则出货到法国被抽检出现问题, 供应商需要对此负责;
4. 产品信息：
#77515GQ5：3PCS AG13 Batteries(Included)</t>
  </si>
  <si>
    <t>SD05</t>
  </si>
  <si>
    <t>84398-3.29</t>
  </si>
  <si>
    <t>77515GQ5-S002-3L</t>
  </si>
  <si>
    <t>4500122374-30</t>
  </si>
  <si>
    <t>77515GQ6-S002-MTS</t>
  </si>
  <si>
    <t>日期码格式：ZURU INC(BVI) 标准格式 日期：按实际生产日期
Packaging Info: 1.包装：
#77515GQ6：MA 3L PDQ/ MA 5L收藏指南/MA 23L说明书/MA 3L EAN版本收缩膜+警告语贴纸+警告语贴纸（共两张贴纸（共两张贴纸
Remark: 2. 订单出欧洲国家（法国/西班牙），所有产品不能含有闪粉/微塑料！
3.订单出法国，所有出口法国的产品, 法规规定禁止在包装和共公众用的印刷品中使用矿物油中含有的物质, 包装印刷油墨中含有的MOAH/MOSH的质量浓度不能超过1
%, 否则出货到法国被抽检出现问题, 供应商需要对此负责;
4. 产品信息：
#77515GQ6：3PCS AG13 Batteries(Included)</t>
  </si>
  <si>
    <t>7P9499KK</t>
  </si>
  <si>
    <t>4500122521-10</t>
  </si>
  <si>
    <t>3/4 散货交仓</t>
  </si>
  <si>
    <t>日期码格式：ZURU INC(BVI) 标准格式 日期：按实际生产日期
Packaging Info: 77515：MA 1L。 加防伪贴纸， 跟单提供。
**请严格按此交期安排生产，此单不能延期**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4.按照客户PO# 装柜/箱号顺序装柜，跟单会提前给到装柜计划。请大货生产/仓库存放时留意，以便装柜时不混乱（装错/装漏/找不到货号）</t>
  </si>
  <si>
    <t>84139-3.4</t>
  </si>
  <si>
    <t>71NFZP6A</t>
  </si>
  <si>
    <t>4500122521-20</t>
  </si>
  <si>
    <t>6HU3LR5F</t>
  </si>
  <si>
    <t>4500122521-30</t>
  </si>
  <si>
    <t>55MVP1TX</t>
  </si>
  <si>
    <t>4500122521-40</t>
  </si>
  <si>
    <t>1TN8Q2LN</t>
  </si>
  <si>
    <t>4500122521-50</t>
  </si>
  <si>
    <t>1HGW8XSS</t>
  </si>
  <si>
    <t>4500122521-60</t>
  </si>
  <si>
    <t>19R3OPWH</t>
  </si>
  <si>
    <t>4500122521-70</t>
  </si>
  <si>
    <t>CVS PHARMACY INC</t>
  </si>
  <si>
    <t>4500119117-33</t>
  </si>
  <si>
    <t>3/1 抽版</t>
  </si>
  <si>
    <t>3/27 出货</t>
  </si>
  <si>
    <t>日期码格式：ZURU INC(BVI) 标准格式 日期：按实际生产日期
Packaging Info: 3款 - ZURU标准MA (优先1L) UPC版本包装, 出口美国
#77515GQ6 - ZURU标准MA (优先1L) UPC版本包装+价格贴纸（贴纸AW由跟单提供,工厂采购）, 出口美国
Remark: 1. 此单要求2024/2/28日完成以下数量供UL实验室做第三方抽板测试,剩下的数量要求2024/3/19全部完成。
#77515GQ6:5172pcs(431ctns)
3. 日期码请按ZURU标准版执行即可。
4. 样板准备：每款大概测试样要12套，大货样3套,具体要求以最终邮件通知为准.
5. ZURU QC 验货。</t>
  </si>
  <si>
    <t>Eleven Zhang</t>
  </si>
  <si>
    <t>84399-3.29</t>
  </si>
  <si>
    <t>Distribuidora Liverpool S.A de C.V.</t>
  </si>
  <si>
    <t>墨西哥</t>
  </si>
  <si>
    <t>4500121718-20</t>
  </si>
  <si>
    <t>3/7 出货</t>
  </si>
  <si>
    <t>日期码格式：ZURU INC(BVI) 标准格式 日期：按实际生产日期
Packaging Info: 
2. 77515GQ2：MA 3L UPC包装+MA 3L PDQ+MA 5L收藏指南+MA 23L Warning instruction+进口商贴纸+价标贴纸+保证书+箱唛
Remark: 
2. 77515GQ2：11 assortment have the same ratio；3PCS AG13 Batteries(Include)
3. 此单价格贴纸（ZURU定购).
4. 此单有第三方监柜，每款多备一套备品随货送出</t>
  </si>
  <si>
    <t>Ever Li</t>
  </si>
  <si>
    <t>84190-3.9</t>
  </si>
  <si>
    <t>77515GQ2-S001-3L</t>
  </si>
  <si>
    <t>4500122379-10</t>
  </si>
  <si>
    <t>3/8 交仓</t>
  </si>
  <si>
    <t>84191-3.9</t>
  </si>
  <si>
    <t>4500122380-10</t>
  </si>
  <si>
    <t>84192-3.9</t>
  </si>
  <si>
    <t>0086-3839033-0581</t>
  </si>
  <si>
    <t>4500122727-10</t>
  </si>
  <si>
    <t>3/11 客上柜</t>
  </si>
  <si>
    <t>84207-3.11</t>
  </si>
  <si>
    <t>22Q1ZMLV</t>
  </si>
  <si>
    <t>4500122667-10</t>
  </si>
  <si>
    <t>77515-S001-MTS</t>
  </si>
  <si>
    <t>3/19 出货</t>
  </si>
  <si>
    <t>日期码格式：ZURU INC(BVI) 标准格式 日期：按实际生产日期
Packaging Info: 77515：MA 1L。 加防伪贴纸， 跟单提供。
Remark: 1.Amazon domestic 订单。出口美国。外箱最长边不能超过25" （超过了，case pack只能为1），不符合要求的大货，一律不接受。
2.无第三方验货/测试要求。
3.日期码使用ZURU标准版本。</t>
  </si>
  <si>
    <t>84363-3.27</t>
  </si>
  <si>
    <t>4500122667-20</t>
  </si>
  <si>
    <t>4500122667-30</t>
  </si>
  <si>
    <t>4500122667-40</t>
  </si>
  <si>
    <t>4500122667-50</t>
  </si>
  <si>
    <t>4500122667-60</t>
  </si>
  <si>
    <t>4500122667-70</t>
  </si>
  <si>
    <t>4500122667-80</t>
  </si>
  <si>
    <t>Amazon EU SARL, Ndl Deutschland</t>
  </si>
  <si>
    <t>1JH3877O</t>
  </si>
  <si>
    <t>4500122000-50</t>
  </si>
  <si>
    <t>3/26 出货</t>
  </si>
  <si>
    <t>空白外箱（加印带Zuru字样的最新logo</t>
  </si>
  <si>
    <t>日期码格式：ZURU INC(BVI) 标准格式 日期：按实际生产日期
Packaging Info: Amazon DE/UK:
4. 77515: 24pcs/ctn, no inner; MA 1L 收缩膜包装+1张贴纸(含FR/DE/IT/ES警告语&lt;(&gt;&amp;&lt;)&gt;IT sorting label贴纸+FR sorting label贴纸)+MA 5L A配件袋+MA 5
L A收藏指南+MA23L A警示说明书;参考翻单PO#4500116490；
5. 验货时间不迟于2024/3/11；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</si>
  <si>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84352-3.26</t>
  </si>
  <si>
    <t>BIG W</t>
  </si>
  <si>
    <t>4500122443-10</t>
  </si>
  <si>
    <t>3/14 出货</t>
  </si>
  <si>
    <t>日期码格式：080324 日期：
Packaging Info: 1.包装 (MA UPC 包装,1L 3L都可接受）
77515GQ6:MA UPC PKG+2张电池警告语贴纸带进口商信息（分别贴在包装正面和说明书上）
2.产品和产品包装上的日期码一致，为080324(dd/mm/yy;进口商贴纸上已经去掉日期码，请按要求在包装上打日期码， 进口商贴纸不覆盖日期码）
3.此单赶客户Dolls &lt;(&gt;&amp;&lt;)&gt; Playsets，不接受延期
Remark: 1.共出4港口， 不同港口数量信息请见订单行项目，并请参考箱唛资料，港口不同，箱唛资料也不同；
2. 箱唛不可出现任何手写内容，重量与实际一致且不可手写
3.此单出澳大利亚，请按澳洲标准生产并满足当地法规要求
77515GQ6：11 assortment have the same ratio；3PCS AG13 Batteries (Included)</t>
  </si>
  <si>
    <t>Lillian Li</t>
  </si>
  <si>
    <t>84366-3.27</t>
  </si>
  <si>
    <t>4500122443-20</t>
  </si>
  <si>
    <t>3/13 交仓</t>
  </si>
  <si>
    <t>4500122443-30</t>
  </si>
  <si>
    <t>4500122443-40</t>
  </si>
  <si>
    <t>ZURU LLC</t>
  </si>
  <si>
    <t>4500123153-20</t>
  </si>
  <si>
    <t>走 空运订单 3/12</t>
  </si>
  <si>
    <t>1/19 寄出</t>
  </si>
  <si>
    <t>日期码格式：ZURU INC(BVI) 标准格式 日期：按实际生产日期
Packaging Info: 77515：MA 1L。 加防伪贴纸， 跟单提供。
Remark: 1.Amazon domestic 订单，外箱加印箱唛 （跟单提供）。出口美国。外箱最长边不能超过25" （超过了，case pack只能为1），不符合要求的大货，一律不接受。
2.无第三方验货/测试要求。
3.日期码使用ZURU标准版本。</t>
  </si>
  <si>
    <t>SD24</t>
  </si>
  <si>
    <t>84224－3.13</t>
  </si>
  <si>
    <t>4500122607-10</t>
  </si>
  <si>
    <t>B版本收缩膜</t>
  </si>
  <si>
    <t>3/15 交仓</t>
  </si>
  <si>
    <t>日期码格式：ZURU INC(BVI) 标准格式 日期：按实际生产日期
Packaging Info: 77515GQ1:MA英语UPC版本包装（首选1LUPC，如果无1L可用多语含英语UPC版本）+防盗贴纸+箱唛+箱唛贴纸(1PCS/CTN).此外77515含纽扣电池，需要增加电池警告语
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7.77515GQ1-S003:3PCS AG13 Batteries(Included)</t>
  </si>
  <si>
    <t>84268－3.18</t>
  </si>
  <si>
    <t>4500122606-10</t>
  </si>
  <si>
    <r>
      <rPr>
        <sz val="11"/>
        <color rgb="FF0000FF"/>
        <rFont val="Arial"/>
        <charset val="0"/>
      </rPr>
      <t>84267</t>
    </r>
    <r>
      <rPr>
        <sz val="11"/>
        <color rgb="FF0000FF"/>
        <rFont val="宋体"/>
        <charset val="0"/>
      </rPr>
      <t>－</t>
    </r>
    <r>
      <rPr>
        <sz val="11"/>
        <color rgb="FF0000FF"/>
        <rFont val="Arial"/>
        <charset val="0"/>
      </rPr>
      <t>3.18</t>
    </r>
  </si>
  <si>
    <t>0086-9283219-0581</t>
  </si>
  <si>
    <t>4500122898-10</t>
  </si>
  <si>
    <t>3/25 客上柜</t>
  </si>
  <si>
    <r>
      <rPr>
        <sz val="11"/>
        <color rgb="FF0000FF"/>
        <rFont val="Arial"/>
        <charset val="0"/>
      </rPr>
      <t>84341</t>
    </r>
    <r>
      <rPr>
        <sz val="11"/>
        <color rgb="FF0000FF"/>
        <rFont val="宋体"/>
        <charset val="0"/>
      </rPr>
      <t>－</t>
    </r>
    <r>
      <rPr>
        <sz val="11"/>
        <color rgb="FF0000FF"/>
        <rFont val="Arial"/>
        <charset val="0"/>
      </rPr>
      <t>3.25</t>
    </r>
  </si>
  <si>
    <t>TOYS "R" US (CANADA) LTD.</t>
  </si>
  <si>
    <t>加拿大</t>
  </si>
  <si>
    <t>4500120793-10</t>
  </si>
  <si>
    <t>3/22 第三个验货</t>
  </si>
  <si>
    <t>日期码格式：ZURU INC(BVI) 标准格式 日期：按实际生产日期
Packaging Info: 1. 出口加拿大市场，MA 3L UPC 版本包装+小部件警告语贴纸。
UPC#193052061034
2. 产品，布标，包装， 外箱时间一致。 产品，布标，包装 date code 格式为Zuru 标准格式。 外箱date code 格式为YYYYMMDD。
Remark: 3. 需要第三方SGS验货，验货时间2024/03/12，请备1PC完整带包装样品供验货人员参考，可以从大货里拿，用完之后无损坏的话可以放回大货里，没有客户签版。</t>
  </si>
  <si>
    <t>Abby Mai</t>
  </si>
  <si>
    <r>
      <rPr>
        <sz val="11"/>
        <color rgb="FF0000FF"/>
        <rFont val="Arial"/>
        <charset val="0"/>
      </rPr>
      <t>84415</t>
    </r>
    <r>
      <rPr>
        <sz val="11"/>
        <color rgb="FF0000FF"/>
        <rFont val="宋体"/>
        <charset val="0"/>
      </rPr>
      <t>－</t>
    </r>
    <r>
      <rPr>
        <sz val="11"/>
        <color rgb="FF0000FF"/>
        <rFont val="Arial"/>
        <charset val="0"/>
      </rPr>
      <t>3.30</t>
    </r>
  </si>
  <si>
    <t>4500120793-20</t>
  </si>
  <si>
    <t>B&amp;M RETAIL LIMITED</t>
  </si>
  <si>
    <t>4500122683-1
01191224/1
407640</t>
  </si>
  <si>
    <t>4500122683-10</t>
  </si>
  <si>
    <t>日期码格式：ZURU INC(BVI) 标准格式 日期：按实际生产日期
Packaging Info: 77515GQ5: MA-1L 包装配套
11 assortment have the same ratio
Remark: *MA版本按工厂现有最新库存即可，订单出英国，请注意检查产品及包装应带UKCA图标，包装显示ZURU UK LTD信息，QC同事请查核，如有问题与跟单确认。
*生产日期按实际的（法定工作日） ，按ZURU标准格式即可 ，但是请知悉包装日期码需要早于或者等于外箱日期码 ，不能晚于外箱日期码
*请注意所有订单都需要经过ZURU QC验货并且通过后方可出货
*条码以订单显示为准 ，注意做货前先检查以免造成返工 。</t>
  </si>
  <si>
    <r>
      <rPr>
        <sz val="11"/>
        <color rgb="FF0000FF"/>
        <rFont val="Arial"/>
        <charset val="0"/>
      </rPr>
      <t>84362</t>
    </r>
    <r>
      <rPr>
        <sz val="11"/>
        <color rgb="FF0000FF"/>
        <rFont val="宋体"/>
        <charset val="0"/>
      </rPr>
      <t>－</t>
    </r>
    <r>
      <rPr>
        <sz val="11"/>
        <color rgb="FF0000FF"/>
        <rFont val="Arial"/>
        <charset val="0"/>
      </rPr>
      <t>3.27</t>
    </r>
  </si>
  <si>
    <t>American Eagle</t>
  </si>
  <si>
    <t>4500122482-10</t>
  </si>
  <si>
    <t>日期码格式：ZURU INC(BVI) 标准格式 日期：按实际生产日期
Packaging Info: 1. MA 1L UPC 包装+价格贴+客供.COM 贴纸+外箱贴 + 透明胶覆盖.COM 贴纸（跟单提供资料，工厂自行安排）
客户PO#1125393- 3336PCS- MA 1L UPC 包装+价格贴+外箱贴
客户PO#1125394- 672PCS- MA 1L UPC 包装+价格贴+外箱贴+客供.COM 贴纸+ 透明胶覆盖.COM 贴纸
客户PO#1135779- 1608PCS- MA 1L UPC 包装+价格贴+外箱贴
客户PO#1135780- 384PCS- MA 1L UPC 包装+价格贴+外箱贴+客供.COM 贴纸+ 透明胶覆盖.COM 贴纸
Remark: 2. 产品和包装上印刷tracking code信息，格式为ZURU常规
3. 箱子最小的尺寸要求： 30.48 x 22.86 x 10.16cm, 最大的尺寸为 66. 04 X 45.72 X 43.18cm, 外箱的高不能大于宽，否则会有罚款，如外箱达不到要求请告
知跟单，需要调整。
4. 外箱贴纸尺寸4x6英寸，贴纸居中贴在侧面，且距离外箱底部1.5英寸，外箱胶纸不可以覆盖住贴纸上的条形码，不可以有褶皱/刮花导致扫描不出信息，否则会
有罚款.
5. 需ZURU QC 验货合格后方可出货
6. 价格贴的位置为球的顶部/底部空白处，.COM 贴纸位置为球的顶部/底部空白处，（价格贴如在底部，.COM 贴纸则在顶部， 不可以覆盖住重要文字以及图案）</t>
  </si>
  <si>
    <t>Camellia Lyu</t>
  </si>
  <si>
    <r>
      <rPr>
        <sz val="11"/>
        <color rgb="FF0000FF"/>
        <rFont val="Arial"/>
        <charset val="0"/>
      </rPr>
      <t>84266</t>
    </r>
    <r>
      <rPr>
        <sz val="11"/>
        <color rgb="FF0000FF"/>
        <rFont val="宋体"/>
        <charset val="0"/>
      </rPr>
      <t>－</t>
    </r>
    <r>
      <rPr>
        <sz val="11"/>
        <color rgb="FF0000FF"/>
        <rFont val="Arial"/>
        <charset val="0"/>
      </rPr>
      <t>3.18</t>
    </r>
  </si>
  <si>
    <t>4500122482-20</t>
  </si>
  <si>
    <t>4500122482-30</t>
  </si>
  <si>
    <t xml:space="preserve"> 
1135780</t>
  </si>
  <si>
    <t>4500122482-40</t>
  </si>
  <si>
    <t>Juguettos Ltd</t>
  </si>
  <si>
    <t>西班牙</t>
  </si>
  <si>
    <t>P82514/PC23216</t>
  </si>
  <si>
    <t>3/20 出货</t>
  </si>
  <si>
    <t>日期码格式：ZURU INC(BVI) 标准格式 日期：按实际生产日期
Packaging Info: 1.包装：
#77515GQ5：最新MA 3L PDQ/MA 3L EAN版本收缩膜/MA 5L 收藏指南/MA 23L说明书+EAN条码贴纸（分别贴在收缩膜和PDQ上）+进口商贴纸+警告语贴纸
Remark: 2.订单出西班牙，欧洲国家，产品不能含有闪粉/微塑料！
3.大货样品2套/item，请多备料！
4. 产品信息：#77515GQ5:3PCS AG13 Batteries(Included)</t>
  </si>
  <si>
    <t>Andy Xi</t>
  </si>
  <si>
    <r>
      <rPr>
        <sz val="11"/>
        <color rgb="FF0000FF"/>
        <rFont val="Arial"/>
        <charset val="0"/>
      </rPr>
      <t>84304</t>
    </r>
    <r>
      <rPr>
        <sz val="11"/>
        <color rgb="FF0000FF"/>
        <rFont val="宋体"/>
        <charset val="0"/>
      </rPr>
      <t>－</t>
    </r>
    <r>
      <rPr>
        <sz val="11"/>
        <color rgb="FF0000FF"/>
        <rFont val="Arial"/>
        <charset val="0"/>
      </rPr>
      <t>3.20</t>
    </r>
  </si>
  <si>
    <t>COMERCIAL JOMAN S.L.</t>
  </si>
  <si>
    <t>4500123041-10</t>
  </si>
  <si>
    <t>日期码格式：ZURU INC(BVI) 标准格式 日期：按实际生产日期
Packaging Info: 1.包装：#77515GQ5：MA3L PDQ/MA 3L收缩膜（含EAN条码）/MA说明书/收藏指南+进口商贴纸+警告语贴纸
Remark: 2.订单出欧洲国家 西班牙，产品不能含有闪粉/微塑料！
3.产品信息：#77515GQ5：3PCS AG13 Batteries (included)</t>
  </si>
  <si>
    <r>
      <rPr>
        <sz val="11"/>
        <color rgb="FF0000FF"/>
        <rFont val="Arial"/>
        <charset val="0"/>
      </rPr>
      <t>84305</t>
    </r>
    <r>
      <rPr>
        <sz val="11"/>
        <color rgb="FF0000FF"/>
        <rFont val="宋体"/>
        <charset val="0"/>
      </rPr>
      <t>－</t>
    </r>
    <r>
      <rPr>
        <sz val="11"/>
        <color rgb="FF0000FF"/>
        <rFont val="Arial"/>
        <charset val="0"/>
      </rPr>
      <t>3.20</t>
    </r>
  </si>
  <si>
    <t>ToyChamp Belgium nv</t>
  </si>
  <si>
    <t>比利时</t>
  </si>
  <si>
    <t>45020119592-20</t>
  </si>
  <si>
    <t>77515SK-S002</t>
  </si>
  <si>
    <t>3/18 出货</t>
  </si>
  <si>
    <t>日期码格式：ZURU INC(BVI) 标准格式 日期：按实际生产日期
Packaging Info:
77515SK-S002: MA 3L EAN收缩膜（含5L警语）+2张警语贴纸，MA5L配件袋+NL警语贴纸，MA5L收藏指南，MA 23L说明书，MA3L Sidekick(WITH BASE)
Remark: 1.配比
77515SK: 11 assortment have the same ratio; 3PCS AG13 Batteries(Included)
2.无闪粉版本</t>
  </si>
  <si>
    <t>Sandy Shao</t>
  </si>
  <si>
    <r>
      <rPr>
        <sz val="11"/>
        <color rgb="FF0000FF"/>
        <rFont val="Arial"/>
        <charset val="0"/>
      </rPr>
      <t>84535</t>
    </r>
    <r>
      <rPr>
        <sz val="11"/>
        <color rgb="FF0000FF"/>
        <rFont val="宋体"/>
        <charset val="0"/>
      </rPr>
      <t>－</t>
    </r>
    <r>
      <rPr>
        <sz val="11"/>
        <color rgb="FF0000FF"/>
        <rFont val="Arial"/>
        <charset val="0"/>
      </rPr>
      <t>4.15</t>
    </r>
  </si>
  <si>
    <t>77515SK-S002-3L</t>
  </si>
  <si>
    <t>Gamestop Texas Ltd</t>
  </si>
  <si>
    <t>4500116296-10</t>
  </si>
  <si>
    <t>3/23 出货</t>
  </si>
  <si>
    <t>日期码格式：ZURU INC(BVI) 标准格式 日期：按实际生产日期
Packaging Info: 1. ZURU标准MA UPC版包装, 优先1L，出口美国.
Remark: 2. 除ZURU标准报告外，客户还要求测Formaldehyde(甲醛)，PH Value,TPCH, 请注意把控原材料质量，避免测试FAIL.
3.#77515GQ6: 12pcs/Gravity PDQ, 48pcs/CTN, 11 assortment have the same ratio.
4.产品和包装上需要印刷tracking code信息,格式为ZURU常规.
5. ZURU QC验货。</t>
  </si>
  <si>
    <t>Kelly Shen</t>
  </si>
  <si>
    <r>
      <rPr>
        <sz val="11"/>
        <color rgb="FF0000FF"/>
        <rFont val="Arial"/>
        <charset val="0"/>
      </rPr>
      <t>84364</t>
    </r>
    <r>
      <rPr>
        <sz val="11"/>
        <color rgb="FF0000FF"/>
        <rFont val="宋体"/>
        <charset val="0"/>
      </rPr>
      <t>－</t>
    </r>
    <r>
      <rPr>
        <sz val="11"/>
        <color rgb="FF0000FF"/>
        <rFont val="Arial"/>
        <charset val="0"/>
      </rPr>
      <t>3.27</t>
    </r>
  </si>
  <si>
    <t>4500116297-10</t>
  </si>
  <si>
    <t>84365-3.27</t>
  </si>
  <si>
    <t>FYE</t>
  </si>
  <si>
    <t>0000079359</t>
  </si>
  <si>
    <t>4500113337-10</t>
  </si>
  <si>
    <t>77515GQ1-S001</t>
  </si>
  <si>
    <t>3/20 交仓</t>
  </si>
  <si>
    <t>日期码格式：ZURU INC(BVI) 标准格式 日期：按实际生产日期
Packaging Info: ZURU MA UPC 包装(优先使用1L) + 客版可移动价格贴纸, 贴纸AWS跟单稍后提供, 工厂自行订购, 出口美国。
Remark: 1.ZURU MA UPC 包装(优先使用1L) + 客版可移动价格贴纸, 贴纸AWS跟单稍后提供, 工厂自行订购, 出口美国。
2.ZURU标准日期码格式,所有产品及包装都必须带有日期码，日期码必须一致(但日期不可为周末)。
3.此单外箱不可有水贴纸。
4.可移价贴需贴在产品包装背面右下角的位置。
All Pre Price Tickets should be placed on the back of the product
located in the lower right hand corner of the package
#77515GQ1-S001 $14.99
5.出货配比：
#77515GQ1-S001-MINI BRANDS-MASTER CHEF MINI BRANDS-SERIES 1-CAPSULE,13PCS/Gravity PDQ, 52PCS/4PDQ/CTN</t>
  </si>
  <si>
    <t>Hailey Yu</t>
  </si>
  <si>
    <t>84306-3.20</t>
  </si>
  <si>
    <t>4500119840-10</t>
  </si>
  <si>
    <t>日期码格式：ZURU INC(BVI) 标准格式 日期：按实际生产日期
Packaging Info: 1.77515GQ5：最新MA 3L+5L warning 收缩膜+一张法国换标标贴纸+一张警语贴纸 MA 收藏指南+MA PDQ；
Remark: 1.法国内销单，ZURU 验货后即可出货；
2.外箱EAN 14 条码参考：
77515GQ5：10193052061031
3.所有出口法国的产品, 法规规定禁止在包装和共公众用的印刷品中使用矿物油中含有的物质, 包装印刷油墨中含有的MOAH/MOSH的质量浓度不能超过1%, 否则出货
到法国被抽检出现问题, 供应商需要对此负责;</t>
  </si>
  <si>
    <t>SD45</t>
  </si>
  <si>
    <t>84317-3.21</t>
  </si>
  <si>
    <t>ALL BRANDS TOYS PTY LTD</t>
  </si>
  <si>
    <t>4500122597-10</t>
  </si>
  <si>
    <t>日期码格式：ZURU INC(BVI) 标准格式 日期：按实际生产日期
Packaging Info: 英文MA包装UPC版本（首选1L,无1L可选多语）+客人通用进口商贴纸(每PCS贴一张进口商贴纸)+箱唛,进口商贴纸请贴在球底部中央;此外77515含纽扣电池，收缩膜
跟说明书上需要各贴1pc警告语贴纸。以上贴纸大货生产时，请先返回图片确认
Remark: 1.按实际生产日期;
2.出澳大利亚，请按照相应标准生产;
3.77515GQ2:3PCS AG13 Batteries(Include);</t>
  </si>
  <si>
    <t>84536-4.15</t>
  </si>
  <si>
    <t>4500122597-20</t>
  </si>
  <si>
    <t>日期码格式：ZURU INC(BVI) 标准格式 日期：按实际生产日期
Packaging Info: 英文MA包装UPC版本（首选1L,无1L可选多语）+客人通用进口商贴纸(每PCS贴一张进口商贴纸)+箱唛,进口商贴纸请贴在球底部中央;此外77515含纽扣电池，收缩膜
跟说明书上需要各贴1pc警告语贴纸。以上贴纸大货生产时，请先返回图片确认
Remark: 1.按实际生产日期;
2.出澳大利亚，请按照相应标准生产;
3.77515SK:3PCS AG13 Batteries(Include);</t>
  </si>
  <si>
    <t>4500124462-10</t>
  </si>
  <si>
    <t>77515SK1-S002-MTS</t>
  </si>
  <si>
    <t>3/21 出货</t>
  </si>
  <si>
    <t>日期码格式：ZURU INC(BVI) 标准格式 日期：按实际生产日期
Packaging Info: 77515SK1：MA 3L 展示架+{MA 3L+5L warning EAN A版本收缩膜+一张法国和意大利环保标贴纸+一张警语贴纸}MA MA 5L A版收藏指南+MA 23L A版说明书；
Remark: "1.西班牙内销单，ZURU 验货后即可出货；
2.外箱EAN 14 条码参考：
77515SK1：14894680032252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</si>
  <si>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84540R1-4.15</t>
  </si>
  <si>
    <t>77515SK1-S002-3L</t>
  </si>
  <si>
    <t>4500126476-10</t>
  </si>
  <si>
    <t>5/7SGS验货</t>
  </si>
  <si>
    <t>消耗 PO 4500120793 取消的数量 已验货</t>
  </si>
  <si>
    <t>5/8--5/14期间交仓 外箱要改</t>
  </si>
  <si>
    <t>日期码格式：ZURU INC(BVI) 标准格式 日期：按实际生产日期
Packaging Info: 1. 出口加拿大市场，MA 3L UPC 版本包装+小部件警告语贴纸。消耗 PO 4500120793 取消的数量。
2. 产品，布标，包装， 外箱时间一致。
Remark: 3. 需要第三方SGS验货，验货时间2024/04/29，请备1PC完整带包装样品供验货人员参考，可以从大货里拿，用完之后无损坏的话可以放回大货里，没有客户签版。</t>
  </si>
  <si>
    <t>85661-6.29</t>
  </si>
  <si>
    <t>4500126476-20</t>
  </si>
  <si>
    <t>0086-3112754-0581</t>
  </si>
  <si>
    <t>4500123068-10</t>
  </si>
  <si>
    <t>84342-3.25</t>
  </si>
  <si>
    <t>Bol.com</t>
  </si>
  <si>
    <t>荷兰</t>
  </si>
  <si>
    <t>4500123217-10</t>
  </si>
  <si>
    <t>日期码格式：ZURU INC(BVI) 标准格式 日期：按实际生产日期
Packaging Info: 77515 MA 3L(含5L warning) EAN 收缩膜+ NL 警语贴纸翻单4500119592+ MA 5L配件袋(+NL 警语贴纸翻单4500119592)+MA 5L 收藏指南+ MA 23L 说明书
Remark: 出口欧洲，所有产品需要出无闪粉版本
RBC item 需要用BABY EAN, 配比如下</t>
  </si>
  <si>
    <t>84353-3.26</t>
  </si>
  <si>
    <t>ZMPO24128</t>
  </si>
  <si>
    <r>
      <rPr>
        <sz val="11"/>
        <rFont val="Arial"/>
        <charset val="0"/>
      </rPr>
      <t>30</t>
    </r>
    <r>
      <rPr>
        <sz val="11"/>
        <rFont val="宋体"/>
        <charset val="0"/>
      </rPr>
      <t>套</t>
    </r>
  </si>
  <si>
    <t>左图中4款小散件需要组装好+配套吸塑</t>
  </si>
  <si>
    <t>84848-5.21</t>
  </si>
  <si>
    <t>#</t>
  </si>
  <si>
    <t>ZMPO24101</t>
  </si>
  <si>
    <t>3/15 送库有</t>
  </si>
  <si>
    <t>大货最新版本/产品请按大货比例入展架/箱唛参照邮件附件</t>
  </si>
  <si>
    <t>84709-5.9</t>
  </si>
  <si>
    <t>77515SK1-S002-1</t>
  </si>
  <si>
    <t>AMAZON UK</t>
  </si>
  <si>
    <t>6XJ1JUJK</t>
  </si>
  <si>
    <t>4500116507-10</t>
  </si>
  <si>
    <t>3/25 入仓</t>
  </si>
  <si>
    <t>日期码格式：ZURU INC(BVI) 标准格式 日期：按实际生产日期
Packaging Info: Amazon UK:
1.77515:24pcs/ctn, no inner; MA 1L 收缩膜包装+2张贴纸(含FR/DE/IT/ES警告语&lt;(&gt;&amp;&lt;)&gt;ITsorting label贴纸+FR sorting label 贴纸）;参考翻单PO#4500116490；
2. 验货时间不迟于2024/3/18；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</si>
  <si>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84387-3.28</t>
  </si>
  <si>
    <t>6TIMFG9G</t>
  </si>
  <si>
    <t>4500116507-20</t>
  </si>
  <si>
    <t>62ZFPCCY</t>
  </si>
  <si>
    <t>4500116507-30</t>
  </si>
  <si>
    <t>4500119117-340</t>
  </si>
  <si>
    <t>4500119117-350</t>
  </si>
  <si>
    <t>4500119117-360</t>
  </si>
  <si>
    <t>4500119117-370</t>
  </si>
  <si>
    <t>4500119117-380</t>
  </si>
  <si>
    <t>4500119117-390</t>
  </si>
  <si>
    <t>4500119117-400</t>
  </si>
  <si>
    <t>4500119117-410</t>
  </si>
  <si>
    <t>4500119117-420</t>
  </si>
  <si>
    <t>4500119117-430</t>
  </si>
  <si>
    <t>4500119117-440</t>
  </si>
  <si>
    <t>0108606</t>
  </si>
  <si>
    <t>4500119117-450</t>
  </si>
  <si>
    <t>4500119117-460</t>
  </si>
  <si>
    <t>0810032</t>
  </si>
  <si>
    <t>4500119117-470</t>
  </si>
  <si>
    <t>4500119117-480</t>
  </si>
  <si>
    <t>ROFU Kinderland Spielwarenhandelsge</t>
  </si>
  <si>
    <t>德国</t>
  </si>
  <si>
    <t>233760B</t>
  </si>
  <si>
    <t>4500123062-10</t>
  </si>
  <si>
    <t>4/13 送库有拼柜</t>
  </si>
  <si>
    <t>日期码格式：ZURU INC(BVI) 标准格式 日期：按实际生产日期
Packaging Info: 77515: MA 1L 收缩膜+德语警告语贴纸+EAN条码贴纸+客供价格贴纸+MA 1L PDQ+MA 5L 袋子+MA 23L 说明书+MA 5L 收藏指南
Remark: 1. 请帮忙在3/1前提供2pcs大货样+2套散件
2，此单需要传验货图片给客户确认才能出货。
3，需准时完成生产，推期出货会有罚款。</t>
  </si>
  <si>
    <t>Amy Xiao</t>
  </si>
  <si>
    <t>84527-4.13</t>
  </si>
  <si>
    <t>77515GQ6-S001-3L</t>
  </si>
  <si>
    <t>THE WAREHOUSE LIMITED</t>
  </si>
  <si>
    <t>CUS
PO#28187596</t>
  </si>
  <si>
    <t>4500123510-10</t>
  </si>
  <si>
    <t>3/29 出货</t>
  </si>
  <si>
    <t>贴纸翻单#4500121356</t>
  </si>
  <si>
    <t>日期码格式：ZURU INC(BVI) 标准格式 日期：按实际生产日期
Packaging Info: 1.MA PKG, 优先1L+电池警告语贴纸，彩盒和说明书都要加警告语贴纸 (贴纸翻单#4500121356）
Remark: 1.此单出两个港口， 10行出AKL，20行出LYT
2.无闪粉版本
3.Contain UV Glue and Cream Glue, 11 assortment have the same ratio, 3PCS AG13 Batteries (included)</t>
  </si>
  <si>
    <t>Coral Wu</t>
  </si>
  <si>
    <t>84386-3.28</t>
  </si>
  <si>
    <t>CUS
PO#28187597</t>
  </si>
  <si>
    <t>4500123510-20</t>
  </si>
  <si>
    <t>84465-4.3</t>
  </si>
  <si>
    <t>4500123597-10</t>
  </si>
  <si>
    <t>日期码格式：ZURU INC(BVI) 标准格式 日期：按实际生产日期
Packaging Info: 1.77515GQ1:MA英语UPC版本包装（首选1LUPC，如果无1L可用多语含英语UPC版本）+防盗贴纸+箱唛+箱唛贴纸(1PCS/CTN).此外77515含纽扣电池，需要增加电池警告语贴纸.防盗贴纸和警告语贴纸以及他们的位置图请跟回PO#4500121356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7.77515GQ1-S003:3PCS AG13 Batteries(Included)</t>
  </si>
  <si>
    <t>84389-3.29</t>
  </si>
  <si>
    <t>Prénatal Retail Group Asia Pacific</t>
  </si>
  <si>
    <t>意大利</t>
  </si>
  <si>
    <t>4500116558-10</t>
  </si>
  <si>
    <t>3/28 第三方验货</t>
  </si>
  <si>
    <t>HOLD 没签板</t>
  </si>
  <si>
    <t>3/30 出</t>
  </si>
  <si>
    <t>日期码格式：ZUR4085 日期：
Packaging Info: 1.77515：3L call out+ 5L warning MA 收缩膜（EAN版本）+1张进口商地址贴纸+1张环保LOGO贴纸；球壳内+1张产品贴纸，
5L MA纸袋，5L MA 收藏指南， 23L MA说明书+1张客版黑白说明书；；
Remark: 1.客人日期码：ZUR4085，产品/彩盒/外箱 请保持一致
2.大货样品2套/item，请多备料。</t>
  </si>
  <si>
    <t>84520-4.12</t>
  </si>
  <si>
    <t>SAINSBURY'S SUPERMARKET LTD</t>
  </si>
  <si>
    <t>4500123744-10</t>
  </si>
  <si>
    <t>4/1 出货</t>
  </si>
  <si>
    <t>日期码格式：ZURU INC(BVI) 标准格式 日期：按实际生产日期
Packaging Info: 77515GQ1：MA-1L包装配套
Remark: *胶带最少宽度要保证6.0CM,厚度最少0.05毫米,外箱不可以打钉/扎带；以工字型封箱；
*如果重量超过5KGS，箱唛需加黄色警示图标志 ，有疑问请与ZURU跟单同事联系。
*订单必须经过ZURU QC验货并且通过后方可出货。
*订单出英国，请注意检查产品及包装应带UKCA图标，包装显示ZURU UK LTD信息，QC同事请查核，如有问题与跟单确认。</t>
  </si>
  <si>
    <t>84434-4.1</t>
  </si>
  <si>
    <t>AB Gee of Ripley Ltd.</t>
  </si>
  <si>
    <t>777 NOV236</t>
  </si>
  <si>
    <t>4500122737-10</t>
  </si>
  <si>
    <t>日期码格式：ZURU INC(BVI) 标准格式 日期：按实际生产日期
Packaging Info: 
2.77515: MA 1L收缩膜/PDQ+MA 23L收藏指南/说明书+MA 5L ACCESSORY BAG
UPC#193052061034，请先检查条码是否正确再安排做货
11 assortment have the same ratio
2. 配比都跟MA配比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4）条码以订单显示为准，如有跟大货不符的请提前提出</t>
  </si>
  <si>
    <t>84556-4.17</t>
  </si>
  <si>
    <t>UPD, INC.</t>
  </si>
  <si>
    <t>4500122927-10</t>
  </si>
  <si>
    <t>4/3截单</t>
  </si>
  <si>
    <t>日期码格式：ZURU INC(BVI) 标准格式 日期：按实际生产日期
Packaging Info: 1. 包装方式：MA UPC 优先1L 最新包装，出口美国;
Remark: 2. 外箱箱唛红色和黑色双色印刷
3. 产品和包装上印刷tracking code信息，格式为ZURU常规
4. 需要ZURU QC 验货合格后方可出货
5. 整柜出货。</t>
  </si>
  <si>
    <t>Iris Yuan</t>
  </si>
  <si>
    <t>84481-4.8</t>
  </si>
  <si>
    <t>WAL-MART CANADA CORP.</t>
  </si>
  <si>
    <t>4500123669-10</t>
  </si>
  <si>
    <t>77515SK1-S001</t>
  </si>
  <si>
    <t>3/25 10%抽版 4/1 第三方验货</t>
  </si>
  <si>
    <t>4/2 交仓</t>
  </si>
  <si>
    <t>日期码格式：ZURU INC(BVI) 标准格式 日期：按实际生产日期
Packaging Info: MA3L,Sidekick+MA3L收缩膜(UPC条码)+MA5L收藏指南+MA23L说明书+MA5L配件袋+MA复合袋+UPC贴纸 (UPC:193052061034)
Remark: 1. 必须在原来错误的UPC条码上用黑色粗头笔涂黑直至不能扫描，再贴上正确的UPC；
2. 此单有箱唛；
3. 此单有第三方验货，烦请多备包装物料；
4. 此单需准备#77515 3pcs大货球+3sets齐套配件+1set Sidekick签办；
5. 此单2024/3/8需安排抽办进行产中测试。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</si>
  <si>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</si>
  <si>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84539-4.15</t>
  </si>
  <si>
    <t>77515SK1-S001-3L</t>
  </si>
  <si>
    <t>4500124091-10</t>
  </si>
  <si>
    <t>4/6 截SI</t>
  </si>
  <si>
    <t>贴纸翻4500122443</t>
  </si>
  <si>
    <t>日期码格式：010424 日期：
Packaging Info: 1.包装 (MA UPC 包装,1L 3L都可接受）
77515GQ6:MA UPC PKG+2张电池警告语贴纸带进口商信息（分别贴在包装正面和说明书上）,贴纸翻4500122443
2.产品和产品包装上的日期码一致，为010424(dd/mm/yy;进口商贴纸上已经去掉日期码，请按要求在包装上打日期码， 进口商贴纸不覆盖日期码）
Remark: 1.共出4港口， 不同港口数量信息请见订单行项目，并请参考箱唛资料，港口不同，箱唛资料也不同；
2. 箱唛不可出现任何手写内容，重量与实际一致且不可手写
3.此单出澳大利亚，请按澳洲标准生产并满足当地法规要求
77515GQ6：11 assortment have the same ratio；3PCS AG13 Batteries (Included)</t>
  </si>
  <si>
    <t>84446-4.2</t>
  </si>
  <si>
    <t>4500124091-20</t>
  </si>
  <si>
    <t>4/2 截SI</t>
  </si>
  <si>
    <t>4500124091-30</t>
  </si>
  <si>
    <t>4500124091-40</t>
  </si>
  <si>
    <t>Amazon AU</t>
  </si>
  <si>
    <t>688J9FRN</t>
  </si>
  <si>
    <t>4500124084-10</t>
  </si>
  <si>
    <t>纽扣电池警告语贴纸（说明书和包装上各1pcs</t>
  </si>
  <si>
    <t>空白外箱（印Zuru Logo带黑色色带）</t>
  </si>
  <si>
    <t>3/13 寄出</t>
  </si>
  <si>
    <t>日期码格式：ZURU INC(BVI) 标准格式 日期：按实际生产日期
Packaging Info: MA 英语UPC 版本包装（首选1L，无1L才用多语含英语）+防伪贴纸（1张/PCS, 客供，跟单提供）+纽扣电池警告
语贴纸（说明书和包装上各1pcs, 贴纸和位置图跟回KMART PO 4500121356).
Remark: 1. 此订单出澳大利亚，请按澳洲标准生产；
2.空白外箱（印Zuru Logo带黑色色带） + SSCC LABEL一张, 无箱唛.(SSCC LABEL贴在外箱正面的正中间，贴一面即可，跟单订购寄工厂；贴纸离外箱边距必须至少
3CM。每一张SSCC Label都是唯一且有不同流水及条码的,没有损耗,绝对不可以贴错，否则贴错或损坏一张会导致全部都错并造成罚款，千万要注意)
3. 收到SSCC 外箱条码贴纸之后，需要给QA检验 ，检验时需特别注意如下2 点：
①检查是否全部贴纸的条形码都能成功扫描，如果发现有扫不出来的，需抽出来发给我们，我们将会安排重订；
②检查所有贴纸，尤其是条形码部位是否有脏污渍，划伤，或是印刷不清晰的情况，导致也不能成功扫描，如果有检验到这样的贴纸，也需同样发给我们安排重订;
4. 订单必须经过ZURU QC验货并且通过后方可出货。</t>
  </si>
  <si>
    <t>84463-4.3</t>
  </si>
  <si>
    <t>1TGBYTHT</t>
  </si>
  <si>
    <t>4500116490-10</t>
  </si>
  <si>
    <t>4/5 入仓</t>
  </si>
  <si>
    <t>日期码格式：ZURU INC(BVI) 标准格式 日期：按实际生产日期
Packaging Info: Amazon DE/ES/IT:
1.77515: 24pcs/ctn, no inner; MA 3L(5L warning）A 收缩膜包装+2张贴纸(含IT/FR sorting label贴纸+UPC#贴纸);
2. 验货时间不迟于2024/3/27；
Remark: "1.空白外箱（加印带Zuru字样的黑色色带，除了邮包盒直接做外箱的产品）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有不同流水及条码，且需要检查条码是否能正常扫描，如工厂不按此要求导致贴纸有任何问题产生的罚款将由工厂承担一切责任 。’MADE IN CHINA 外箱只印一正
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或
-包装材料清单，包括包装油墨或物质的信息
-油墨制造商的证书。"</t>
  </si>
  <si>
    <t>84496-4.9</t>
  </si>
  <si>
    <t>655YG8NQ</t>
  </si>
  <si>
    <t>4500116490-20</t>
  </si>
  <si>
    <t>2X14QGJX</t>
  </si>
  <si>
    <t>4500116490-30</t>
  </si>
  <si>
    <t>4/7 出货</t>
  </si>
  <si>
    <t>628JR39P</t>
  </si>
  <si>
    <t>4500116490-40</t>
  </si>
  <si>
    <t>TARGET AUSTRALIA PTY LTD</t>
  </si>
  <si>
    <t>4500123799-30</t>
  </si>
  <si>
    <t>包装跟说明书上需加电池警告语贴纸</t>
  </si>
  <si>
    <t>4/3入仓</t>
  </si>
  <si>
    <t>日期码格式：ZURU INC(BVI) 标准格式 日期：按实际生产日期
Packaging Info: 
2.77515GQ1:MA英语UPC 版本彩卡 (优先1L，如无1L，可用3L),箱唛+外箱贴纸,此外77515含纽扣电池，包装跟说明书上需加电池警告语贴纸，贴纸及其位置图跟回Kmart PO#4500121356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由ZURU在货期前两周提供文档,由工厂订购，请贴在正唛右下角（封箱胶纸不能挡住贴纸内容。）；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7.Ratio：
77515GQ1:77515GQ1-S003:3PCS AG13 Batteries(Included)</t>
  </si>
  <si>
    <t>84466-4.3</t>
  </si>
  <si>
    <t>4500123779-20</t>
  </si>
  <si>
    <t>说明书也需要增加电池警告语贴纸</t>
  </si>
  <si>
    <t>4/8 交仓</t>
  </si>
  <si>
    <t>日期码格式：ZURU INC(BVI) 标准格式 日期：按实际生产日期
Packaging Info: 
2.77515GQ1:MA英语UPC版本包装（首选1LUPC，如果无1L可用多语含英语UPC版本）+防盗贴纸+箱唛+箱唛贴纸(1PCS/CTN).此外77515含纽扣电池，需要增加电池警告
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
77515GQ1-S003:3PCS AG13 Batteries(Included)</t>
  </si>
  <si>
    <t>84482-4.8</t>
  </si>
  <si>
    <t>4500123780-20</t>
  </si>
  <si>
    <t>日期码格式：ZURU INC(BVI) 标准格式 日期：按实际生产日期
Packaging Info: 
2.77515GQ1:MA英语UPC版本包装（首选1LUPC，如果无1L可用多语含英语UPC版本）+防盗贴纸+箱唛+箱唛贴纸(1PCS/CTN).此外77515含纽扣电池，需要增加电池警告
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7.77515GQ1-S003:3PCS AG13 Batteries(Included)</t>
  </si>
  <si>
    <t>84483-4.8</t>
  </si>
  <si>
    <t>0086-8210133-0581</t>
  </si>
  <si>
    <t>4500124141-10</t>
  </si>
  <si>
    <t>4/9 自提</t>
  </si>
  <si>
    <t>日期码格式：ZURU INC(BVI) 标准格式 日期：按实际生产日期
Packaging Info: 产品包装MA 1L, MA 1L 收缩膜, MA 1L PDQ;
Remark: 1. 77515GQ5-S002-MINI BRAND-MASTER CHEF MINI BRANDS-SERIES 1,21pcs/Gravity PDQ, 21pcs/CTN,No Inner,STD Color Assortment (White drop)
2. 产品包装MA 1L, MA 1L 收缩膜, MA 1L PDQ, 产品UPC 显示193052061034; 11 assortment have the same ratio；
3. 外箱正唛左上角位置粘贴条码箱贴纸，每箱只贴一张，由ZURU订购。来料贴纸上显示的客户DPCI# 086-02-9598， UPC显示10193052061031;
4. 产品和包装上印刷 tracking code信息，格式为ZURU常规格式;
5. 出货方式：货代自提。</t>
  </si>
  <si>
    <t>84503-4.10</t>
  </si>
  <si>
    <t>AMIC TRADING (PTY) LTD</t>
  </si>
  <si>
    <t>南非</t>
  </si>
  <si>
    <t>6006-00089229</t>
  </si>
  <si>
    <t>4500124683-20</t>
  </si>
  <si>
    <t>日期码格式：ZURU INC(BVI) 标准格式 日期：按实际生产日期
Packaging Info: MA PKG 优先1L,+1张进口商贴纸
77515GQ6进口商贴纸位置请贴球底部，切勿遮挡英文信息</t>
  </si>
  <si>
    <t>Doris Shou</t>
  </si>
  <si>
    <t>84464-4.3</t>
  </si>
  <si>
    <t>WAL-MART STORES INC. USA</t>
  </si>
  <si>
    <t>4500125811-10</t>
  </si>
  <si>
    <t>4/6 BV  4/1抽办10%-882PCS</t>
  </si>
  <si>
    <t>4/6交仓</t>
  </si>
  <si>
    <t>日期码格式：ZURU DGYYYYMMDD CHINA(日期避开周末和法定节假日即可） 日期：按实际生产日期
Packaging Info: 1. 包装要求：
 77515SK1：MA 1L B版收缩膜+MA 纸袋+MA 23L说明书+MA 5L C版收藏指南+MA 1L sidekick包装
 每pcs产品要贴一张RFID贴纸，RFID贴纸由ZURU提供，贴纸位置要严格按照客人签板
Remark: 1. 包装要求：
 77515SK1：MA 1L B版收缩膜+MA 纸袋+MA 23L说明书+MA 5L C版收藏指南+MA 1L sidekick包装
 每pcs产品要贴一张RFID贴纸，RFID贴纸由ZURU提供，贴纸位置要严格按照客人签板
 2.外箱RFID箱唛（四面右下角需印Zuru Logo)+ ITF-14条码+印刷黄色贴纸；ITF-14条码印刷在外箱主唛左下角，外箱任一侧面角落备注："MADE IN CHINA" 字样，
 印刷黄色贴纸使用Yellow U色号，外箱箱唛资料待提供。
 3. 在产品上和包装上要有日期码、以及要有MADE IN CHINA和ZURU字样；
 4. 产品如有扎带口要剪平，不能刮手。
 5. 此单需要抽板和验货，抽板日期预计2024/4/1，请自行多备包装物料。
 6.Contain UV Glue and Cream Glue；3PCS AG13 Batteries(Included)
 6. 30pcs/Sidekick/CTN</t>
  </si>
  <si>
    <t xml:space="preserve"> Maggie Xie</t>
  </si>
  <si>
    <t>84537-4.15</t>
  </si>
  <si>
    <t>4500125811-20</t>
  </si>
  <si>
    <t>4/8 BV</t>
  </si>
  <si>
    <t>4/9交仓</t>
  </si>
  <si>
    <t>4500125811-30</t>
  </si>
  <si>
    <t>4/6 BV</t>
  </si>
  <si>
    <t>4/7 交仓</t>
  </si>
  <si>
    <t>4500125811-40</t>
  </si>
  <si>
    <t>APOLLO D.O.O.</t>
  </si>
  <si>
    <t>斯洛文尼亚</t>
  </si>
  <si>
    <t>4500124820-30</t>
  </si>
  <si>
    <t>4/11 出货</t>
  </si>
  <si>
    <t>日期码格式：ZURU INC(BVI) 标准格式 日期：按实际生产日期
Packaging Info: 
77515GQ1：MA1L A版PDQ /展示架+MA 1L B版收缩膜+1张进口商贴纸+MA收藏指南+客版说明书+MA纸袋
Remark: 1.此单出欧洲斯洛文尼亚， 需满足EU测试标准要求，不能含微塑料，需出无闪粉版本</t>
  </si>
  <si>
    <t>Mary Zhong/Snowy Wu</t>
  </si>
  <si>
    <t>84534R2-4.15</t>
  </si>
  <si>
    <r>
      <rPr>
        <sz val="11"/>
        <color rgb="FF0000FF"/>
        <rFont val="Arial"/>
        <charset val="0"/>
      </rPr>
      <t>77515GQ1-S001-</t>
    </r>
    <r>
      <rPr>
        <sz val="11"/>
        <color rgb="FF0000FF"/>
        <rFont val="宋体"/>
        <charset val="0"/>
      </rPr>
      <t>客版说明书</t>
    </r>
  </si>
  <si>
    <t>4500124820-40</t>
  </si>
  <si>
    <t>日期码格式：ZURU INC(BVI) 标准格式 日期：按实际生产日期
Packaging Info: 
 77515SK：MA1L A版PDQ /展示架+MA 1L B版收缩膜+1张进口商贴纸+MA收藏指南+客版说明书+MA纸袋
Remark: 1.此单出欧洲斯洛文尼亚， 需满足EU测试标准要求，不能含微塑料，需出无闪粉版本
2. 比例：77515SK： 11 assortment have the same ratio,3W*2D*10H=60pcs/Sidekick;</t>
  </si>
  <si>
    <r>
      <rPr>
        <sz val="11"/>
        <color rgb="FF0000FF"/>
        <rFont val="Arial"/>
        <charset val="0"/>
      </rPr>
      <t>77515SK-S002-</t>
    </r>
    <r>
      <rPr>
        <sz val="11"/>
        <color rgb="FF0000FF"/>
        <rFont val="宋体"/>
        <charset val="0"/>
      </rPr>
      <t>客版说明书</t>
    </r>
  </si>
  <si>
    <t>NASA Panama</t>
  </si>
  <si>
    <t>巴拿马</t>
  </si>
  <si>
    <t>003-01582</t>
  </si>
  <si>
    <t>4500125197-80</t>
  </si>
  <si>
    <t>4/9 截SI</t>
  </si>
  <si>
    <t>日期码格式：ZURU INC(BVI) 标准格式 日期：按实际生产日期
Packaging Info: 77515GQ1:MA 1L包装+箱唛，无进口商贴纸
Remark:</t>
  </si>
  <si>
    <t>Ava Liang</t>
  </si>
  <si>
    <t>84480-4.8</t>
  </si>
  <si>
    <t xml:space="preserve">美国 </t>
  </si>
  <si>
    <t>4500125102-10</t>
  </si>
  <si>
    <t>77516-S001-MTS</t>
  </si>
  <si>
    <t>DIY厨艺大师*2</t>
  </si>
  <si>
    <t>4/9 空运</t>
  </si>
  <si>
    <t>日期码格式：ZURU INC(BVI) 标准格式 日期：按实际生产日期
Packaging Info: 77516: 2PK #77515 入PVC圆筒。收藏指南用MA 5L, 收缩膜用MA 1L不带UPC版。2PK铜版纸图稿跟单提供 。 （两个球的配比不能重复）。
消耗4500123153-4992pcs 77515 物料
Remark: 1.Amazon domestic 订单。出口美国。外箱最长边不能超过25" （超过了，case pack只能为1），不符合要求的大货，一律不接受。
2.无第三方验货/测试要求。
3.日期码使用ZURU标准版本。</t>
  </si>
  <si>
    <t>Agnes/Yvonne</t>
  </si>
  <si>
    <t>84636R1-4.27</t>
  </si>
  <si>
    <t>77516-S001</t>
  </si>
  <si>
    <r>
      <rPr>
        <sz val="11"/>
        <color rgb="FF0000FF"/>
        <rFont val="宋体"/>
        <charset val="0"/>
      </rPr>
      <t>圆筒彩纸3/15已放</t>
    </r>
    <r>
      <rPr>
        <sz val="11"/>
        <color rgb="FF0000FF"/>
        <rFont val="Arial"/>
        <charset val="0"/>
      </rPr>
      <t>MA</t>
    </r>
  </si>
  <si>
    <t>4500125813-10</t>
  </si>
  <si>
    <t>4/10 BV</t>
  </si>
  <si>
    <t>4/11 交仓</t>
  </si>
  <si>
    <t>日期码格式：ZURU DGYYYYMMDD CHINA(日期避开周末和法定节假日即可） 日期：按实际生产日期
Packaging Info: 1. 包装要求：
77515SK1：MA 1L B版收缩膜+MA 纸袋+MA 23L说明书+MA 5L C版收藏指南+MA 1L sidekick包装
每pcs产品要贴一张RFID贴纸，RFID贴纸由ZURU提供，贴纸位置要严格按照客人签板
Remark: 1. 包装要求：
77515SK1：MA 1L B版收缩膜+MA 纸袋+MA 23L说明书+MA 5L C版收藏指南+MA 1L sidekick包装
每pcs产品要贴一张RFID贴纸，RFID贴纸由ZURU提供，贴纸位置要严格按照客人签板
2.外箱RFID箱唛（四面右下角需印Zuru Logo)+ ITF-14条码+印刷黄色贴纸；ITF-14条码印刷在外箱主唛左下角，外箱任一侧面角落备注："MADE IN CHINA" 字样，
印刷黄色贴纸使用Yellow U色号，外箱箱唛资料待提供。
3. 在产品上和包装上要有日期码、以及要有MADE IN CHINA和ZURU字样；
4. 产品如有扎带口要剪平，不能刮手。
5. 此单需要验货，请自行多备包装物料。
6.Contain UV Glue and Cream Glue；3PCS AG13 Batteries(Included)
6. 30pcs/Sidekick/CTN</t>
  </si>
  <si>
    <t>Maggie Xie</t>
  </si>
  <si>
    <t>84538-4.15</t>
  </si>
  <si>
    <t>4500125323-30</t>
  </si>
  <si>
    <t>4/10交仓</t>
  </si>
  <si>
    <t>日期码格式：ZURU INC(BVI) 标准格式 日期：按实际生产日期
Packaging Info: 1.
2.77515GQ1:MA英语UPC版本包装（首选1LUPC，如果无1L可用多语含英语UPC版本）+防盗贴纸+箱唛+箱唛贴纸(1PCS/CTN).此外77515含纽扣电池，需要增加电池警告语贴纸.防盗贴纸和警告语贴纸以及他们的位置图请跟回PO#4500121356;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</si>
  <si>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84924-5.25</t>
  </si>
  <si>
    <t>4500125322-50</t>
  </si>
  <si>
    <t>日期码格式：ZURU INC(BVI) 标准格式 日期：按实际生产日期
Packaging Info: 
2.77515GQ1:MA英语UPC版本包装（首选1LUPC，如果无1L可用多语含英语UPC版本）+防盗贴纸+箱唛+箱唛贴纸(1PCS/CTN).此外77515含纽扣电池，需要增加电池警告语贴纸.防盗贴纸和警告语贴纸以及他们的位置图请跟回PO#4500121356;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77515GQ1-S003:3PCS AG13 Batteries(Included)</t>
  </si>
  <si>
    <t>84923-5.25</t>
  </si>
  <si>
    <t>OSIRIS INC.</t>
  </si>
  <si>
    <t>4500113704-10</t>
  </si>
  <si>
    <t>4/13出货</t>
  </si>
  <si>
    <t>日期码格式：ZURU INC(BVI) 标准格式 日期：按实际生产日期
Packaging Info: MA 3L UPC版本包装
Remark: 出加拿大
Zuru验货.日期跟踪码：产品外包装及产品本身都必须有日期跟踪码，ZURU标准格式日期码</t>
  </si>
  <si>
    <t>Summer Mo</t>
  </si>
  <si>
    <t>84526-4.13</t>
  </si>
  <si>
    <t>英国、意大利</t>
  </si>
  <si>
    <t>753Z555G</t>
  </si>
  <si>
    <t>4500123937-20</t>
  </si>
  <si>
    <t>4/16 截SI</t>
  </si>
  <si>
    <t>贴纸翻单</t>
  </si>
  <si>
    <t>日期码格式：ZURU INC(BVI) 标准格式 日期：按实际生产日期
Packaging Info: Amazon DE/IT/FR/UK:
2. 77515: 24pcs/ctn, no inner; MA 3L 收缩膜包装+2张贴纸(1张含UPC#贴纸+1张IT/FR sorting label贴纸，参考翻单PO#4500116490)+MA 5L A配件袋+MA 5L A收藏指南+MA23L A警示说明书+其他最新版MA包装;参考翻单PO#4500116490;
6. 以上款验货日期不迟于2024/4/5;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</si>
  <si>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84548-4.17</t>
  </si>
  <si>
    <t>ZMPO24135</t>
  </si>
  <si>
    <r>
      <rPr>
        <sz val="11"/>
        <color rgb="FF0000FF"/>
        <rFont val="Arial"/>
        <charset val="0"/>
      </rPr>
      <t>50</t>
    </r>
    <r>
      <rPr>
        <sz val="11"/>
        <color rgb="FF0000FF"/>
        <rFont val="宋体"/>
        <charset val="0"/>
      </rPr>
      <t>个满</t>
    </r>
    <r>
      <rPr>
        <sz val="11"/>
        <color rgb="FF0000FF"/>
        <rFont val="Arial"/>
        <charset val="0"/>
      </rPr>
      <t>PDQ</t>
    </r>
  </si>
  <si>
    <t>大货最新版本/PDQ里面的产品按大货比例入PDQ/大货标准箱装箱/箱唛参照邮件附件</t>
  </si>
  <si>
    <t>在仓库</t>
  </si>
  <si>
    <t>JUGATOYS S.L.</t>
  </si>
  <si>
    <t>4500125644-30</t>
  </si>
  <si>
    <t>4/17 截SI</t>
  </si>
  <si>
    <t>日期码格式：ZURU INC(BVI) 标准格式 日期：按实际生产日期
Packaging Info: 1&lt;(&gt;,&lt;)&gt;包装：
9298TQ1: 3L call out+ 9L warning MA收缩膜+1张客人LOGO贴纸+1张客人条码贴纸， MA PDQ +1张客人条码贴纸； 5L MA收藏指南， MA 布标；
77515GQ6： 3L call out+ 5L warning MA收缩膜+1张客人LOGO贴纸+1张客人条码贴纸；
3L MA PDQ +1张客人条码贴纸；5L MA 配件袋，23L MA收藏指南， 23L MA说明书；
Remark: 2, 此单出西班牙，全部出不带闪粉版本；</t>
  </si>
  <si>
    <t>Linda Cao</t>
  </si>
  <si>
    <t>84547-4.16</t>
  </si>
  <si>
    <t>4500125813-20</t>
  </si>
  <si>
    <t>4/15 BV</t>
  </si>
  <si>
    <t>4500124922-60</t>
  </si>
  <si>
    <t>4/23截SI</t>
  </si>
  <si>
    <t>日期码格式：ZURU INC(BVI) 标准格式 日期：按实际生产日期
Packaging Info: 1. 包装方式：MA UPC 优先1L 最新包装，出口美国
Remark: 2. 外箱箱唛红色和黑色双色印刷
3. 产品和包装上印刷tracking code信息，格式为ZURU常规</t>
  </si>
  <si>
    <t>Iris.yuan</t>
  </si>
  <si>
    <t>84918-2-5.25</t>
  </si>
  <si>
    <t>ARGOS LIMITED</t>
  </si>
  <si>
    <t>4500125461-10</t>
  </si>
  <si>
    <t>4月13日日交仓</t>
  </si>
  <si>
    <t>日期码格式：ZURU INC(BVI) 标准格式 日期：按实际生产日期
Packaging Info: 77515：MA-1L配套包装+客人白色Cat.label 1张覆盖ZURU条码
*注意Cat.label (要求易撕类贴纸，但是粘性不能过低），同时此贴纸每个订单都是不相同的(会显示客户对应的订单号），切勿翻旧订单购买，该贴纸由工厂自行
购买。
Remark: *所有产品按符合欧洲标准走货，不能出带闪粉版本 ，需要是不含微塑料版本 。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*条码扫描会显示客户的产品号 ，忽略订单显示的MA条码</t>
  </si>
  <si>
    <t>84570-4.18</t>
  </si>
  <si>
    <t>0086-6826017-0581</t>
  </si>
  <si>
    <t>4500124142-10</t>
  </si>
  <si>
    <t>4/22客上柜</t>
  </si>
  <si>
    <t>3/22客供</t>
  </si>
  <si>
    <t>日期码格式：ZURU INC(BVI) 标准格式 日期：按实际生产日期
Packaging Info: 产品包装MA 1L, MA 1L 收缩膜, MA 1L PDQ
Remark: 1. 77515GQ5-S002-MINI BRAND-MASTER CHEF MINI BRANDS-SERIES 1,21pcs/Gravity PDQ, 21pcs/CTN,No Inner,STD Color Assortment (White drop)
2. 产品包装MA 1L, MA 1L 收缩膜, MA 1L PDQ, 产品UPC 显示193052061034; 11 assortment have the same ratio；
3. 外箱正唛左上角位置粘贴条码箱贴纸，每箱只贴一张，由ZURU订购。来料贴纸上显示的客户DPCI# 086-02-9598， UPC显示10193052061031;
4. 产品和包装上印刷 tracking code信息，格式为ZURU常规格式;
5. 出货方式：货代自提。</t>
  </si>
  <si>
    <t>84594-4.22</t>
  </si>
  <si>
    <t>4500125814-10</t>
  </si>
  <si>
    <t>4/17 BV</t>
  </si>
  <si>
    <t>4/19开仓</t>
  </si>
  <si>
    <t>84583R1-4.20</t>
  </si>
  <si>
    <t>COOP NORGE HANDEL AS - DOM</t>
  </si>
  <si>
    <t>挪威</t>
  </si>
  <si>
    <t>4500125111-20</t>
  </si>
  <si>
    <t>77515GQ5-S002-NS</t>
  </si>
  <si>
    <t>4/16 第三方</t>
  </si>
  <si>
    <t>4/28截SI已出签板</t>
  </si>
  <si>
    <t>日期码格式：ZURU INC(BVI) 标准格式 日期：按实际生产日期
Packaging Info: 
77515GQ5: MA EAN 3L + MA PDQ +1张警告语贴纸+1张收藏指南上的气味贴纸
Remark: 1/ 工厂货号-客户货号-彩盒条码-外箱条码
77515GQ5-7211790-4894680032255-
2/ 配比：
9279:7 assortment (6 common + 1 rare); RAGDOLL CA (RARE): AMERICAN SHORTHAIR: CALICO CAT: BLACK CAT: BENGAL CAT: EXOTIC CAT: CHINCHILLA CAT= 1:9
:10:10:10: 10:10; Boron- free Slime;
77515无香配比：21pcs/PDQ,10.72% MASCM-S1-001 ，10.72% MASCM-S1-002，9.84% MASCM-S1-003，9.84% MASCM-S1-004，10.72% MASCM-S1-005， 10.72% MASCM-S
1-006，10.72% MASCM-S1-008， 8.78% MASCM-S1-009，8.78% MASCM-S1-010， 9.17% MASCM-S1-011
3/ 产品需符合欧洲关于微塑料的要求，产品和包装要求无硼无香，无闪粉无微塑料，包装不能含有PVC
4/ 包装和产品必须要有对应的生产日期，如果包装或产品上没有，必须要提前告知，避免客诉
5/ 此订单有第三方验货，每款各需要3套签样，届时跟单会通知寄样，请多备料</t>
  </si>
  <si>
    <t>Zoe Zhou</t>
  </si>
  <si>
    <t>84634-4.27</t>
  </si>
  <si>
    <t>77515GQ5-S001-NS-3L</t>
  </si>
  <si>
    <t>DOLLAR GENERAL CORPORATION</t>
  </si>
  <si>
    <t>1Y9QM9</t>
  </si>
  <si>
    <t>4500123768-10</t>
  </si>
  <si>
    <t>77515GQ3-S001</t>
  </si>
  <si>
    <t>4/22 UL 100%验货</t>
  </si>
  <si>
    <t>5/10 交仓已出样板+抽办</t>
  </si>
  <si>
    <t>用双坑纸箱</t>
  </si>
  <si>
    <t>日期码格式：DOLLAR GENERAL 格式日期码 日期：
Packaging Info: 客版1L收缩膜+客版PDQ+可移动价格贴纸，如有说明书，请优先使用ZURU MA 1L版本（无1L的请邮件提前告知）。
Remark: 1.包装：客版包装1L收缩膜 + 客版PDQ + 可移动价贴。 如有说明书或者指南，优先使用ZURU MA 1L的版本。客版包装AWs跟单稍后提供。
客户要求： “产品和包装不能含有PFAS 物质以及1,4 dioxane”
客户指定第三方实验室做测试，需确保产品可以过美国标准测试。
2.日期码：产品和包装上必须有客版格式日期码。 客版收缩膜AWs上已印有客版日期码和客版UPC#，大货前需核对好这些信息，包装无需额外打ZURU日期码了。
但是产品上需打客版日期码。
包装日期码（已印在收缩膜UPC码旁边竖排那里，无需额外添加），内容:
收缩膜文档已印有： 38179901E24
产品日期码： DOLGEN38179901E24（打在球瓣上，尽力激光工艺）.
UPC条形码：
193052061034
3.可移动价格贴纸：包装正面右上角上需贴可移动价格贴纸. 可移动价格贴纸保证黏度：撕下时不留痕迹，不能出现翘起现象 。注意价贴上黄色色号：PMS YELLOW
C 。
$10
4.样板：请尽力在3月10日左右提供每款每色各6FULL PDQ产前确认样4套光身样（跟单确认样板无误后才可开始大货，确保产前样所有信息及质量务必同大货） .寄
给ZURU深圳跟单Hailey /Cora 转寄客人签样 。
5.验货事宜： 4月18上进行客人指定TUV的100%验货+抽测试样（随机抽取每款每色各12PCS成品 + 5套光身样 + 干漆 + 封样（2-3套大货成品）。 请在4月17日前完成
ZURU QC验货，并当天14点前提供验货报告+大货图片给跟单。
6.,,箱唛：
此客人要求严格，外箱不接受水贴纸，材积以及重量必须按照以下要求，否则不符会导致验货fail从而影响货期而产生罚款。 大货外箱材积绝对不可大于下述数据
，材积只接受3%的变小；重量正负不得超过以下列出数据的5%，接受外箱以印章方式印上实际毛重。 大货外箱尺寸请保持：
#77515GQ3-S001 22*21*22.5cm，材积必须不能大于0.3671Cube Feet（0.0104CBM);外箱毛重2.40LBS（1.07KGS）。
箱唛不需要印ZURU格式日期码，不需要印外箱环保标识。
重要提示：客户强制要求大货外箱为双层瓦楞纸，否则第三方会fail验货，产生返工和罚款。
7.此客人不接受任何理由的延期，会有高额罚金产生.
8.如散货入仓需在货车上加防护网.
9.出货配比：
#77515GQ3-S001-MINI BRANDS-MASTER CHEF MINI BRANDS-SERIES 1,8pcs/Gravity PDQ, 8pcs/CTN,No Inner,STD Color Assortment</t>
  </si>
  <si>
    <t>84818-5.20</t>
  </si>
  <si>
    <r>
      <rPr>
        <sz val="11"/>
        <color rgb="FF0000FF"/>
        <rFont val="Arial"/>
        <charset val="0"/>
      </rPr>
      <t>77515GQ3-S001-</t>
    </r>
    <r>
      <rPr>
        <sz val="11"/>
        <color rgb="FF0000FF"/>
        <rFont val="宋体"/>
        <charset val="0"/>
      </rPr>
      <t>客版收缩膜</t>
    </r>
  </si>
  <si>
    <t>ARCHIBRAND, S.A. de C.V.</t>
  </si>
  <si>
    <t>4500125053-10</t>
  </si>
  <si>
    <t>4/25 截SI</t>
  </si>
  <si>
    <t>日期码格式：ZURU INC(BVI) 标准格式 日期：按实际生产日期
Packaging Info: 77515GQ2：MA 3L 包装+UPC条码贴纸+MA 3L PDQ+MA 5L收藏指南+MA 23L Warning instruction+进口商贴纸+保证书+箱唛，
Remark: 77515GQ2：11 assortment have the same ratio；3PCS AG13 Batteries(Include)</t>
  </si>
  <si>
    <t>84611-4.24</t>
  </si>
  <si>
    <t>RED APPLE STORES INC.</t>
  </si>
  <si>
    <t>2753947-00</t>
  </si>
  <si>
    <t>4500125351-10</t>
  </si>
  <si>
    <t>4/23截仓</t>
  </si>
  <si>
    <t>日期码格式：ZURU INC(BVI) 标准格式 日期：按实际生产日期
Packaging Info: 77515GQ1: MA 3L UPC版本包装。UPC号码为： 193052061034.
Remark: 出加拿大
日期跟踪码：产品外包装及产品本身都必须有日期跟踪码，并且确保两者的日期跟踪码要一致；ZURU标准格式日期码(请自行调整具体年月日生产期，但不能为周末</t>
  </si>
  <si>
    <t>84605-4.23</t>
  </si>
  <si>
    <t>2313745</t>
  </si>
  <si>
    <t>4500125613-30</t>
  </si>
  <si>
    <t>4/25入仓</t>
  </si>
  <si>
    <t>日期码格式：ZURU INC(BVI) 标准格式 日期：按实际生产日期
Packaging Info:
2.77515GQ1:MA英语UPC 版本包装 (优先1L，如无1L，可用3L),箱唛+外箱贴纸,此外77515含纽扣电池，包装跟说明书上需加电池警告语贴纸，贴纸及其位置图跟回K
mart PO#4500121356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由ZURU在货期前两周提供文档,由工厂订购，请贴在正唛右下角（封箱胶纸不能挡住贴纸内容。）；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7.Ratio：
77515GQ1:77515GQ1-S003:3PCS AG13 Batteries(Included);</t>
  </si>
  <si>
    <t>84922-5.25</t>
  </si>
  <si>
    <t>ARBREX MEXICO SA DE CV</t>
  </si>
  <si>
    <t>4500126389-100</t>
  </si>
  <si>
    <t>4/29 截SI有监柜要求，需多准备一套大货样板随大货送到做柜工厂</t>
  </si>
  <si>
    <t>日期码格式：ZURU INC(BVI) 标准格式 日期：按实际生产日期
Packaging Info: 
6. 77516： 透明珑贴纸+箱唛。2个77515入PVC管，两个球不能是相同的配比。
单个球的77515用3L MA收缩膜+空白贴纸覆盖原MA条码+多语收藏指南和说明书
Remark: 1.出货前需提供大货图片给客户确认才能出货
77516： 3PCS AG13 Batteries(Included)
3. 此单有监柜要求，需多准备一套大货样板随大货送到做柜工厂</t>
  </si>
  <si>
    <t>84635-4.27</t>
  </si>
  <si>
    <t>77516-S001-3L</t>
  </si>
  <si>
    <t>4500126643-10</t>
  </si>
  <si>
    <t>4/29 交仓</t>
  </si>
  <si>
    <t>日期码格式：ZURU INC(BVI) 标准格式 日期：按实际生产日期
Packaging Info: 1.77515GQ1:MA英语UPC版本包装（首选1LUPC，如果无1L可用多语含英语UPC版本）+防盗贴纸+箱唛+箱唛贴纸(1PCS/CTN).此外77515含纽扣电池，包装跟说明书上需
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</si>
  <si>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84785-5.17</t>
  </si>
  <si>
    <t>4500126609-30</t>
  </si>
  <si>
    <t>日期码格式：ZURU INC(BVI) 标准格式 日期：按实际生产日期
Packaging Info: 1.
2.77515GQ1:MA英语UPC版本包装（首选1LUPC，如果无1L可用多语含英语UPC版本）+防盗贴纸+箱唛+箱唛贴纸(1PCS/CTN).此外77515含纽扣电池，包装跟说明书上需
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77515GQ1-S003:3PCS AG13 Batteries(Included);</t>
  </si>
  <si>
    <t>84783-5.17</t>
  </si>
  <si>
    <t>4500126582-30</t>
  </si>
  <si>
    <t>4月23日-4月26日交仓</t>
  </si>
  <si>
    <t>日期码格式：ZURU INC(BVI) 标准格式 日期：按实际生产日期
Packaging Info: 1.
2.77515GQ1:MA英语UPC版本包装（首选1LUPC，如果无1L可用多语含英语UPC版本）+防盗贴纸+箱唛+箱唛贴纸(1PCS/CTN).此外77515含纽扣电池，需要增加电池警告
语贴纸(包装跟说明书上都需要贴).防盗贴纸和警告语贴纸以及他们的位置图请跟回PO#4500121356;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</si>
  <si>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84930-5.25</t>
  </si>
  <si>
    <t>4500126582-90</t>
  </si>
  <si>
    <t>4500126567-30</t>
  </si>
  <si>
    <t>日期码格式：ZURU INC(BVI) 标准格式 日期：按实际生产日期
Packaging Info: 1.
2.77515GQ1:MA英语UPC版本包装（首选1LUPC，如果无1L可用多语含英语UPC版本）+防盗贴纸+箱唛+箱唛贴纸(1PCS/CTN).此外77515含纽扣电池，需要增加电池警告
语贴纸(包装跟说明书上都需要贴).防盗贴纸和警告语贴纸以及他们的位置图请跟回PO#4500121356;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77515GQ1-S003:3PCS AG13 Batteries(Included);</t>
  </si>
  <si>
    <t>84919-5.25</t>
  </si>
  <si>
    <t>4500126567-100</t>
  </si>
  <si>
    <t>ASIA GOAL LIMITED</t>
  </si>
  <si>
    <t>香港</t>
  </si>
  <si>
    <t>to HK</t>
  </si>
  <si>
    <t>4500124614-10</t>
  </si>
  <si>
    <t>5/11自提  收藏指南有贴纸</t>
  </si>
  <si>
    <t>日期码格式：ZURU INC(BVI) 标准格式 日期：按实际生产日期
Packaging Info: 77515GQ2（3600pcs): MA 1L PKG+客供警语贴纸（一张贴贴球底部，一张贴收藏指南，一张贴warning instruction）+客供电池警语贴纸(贴顶部），详请参考HK客
供警语贴纸位置图
77515GQ2（1400pcs): MA 1L PKG+1张警语贴纸(贴球底部）
Remark: 接客户4/24出货安排通知，确认此单77515GQ2 全部5000pcs 出香港，5/10在兴信自提货物。</t>
  </si>
  <si>
    <t>84727-5.11</t>
  </si>
  <si>
    <t>to TW</t>
  </si>
  <si>
    <t>4500124614-20</t>
  </si>
  <si>
    <t>5/11自提   收藏指南有贴纸</t>
  </si>
  <si>
    <t>3LFND77K</t>
  </si>
  <si>
    <t>4500124528-20</t>
  </si>
  <si>
    <t>DIY厨艺大师（无闪粉）</t>
  </si>
  <si>
    <t>5/20 截SI</t>
  </si>
  <si>
    <t>日期码格式：ZURU INC(BVI) 标准格式 日期：按实际生产日期
Packaging Info: Amazon DE/FR
2. 77515: 24pcs/ctn, no inner; MA 3L 收缩膜包装+2张贴纸(1张含UPC#贴纸+1张IT/FR sorting label贴纸，参考翻单PO#4500116490)+MA 5L A配件袋+MA 5L A收藏指南+MA23L A警示说明书+其他最新版MA包装;参考翻单PO#4500116490
8.验货时间不迟于2024/5/6。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</si>
  <si>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84810-5.18</t>
  </si>
  <si>
    <t>NUEVOS ALMACENES, S.A.</t>
  </si>
  <si>
    <t>危地马拉</t>
  </si>
  <si>
    <t>4500123821-150</t>
  </si>
  <si>
    <t>5/21 截SI</t>
  </si>
  <si>
    <t>日期码格式：ZURU INC(BVI) 标准格式 日期：按实际生产日期
Packaging Info: 
77515GQ2:MA 1L包装+MA 23L说明书+箱唛，无进口商贴纸
Remark: 订单需自检，完货时提交自检报告，客户确认才可以出货。</t>
  </si>
  <si>
    <t>Eva Long</t>
  </si>
  <si>
    <t>84770-3-5.17</t>
  </si>
  <si>
    <t>WM MORRISON SUPERMARKET PLC</t>
  </si>
  <si>
    <t>Customer
PO#14026048</t>
  </si>
  <si>
    <t>4500126843-20</t>
  </si>
  <si>
    <t>77515GQ1-S002</t>
  </si>
  <si>
    <t>5/8 截SI</t>
  </si>
  <si>
    <t>防盗贴纸自行订购</t>
  </si>
  <si>
    <t>日期码格式：ZURU INC(BVI) 标准格式 日期：按实际生产日期
Packaging Info: 1.包装：
#77515GQ1：MA 1L 收缩膜/PDQ+MA 3L收藏指南/说明书+一张防盗贴纸（贴纸类型10111896: 40R ECON YBL DE 8.2 1kr，请工厂自行跟checkpoint供应商订购贴纸)
；
UPC#193052061034，请先检查包装条码是否正确再安排做货;
Remark: 2. 外箱有条码要求，排版时请留意并请确保条码清晰可扫描（封箱胶不要黏到条码上), 否则客人会有罚款。
3. 订单出英国，产品及包装需要印UKCA图标，包装需要有ZURU UK LTD/ZURU France地址信息，QC同事请查核，如有问题与跟单确认。
4. 箱唛日期码与包装保持一致
5. 若外箱重量超过16KGS，请提前告知ZURU跟单，需要客人批准才能出货
6.产品信息：
#77515GQ1：3PCS AG13 Batteries(Included)</t>
  </si>
  <si>
    <t>84932-5.27</t>
  </si>
  <si>
    <t>77515GQ1-S002-1</t>
  </si>
  <si>
    <t>0086-6423290-3890</t>
  </si>
  <si>
    <t>4500126855-10</t>
  </si>
  <si>
    <t>5/14 客上柜</t>
  </si>
  <si>
    <t>4/6客供</t>
  </si>
  <si>
    <t>日期码格式：ZURU INC(BVI) 标准格式 日期：按实际生产日期
Packaging Info: MA包装, MA 1L 收缩膜, MA 1L PDQ
Remark: 1. 77515GQ5-S002-MINI BRAND-MASTER CHEF MINI BRANDS-SERIES 1,21pcs/Gravity PDQ, 21pcs/CTN,No Inner,STD Color Assortment
2. MA包装, MA 1L 收缩膜, MA 1L PDQ, 产品UPC 显示193052061034;
3. 外箱正唛左上角位置粘贴条码箱贴纸，每箱只贴一张，由ZURU订购。来料贴纸上显示的客户DPCI# 086-02-9598， UPC显示10193052061031;
4. 产品和包装上印刷 tracking code信息，格式为ZURU常规格式;
5. 出货方式：货代自提。</t>
  </si>
  <si>
    <t>84739-5.14</t>
  </si>
  <si>
    <t>Importadora Sudamericana &amp; Generac</t>
  </si>
  <si>
    <t>阿根廷</t>
  </si>
  <si>
    <t>4500126680-10</t>
  </si>
  <si>
    <t>5/6出货</t>
  </si>
  <si>
    <t>日期码格式：ZURU INC(BVI) 标准格式 日期：按实际生产日期
Packaging Info: 75515:MA 1L包装+MA 23L 说明书+进口商贴纸+箱唛</t>
  </si>
  <si>
    <t>84796-5.17</t>
  </si>
  <si>
    <t>Meijer客户PO
215730910</t>
  </si>
  <si>
    <t>4500126975-10</t>
  </si>
  <si>
    <t>5/9 截SI</t>
  </si>
  <si>
    <t>日期码格式：ZURU INC(BVI) 标准格式 日期：按实际生产日期
Packaging Info: 1. MA UPC 包装
2. 客人指定箱唛排版
Remark: 出货前 Zuru QC 验货</t>
  </si>
  <si>
    <t>84963-5.28</t>
  </si>
  <si>
    <t>Meijer客户PO
215730878</t>
  </si>
  <si>
    <t>4500126973-10</t>
  </si>
  <si>
    <t>5月8日-5月10日交仓</t>
  </si>
  <si>
    <t>84715-5.12</t>
  </si>
  <si>
    <t>SUPER LTD
4500125987</t>
  </si>
  <si>
    <t>乔治亚州</t>
  </si>
  <si>
    <t>4500125987-20</t>
  </si>
  <si>
    <t>5/22 截SI</t>
  </si>
  <si>
    <t>日期码格式：ZURU INC(BVI) 标准格式 日期：按实际生产日期
Packaging Info:
77515GQ2：B 版1L MA 收缩膜+进口商贴纸；A 版收藏指南/A 版 23L 说明书/A 版 1L MA PDQ
1、所有item 均用MA UPC 条码，若包装不是UPC 条码的请告知
2、此单出欧洲需满足EU测试标准要求，另外不能出闪粉（若产品本身不含闪粉则忽略这句话）
Remark: 77515GQ2-S001:11 assortment have the same ratio</t>
  </si>
  <si>
    <t>84860-5.22</t>
  </si>
  <si>
    <t>Ambiental Paraguay</t>
  </si>
  <si>
    <t xml:space="preserve">
巴拉圭</t>
  </si>
  <si>
    <t>4500129172-50</t>
  </si>
  <si>
    <t>5/10 截SI</t>
  </si>
  <si>
    <t>日期码格式：ZURU INC(BVI) 标准格式 日期：按实际生产日期
Packaging Info: 9
77515:MA 1L包装+MA 23L说明书+进口商贴纸+箱唛,进口商贴纸贴于位置"C"
Remark: 
77515:3PCS AG13 Batteries (Included)</t>
  </si>
  <si>
    <t>84716-5.10</t>
  </si>
  <si>
    <t>4500129172-60</t>
  </si>
  <si>
    <t>日期码格式：ZURU INC(BVI) 标准格式 日期：按实际生产日期
Packaging Info: 9
77515GQ2:MA 1L包装+MA 23L说明书+进口商贴纸+箱唛,进口商贴纸贴于位置"C"
Remark: 
77515:3PCS AG13 Batteries (Included)</t>
  </si>
  <si>
    <t>ZMPO24300</t>
  </si>
  <si>
    <t>大货最新版本/产品可按大货比列入PDQ/请用大货标准箱装箱/箱唛请参照邮件附件；备注：收到样品订单后尽快安排 ，注意样板品质质量要求要高于大货品质要求 ，送货时必须要附带送货单(没有送货单和QC检验合格报告的仓库一律拒绝收货)，请知悉，谢谢！</t>
  </si>
  <si>
    <t>85450-6.20</t>
  </si>
  <si>
    <t>ROSS PROCUREMENT.INC</t>
  </si>
  <si>
    <t>4500127584-10</t>
  </si>
  <si>
    <t>5/17 截SI</t>
  </si>
  <si>
    <t>4/1客供</t>
  </si>
  <si>
    <t>日期码格式：ZURU INC(BVI)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
5. PVC 桶中球不能出现完全 相同的ASSORTMENT ， 即同一个PVC 中球里的ASSORTMENT 需要不同。 以免消费者失望。
6.PVC 桶上加上MINI BRANDS贴纸 （ZURU统一要求的）</t>
  </si>
  <si>
    <t>84760-5.16</t>
  </si>
  <si>
    <t>77516-S001-1L</t>
  </si>
  <si>
    <t>FREDMEYER INC</t>
  </si>
  <si>
    <t>000033428258</t>
  </si>
  <si>
    <t>4500129269-10</t>
  </si>
  <si>
    <t>77515GQ2-S002</t>
  </si>
  <si>
    <t>5/14 自提</t>
  </si>
  <si>
    <t>日期码格式：ZURU INC(BVI) 标准格式 日期：按实际生产日期
Packaging Info: 1、包装方式：MA UPC优先1L最新版，出口美国
Remark: 2、无测试无第三方验货要求。
3、纸箱4面印ZURU LOGO + 箱唛。
4、日期码请按ZURU标准版执行即可。
5、ZURU QC验货。</t>
  </si>
  <si>
    <t>Vicky Wu</t>
  </si>
  <si>
    <t>84933-5.27</t>
  </si>
  <si>
    <t>4500129012-10</t>
  </si>
  <si>
    <t>77515SLB-S002</t>
  </si>
  <si>
    <t>DIY厨艺大师卡板装</t>
  </si>
  <si>
    <t>5/6抽办500PCS 5/17 BV</t>
  </si>
  <si>
    <t>6/11 截SI</t>
  </si>
  <si>
    <t>箱唛翻单129422</t>
  </si>
  <si>
    <t>4/20客供</t>
  </si>
  <si>
    <t>日期码格式：ZURU DGYYYYMMDD CHINA(日期避开周末和法定节假日即可） 日期：按实际生产日期
Packaging Info: 77515SLB-S002：
1.包装要求：
MA B版 1L收缩膜+客版 A版 5L收藏指南+MA A版 5L纸袋+MA A版 23L说明书+客版 1L PDQ
每pcs产品上要贴1张RFID贴纸，贴纸由ZURU提供，贴纸位置请严格按照我们签回的签板；
Remark: 77515SLB-S002：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sheet出货，77515：1152pcs/96CTN/Slip Sheet
Order</t>
  </si>
  <si>
    <t>85314-6.13</t>
  </si>
  <si>
    <t>4500127869-20</t>
  </si>
  <si>
    <t>5/10截仓</t>
  </si>
  <si>
    <t>日期码格式：ZURU INC(BVI) 标准格式 日期：按实际生产日期
Packaging Info: 
2.77515GQ1:MA英语UPC版本包装（首选1LUPC，如果无1L可用多语含英语UPC版本）+防盗贴纸+箱唛+箱唛贴纸(1PCS/CTN).此外77515含纽扣电池，包装跟说明书上需
要增加电池警告语贴纸.防盗贴纸和警告语贴纸以及他们的位置图请跟回PO#4500121356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t>
  </si>
  <si>
    <t>84795-5.17</t>
  </si>
  <si>
    <t>ZMPO24302</t>
  </si>
  <si>
    <r>
      <rPr>
        <sz val="11"/>
        <rFont val="Arial"/>
        <charset val="0"/>
      </rPr>
      <t>60</t>
    </r>
    <r>
      <rPr>
        <sz val="11"/>
        <rFont val="宋体"/>
        <charset val="0"/>
      </rPr>
      <t>套</t>
    </r>
  </si>
  <si>
    <t>左图中散件每款各60PCS；备注： 收到样品订单后尽快安排 ，谢谢！</t>
  </si>
  <si>
    <t>85018-5.29</t>
  </si>
  <si>
    <t>IMPORTADORA CHICOCOS</t>
  </si>
  <si>
    <t>玻利维亚</t>
  </si>
  <si>
    <t>4500126134-60</t>
  </si>
  <si>
    <t>5/16 截SI</t>
  </si>
  <si>
    <t>日期码格式：ZURU INC(BVI) 标准格式 日期：按实际生产日期
Packaging Info: 
77515GQ2:MA 1L包装+MA 多语说明书（含西语）+箱唛，无进口商贴纸
Remark:</t>
  </si>
  <si>
    <t>84797-5.17</t>
  </si>
  <si>
    <t>HEB GROCERY COMPANY, LP</t>
  </si>
  <si>
    <t>60X584687</t>
  </si>
  <si>
    <t>4500129952-10</t>
  </si>
  <si>
    <t>5/14 第三方抽办+验货</t>
  </si>
  <si>
    <t>6/1 截SI</t>
  </si>
  <si>
    <t>日期码格式：ZURU INC(BVI) 标准格式 日期：按实际生产日期
Packaging Info: 1.都是ZURU MA UPC版包装，优先1L, 出美国。
Remark: 2.#77515GQ1:需要提供大货样5个球+3pcs PDQ+3套光身办， 签样用于第三方验货
3.要求大货完成时间2024年5月15日，预定2024年5月16日-利丰100%大货验货加抽板，需准备6套测试样品。除抽板之外，如果产品有油漆的需要额外准备5G的油漆
涂在同 材质的胶件上，面积类似A4纸大小。
4. 产品和包装上需要印刷tracking code信息且两者印刷的内容必须一致,格式为ZURU常规。
5.#77515GQ1:13PCS/Gravity PDQ, 13PCS/PDQ/CTN, 3PCS AG13 Batteries(Included).</t>
  </si>
  <si>
    <t>85054-5.30</t>
  </si>
  <si>
    <t>4500128658-50</t>
  </si>
  <si>
    <t>77515GQ1-S003-NB</t>
  </si>
  <si>
    <t>已出样板</t>
  </si>
  <si>
    <t>6/2出货</t>
  </si>
  <si>
    <t>日期码格式：ZURU INC(BVI) 标准格式 日期：按实际生产日期
Packaging Info:
77515GQ1: MA EAN 3L + MA PDQ +1张警告语贴纸+1张收藏指南上的气味贴纸 （气味贴纸翻单4500125111）
Remark: 
工厂货号77515GQ1-客户货号7223819-彩盒条码4894680032255-外箱条码10193052061031
2/ 配比：
77515GQ1: 去掉香味款 MASCM-S1-007，调整比例出货，10款MINI 尽量平均分配
3/ 产品和包装要求无硼无香，包装不能含有PVC
4/ 如有微塑料，必须合规欧洲标准，闪粉也是微塑料的一种，目前仅接受三张方式1.去除，2.用可降解材料，和3. 永久封印在固体。
5/ 此订单有第三方验货，每款各需要3套签样，请4-25前寄出并告知单号</t>
  </si>
  <si>
    <t>86096-7.18</t>
  </si>
  <si>
    <t>4500128518-40</t>
  </si>
  <si>
    <t>5月15日交仓</t>
  </si>
  <si>
    <t>日期码格式：ZURU INC(BVI) 标准格式 日期：按实际生产日期
Packaging Info: 
2.77515GQ1:MA英语UPC版本包装（首选1LUPC，如果无1L可用多语含英语UPC版本）+防盗贴纸+箱唛+箱唛贴纸(1PC/CTN).此外77515含纽扣电池，包装跟说明书上需要
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</si>
  <si>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85137-6.5</t>
  </si>
  <si>
    <t>4500128517-40</t>
  </si>
  <si>
    <t>日期码格式：ZURU INC(BVI) 标准格式 日期：按实际生产日期
Packaging Info: 
2.77515GQ1:MA英语UPC版本包装（首选1LUPC，如果无1L可用多语含英语UPC版本）+防盗贴纸+箱唛+箱唛贴纸(1PC/CTN).此外77515含纽扣电池，包装跟说明书上需要
增加电池警告语贴纸.防盗贴纸和警告语贴纸以及他们的位置图请跟回PO#4500121356;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77515GQ1-S003:3PCS AG13 Batteries(Included)</t>
  </si>
  <si>
    <t>85136-6.5</t>
  </si>
  <si>
    <t>JOINCO IMPORTACAO E EXPORTACAO LDA-</t>
  </si>
  <si>
    <t>葡萄牙</t>
  </si>
  <si>
    <t>4500131112-10</t>
  </si>
  <si>
    <t>77515GQ2-S002-NS</t>
  </si>
  <si>
    <t>未出样板</t>
  </si>
  <si>
    <t>5/25 截SI</t>
  </si>
  <si>
    <t>日期码格式：ZURU INC(BVI) 标准格式 日期：按实际生产日期
Packaging Info: 开学季促销单，不可以延期，大货样品两套，请多备料
Remark: MA 3L A PDQ+MA 3L 收缩膜+MA 5L 收藏指南+ MA 23L 说明书 +MA 5L 配件袋+进口商贴纸</t>
  </si>
  <si>
    <t>Stefanie Wang</t>
  </si>
  <si>
    <t>84953-5.27</t>
  </si>
  <si>
    <t>ZMPO24312</t>
  </si>
  <si>
    <r>
      <rPr>
        <sz val="11"/>
        <rFont val="Arial"/>
        <charset val="0"/>
      </rPr>
      <t>120</t>
    </r>
    <r>
      <rPr>
        <sz val="11"/>
        <rFont val="宋体"/>
        <charset val="0"/>
      </rPr>
      <t>套</t>
    </r>
  </si>
  <si>
    <t>大货订单最新版本/只需要全套散件，麻烦用胶袋分装好一套为一袋；备注：收到样品订单后尽快安排 ，注意样板品质质量要求要高于大货品质要求 ，送货时必须要附带送货单(没有送货单和QC检验合格报告的仓库一律拒绝收货)，请知悉，谢谢！</t>
  </si>
  <si>
    <t>4500129060-20</t>
  </si>
  <si>
    <t>5/15 交仓</t>
  </si>
  <si>
    <t>翻单121356</t>
  </si>
  <si>
    <t>日期码格式：ZURU INC(BVI) 标准格式 日期：按实际生产日期
Packaging Info: 
2.77515GQ1:MA英语UPC版本包装（首选1LUPC，如果无1L可用多语含英语UPC版本）+防盗贴纸+箱唛+箱唛贴纸(1PCS/CTN).此外77515含纽扣电池，需要增加电池警告
语贴纸(包装正面跟说明书上都需要贴).防盗贴纸和警告语贴纸以及他们的位置图请跟回PO#4500121356;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5.此单出口澳大利亚，请按相应澳新标准生产；
6.产品和包装上生产批号的显示格式ZURU标准日期码格式
7，外箱内容不可手写
8, 箱唛+外箱贴纸
9
77515GQ1-S003:3PCS AG13 Batteries(Included);</t>
  </si>
  <si>
    <t>85134-6.5</t>
  </si>
  <si>
    <t>4500129064-60</t>
  </si>
  <si>
    <t>日期码格式：ZURU INC(BVI) 标准格式 日期：按实际生产日期
Packaging Info: 1.
3.77515GQ1:MA英语UPC版本包装（首选1LUPC，如果无1L可用多语含英语UPC版本）+防盗贴纸+箱唛+箱唛贴纸(1PCS/CTN).此外77515含纽扣电池，需要增加电池警告
语贴纸(包装正面跟说明书上都需要贴).防盗贴纸和警告语贴纸以及他们的位置图请跟回PO#4500121356;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5.此单出口新西兰，请按相应澳新标准生产；
6.产品和包装上生产批号的显示格式ZURU标准日期码格式
7，外箱内容不可手写
8, 箱唛+外箱贴纸
9
77515GQ1-S003:3PCS AG13 Batteries(Included);</t>
  </si>
  <si>
    <t>85129-6.5</t>
  </si>
  <si>
    <t>4500129002-80</t>
  </si>
  <si>
    <t>翻单4500122597</t>
  </si>
  <si>
    <t>日期码格式：ZURU INC(BVI) 标准格式 日期：按实际生产日期 Tracking Code:
Packaging Info:
 2.77151GQ2/77515SK:英文MA包装UPC版本（首选1L,无1L可选多语）+客人通用进口商贴纸(每PCS贴一张进口商贴纸)+箱唛,进口商贴纸请沿着球底部的recycle字样贴
;此外77515含纽扣电池，收缩膜跟说明书上需要各贴1pc警告语贴纸;以上贴纸及其位置图跟回PO#4500122597
Remark: 1.按实际生产日期;
 2.出澳大利亚，请按照相应标准生产;
 77515GQ2:3PCS AG13 Batteries(Include);</t>
  </si>
  <si>
    <t>84812-2-5.18</t>
  </si>
  <si>
    <t>4500129002-90</t>
  </si>
  <si>
    <t>CBI DISTRIBUTING CORPORATION</t>
  </si>
  <si>
    <t>4500125088-10</t>
  </si>
  <si>
    <t>5/17 截仓</t>
  </si>
  <si>
    <t>日期码格式：ZURU INC(BVI) 标准格式 日期：按实际生产日期
Packaging Info: MA3L收缩膜+MA3LPDQ+客供价格贴纸
Remark: 价格贴纸需覆盖收缩膜上的UPC,贴大货之前先贴一个球给跟单确认位置图</t>
  </si>
  <si>
    <t>Cara Li</t>
  </si>
  <si>
    <t>84769-5.17</t>
  </si>
  <si>
    <t>4500129544-10</t>
  </si>
  <si>
    <t>5/17送仓</t>
  </si>
  <si>
    <t>日期码格式：ZURU INC(BVI) 标准格式 日期：按实际生产日期
Packaging Info: 1.ZURU MA UPC 包装(优先使用1L) + 客版可移动价格贴纸, 贴纸AWS跟单稍后提供, 工厂自行订购, 出口美国。
Remark: 1.ZURU MA UPC 包装(优先使用1L) + 客版可移动价格贴纸, 贴纸AWS跟单稍后提供, 工厂自行订购, 出口美国。
2.ZURU标准日期码格式,所有产品及包装都必须带有日期码，日期码必须一致(但日期不可为周末)。
3.可移价贴需贴在产品包装背面右下角的位置。
All Pre Price Tickets should be placed on the back of the product, located in the lower right hand corner of the package
#77515GQ1-S001 $16.99
4.出货配比：
#77515GQ1-S001-MINI BRANDS-MASTER CHEF MINI BRANDS-SERIES 1-CAPSULE,13PCS/Gravity PDQ, 52PCS/4PDQ/CTN</t>
  </si>
  <si>
    <t>84811-5.18</t>
  </si>
  <si>
    <t>4500125731-20</t>
  </si>
  <si>
    <t>5/20 出货</t>
  </si>
  <si>
    <t>贴纸以及位置图翻#4500119795</t>
  </si>
  <si>
    <t>日期码格式：ZURU INC(BVI) 标准格式 日期：按实际生产日期
Packaging Info: 1.77515GQ2: MA 3L EAN 最新收缩膜+贴纸（德国CALLOUT 和荷兰警告语 ）
贴纸以及位置图翻#4500119795
+MA 5L收藏指南+MA3LPDQ
EAN#4894680032255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</si>
  <si>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84886-5.23</t>
  </si>
  <si>
    <t>4500126574-20</t>
  </si>
  <si>
    <t>84885-5.23</t>
  </si>
  <si>
    <t>CANDIDE IND E COM LTDA</t>
  </si>
  <si>
    <t>巴西</t>
  </si>
  <si>
    <t>RB24565</t>
  </si>
  <si>
    <t>4500127973-30</t>
  </si>
  <si>
    <t>5/22 出货</t>
  </si>
  <si>
    <t>日期码格式：ZURU INC(BVI) 标准格式 日期：按实际生产日期
Packaging Info: 1.77515:MA 1L包装+进口商贴纸+MA 23L 说明书+箱唛
2.封箱胶带要用客版CANDIDE版本</t>
  </si>
  <si>
    <t>85595-6.27</t>
  </si>
  <si>
    <t>4500127973-40</t>
  </si>
  <si>
    <t>Zuru Italy SRL</t>
  </si>
  <si>
    <t>4500125337-20</t>
  </si>
  <si>
    <t>法国和意大利环保标贴纸（翻单4500124462）</t>
  </si>
  <si>
    <t>日期码格式：ZURU INC(BVI) 标准格式 日期：按实际生产日期
Packaging Info: 
2.77515GQ6:{MA 3L+5L warning EAN B本收缩膜+一张法国和意大利环保标贴纸（翻单4500124462）}MA MA 5L A版收藏指南+MA 23L A版说明书+MA 3L PDQ；
Remark: "1.意大利内销单，ZURU 验货后即可出货；
2.外箱EAN 14 条码参考：
77515GQ6:60193052061036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</si>
  <si>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84887-5.23</t>
  </si>
  <si>
    <t>4500125337-10</t>
  </si>
  <si>
    <t>77515SK-S002-MTS</t>
  </si>
  <si>
    <t xml:space="preserve">未出样板 </t>
  </si>
  <si>
    <t>日期码格式：ZURU INC(BVI) 标准格式 日期：按实际生产日期
 1.77515SK：MA 3L 展示架+{MA 3L+5L warning EAN B本收缩膜+一张法国和意大利环保标贴纸（翻单4500124462）}MA MA 5L A版收藏指南+MA 23L A版说明书；
 "1.意大利内销单，ZURU 验货后即可出货；
 2.外箱EAN 14 条码参考：
77515SK：50193052061039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</si>
  <si>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Zhuyu(Shenzhen)Trading Co.,Ltd.</t>
  </si>
  <si>
    <t>中国</t>
  </si>
  <si>
    <t>4500130675-10</t>
  </si>
  <si>
    <t>5/23自提</t>
  </si>
  <si>
    <t>日期码格式：ZURU INC(BVI) 标准格式 日期：按实际生产日期
Packaging Info: 1.物料要求
77515GQ1: MA PDQ +外挂中文收藏指南+中文收藏指南(每一款都不同)+警告语+收缩膜年龄贴（8+）
所有款号务必使用带有CCC 标识的AW
77515GQ1 需各4套大货样供签板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6.这张订单做出厂价，我司自行安排车辆去贵司提货，贵司需要配合提供出口报关</t>
  </si>
  <si>
    <t>Tina Chen</t>
  </si>
  <si>
    <t>84954-5.27</t>
  </si>
  <si>
    <t>77515GQ1-S003-1</t>
  </si>
  <si>
    <t>4500126515-50</t>
  </si>
  <si>
    <t>5/25 出货</t>
  </si>
  <si>
    <t>日期码格式：ZURU INC(BVI) 标准格式 日期：按实际生产日期
Packaging Info: 
#77515GQ2: MA3L,PDQ(25装)+客版3L,UPC条码收缩膜(UPC: 193052061034)+MA5L收藏指南+MA23L说明书+MA5L配件袋+MA复合袋
Remark:
2. 带电池的产品需使用英法双语电池(纽扣电池除外)；
3. 此单有箱唛;
4. 此单需要第三方验货，烦请多备包装物;
5. 此单需安排大货样进行签办，样品数量见下：
- #77515GQ2: 2pcsPDQ+3pcs大货球+2套光身办；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
(d) benzene;
(e) turpentine or any substance that contains &gt;10% weight to volume of turpentine;
(f) boric acid or salts of boric acid; or (g) ethyl ether.
附件列表：
(1) Letter of Guarantee for WM CA-Other prohibited substances in plastic(less than 3 years)</t>
  </si>
  <si>
    <t>84951-5.27</t>
  </si>
  <si>
    <t>77515GQ2-S002-CA</t>
  </si>
  <si>
    <t>4500126515-60</t>
  </si>
  <si>
    <t>4500130307-40</t>
  </si>
  <si>
    <t>5/24 入仓</t>
  </si>
  <si>
    <t>4/29防盗贴纸+箱唛贴纸+电池警告语贴纸(包装正面跟说明书上都需要贴).防盗贴纸和警告语贴纸以及他们的位置图请跟回PO#4500121356;</t>
  </si>
  <si>
    <t>日期码格式：ZURU INC(BVI) 标准格式 日期：按实际生产日期
Packaging Info: 
3.77515GQ1:MA英语UPC版本包装（首选1LUPC，如果无1L可用多语含英语UPC版本）+防盗贴纸+箱唛+箱唛贴纸(1PCS/CTN).此外77515含纽扣电池，需要增加电池警告
语贴纸(包装正面跟说明书上都需要贴).防盗贴纸和警告语贴纸以及他们的位置图请跟回PO#4500121356;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77515GQ1-S003:3PCS AG13 Batteries(Included);</t>
  </si>
  <si>
    <t>84955-5.27</t>
  </si>
  <si>
    <t>4500130331-40</t>
  </si>
  <si>
    <t>日期码格式：ZURU INC(BVI) 标准格式 日期：按实际生产日期
Packaging Info: 
3.77515GQ1:MA英语UPC版本包装（首选1LUPC，如果无1L可用多语含英语UPC版本）+防盗贴纸+箱唛+箱唛贴纸(1PCS/CTN).此外77515含纽扣电池，需要增加电池警告
语贴纸(包装正面跟说明书上都需要贴).防盗贴纸和警告语贴纸以及他们的位置图请跟回PO#4500121356;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</si>
  <si>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84956-5.27</t>
  </si>
  <si>
    <t>TOYMASTER LTD</t>
  </si>
  <si>
    <t>ZU/04/02</t>
  </si>
  <si>
    <t>4500128687-30</t>
  </si>
  <si>
    <t>5/31 截SI</t>
  </si>
  <si>
    <t>日期码格式：ZURU INC(BVI) 标准格式 日期：按实际生产日期
Packaging Info: 1.
77515GQ2:MA 1L UPC包装，UPC#193052061034 请先检查条码是否正确再安排做货
2.配比都跟MA配比
Remark: 1. 产品及包装需要印UKCA图标，包装需要有ZURU UK LTD/ZURU France地址信息，QC同事请核查，如有问题与跟单确认
2. 需要符合欧洲标准不能含有闪粉和微塑料，否则不和法规会有客诉产生</t>
  </si>
  <si>
    <t>85155-6.6</t>
  </si>
  <si>
    <t>ZU/03/02</t>
  </si>
  <si>
    <t>4500128745-20</t>
  </si>
  <si>
    <t>5/28 截SI</t>
  </si>
  <si>
    <t>85011-5.29</t>
  </si>
  <si>
    <t>HKS Global Resources</t>
  </si>
  <si>
    <t>ship to Japan</t>
  </si>
  <si>
    <t>4500125354-60</t>
  </si>
  <si>
    <t>日期码要一致</t>
  </si>
  <si>
    <t>5/25-27交仓</t>
  </si>
  <si>
    <t>日期码格式：ZURU INC(BVI) 标准格式 日期：按实际生产日期
Packaging Info: ZURU MA 1L 最新包装+ UPC贴纸.UPC文档跟单提供，工厂采购；出口美国和日本。
Remark: 1. 日期跟踪码：产品包装及产品本身都必须有日期跟踪码，并且确保两者的日期跟踪码要一致；ZURU标准格式日期码(请自行调整具体年月日生产期，但不能为周
末）。
2. 外箱贴纸：
外箱除了需要印刷箱唛外，还需额外加贴Packing Slip 和 UCC 贴纸 各一张
Packing Slip: 每款产品第一箱的外箱都需在1面正唛右上角处贴上Packing Slip（跟单提供资料；工厂用A4纸打印）,见箱唛资料详细内容。
UCC贴纸：每个外箱的1面正唛右下角需贴一张UCC贴纸，贴纸尺寸为4*6 inch, PDF文档跟单提供,工厂采购。
注意：Packing Slip 和 UCC 贴纸 需出现在同一面上
3. 需要提供ZURU QC验货图片及验货报告给客户才能放SO出货，请QC验货时尽可能拍详细的图片。
4. 需在5月10日前寄出2套大货样给客户确认才可出货.
5. 该订单包含5个客户PO，分别出5个不同DC,详细见订单最右边栏的remarks
ship to Japan
ship to CHINO
ship to SUFFOLK
ship to Warsaw, NC (DC 60001)
ship to San Bernardino, CA (DC 70001)</t>
  </si>
  <si>
    <t>Mila Yao</t>
  </si>
  <si>
    <t>84995-5.29</t>
  </si>
  <si>
    <t>ship to CHINO</t>
  </si>
  <si>
    <t>4500125354-170</t>
  </si>
  <si>
    <t>ship to
SUFFOLK</t>
  </si>
  <si>
    <t>4500125354-280</t>
  </si>
  <si>
    <t>84PCS FOR PO#2750639 SHIP TO Warsaw, NC (DC60001);168PCS FOR Po#2750640 SHIP TO San Bernardino, CA (DC 70001)</t>
  </si>
  <si>
    <t>4500125354-400</t>
  </si>
  <si>
    <t>4500129028-10</t>
  </si>
  <si>
    <t>5/24 BV</t>
  </si>
  <si>
    <t>5/30 截SI</t>
  </si>
  <si>
    <t>日期码格式：ZURU DGYYYYMMDD CHINA(日期避开周末和法定节假日即可） 日期：按实际生产日期
Packaging Info: 77515GQ6-S002：
1.包装要求：
MA B版 1L收缩膜+客版 A版 5L收藏指南+MA A版 5L纸袋+MA A版 23L说明书+客版 1L PDQ
每pcs产品上要贴1张RFID贴纸，贴纸由ZURU提供，贴纸位置请严格按照我们签回的签板；
Remark: 77515GQ6-S002：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carton出货，12pcs/PDQ/CTN</t>
  </si>
  <si>
    <t>85013-5.29</t>
  </si>
  <si>
    <t>4500129028-20</t>
  </si>
  <si>
    <t>85308-6.13</t>
  </si>
  <si>
    <t>4500129028-30</t>
  </si>
  <si>
    <t>84952-5.27</t>
  </si>
  <si>
    <t>4500129014-10</t>
  </si>
  <si>
    <t>日期码格式：ZURU DGYYYYMMDD CHINA(日期避开周末和法定节假日即可） 日期：按实际生产日期
Packaging Info: 77515SLB-S002：
1.包装要求：
MA B版 1L收缩膜+客版 A版 5L收藏指南+MA A版 5L纸袋+MA A版 23L说明书+客版 1L PDQ
每pcs产品上要贴1张RFID贴纸，贴纸由ZURU提供，贴纸位置请严格按照我们签回的签板；
Remark: 77515SLB-S002：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sheet出货，77515：1152pcs/96CTN/Slip Sheet</t>
  </si>
  <si>
    <t>85027-5.30</t>
  </si>
  <si>
    <t>4500129421-10</t>
  </si>
  <si>
    <t>6/7 截SI</t>
  </si>
  <si>
    <t>日期码格式：ZURU DGYYYYMMDD CHINA(日期避开周末和法定节假日即可） 日期：按实际生产日期
Packaging Info: 77515SLB-S002：
1.包装要求：
MA B版 1L收缩膜+客版 A版 5L收藏指南+MA A版 5L纸袋+MA A版 23L说明书+客版 1L PDQ，翻单：4500129013
每pcs产品上要贴1张RFID贴纸，贴纸由ZURU提供，贴纸位置请严格按照我们签回的签板；
Remark: 77515SLB-S002：
1.包装要求：
MA B版 1L收缩膜+客版 A版 5L收藏指南+MA A版 5L纸袋+MA A版 23L说明书+客版 1L PDQ，翻单：4500129013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sheet出货，77515：1152pcs/96CTN/Slip Sheet</t>
  </si>
  <si>
    <t>85316-6.13</t>
  </si>
  <si>
    <t>4500129421-20</t>
  </si>
  <si>
    <t>85403-6.19</t>
  </si>
  <si>
    <t>WAL-MART.COM</t>
  </si>
  <si>
    <t>0832244657</t>
  </si>
  <si>
    <t>4500132364-10</t>
  </si>
  <si>
    <t>77515-S004</t>
  </si>
  <si>
    <t>5/28 BV</t>
  </si>
  <si>
    <t>6/1交仓</t>
  </si>
  <si>
    <t>箱唛翻单：4500129012</t>
  </si>
  <si>
    <t>5、10RFID贴纸</t>
  </si>
  <si>
    <t>日期码格式：ZURU DGYYYYMMDD CHINA(日期避开周末和法定节假日即可） 日期：按实际生产日期
Packaging Info: 77515-S004：
1.包装要求：
MA B版 1L收缩膜+客版 A版 5L收藏指南+MA A版 5L纸袋+MA A版 23L说明书，收藏指南/箱唛翻单：4500129012每pcs产品上要贴1张RFID贴纸，贴纸由ZURU提供，贴
纸位置请严格按照我们签回的签板；
Remark: 77515-S004：
1.包装要求：
MA B版 1L收缩膜+客版 A版 5L收藏指南+MA A版 5L纸袋+MA A版 23L说明书，收藏指南/箱唛翻单：4500129012每pcs产品上要贴1张RFID贴纸，贴纸由ZURU提供，贴
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carton出货，12pcs/PDQ/CTN</t>
  </si>
  <si>
    <t>Estate Chen</t>
  </si>
  <si>
    <t>85130-6.5</t>
  </si>
  <si>
    <t>4500130934-10</t>
  </si>
  <si>
    <t>5/30入仓</t>
  </si>
  <si>
    <t>日期码格式：ZURU INC(BVI) 标准格式 日期：按实际生产日期
Packaging Info: 1. 77515SK1：全套MA-1L包装+1L展示架带底座；箱唛+外箱贴纸,此外77515含纽扣电池，包装跟说明书上需加电池警告语贴纸，贴纸及其位置图跟回Kmart PO#45001
21356
此订单有分两种装运类型，Line10~60为散货，60~120为整柜。请注意外箱贴纸需要按贴纸文件顺序安排贴纸顺序，先贴整柜的数量，剩下的贴散货的数量。如:921
04贴纸文件第1-34页为整柜装运部分的贴纸，第35-50页为散货装运部分的贴纸。以此类推。
如不按此安排，此次出货请自行记录好外箱对应贴纸的相关信息。如客户收到后有贴纸重复或贴纸顺序记录错误等问题产生的相关费用需由工厂自己承担。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由ZURU在货期前两周提供文档,由工厂订购，请贴在侧唛（封箱胶纸不能挡住贴纸内容。）；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7.LCL走货，港口数量分配信息以订舱资料为准，订舱资料会在出货时间前30天左右给到工厂；
8.客人验货大货需与签板版本一致，请QA核对签办，若大货有任何更新，请务必提前两周通知跟单并重新寄签办"。
9.散货送仓时， 尽可能有SSCC label 的一面对准车门。
77515SK1-S002：3PCS AG13 Batteries (Included)</t>
  </si>
  <si>
    <t>Lydia Wu</t>
  </si>
  <si>
    <t>85056R1-5.31</t>
  </si>
  <si>
    <t>4500130934-60</t>
  </si>
  <si>
    <t>4500130934-70</t>
  </si>
  <si>
    <t>85150-6.6</t>
  </si>
  <si>
    <t>4500130934-120</t>
  </si>
  <si>
    <t>TOYS "R" US – JAPAN, LTD</t>
  </si>
  <si>
    <t>日本</t>
  </si>
  <si>
    <t>47:0003049645</t>
  </si>
  <si>
    <t>4500128101-10</t>
  </si>
  <si>
    <t>无需MA说明书但要加日语说明书</t>
  </si>
  <si>
    <t>日期码格式：ZURU INC(BVI) 标准格式 日期：按实际生产日期
Packaging Info: MA 1L PKG（含MA 3L 收藏指南，无需MA说明书）+1张日语警语贴纸+日语说明书， 收缩膜和PDQ上需加一张“15+”贴纸覆盖“6+”信息。
Remark: 77515GQ2出日本首单，需安排测试，请多备料</t>
  </si>
  <si>
    <t>85055-5.31</t>
  </si>
  <si>
    <t xml:space="preserve"> 
20040229</t>
  </si>
  <si>
    <t>4500130748-70</t>
  </si>
  <si>
    <t>5/13防盗贴纸+箱唛贴纸+电池警告语贴纸（防盗贴纸和警告语贴纸翻单121356）</t>
  </si>
  <si>
    <t>日期码格式：ZURU INC(BVI) 标准格式 日期：按实际生产日期
Packaging Info: 
3.77515GQ1:MA英语UPC版本包装（首选1LUPC，如果无1L可用多语含英语UPC版本）+防盗贴纸+箱唛+箱唛贴纸(1PCS/CTN).此外77515含纽扣电池，需要增加电池警告
语贴纸(包装跟说明书上都需要贴).防盗贴纸和警告语贴纸以及他们的位置图请跟回PO#4500121356;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5.此单出口新西兰，请按相应澳新标准生产；
6.产品和包装上生产批号的显示格式ZURU标准日期码格式
7，外箱内容不可手写
8, 箱唛+外箱贴纸
9.
77515GQ1-S003:3PCS AG13 Batteries(Included);</t>
  </si>
  <si>
    <t>85051-5.31</t>
  </si>
  <si>
    <t>4500130759-80</t>
  </si>
  <si>
    <t>日期码格式：ZURU INC(BVI) 标准格式 日期：按实际生产日期
Packaging Info: 
4.77515GQ1:MA英语UPC版本包装（首选1LUPC，如果无1L可用多语含英语UPC版本）+防盗贴纸+箱唛+箱唛贴纸(1PCS/CTN).此外77515含纽扣电池，需要增加电池警告
语贴纸(包装跟说明书上都需要贴).防盗贴纸和警告语贴纸以及他们的位置图请跟回PO#4500121356;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5.此单出口澳大利亚，请按相应澳新标准生产；
6.产品和包装上生产批号的显示格式ZURU标准日期码格式
7，外箱内容不可手写
8, 箱唛+外箱贴纸
9.
77515GQ1-S003:3PCS AG13 Batteries(Included);</t>
  </si>
  <si>
    <t>85052-5.31</t>
  </si>
  <si>
    <t>0832244701</t>
  </si>
  <si>
    <t>4500132364-20</t>
  </si>
  <si>
    <t>0832244673</t>
  </si>
  <si>
    <t>4500132364-30</t>
  </si>
  <si>
    <t>85012-5.29</t>
  </si>
  <si>
    <t>4500129013-10</t>
  </si>
  <si>
    <t>5/17 BV</t>
  </si>
  <si>
    <t>5/24 截SI</t>
  </si>
  <si>
    <t>85133-6.5</t>
  </si>
  <si>
    <t xml:space="preserve"> 
6631646261</t>
  </si>
  <si>
    <t>4500129013-20</t>
  </si>
  <si>
    <t>6/4 截SI</t>
  </si>
  <si>
    <t>4500129013-30</t>
  </si>
  <si>
    <t>6/3 截SI</t>
  </si>
  <si>
    <t>PT. TOYS GAMES INDONESIA</t>
  </si>
  <si>
    <t>印度尼西亚</t>
  </si>
  <si>
    <t>4500128544-50</t>
  </si>
  <si>
    <t>SNI抽板</t>
  </si>
  <si>
    <t>6/4 截单</t>
  </si>
  <si>
    <t>日期码格式：ZURU INC(BVI) 标准格式 日期：按实际生产日期
Packaging Info: 
77515Q6:3PCS AG13 Batteries (included)
2.此单预计有SNI抽板测试，具体待跟单邮件通知
Remark: MA PKG，优先1L 英语版本+进口商贴纸</t>
  </si>
  <si>
    <t>85131-6.5</t>
  </si>
  <si>
    <t>4500129422-10</t>
  </si>
  <si>
    <t>85132-6.5</t>
  </si>
  <si>
    <t>4500129422-20</t>
  </si>
  <si>
    <t>4500129422-30</t>
  </si>
  <si>
    <t>85317-6.13</t>
  </si>
  <si>
    <t>4500129422-40</t>
  </si>
  <si>
    <t>4500130675-30</t>
  </si>
  <si>
    <t>6/25 客自提</t>
  </si>
  <si>
    <t>86412-7.30</t>
  </si>
  <si>
    <t>4500130675-60</t>
  </si>
  <si>
    <t>4500129515-20</t>
  </si>
  <si>
    <t>5/31-6/3入仓</t>
  </si>
  <si>
    <t>欠客供价格贴纸</t>
  </si>
  <si>
    <t>日期码格式：ZURU INC(BVI) 标准格式 日期：按实际生产日期
Packaging Info: 1.ZURU MA UPC 收缩膜+客版铜版纸+PVC圆筒 + 客供价格贴纸，出口美国。
Remark: 1.ZURU MA UPC 收缩膜+客版铜版纸+PVC圆筒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
 5. PVC 桶中球不能出现完全 相同的ASSORTMENT ， 即同一个PVC 中球里的ASSORTMENT 需要不同。 以免消费者失望。
 6.PVC 桶上加上 MINI BRAND 的LOGO 贴纸 （ ZURU 统一要求的）</t>
  </si>
  <si>
    <t>85128-6.5</t>
  </si>
  <si>
    <r>
      <rPr>
        <sz val="11"/>
        <color rgb="FF0000FF"/>
        <rFont val="宋体"/>
        <charset val="0"/>
      </rPr>
      <t>圆筒彩纸4/30已放</t>
    </r>
    <r>
      <rPr>
        <sz val="11"/>
        <color rgb="FF0000FF"/>
        <rFont val="Arial"/>
        <charset val="0"/>
      </rPr>
      <t>MA</t>
    </r>
  </si>
  <si>
    <t>4500129031-10</t>
  </si>
  <si>
    <t>85311-6.13</t>
  </si>
  <si>
    <t>4500131786-10</t>
  </si>
  <si>
    <t>6/5 交仓</t>
  </si>
  <si>
    <t>4、27</t>
  </si>
  <si>
    <t>5/13 SSCC，其余翻单121356</t>
  </si>
  <si>
    <t>日期码格式：ZURU INC(BVI) 标准格式 日期：按实际生产日期
Packaging Info: 77515GQ1: MA_1L UPC版本包装（收缩膜和说明书, MA首选1L，如无1L可用多语且含英语的配套多语包装) + 1张说明书纽扣电池警告语贴纸（贴纸以及位置图翻单P
O#4500121356）+ 1张收缩膜纽扣电池警告语贴纸（贴纸以及位置图翻单PO#4500121356）+ 1张防盗贴纸 (贴纸以及位置图翻单PO#4500121356）+ 箱唛 + 外箱SSCC
Label
3PCS AG13 BATTERIES(INCLUDED)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</si>
  <si>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85310-6.13</t>
  </si>
  <si>
    <t>4500129036-10</t>
  </si>
  <si>
    <t>6/4 BV</t>
  </si>
  <si>
    <t>85039-6.13</t>
  </si>
  <si>
    <t>Wonderland Toys Inc DBA The Zoofy G</t>
  </si>
  <si>
    <t>4500130646-10</t>
  </si>
  <si>
    <t>6/18 截SI</t>
  </si>
  <si>
    <t>日期码格式：ZURU INC(BVI) 标准格式 日期：按实际生产日期
Packaging Info: 1. 出口美国，MA 1L UPC版本包装。
#77515GQ5: 出货包含3PCS AG13 电池
Remark: 2. Zuru QC 验货即可</t>
  </si>
  <si>
    <t>Abby Mai, Lluvia</t>
  </si>
  <si>
    <t>85627-6.28</t>
  </si>
  <si>
    <t>Ansaldo Chile</t>
  </si>
  <si>
    <t>智利</t>
  </si>
  <si>
    <t>2024-HKC146</t>
  </si>
  <si>
    <t>4500130005-20</t>
  </si>
  <si>
    <t>6/28 截SI</t>
  </si>
  <si>
    <t>5/15进口商贴纸</t>
  </si>
  <si>
    <t>日期码格式：ZURU INC(BVI) 标准格式 日期：按实际生产日期
Packaging Info: 
77515GQ2:MA 1L包装+MA 23L说明书+进口商贴纸+箱唛</t>
  </si>
  <si>
    <t>85632-6.28</t>
  </si>
  <si>
    <t>STILOTEX SAS</t>
  </si>
  <si>
    <t>哥伦比亚</t>
  </si>
  <si>
    <t>4500131426-150</t>
  </si>
  <si>
    <t>SO已收到，待通知走货</t>
  </si>
  <si>
    <t>5/20 进口商贴纸</t>
  </si>
  <si>
    <t xml:space="preserve">日期码格式：ZURU INC(BVI) 标准格式 日期：按实际生产日期
Packaging Info:
77515:MA 1L包装+MA 23L说明书+进口商贴纸+箱唛
Remark: </t>
  </si>
  <si>
    <t>85646-6.29</t>
  </si>
  <si>
    <t>4500131236-10</t>
  </si>
  <si>
    <t>翻单</t>
  </si>
  <si>
    <t>日期码格式：ZURU DGYYYYMMDD CHINA(日期避开周末和法定节假日即可） 日期：按实际生产日期
Packaging Info: 77555SLB-S002/77515SLB-S002
1.包装要求：
77555：MA 1L收缩膜+ 客版 收藏指南+客版 1L PDQ，翻单：4500129394
77515：MA B版 1L收缩膜+客版 A版 5L收藏指南+MA A版 5L纸袋+MA A版 23L说明书+客版 1L PDQ，翻单：4500129012
每pcs产品上要贴1张RFID贴纸，贴纸由ZURU提供，贴纸位置请严格按照我们签回的签板；
Remark: 77555SLB-S002/77515SLB-S002
1.包装要求：
77555：MA 1L收缩膜+ 客版 收藏指南+客版 1L PDQ，翻单：4500129394
77515：MA B版 1L收缩膜+客版 A版 5L收藏指南+MA A版 5L纸袋+MA A版 23L说明书+客版 1L PDQ，翻单：4500129012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77555/77515：12pcs/CTN，
77555SLB-S002/77515SLB-S002:1152pcs/96CTN/Slip Sheet</t>
  </si>
  <si>
    <t>85315-6.13</t>
  </si>
  <si>
    <t>4500131236-20</t>
  </si>
  <si>
    <t>6/17 截SI</t>
  </si>
  <si>
    <t>85414-6.19</t>
  </si>
  <si>
    <t>4500131236-30</t>
  </si>
  <si>
    <t>Smyths Toys HQ UC IE</t>
  </si>
  <si>
    <t>4500126575-20</t>
  </si>
  <si>
    <t>6/6 截SI</t>
  </si>
  <si>
    <t>85135-6.5</t>
  </si>
  <si>
    <t>Smyths Toys EU HQ UC</t>
  </si>
  <si>
    <t>4500128106-20</t>
  </si>
  <si>
    <t>翻#4500119795</t>
  </si>
  <si>
    <t>日期码格式：ZURU INC(BVI) 标准格式 日期：按实际生产日期
Packaging Info:
2.77515GQ2: MA 3L EAN 最新收缩膜+贴纸（德国CALLOUT 和荷兰警告语 ）
贴纸以及位置图翻#4500119795
+MA 5L收藏指南+MA3LPDQ
EAN#4894680032255
Remark: 1. 此单出德国，需要满足Zuru Standard欧洲标准测试要求；
2. 请准时出货，推期会有罚款；
3. 需要符合欧洲标准不能含有闪粉和微塑料，否则不和法规会有客诉产生</t>
  </si>
  <si>
    <t>85138-6.5</t>
  </si>
  <si>
    <t>GEKAS ULLAREED AB</t>
  </si>
  <si>
    <t>瑞典</t>
  </si>
  <si>
    <t>4500126092-170</t>
  </si>
  <si>
    <t>6/12 截SI</t>
  </si>
  <si>
    <t>翻单4500125111</t>
  </si>
  <si>
    <t>日期码格式： 标准格式 日期：按实际生产日期
Packaging Info: 
77515GQ2：3L EAN包装+警告语贴纸+收藏指南无香味贴纸（翻单4500125111) 贴纸多订800pcs用于1100022374 1100022377
Remark: 1.客户Item-Item-EAN:
77515GQ2 4894680032255
2. 产品信息：
77515GQ2-11 assortment have the same ratio
3. 包装如含PVC,请改为PET
4. 产品/包装要求无硼无香无微塑料
关于微塑料，所有的产品和包装和产品均不能包含，无微塑料的产品都要配套无微塑料的包装，如包装备注与此有争议，请工厂告知，跟单重新确认包装版本
5.关于贴纸，如果贴纸位置图的包装版本与大货不一致，请工厂提前提出。跟单会重新调整确认是否更新贴纸或调整位置图
6.产品/包装不含PFAS成分
7.带电池出货，电池需符合欧洲新规。</t>
  </si>
  <si>
    <t>Rose Tong</t>
  </si>
  <si>
    <t>85339-6.14</t>
  </si>
  <si>
    <t>SMYTHS TOYS HQ UC</t>
  </si>
  <si>
    <t>4500126734-10</t>
  </si>
  <si>
    <t>日期码格式：ZURU INC(BVI) 标准格式 日期：按实际生产日期
Packaging Info: 77515GQ5:MA 3L B版收缩膜+1张德国CALLOUT&lt;(&gt;&amp;&lt;)&gt;荷兰警告语贴纸(含法国回收logo)+MA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</si>
  <si>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Ula Zhao</t>
  </si>
  <si>
    <t>85307-6.13</t>
  </si>
  <si>
    <t>4500131786-20</t>
  </si>
  <si>
    <t>85053-5.31</t>
  </si>
  <si>
    <t>Ramp-s Corporation</t>
  </si>
  <si>
    <t>菲律宾</t>
  </si>
  <si>
    <t>PO-24-002</t>
  </si>
  <si>
    <t>4500132066-10</t>
  </si>
  <si>
    <t>6/14拼柜</t>
  </si>
  <si>
    <t>5/16进口商贴纸</t>
  </si>
  <si>
    <t>日期码格式：ZURU INC(BVI) 标准格式 日期：按实际生产日期
Packaging Info: MA UPC包装（1L)+1张进口商贴纸
贴纸AW、位置图待提供
Remark: 3PCS AG13 Batteries(Include);Contain UV Glue and Cream Glue</t>
  </si>
  <si>
    <t>Emma Wu</t>
  </si>
  <si>
    <t>85345-6.14</t>
  </si>
  <si>
    <t>PPTOYS PTE LTD (SG)</t>
  </si>
  <si>
    <t>新加坡</t>
  </si>
  <si>
    <t>ZU24041201SG</t>
  </si>
  <si>
    <t>4500131403-100</t>
  </si>
  <si>
    <t>5、13进口商贴纸</t>
  </si>
  <si>
    <t>日期码格式：ZURU INC(BVI) 标准格式 日期：按实际生产日期
Packaging Info: 实际此单走20GP，待系统维护后会改单过来
MA UPC包装（1L)+1张进口商贴纸
贴纸AW、位置图待提供
Remark: 77515GQ1-3PCS AG13 Batteries(Included);Contain UV Glue and Cream Glue</t>
  </si>
  <si>
    <t>85319-6.13</t>
  </si>
  <si>
    <t>4500130853-10</t>
  </si>
  <si>
    <t>6/14 截SI</t>
  </si>
  <si>
    <t>85305-6.13</t>
  </si>
  <si>
    <t>4500130874-10</t>
  </si>
  <si>
    <t>85306-6.13</t>
  </si>
  <si>
    <t>4500131786-30</t>
  </si>
  <si>
    <t>6/12 交仓</t>
  </si>
  <si>
    <t>5/21 SSCC，其余翻单121356</t>
  </si>
  <si>
    <t>85404-6.19</t>
  </si>
  <si>
    <t>4500130675-90</t>
  </si>
  <si>
    <t>增加警告语书纸</t>
  </si>
  <si>
    <t>年龄贴</t>
  </si>
  <si>
    <t>ZURU Denmark ApS</t>
  </si>
  <si>
    <t>丹麦</t>
  </si>
  <si>
    <t>4500131147-50</t>
  </si>
  <si>
    <t>77515GQ1-S003-NS-MTS</t>
  </si>
  <si>
    <t>DIY厨艺大师-无香味版本</t>
  </si>
  <si>
    <t>临时通知增加贴纸</t>
  </si>
  <si>
    <t>5、13</t>
  </si>
  <si>
    <t>贴纸-翻单4500125111</t>
  </si>
  <si>
    <t>日期码格式：ZURU INC(BVI) 标准格式 日期：按实际生产日期
Packaging Info: 
77515GQ1-3L EAN包装+警告语贴纸+收收藏指南贴纸(翻单4500125111)+地址贴纸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77515GQ1-去掉有香味的产品
8.SKU-客户Item-条码
77515GQ1-4894680032255-54894680032250</t>
  </si>
  <si>
    <t>85303-6.13</t>
  </si>
  <si>
    <t>4500131147-60</t>
  </si>
  <si>
    <t>77515GQ2-S002-NS-MTS</t>
  </si>
  <si>
    <t>日期码格式：ZURU INC(BVI) 标准格式 日期：按实际生产日期
Packaging Info: 
77515GQ2-3L EAN包装+警告语贴纸+收收藏指南贴纸(翻单4500125111)+地址贴纸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77515GQ2-去掉有香味的产品
8.SKU-客户Item-条码
77515GQ2-4894680032255-64894680032257</t>
  </si>
  <si>
    <t>Van Cranenbroek ELC bv</t>
  </si>
  <si>
    <t>IO-01000008202</t>
  </si>
  <si>
    <t>4500131176-90</t>
  </si>
  <si>
    <t>6/8截SI</t>
  </si>
  <si>
    <t>5、7 NL 警语贴纸</t>
  </si>
  <si>
    <t>日期码格式：ZURU INC(BVI) 标准格式 日期：按实际生产日期
Packaging Info: 
77515GQ5-S001： MA B 版3L(warning 5L)EAN 收缩膜+ NL 警语贴纸+MA 收藏指南+ MA 23 L 说明书+ MA 配件袋（+ NL 警语）
Remark: 1. 标准配比
2. 大货样： 请在5/30 前寄出每款2 PCS 随机颜色到罗湖办公室7B Sandy 收</t>
  </si>
  <si>
    <t>85341-6.14</t>
  </si>
  <si>
    <t>MILLS FLEET FARM</t>
  </si>
  <si>
    <t>PO#4441548</t>
  </si>
  <si>
    <t>4500130892-70</t>
  </si>
  <si>
    <t>已有计划船期，待SO出货</t>
  </si>
  <si>
    <t>4、28</t>
  </si>
  <si>
    <t>日期码格式：ZURU INC(BVI) 标准格式 日期：按实际生产日期
Packaging Info: 1. 包材：ZURU 最新 MA UPC 版本，出口美国;
Remark: 2. 日期跟踪码：产品包装及产品本身都必须有日期跟踪码，并且确保两者的日期跟踪码要一致；ZURU标准格式日期码(请自行调整具体年月日生产期，但不能为末
）。
3. 出货配比：
#77515GQ2-S001-MINI BRANDS-MASTER CHEF MINI BRANDS-SERIES 1-CAPSULE,25PCS/Gravity PDQ, 50PCS/2PDQ/CTN</t>
  </si>
  <si>
    <t>Elsa Zheng</t>
  </si>
  <si>
    <t>85318-6.13</t>
  </si>
  <si>
    <t>4500132570-50</t>
  </si>
  <si>
    <t>6/11 交仓</t>
  </si>
  <si>
    <t>5/21 SSCC Label</t>
  </si>
  <si>
    <t>日期码格式：ZURU INC(BVI) 标准格式 日期：按实际生产日期
Packaging Info: 
5.77515GQ1: MA_1L UPC版本包装（收缩膜和说明书, MA首选1L，如无1L可用多语且含英语的配套多语包装) + 1张说明书纽扣电池警告语贴纸（贴纸以及位置图翻
单PO#4500121356）+ 1张收缩膜纽扣电池警告语贴纸（贴纸以及位置图翻单PO#4500121356）+ 1张防盗贴纸 (贴纸以及位置图翻单PO#4500121356）+ 箱唛 + 外箱SS
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</si>
  <si>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85312-6.13</t>
  </si>
  <si>
    <t>Lekia AB</t>
  </si>
  <si>
    <t>4500129688-40</t>
  </si>
  <si>
    <t>77515GQ5-S001-NS</t>
  </si>
  <si>
    <t>6/13 截SI</t>
  </si>
  <si>
    <t>日期码格式：ZURU INC(BVI) 标准格式 日期：按实际生产日期
Packaging Info: 
77515GQ2：3L EAN包装+警告语贴纸+收收藏指南 贴纸（翻单4500125111）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77515-不要带香味的产品
Customer Item SKU Barcode
100-64109990 77515GQ5 4894680032255</t>
  </si>
  <si>
    <t>85408-6.19</t>
  </si>
  <si>
    <t>4500129688-50</t>
  </si>
  <si>
    <t>77515SK-S002-NS</t>
  </si>
  <si>
    <t>日期码格式：ZURU INC(BVI) 标准格式 日期：按实际生产日期
Packaging Info:
77515SK：3L EAN包装+警告语贴纸+EAN条码贴纸+收藏指南 贴纸（翻单4500125111）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100-64109711 77515SK 7333380006687</t>
  </si>
  <si>
    <t>777 MAR241</t>
  </si>
  <si>
    <t>4500128489-20</t>
  </si>
  <si>
    <t>77515GQ2-S003</t>
  </si>
  <si>
    <t>请先检查条码是否正确再安排做货</t>
  </si>
  <si>
    <t>HOLD 内箱箱唛印2面，资料要求4面</t>
  </si>
  <si>
    <t>日期码格式：ZURU INC(BVI) 标准格式 日期：按实际生产日期
Packaging Info:
2.77515GQ2-S003:MA 1L UPC包装
UPC#193052061034 ，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</si>
  <si>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85562-6.26</t>
  </si>
  <si>
    <t>CORPORACION FAVORITA C.A.</t>
  </si>
  <si>
    <t>厄瓜多尔</t>
  </si>
  <si>
    <t>24-3900788JEC</t>
  </si>
  <si>
    <t>4500127856-220</t>
  </si>
  <si>
    <t>7/19 截SI</t>
  </si>
  <si>
    <t xml:space="preserve">日期码格式：2024-05 日期：
Packaging Info:
77515GQ6:MA 1L包装+MA 23L说明书+进口商贴纸+箱唛
Remark: </t>
  </si>
  <si>
    <t>86251-4-7.24</t>
  </si>
  <si>
    <t>CENTRO CUESTA NACIONAL</t>
  </si>
  <si>
    <t>多米尼加</t>
  </si>
  <si>
    <t xml:space="preserve"> 
24-3900789CCN</t>
  </si>
  <si>
    <t>4500128084-240</t>
  </si>
  <si>
    <t>指定日期码</t>
  </si>
  <si>
    <t>5、9</t>
  </si>
  <si>
    <t>日期码格式：2024-05 日期：
Packaging Info:
77515GQ6:MA 1L包装+MA 23L说明书+进口商贴纸+箱唛
Remark: 指定日期码2024-05 follow 进口商贴纸日期，货期6月，确认2024-05日期码是OK</t>
  </si>
  <si>
    <t>85552-6.26</t>
  </si>
  <si>
    <t>20081628</t>
  </si>
  <si>
    <t>4500133148-10</t>
  </si>
  <si>
    <t>日期码格式：ZURU INC(BVI) 标准格式 日期：按实际生产日期
Packaging Info: MA_1L UPC版本包装（收缩膜和说明书, MA首选1L，如无1L可用多语且含英语的配套多语包装) + 1张说明书纽扣电池警告语贴纸（贴纸以及位置图翻单PO#45001213
56）+ 1张收缩膜纽扣电池警告语贴纸（贴纸以及位置图翻单PO#4500121356）+ 1张防盗贴纸 (贴纸以及位置图翻单PO#4500121356）+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</si>
  <si>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85405-6.19</t>
  </si>
  <si>
    <t>20081629</t>
  </si>
  <si>
    <t>4500133161-10</t>
  </si>
  <si>
    <t>日期码格式：ZURU INC(BVI) 标准格式 日期：按实际生产日期
Packaging Info: MA_1L UPC版本包装（收缩膜和说明书, MA首选1L，如无1L可用多语且含英语的配套多语包装) + 1张说明书纽扣电池警告语贴纸（贴纸以及位置图翻单PO#45001213
56）+ 1张收缩膜纽扣电池警告语贴纸（贴纸以及位置图翻单PO#4500121356）+ 1张防盗贴纸 (贴纸以及位置图翻单PO#4500121356）+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</si>
  <si>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85406-6.19</t>
  </si>
  <si>
    <t>4500127813-10</t>
  </si>
  <si>
    <t>日期码格式：ZURU INC(BVI) 标准格式 日期：按实际生产日期
Packaging Info: 77516: 2PK #77515 入PVC圆筒。收藏指南用MA 5L. 1L不带UPC版收缩膜,2PK铜版纸图稿跟返单4500125102 。 （两个球的配比不能重复）。
Remark: 1.Amazon domestic 订单，外箱加印箱唛 （跟单提供）。出口美国。外箱最长边不能超过25" （超过了，case pack只能为1). QC验货要检查这一点，不符合要求
的大货，一律不接受。
2.无第三方验货/测试要求。
3.日期码使用ZURU标准版本。</t>
  </si>
  <si>
    <t>85410-6.19</t>
  </si>
  <si>
    <t>圆筒彩纸4/10已放MA</t>
  </si>
  <si>
    <t>144454</t>
  </si>
  <si>
    <t>4500131352-50</t>
  </si>
  <si>
    <t>移除带香味配比在共享</t>
  </si>
  <si>
    <t>6/11 出货</t>
  </si>
  <si>
    <t>5、17EAN贴纸+警告语贴纸+无香味贴纸</t>
  </si>
  <si>
    <t>日期码格式：ZURU INC(BVI) 标准格式 日期：按实际生产日期
Packaging Info: 
77515SK-3L_B包装+EAN贴纸(翻单4500129688）+警告语贴纸(翻单4500129688）+无香味贴纸（贴在收藏指南，翻单4500125111）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77515SK-不要带香味款
8.SKU-客户款号-条码
77515SK//100-64109711//7333380006687</t>
  </si>
  <si>
    <t>85419-6.19</t>
  </si>
  <si>
    <t>4500131242-10</t>
  </si>
  <si>
    <t>6/11 BV</t>
  </si>
  <si>
    <t>5/10 RFID贴纸</t>
  </si>
  <si>
    <t>85412-6.19</t>
  </si>
  <si>
    <t>4500131242-20</t>
  </si>
  <si>
    <t>85583-6.27</t>
  </si>
  <si>
    <t xml:space="preserve"> 
6631646275</t>
  </si>
  <si>
    <t>4500131242-30</t>
  </si>
  <si>
    <t>6/25 截SI</t>
  </si>
  <si>
    <t xml:space="preserve"> 
6631646277</t>
  </si>
  <si>
    <t>4500131242-40</t>
  </si>
  <si>
    <t>预计船期6/24</t>
  </si>
  <si>
    <t>4500132572-50</t>
  </si>
  <si>
    <t>日期码格式：ZURU INC(BVI) 标准格式 日期：按实际生产日期
Packaging Info:
5.77515GQ1: MA_1L UPC版本包装（收缩膜和说明书, MA首选1L，如无1L可用多语且含英语的配套多语包装) + 1张说明书纽扣电池警告语贴纸（贴纸以及位置图翻
单PO#4500121356）+ 1张收缩膜纽扣电池警告语贴纸（贴纸以及位置图翻单PO#4500121356）+ 1张防盗贴纸 (贴纸以及位置图翻单PO#4500121356）+ 箱唛 + 外箱SS
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</si>
  <si>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85313-6.13</t>
  </si>
  <si>
    <t>CHINO</t>
  </si>
  <si>
    <t>4500123845-150</t>
  </si>
  <si>
    <t>6/14第三方</t>
  </si>
  <si>
    <t>自检</t>
  </si>
  <si>
    <t>6/19 截SI</t>
  </si>
  <si>
    <t>日期码格式：ZURU INC(BVI) 标准格式 日期：按实际生产日期
Packaging Info: 
77515GQ2:MA 1L包装+MA 23L说明书+箱唛，无进口商贴纸
Remark: 订单需QIMA 第三方验货，无需准备签板，请多备料。</t>
  </si>
  <si>
    <t>85401-6.19</t>
  </si>
  <si>
    <t>HOBBY LOBBY INC.</t>
  </si>
  <si>
    <t>W0664014</t>
  </si>
  <si>
    <t>4500131395-10</t>
  </si>
  <si>
    <t>5、6价格贴纸</t>
  </si>
  <si>
    <t>日期码格式：ZURU INC(BVI) 标准格式 日期：按实际生产日期
Packaging Info: 1. MA UPC版包装，优先1L, 需要加贴价格贴纸(价格贴纸文档跟单提供), 出美国。
2. 外箱正唛右下角贴条码贴纸2张, 贴纸大小：2.75X1.5 INCH.（跟单提供文档，工厂采购)
Remark: 3.产品外包装及产品本身都必须有日期跟踪码，格式为：ZURU 标准日期码.
4. ZURU QC验货。</t>
  </si>
  <si>
    <t>85407-6.19</t>
  </si>
  <si>
    <t>4500133171-10</t>
  </si>
  <si>
    <t>6、7防伪贴纸</t>
  </si>
  <si>
    <t>日期码格式：ZURU INC(BVI) 标准格式 日期：按实际生产日期
Packaging Info: 
77515 MA1LUPC版本，跟单提供防伪贴纸
Remark: 1.Amazon domestic 订单。出口美国。外箱最长边不能超过25" （超过了，case pack只能为1），不符合要求的大货，一律不接受。
2.无第三方验货/测试要求。
3.日期码使用ZURU标准版本。</t>
  </si>
  <si>
    <t>85409-6.19</t>
  </si>
  <si>
    <t>4500133171-20</t>
  </si>
  <si>
    <t>日期码格式：ZURU INC(BVI) 标准格式 日期：按实际生产日期
Packaging Info: 77516: 2PK #77515 入PVC圆筒。收藏指南用MA 5L. 1L不带UPC版收缩膜,2PK铜版纸图稿跟返单4500132157。 （两个球的配比不能重复）。
Remark: 1.Amazon domestic 订单。出口美国。外箱最长边不能超过25" （超过了，case pack只能为1），不符合要求的大货，一律不接受。
2.无第三方验货/测试要求。
3.日期码使用ZURU标准版本。</t>
  </si>
  <si>
    <t>圆筒彩纸5/15已放MA</t>
  </si>
  <si>
    <t>PAKA SA</t>
  </si>
  <si>
    <t>瑞士</t>
  </si>
  <si>
    <t>PO16754</t>
  </si>
  <si>
    <t>4500131458-110</t>
  </si>
  <si>
    <t>已完成</t>
  </si>
  <si>
    <t>翻单4500128206</t>
  </si>
  <si>
    <t>日期码格式：ZURU INC(BVI) 标准格式 日期：按实际生产日期
Packaging Info: 
77515GQ2: 最新MA 3L A版 PDQ+ B版 3L EAN 收缩膜+ A版 23L 收藏指南+ A版 23L 说明书+ A版 5L 纸袋+ 进口商信息贴纸（所有资料翻单4500128206）
每个PDQ装进1个透明胶袋里面，胶袋上加1pcs贴纸（翻单4500128206）
Remark: 1.出货前要验货图片给客人确认OK后才出货
2.大货样品一套，请多备料
3.出口欧洲 微塑料需合规
4. 配比：</t>
  </si>
  <si>
    <t>85346-6.14</t>
  </si>
  <si>
    <t>GP TURKEY</t>
  </si>
  <si>
    <t>土耳其</t>
  </si>
  <si>
    <t>2024-037</t>
  </si>
  <si>
    <t>4500127539-10</t>
  </si>
  <si>
    <t>蛋壳需要印的内容 :MN600000 ZUR4144   日期码统一按ZUR4144</t>
  </si>
  <si>
    <t>6/20 截SI</t>
  </si>
  <si>
    <t>日期码格式：ZUR4144 日期：
Packaging Info: 77515GQ5;1.1L MA收缩膜+MA说明书/收藏指南+进口商贴纸（含客户条码）;MA PDQ
2.客户日期码：ZUR4144，产品/包装/外箱请保持一致。产品外壳需要印GP item code:77515GQ5:MN600000 ;
3.产前样1pcs每款，大货样版3套每款，请多备料，地址如下。
Attn: Sylvia Li / May Lo
Company name: GP Services HK Limited
Company address: Suite 1502, 15th Floor, Chinachem Golden Plaza, 77 Mody Road, TST East, Kowloon, Hong Kong
Company address (Chinese): 香港九龍尖沙咀東部麼地道77號華懋廣場1502室
Contact Tel: +852 2739 5363
Remark: 77515GQ5:3PCS AG13 Batteries (included)
Contain UV Glue and Cream Glue</t>
  </si>
  <si>
    <t>Lena Huang</t>
  </si>
  <si>
    <t>85443-6.20</t>
  </si>
  <si>
    <t>360 SALES SOLUTIONS INC</t>
  </si>
  <si>
    <t>2024zuru10</t>
  </si>
  <si>
    <t>4500132627-10</t>
  </si>
  <si>
    <t>通用UPC条码贴纸</t>
  </si>
  <si>
    <t>日期码格式：ZURU INC(BVI) 标准格式 日期：按实际生产日期
Packaging Info: 77515GQ1 MA 3L EAN 版本包装+通用UPC条码贴纸，UPC号码为： 193052061034
有闪粉版本的产品， 出non-gliter 版本.
Remark: 出口加拿大，
Zuru验货，日期跟踪码：产品外包装及产品本身都必须有日期跟踪码，ZURU标准格式日期码</t>
  </si>
  <si>
    <t>85449-6.20</t>
  </si>
  <si>
    <t>SMYK S.A.</t>
  </si>
  <si>
    <t>波兰</t>
  </si>
  <si>
    <t>4500132506-20</t>
  </si>
  <si>
    <t>5、11</t>
  </si>
  <si>
    <t>5/21进口商贴纸+1张EAN条码贴纸</t>
  </si>
  <si>
    <t>日期码格式：ZURU INC(BVI) 标准格式 日期：按实际生产日期
Packaging Info: 
77515GQ2: MA 1LPDQ+MA1L B版收缩膜+1张进口商贴纸+1张EAN条码贴纸+MA23L说明书（含有波兰语PL警告语）+MA纸袋/收藏指南
Remark: 1. 此单出波兰， 需满足EU测试标准要求，不含微塑料 &lt;(&gt;&amp;&lt;)&gt; 闪粉。
2. 比例：
77515GQ2:3PCS AG13 Batteries(Include)</t>
  </si>
  <si>
    <t>Mary Zhong/S</t>
  </si>
  <si>
    <t>85448-6.20</t>
  </si>
  <si>
    <t>ZMPO24294</t>
  </si>
  <si>
    <t>大货最新版本/款号平均/请按款号装箱，并在外箱上注明款号/请用大货标准箱装箱/箱唛请参照邮件附件;备注： 收到样品订单后尽快安排 ，注意样板品质质量要求要高于大货品质要求 ，送货时必须要附带送货单(没有送货单和QC检验合格报告的仓库一律拒绝收货)，请知悉，谢谢！</t>
  </si>
  <si>
    <t>88048-10.29</t>
  </si>
  <si>
    <t>RURAL KING DIST.</t>
  </si>
  <si>
    <t>4500131439-50</t>
  </si>
  <si>
    <t>5、10</t>
  </si>
  <si>
    <t>日期码格式：ZURU INC(BVI) 标准格式 日期：按实际生产日期
Packaging Info: 1．MA UPC 版包装，优先1L ，出口美国.
Remark: 2.产品外包装及产品本身都必须有日期跟踪码，格式为：ZURU 标准日期码.
3. ZURU QC验货, 无测试。
#77515GQ1:13PCS/Gravity PDQ, 52PCS/4PDQ/CTN.</t>
  </si>
  <si>
    <t>8555-6.26</t>
  </si>
  <si>
    <t>4500131449-50</t>
  </si>
  <si>
    <t>85554-6.26</t>
  </si>
  <si>
    <t>4500133248-50</t>
  </si>
  <si>
    <t>6/19交仓</t>
  </si>
  <si>
    <t>5/27SSCC</t>
  </si>
  <si>
    <t>日期码格式：ZURU INC(BVI) 标准格式 日期：按实际生产日期
Packaging Info: 
5.77515GQ1: MA_1L UPC版本包装（收缩膜和说明书, MA首选1L，如无1L可用多语且含英语的配套多语包装) + 1张说明书纽扣电池警告语贴纸（贴纸以及位置图翻
单PO#4500121356）+ 1张收缩膜纽扣电池警告语贴纸（贴纸以及位置图翻单PO#4500121356）+ 1张防盗贴纸 (贴纸以及位置图翻单PO#4500121356）+ 箱唛 + 外箱SS
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77515GQ1:3PCS AG13 Batteries(Included);</t>
  </si>
  <si>
    <t>85582-6.27</t>
  </si>
  <si>
    <t>4500133249-70</t>
  </si>
  <si>
    <t>日期码格式：ZURU INC(BVI) 标准格式 日期：按实际生产日期
Packaging Info: 
7. 77515GQ1: MA_1L UPC版本包装（收缩膜和说明书, MA首选1L，如无1L可用多语且含英语的配套多语包装) + 1张说明书纽扣电池警告语贴纸（贴纸以及位置图翻
单PO#4500121356）+ 1张收缩膜纽扣电池警告语贴纸（贴纸以及位置图翻单PO#4500121356）+ 1张防盗贴纸 (贴纸以及位置图翻单PO#4500121356）+ 箱唛 + 外箱SS
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77515GQ1-S003:3PCS AG13 Batteries(Included);</t>
  </si>
  <si>
    <t>85591-6.27</t>
  </si>
  <si>
    <t>Zuru Germany GMBH</t>
  </si>
  <si>
    <t>5200004838</t>
  </si>
  <si>
    <t>4500133324-20</t>
  </si>
  <si>
    <t>5、15</t>
  </si>
  <si>
    <t>5、27法国环保标+意大利环保标+客人警告语</t>
  </si>
  <si>
    <t>日期码格式：ZURU INC(BVI) 标准格式 日期：按实际生产日期
Packaging Info:
77515 : MA B版 3L EAN 收缩膜 +MA A版5L收藏指南+ 贴于零售包装上印有客版警告语（PL, H, SK, CZ, RO）的贴纸
注意： 因系统乱码的问题，&lt;(&gt;&amp;&lt;)&gt; 为"和"的意思
Remark: 1.波兰内销单，ZURU 验货后即可出货；
2. 产品的 零售 EAN，外箱 GTIN 条码请参考箱唛指引
3.所有出口欧洲的产品, 法规规定禁止在包装和共公众用的印刷品中使用矿物油中含有的物质, 包装印刷油墨中含有的MOAH/MOSH的质量浓度不能超过1%, 否则出货
到波兰被抽检出现问题, 供应商需要对此负责;
4. Date Code: 外箱/产品/包装 保持一致，完货后提供date code 信息以便我们保存记录做批次管理.</t>
  </si>
  <si>
    <t>85446-6.20</t>
  </si>
  <si>
    <t>BJ'S WHOLESALE CLUB, INC</t>
  </si>
  <si>
    <t>泰亨</t>
  </si>
  <si>
    <t>MPO02699</t>
  </si>
  <si>
    <t>DIY厨艺大师*2++2 个demo（MASCM-S1-005+MASCM-S1-008）</t>
  </si>
  <si>
    <t>客人要求6/箱，周一跟客人沟通12PCS/箱</t>
  </si>
  <si>
    <t>Remark: 1. MA UPC版本包装
2. 此为混装产品MUQ37 的子件，一个PDQ 中装有12个tube, 其中兴信产品：
#77516 * 6tube +2 个demo
3. 请注意同一个PVC桶的两个球不能用相同的assortment.
4. 此单大概5月27日需寄6套左右大货样给UL实验室做测试，具体的后面邮件会再通知。
另外，还需要再备多3套大货样板到时候寄给客户。
4. 产品和包装上的日期按照ZURU标准格式。
5.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</si>
  <si>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</si>
  <si>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86615-8.7</t>
  </si>
  <si>
    <t>按单</t>
  </si>
  <si>
    <t>4500132605-10</t>
  </si>
  <si>
    <t>6/25 出货</t>
  </si>
  <si>
    <t>5、20</t>
  </si>
  <si>
    <t>85580-6.27</t>
  </si>
  <si>
    <t>4500132600-10</t>
  </si>
  <si>
    <t>送其他厂拼柜</t>
  </si>
  <si>
    <t>85579-6.27</t>
  </si>
  <si>
    <t>已入·</t>
  </si>
  <si>
    <t>4500129038-10</t>
  </si>
  <si>
    <t>6/4 BV自检</t>
  </si>
  <si>
    <t>6/24 截SI</t>
  </si>
  <si>
    <t>日期码格式：ZURU DGYYYYMMDD CHINA(日期避开周末和法定节假日即可） 日期：按实际生产日期
Packaging Info: 1.包装要求：
MA B版 1L收缩膜+客版 A版 5L收藏指南+MA A版 5L纸袋+MA A版 23L说明书+客版 1L PDQ
每pcs产品上要贴1张RFID贴纸，贴纸由ZURU提供，贴纸位置请严格按照我们签回的签板；
Remark: 77515GQ6-S002：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carton出货，12pcs/PDQ/CTN</t>
  </si>
  <si>
    <t>85556-6.26</t>
  </si>
  <si>
    <t>SUBURBIA S DE R. L. DE C. V.</t>
  </si>
  <si>
    <t>4500128743-120</t>
  </si>
  <si>
    <t>有监柜要求，需要每款多准备一套完整物料</t>
  </si>
  <si>
    <t>7/26 截SI</t>
  </si>
  <si>
    <t>外箱只需四面印Zuru logo</t>
  </si>
  <si>
    <t>日期码格式：ZURU INC(BVI) 标准格式 日期：按实际生产日期
Packaging Info: 
12、77515GQ2：MA 3L 包装+UPC贴纸+MA 多语收藏指南+MA 3L PDQ包装+进口商贴纸+价标贴纸；
13、外箱只需四面印Zuru logo，再加2张贴纸，1张Hu贴纸（条码贴），1张shipment贴纸（尺寸9.5cm*9.5cm），都贴于侧唛，只需贴1面。
Remark: 
6、此单有监柜要求，需要每款多准备一套完整物料
7、此单要每款准备一套大货样板寄国外</t>
  </si>
  <si>
    <t>86415-7.30</t>
  </si>
  <si>
    <t>4500132687-10</t>
  </si>
  <si>
    <t>77515SLB-S001</t>
  </si>
  <si>
    <t>DIY厨艺大师12PCS/GQ6/CTN*80/卡板</t>
  </si>
  <si>
    <t>6/21 交仓</t>
  </si>
  <si>
    <t>slip sheet贴纸</t>
  </si>
  <si>
    <t>日期码格式：ZURU INC(BVI) 标准格式 日期：按实际生产日期
Packaging Info: 77515SLB-S001
77515GQ6-S002: MA 1L收缩膜/PDQ+MA 23L收藏指南/说明书+MA 5L ACCESSORY BAG
UPC#193052061034，请先检查条码是否正确再安排做货
Slip sheet： 12PCS/PDQ/CTN(Carton SIZE:22.5*22*31.5CM),20*4H=80CTN=960PCS/SLIP SHEET，;一共需要13套slip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</si>
  <si>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85867-7.9</t>
  </si>
  <si>
    <t>4500132687-20</t>
  </si>
  <si>
    <t>Amazon CA (Vendor Center)</t>
  </si>
  <si>
    <t>1IZ68MKB</t>
  </si>
  <si>
    <t>4500132623-90</t>
  </si>
  <si>
    <t>7/27 出货</t>
  </si>
  <si>
    <t>5/30 SSCC Label 6/7防伪贴纸</t>
  </si>
  <si>
    <t>日期码格式：ZURU INC(BVI) 标准格式 日期：按实际生产日期
Packaging Info: 出口加拿大，包装需要至少2/3L UPC版，无硼版本
77515：MA 3L 加UPC贴纸覆盖原EAN条码，UPC贴纸跟单提供。 加防伪贴纸， 跟单提供。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4.如果大货有要求入邮包盒，则对应的邮包盒上面要打上日期码。
5.按照客户PO# 装柜/箱号顺序装柜，跟单会提前给到装柜计划。在大货生产/仓库存放时，请留意该装柜要求，以便装柜时不混乱（避免装错/装漏/找不到货号等）</t>
  </si>
  <si>
    <t>86377-7.29</t>
  </si>
  <si>
    <t>4500132623-100</t>
  </si>
  <si>
    <t>4500132623-110</t>
  </si>
  <si>
    <t>4500132623-120</t>
  </si>
  <si>
    <t>83ZR5FXS</t>
  </si>
  <si>
    <t>4500133719-40</t>
  </si>
  <si>
    <t>6/23 交仓待SO出货</t>
  </si>
  <si>
    <t>5/30 SSCC Label</t>
  </si>
  <si>
    <t>日期码格式：ZURU INC(BVI) 标准格式 日期：按实际生产日期
Packaging Info: 出口加拿大，包装需要至少2/3L UPC版，无硼版本
77516: 2PK MA 3L#77515 入PVC圆筒。收藏指南用MA 5L. 3L收缩膜不带条码，空白贴纸覆盖EAN条码, 空白贴纸跟返单4500132760，2PK铜版纸图稿跟返单45001251
02 。 （两个球的配比不能重复）。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LCL散货， 送货到CDS保税仓</t>
  </si>
  <si>
    <t>85763-7.4</t>
  </si>
  <si>
    <t>649R52SB</t>
  </si>
  <si>
    <t>4500132760-40</t>
  </si>
  <si>
    <t>6/23 交仓</t>
  </si>
  <si>
    <t>日期码格式：ZURU INC(BVI) 标准格式 日期：按实际生产日期
Packaging Info: 出口加拿大，包装需要至少2/3L UPC版，无硼版本
77515：MA 3L 加UPC贴纸覆盖原EAN条码，UPC贴纸跟返单4500132623。 加防伪贴纸， 跟单提供。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</si>
  <si>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85767-7.4</t>
  </si>
  <si>
    <t>4500132760-50</t>
  </si>
  <si>
    <t>日期码格式：ZURU INC(BVI) 标准格式 日期：按实际生产日期
Packaging Info: 出口加拿大，包装需要至少2/3L UPC版，无硼版本
77516: 2PK MA 3L#77515 入PVC圆筒。收藏指南用MA 5L. 3L收缩膜不带条码，跟单提供空白贴纸覆盖EAN条码.2PK铜版纸图稿跟返单4500125102 。 （两个球的配
比不能重复）。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</si>
  <si>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TESCO CE</t>
  </si>
  <si>
    <t>斯洛伐克</t>
  </si>
  <si>
    <t>999-98225</t>
  </si>
  <si>
    <t>4500133271-30</t>
  </si>
  <si>
    <t>7/8 截SI</t>
  </si>
  <si>
    <t>5、27警告语贴纸</t>
  </si>
  <si>
    <t>日期码格式：ZURU INC(BVI) 标准格式 日期：按实际生产日期
Packaging Info:
4. 77515GQ1:　MA1LPDQ+MA 最新B版1L收缩膜+警告语贴纸(Czech-Hugarian-Polish-Slovak，不能覆盖GB语言），MA23L说明书+MA收藏指南
UPC#193052061034，请先检查包装条码是否正确再安排做货
Remark: 1. 此单出斯洛伐克，需满足EU测试标准，不含闪粉&lt;(&gt;&amp;&lt;)&gt;微塑料。 产品及包装需要印UKCA图标，包装需要有ZURU UK LTD/ZURU France地址信息，QC同事请核查
，如有问题与跟单确认。
2.裝櫃必須按TPND順序 (條形碼貼紙或正嘜必須要朝外向車門外)
3.外箱上有条码要求，排版时请留意并请确保条码清晰可扫描（封箱胶不要黏到条码上), 否则客人会有罚款；
4.箱唛直接印刷的 ITF 条码格式是ITF-14格式</t>
  </si>
  <si>
    <t>85883-7.9</t>
  </si>
  <si>
    <t>UNFI WHOLESALE INC</t>
  </si>
  <si>
    <t>QE96447576</t>
  </si>
  <si>
    <t>4500133052-40</t>
  </si>
  <si>
    <t>7/4 截SI</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</si>
  <si>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</si>
  <si>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85758-7.4</t>
  </si>
  <si>
    <t>4500132385-10</t>
  </si>
  <si>
    <t>date code: 外箱/产品/包装 保持一致</t>
  </si>
  <si>
    <t>6/21 外厂拼柜</t>
  </si>
  <si>
    <t>翻单4500124462</t>
  </si>
  <si>
    <t>日期码格式：ZURU INC(BVI) 标准格式 日期：按实际生产日期
Packaging Info: 1.77515GQ5：最新MA 3L+5L warning EAN B本收缩膜+一张法国和意大利环保标贴纸（翻单4500124462）}MA MA 5L A版收藏指南+MA 23L A版说明书+MA 3L PDQ；
Remark: 1.西班牙内销单，ZURU 验货后即可出货；
2.外箱EAN 14 条码参考：
77515GQ5 ： 10193052061031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</si>
  <si>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85598-6.27</t>
  </si>
  <si>
    <t>4500133719-50</t>
  </si>
  <si>
    <t>4500134461-10</t>
  </si>
  <si>
    <t>6/25 交仓</t>
  </si>
  <si>
    <t>日期码格式：ZURU INC(BVI) 标准格式 日期：按实际生产日期
Packaging Info: 收缩膜和PDQ 用1L 版本 ，其他通用版本ok .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t>
  </si>
  <si>
    <t>85558-6.26</t>
  </si>
  <si>
    <t>4500131217-10</t>
  </si>
  <si>
    <t>7/1 截SI</t>
  </si>
  <si>
    <t>5、23条码箱贴纸</t>
  </si>
  <si>
    <t>日期码格式：ZURU INC(BVI) 标准格式 日期：按实际生产日期
Packaging Info: MA包装, MA 1L 收缩膜, MA 1L PDQ；
Remark: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4. 产品和包装上印刷 tracking code信息，格式为ZURU常规格式;
5. 出货方式：货代自提。</t>
  </si>
  <si>
    <t>85685-7.1</t>
  </si>
  <si>
    <t>DISTRIBUIDORA JUGUETRON S.A. DE C.V</t>
  </si>
  <si>
    <t>4500130299-160</t>
  </si>
  <si>
    <t>产品/包装/说明书都要贴1张进口商贴纸</t>
  </si>
  <si>
    <t>有第三方监柜，需要每款多备2套完整物料</t>
  </si>
  <si>
    <r>
      <rPr>
        <sz val="11"/>
        <color rgb="FF0000FF"/>
        <rFont val="Arial"/>
        <charset val="0"/>
      </rPr>
      <t xml:space="preserve">6/26 </t>
    </r>
    <r>
      <rPr>
        <sz val="11"/>
        <color rgb="FF0000FF"/>
        <rFont val="宋体"/>
        <charset val="0"/>
      </rPr>
      <t>截</t>
    </r>
    <r>
      <rPr>
        <sz val="11"/>
        <color rgb="FF0000FF"/>
        <rFont val="Arial"/>
        <charset val="0"/>
      </rPr>
      <t>SI</t>
    </r>
  </si>
  <si>
    <t>5、24UPC贴纸+外箱贴纸+进口商贴纸</t>
  </si>
  <si>
    <t>日期码格式：ZURU INC(BVI) 标准格式 日期：按实际生产日期
Packaging Info: 
10.77515GQ2：MA 3L 包装+UPC贴纸+MA 多语说明书+MA 3L PDQ包装+保证书+外箱贴纸+进口商贴纸+箱唛，产品/包装/说明书都要贴1张进口商贴纸
Remark: 
12. 77515GQ2：3PCS AG13 Batteries(Include)
13. 此单有第三方监柜，需要每款多备2套完整物料</t>
  </si>
  <si>
    <t>85630-6.28</t>
  </si>
  <si>
    <t>Coop Danmark A/S</t>
  </si>
  <si>
    <t>4500133308-40</t>
  </si>
  <si>
    <t>77515GQ1-S003-NS</t>
  </si>
  <si>
    <t>需要发验货报告给最终客户放货</t>
  </si>
  <si>
    <t>7/3截SI</t>
  </si>
  <si>
    <t>5/30警告语贴纸+地址贴纸</t>
  </si>
  <si>
    <t>日期码格式：ZURU INC(BVI) 标准格式 日期：按实际生产日期
Packaging Info: 
77515GQ2-3L EAN包装+警告语贴纸+收藏指南无香贴纸(翻单4500125111)+地址贴纸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77515GQ1-1000449269-4894680032255-10193052061031</t>
  </si>
  <si>
    <t>85746-7.4</t>
  </si>
  <si>
    <t>78ARS3UV</t>
  </si>
  <si>
    <t>4500133139-10</t>
  </si>
  <si>
    <t>6/17 待SO出货</t>
  </si>
  <si>
    <t>6/4寄出 SSCC Label</t>
  </si>
  <si>
    <t>日期码格式：ZURU INC(BVI) 标准格式 日期：按实际生产日期
Packaging Info: 77516: 2PK #77515 入PVC圆筒。收藏指南用MA 5L. 1L不带UPC版收缩膜,2PK铜版纸图稿跟返单4500127813. （两个球的配比不能重复）。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</si>
  <si>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85994-7.15</t>
  </si>
  <si>
    <t>8SU6X34J</t>
  </si>
  <si>
    <t>4500133139-20</t>
  </si>
  <si>
    <t>85869-7.9</t>
  </si>
  <si>
    <t>2IRWOJ7B</t>
  </si>
  <si>
    <t>4500133139-30</t>
  </si>
  <si>
    <t>5WPW8LID</t>
  </si>
  <si>
    <t>4500133139-40</t>
  </si>
  <si>
    <t>4JM9HIXK</t>
  </si>
  <si>
    <t>4500132179-10</t>
  </si>
  <si>
    <t>收缩膜版本待与客人确认</t>
  </si>
  <si>
    <t>85768-7.8</t>
  </si>
  <si>
    <t>圆筒彩纸4/30已放MA</t>
  </si>
  <si>
    <t>4500132179-20</t>
  </si>
  <si>
    <t>4500132179-30</t>
  </si>
  <si>
    <t>5F167E2R</t>
  </si>
  <si>
    <t>4500132157-10</t>
  </si>
  <si>
    <t>收到预计船期，待SO出货</t>
  </si>
  <si>
    <t>85664-6.29</t>
  </si>
  <si>
    <t>4500131246-10</t>
  </si>
  <si>
    <t>6/18 自检</t>
  </si>
  <si>
    <t>6/24 -26交仓</t>
  </si>
  <si>
    <t>5/10RFID贴纸</t>
  </si>
  <si>
    <t>85581-6.27</t>
  </si>
  <si>
    <t>4500131246-20</t>
  </si>
  <si>
    <t>4500131244-10</t>
  </si>
  <si>
    <t>85730-7.3</t>
  </si>
  <si>
    <t>4500131244-20</t>
  </si>
  <si>
    <t>4500127148-30</t>
  </si>
  <si>
    <t>4、26</t>
  </si>
  <si>
    <t>日期码格式：ZURU INC(BVI) 标准格式 日期：按实际生产日期
Packaging Info: 
#77555GQ2: MA3L,PDQ(25装)+客版3L,UPC条码收缩膜(UPC: 193052064264)+MA5L收藏指南 ---客版收缩膜翻单：4500126515
#77515GQ2: MA3L,PDQ(25装)+客版3L,UPC条码收缩膜(UPC: 193052061034)+MA5L收藏指南+MA23L说明书+MA5L配件袋+MA复合袋---客版收缩膜翻单：4500126515
Remark: 
2. 带电池的产品需使用英法双语电池(纽扣电池除外)；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</si>
  <si>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85557-6.26</t>
  </si>
  <si>
    <t>4500128206-10</t>
  </si>
  <si>
    <t>DIY厨艺大师胶袋装</t>
  </si>
  <si>
    <t>船期6/27</t>
  </si>
  <si>
    <t>日期码格式：ZURU INC(BVI) 标准格式 日期：按实际生产日期
Packaging Info: 77515GQ2: 最新MA 3L A版 PDQ+ B版 3L EAN 收缩膜+ A版 23L 收藏指南+ A版 23L 说明书+ A版 5L 纸袋+ 进口商信息贴纸
每个PDQ装进1个透明胶袋里面，胶袋上加1pcs贴纸
Remark: 1.出货前要验货图片给客人确认OK后才出货
2.大货样品一套，请多备料
3.出口欧洲 微塑料需要合规</t>
  </si>
  <si>
    <t>Joyce Chen</t>
  </si>
  <si>
    <t>85578-6.27</t>
  </si>
  <si>
    <t>NORWEGIAN TOY IMPORT AS - DOM</t>
  </si>
  <si>
    <t>4500131615-70</t>
  </si>
  <si>
    <t>6/27 截SI</t>
  </si>
  <si>
    <t>5/14进口商贴纸</t>
  </si>
  <si>
    <t>日期码格式：ZURU INC(BVI) 标准格式 日期：按实际生产日期
Packaging Info: 
77555：MA EAN 3L+ 1 进口商贴纸
Remark: 1，请注意电池标志需要符合欧洲新规(EU) 2023-1542.
2，如有微塑料，必须合规欧洲标准，闪粉也是微塑料的一种，目前仅接受三张方式1.去除，2.用可降解材料，和3. 永久封印在固体。
3，产品和包装要求无硼无香，包装不能含有PVC</t>
  </si>
  <si>
    <t>85649-6.29</t>
  </si>
  <si>
    <t>4500131615-90</t>
  </si>
  <si>
    <t>77515SK1-S002-NS</t>
  </si>
  <si>
    <t>NORDIC TOY TEAM AS - DOM</t>
  </si>
  <si>
    <t xml:space="preserve"> 
1260</t>
  </si>
  <si>
    <t>4500131541-20</t>
  </si>
  <si>
    <t>6/26 截SI</t>
  </si>
  <si>
    <t>进口商贴纸 翻单4500125111</t>
  </si>
  <si>
    <t>日期码格式：ZURU INC(BVI) 标准格式 日期：按实际生产日期
Packaging Info: 
77515：MA 3L EAN+进口商贴纸+收收藏指南 贴纸-翻单4500125111
Remark: 1/ 产品和包装要求无硼无香，包装不能含有PVC
2/ 如有微塑料，必须合规欧洲标准，闪粉也是微塑料的一种，目前仅接受三张方式1.去除，2.用可降解材料，和3. 永久封印在固体。</t>
  </si>
  <si>
    <t>85629-6.28</t>
  </si>
  <si>
    <t>77515GQ2-S002-NS-1</t>
  </si>
  <si>
    <t>CMS FAMOUS TOYS</t>
  </si>
  <si>
    <t>4500131207-40</t>
  </si>
  <si>
    <t>6/26送外厂拼柜</t>
  </si>
  <si>
    <t>4/29进口商贴纸</t>
  </si>
  <si>
    <t>日期码格式：ZURU INC(BVI) 标准格式 日期：按实际生产日期
Packaging Info: 
77515GQ1：MA 3L EAN 版本包装+通用UPC条码贴纸，UPC号码为：193052061034
Remark: 出加拿大
每款产品都需要加进口商贴纸
Zuru验货.日期跟踪码：产品外包装及产品本身都必须有日期跟踪码，ZURU标准格式日期码</t>
  </si>
  <si>
    <t>85592-6.27</t>
  </si>
  <si>
    <t>4500134513-10</t>
  </si>
  <si>
    <t>7/5客自提</t>
  </si>
  <si>
    <t>翻单130675</t>
  </si>
  <si>
    <t>日期码格式：ZURU INC(BVI) 标准格式 日期：按实际生产日期
Packaging Info: 1.物料要求
77515GQ1: MA PDQ +外挂中文收藏指南+中文收藏指南(每一款都不同)+警告语+收缩膜年龄贴（8+）
所有款号务必使用带有CCC 标识的AW
Remark: 2.外箱材质如下：
1）毛重小于5kg 外箱纸质 K=B 爆破:1000Kpa 边压:4400N/M;
2）毛重大于5kg 外箱纸质 K636K 爆破:1400Kpa 边压:6300N/M;
3. 产品/销售包装/外箱日期码要一致，
4. 这张订单做出厂价，我司自行安排车辆去贵司提货，贵司需要配合提供出口报关
5.此产品务必满足国内6P 测试标准，因为可能会被市场监督局抽查，如有问题产生，工厂要负全责
6. 防伪码标签，请严格按照使用指引和预留出的位置标准操作，防伪标签不可覆盖CCC标志、防伪标贴位置框外CCC贴纸上的文字
7. 芯片码横向平贴在上半部分蛋壳/彩盒内侧立面处，注意事项请见跟单提供文档资料。</t>
  </si>
  <si>
    <t>85577-6.27</t>
  </si>
  <si>
    <t>4500133366-70</t>
  </si>
  <si>
    <t>5/23客供价格贴纸</t>
  </si>
  <si>
    <t>日期码格式：ZURU INC(BVI) 标准格式 日期：按实际生产日期
Packaging Info: 1.ZURU MA UPC 现有版本包装 + 客供价格贴纸，出口美国。
Remark: 1.ZURU MA UPC 现有版本包装 + 客供价格贴纸，出口美国。
2.价格贴纸位于包装正面右下角，不挡住重要信息即可，可适当调整
，价格贴纸由跟单提供。
3.标准日期码格式，产品和包装必须有日期码，所有日期码必须一致(但日期不可为周末)。
4.同个产品同个货期不可出现不同的包装。
5. PVC 桶中球不能出现完全 相同的ASSORTMENT ， 即同一个PVC 中球里的ASSORTMENT 需要不同。 以免消费者失望。
6.PVC 桶上加上 5 surprise 的LOGO 贴纸 （ ZURU 统一要求的）</t>
  </si>
  <si>
    <t>85860-2-7.9</t>
  </si>
  <si>
    <t>Evolete Co.,Ltd</t>
  </si>
  <si>
    <t>4500133497-20</t>
  </si>
  <si>
    <t>增加一张日语说明书</t>
  </si>
  <si>
    <t>6/21 截SI</t>
  </si>
  <si>
    <t>6/6进口商贴纸</t>
  </si>
  <si>
    <t>日期码格式：ZURU INC(BVI) 标准格式 日期：按实际生产日期
Packaging Info: 1.此单走20GP
2.77515GQ2-MA UPC包装（1L B版收缩膜)+1张进口商贴纸
77515GQ2需额外增加一张日语说明书,AW待提供
所有贴纸AW、位置图待提供,贴纸使用可移材质,贴于球底部,贴纸上面部分不能有褶皱,下面可以有褶皱.
需提供最终大货贴纸贴的图片给客人才能大货
Remark: 77515GQ2-3PCS AG13 Batteries(Include);Contain UV Glue and Cream Glue
MNT3-P010:Transformers Cyberverse Optimus Prime
MNT3-P011 Transformers Cyberverse Megatron
MNT3-P012 Power Rangers Mighty Morphin Blue Ranger 12'' Action Figure</t>
  </si>
  <si>
    <t>85874-7.9</t>
  </si>
  <si>
    <t>4500131824-2
FB11463</t>
  </si>
  <si>
    <t>4500131824-50</t>
  </si>
  <si>
    <t>加多一张9国语言电池说
明书</t>
  </si>
  <si>
    <t>翻订单4500121348</t>
  </si>
  <si>
    <t>日期码格式：ZURU INC(BVI) 标准格式 日期：按实际生产日期
Packaging Info: 
77515GQ5-S001:MA-3L+5L warning 配套包装(必须为多语warning 版本，需要在西班牙售卖）+一张条码贴覆盖ZURU条码，另外产品内包装再加多一张9国语言电池说
明书 ，即产品内含2张说明书 （ZURU标准说明书1张+9国语言电池说明书）
产品信息：11 assortment have the same ratio
条码贴翻订单4500121348
Remark: *包装日期码按ZURU格式即可，请确保不迟于外箱日期码，可等于或者早于外箱日期码，必须为法定工作日。
*MA版本按工厂现有最新库存即可，因订单出英国和西班牙，此客包装需含英语和西班牙语才能满足出口要求，故此请严格按我们列出的3L 或者其他多语包装进行
，1L包装是需要额外加西班牙语贴纸的（一般我们不采用此方式），请注意检查产品及包装应带UKCA图标，包装显示ZURU UK LTD信息，QC同事请查核，如有问题与
跟单确认。
*订单必须经过ZURU QC验货并且通过后方可出货。
*条码以订单显示为准 ，请安排生产前先核对 ，有问题请提出。
*所有产品按符合欧洲标准走货，需要是不含微塑料版本。
*涉及到硼的，请使用低硼版本</t>
  </si>
  <si>
    <t>85684-7.1</t>
  </si>
  <si>
    <t>Prenatal Retail Group Spain S.L.</t>
  </si>
  <si>
    <t>4500126495-10</t>
  </si>
  <si>
    <t>7/8预计船期</t>
  </si>
  <si>
    <t>日期码格式：ZUR4113 日期：
Packaging Info: 1.包装：77515GQ5：最新MA 3L PDQ /3L EAN 收缩膜/ MA收藏指南/说明书/配件袋+客人警告语贴纸*2+ 产品贴纸
Remark: 2.订单出欧洲国家-西班牙，产品不能含有闪粉/微塑料！
3.客人日期码 ZUR4113，产品/包装/外箱，请务必保持一致
4.大货样品2套/item，验货后抽办1套/item，请多备料，谢谢。
5.产品信息： #77515GQ5： 11 assortment have the same ratio; 3PCS AG13 Batteries (included)</t>
  </si>
  <si>
    <t>85832-7.8</t>
  </si>
  <si>
    <t>4500129040-10</t>
  </si>
  <si>
    <t>日期码格式：ZURU DGYYYYMMDD CHINA(日期避开周末和法定节假日即可） 日期：按实际生产日期
Packaging Info: 77515GQ6-S002：
1.包装要求：
MA B版 1L收缩膜+客版 A版 5L收藏指南+MA A版 5L纸袋+MA A版 23L说明书+客版 1L PDQ
Remark: 77515GQ6-S002：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carton出货，12pcs/PDQ/CTN</t>
  </si>
  <si>
    <t>85626-6.28</t>
  </si>
  <si>
    <t>4500131248-10</t>
  </si>
  <si>
    <t>6/28 BV</t>
  </si>
  <si>
    <t>85875-7.9</t>
  </si>
  <si>
    <t>4500131248-20</t>
  </si>
  <si>
    <t>6/27 BV</t>
  </si>
  <si>
    <t>85729-7.3</t>
  </si>
  <si>
    <t xml:space="preserve"> 
6631646284</t>
  </si>
  <si>
    <t>4500131248-30</t>
  </si>
  <si>
    <t>85662-6.29</t>
  </si>
  <si>
    <t>4500133388-30</t>
  </si>
  <si>
    <t>6/14客供价格贴纸</t>
  </si>
  <si>
    <t>85663-6.29</t>
  </si>
  <si>
    <t>MTA Trade</t>
  </si>
  <si>
    <t>哈萨克斯坦</t>
  </si>
  <si>
    <t>4500134123-30</t>
  </si>
  <si>
    <t>5/30进口商贴纸</t>
  </si>
  <si>
    <t>日期码格式：ZURU INC(BVI) 标准格式 日期：按实际生产日期
Packaging Info: 77515: 1L MA 收缩膜+进口商贴纸; MA指南;
Remark: 标准配比</t>
  </si>
  <si>
    <t>Ann Zhang</t>
  </si>
  <si>
    <t>85752-7.4</t>
  </si>
  <si>
    <t>ZMPO24429</t>
  </si>
  <si>
    <t>大货最新版本/PDQ里面的产品按大货比例入PDQ/大货标准箱装箱/箱唛参照邮件附件;备注： 收到样品订单后尽快安排 ，注意样板品质质量要求要高于大货品质质量 ，送货时必须要附带送货单(没有送货单和QC检验合格报告的仓库一律拒绝收货)，请知悉，谢谢！</t>
  </si>
  <si>
    <t>Sally</t>
  </si>
  <si>
    <t>88049-10.29</t>
  </si>
  <si>
    <t>ESAL TRADING L.L.C.</t>
  </si>
  <si>
    <t>曼联</t>
  </si>
  <si>
    <t>UAE</t>
  </si>
  <si>
    <t>4500128286-100</t>
  </si>
  <si>
    <t>额外+书纸</t>
  </si>
  <si>
    <t>预计6/27 截SI</t>
  </si>
  <si>
    <t>日期码格式：ZURU INC(BVI) 标准格式 日期：按实际生产日期
Packaging Info: 
77515GQ5： 1L MA包装（含G Mark)+进口商贴纸(含QR code, 阿拉伯警语); 贴纸上的QR code需微信可扫，扫描结果64429；客版指南；MA说明书+额外书纸
;MA PDQ, MA展示架，PDQ和展示架也需要进口商贴纸
由于中东信仰伊斯兰教，禁止出宗教/十字架/圣诞/恶魔/天使/魔术/六角星/猪/无人机等元素的产品,包装/说明书/指南不含希伯来语，如果含有如上元素，请及时
告知，谢谢。
Remark:</t>
  </si>
  <si>
    <t>86293-2-7.25</t>
  </si>
  <si>
    <t>77515GQ5-S001-1</t>
  </si>
  <si>
    <t>4500128286-110</t>
  </si>
  <si>
    <t>日期码格式：ZURU INC(BVI) 标准格式 日期：按实际生产日期
Packaging Info: 
77555SK： 1L MA包装（含G Mark)+进口商贴纸(含QR code, 阿拉伯警语); 贴纸上的QR code需微信可扫，扫描结果64429；客版指南；MA PDQ, MA展示架
，PDQ和展示架也需要进口商贴纸
由于中东信仰伊斯兰教，禁止出宗教/十字架/圣诞/恶魔/天使/魔术/六角星/猪/无人机等元素的产品,包装/说明书/指南不含希伯来语，如果含有如上元素，请及时
告知，谢谢。
Remark:</t>
  </si>
  <si>
    <t>77515SK-S002-1</t>
  </si>
  <si>
    <t>QATAR</t>
  </si>
  <si>
    <t>4500128359-70</t>
  </si>
  <si>
    <t>77515GQ5-S004</t>
  </si>
  <si>
    <t>翻4500128286</t>
  </si>
  <si>
    <t>日期码格式：ZURU INC(BVI) 标准格式 日期：按实际生产日期
77515GQ5： 1L MA包装（含G Mark)+进口商贴纸翻4500128286(含QR code, 阿拉伯警语); 贴纸上的QR code需微信可扫，扫描结果64429；客版指南/说明书
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Remark:77515GQ5:3PCS AG13 Batteries (included)
Remove MASCM-S1-010: Stuffed Pork Loin &lt;(&gt;&amp;&lt;)&gt; Roast Potatos</t>
  </si>
  <si>
    <t>Emma Chen</t>
  </si>
  <si>
    <t>85870-2-7.9</t>
  </si>
  <si>
    <t>4500128359-80</t>
  </si>
  <si>
    <t>77515SK-S003</t>
  </si>
  <si>
    <t>日期码格式：ZURU INC(BVI) 标准格式 日期：按实际生产日期
77555SK： 1L MA包装（含G Mark)+进口商贴纸翻4500128286(含QR code, 阿拉伯警语); 贴纸上的QR code需微信可扫，扫描结果64429；客版指南/说明书翻4500128286；MA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Remark:77515SK:3PCS AG13 Batteries (included)
Remove MASCM-S1-010: Stuffed Pork Loin &lt;(&gt;&amp;&lt;)&gt; Roast Potatos</t>
  </si>
  <si>
    <t>KSA</t>
  </si>
  <si>
    <t>4500128579-80</t>
  </si>
  <si>
    <t>日期码格式：ZURU INC(BVI) 标准格式 日期：按实际生产日期
Packaging Info:
77515GQ5： 1L MA包装（含G Mark)+进口商贴纸翻4500128286(含QR code, 阿拉伯警语); 贴纸上的QR code需微信可扫，扫描结果64429；客版指南翻45001
28286；MA说明书+额外书纸翻4500128286；MA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 
77515GQ5:3PCS AG13 Batteries (included)
Remove MASCM-S1-010: Stuffed Pork Loin &lt;(&gt;&amp;&lt;)&gt; Roast Potatos</t>
  </si>
  <si>
    <t>86410-7.30</t>
  </si>
  <si>
    <t>4500128579-90</t>
  </si>
  <si>
    <t>日期码格式：ZURU INC(BVI) 标准格式 日期：按实际生产日期
Packaging Info:
77555SK： 1L MA包装（含G Mark)+进口商贴纸翻4500128286(含QR code, 阿拉伯警语); 贴纸上的QR code需微信可扫，扫描结果64429；客版指南/说明书翻4500128286；MA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 77515SK:3PCS AG13 Batteries (included)
Remove MASCM-S1-010: Stuffed Pork Loin &lt;(&gt;&amp;&lt;)&gt; Roast Potatos</t>
  </si>
  <si>
    <t>Jordan</t>
  </si>
  <si>
    <t>4500134816-10</t>
  </si>
  <si>
    <t>8/8 出</t>
  </si>
  <si>
    <t xml:space="preserve">日期码格式：ZURU INC(BVI) 标准格式 日期：按实际生产日期
Packaging Info:
77515GQ5： 1L MA包装（含G Mark)+进口商贴纸翻4500128286(含QR code, 阿拉伯警语); 贴纸上的QR code需微信可扫，扫描结果64429；客版指南翻45001
28286；MA说明书+额外书纸翻4500128286；MA PDQ, MA展示架
，PDQ和展示架也需要进口商贴纸翻4500128286
由于中东信仰伊斯兰教，禁止出宗教/十字架/圣诞/恶魔/天使/魔术/六角星/猪/无人机等元素的产品,包装/说明书/指南不含希伯来语，如果含有如上元素，请及时
告知，谢谢。
Remark: 77515:3PCS AG13 Batteries (included)
</t>
  </si>
  <si>
    <t>86637-8.8</t>
  </si>
  <si>
    <t>4500134816-20</t>
  </si>
  <si>
    <t>日期码格式：ZURU INC(BVI) 标准格式 日期：按实际生产日期
Packaging Info:
77515SK： 1L MA包装（含G Mark)+进口商贴纸翻4500128286(含QR code, 阿拉伯警语); 贴纸上的QR code需微信可扫，扫描结果64429；客版指南翻45001
28286；MA说明书+额外书纸翻4500128286；MA PDQ, MA展示架
，PDQ和展示架也需要进口商贴纸翻4500128286
由于中东信仰伊斯兰教，禁止出宗教/十字架/圣诞/恶魔/天使/魔术/六角星/猪/无人机等元素的产品,包装/说明书/指南不含希伯来语，如果含有如上元素，请及时
告知，谢谢。
Remark: 77515:3PCS AG13 Batteries (included)</t>
  </si>
  <si>
    <t>COLES SUPERMARKETS</t>
  </si>
  <si>
    <t xml:space="preserve"> 
43332316</t>
  </si>
  <si>
    <t>4500131302-10</t>
  </si>
  <si>
    <t>已订舱7/1</t>
  </si>
  <si>
    <t>6/5警告语贴纸</t>
  </si>
  <si>
    <t>日期码格式：ZURU INC(BVI) 标准格式 日期：按实际生产日期
Packaging Info: 1. MA UPC 包装+2张电池警告语贴纸（分别贴在包装和说明书上，贴纸以及位置图翻单PO#4500121356）
Remark: 1.此单出口澳大利亚，请按相应的澳新标准生产；
2.产品和包装上生产批号请按我司标准
3 pcs Button battery</t>
  </si>
  <si>
    <t>85872-7.9</t>
  </si>
  <si>
    <t>4500131302-20</t>
  </si>
  <si>
    <t>4500131302-30</t>
  </si>
  <si>
    <t>4500131302-40</t>
  </si>
  <si>
    <t>MPO02701</t>
  </si>
  <si>
    <t>86613R1-8.7</t>
  </si>
  <si>
    <t>MPO02700</t>
  </si>
  <si>
    <t>86614-8.7</t>
  </si>
  <si>
    <t>4500133558-30</t>
  </si>
  <si>
    <t>7/20 开仓</t>
  </si>
  <si>
    <t>86289-7.25</t>
  </si>
  <si>
    <t>4500133033-10</t>
  </si>
  <si>
    <t>7/9 自提</t>
  </si>
  <si>
    <t>6/14条码箱贴纸</t>
  </si>
  <si>
    <t>日期码格式：ZURU INC(BVI) 标准格式 日期：按实际生产日期
Packaging Info: MA包装, MA 1L 收缩膜, MA 1L PDQ
Remark: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4. 产品和包装上印刷 tracking code信息，格式为ZURU常规格式;
5. 出货方式：货代自提。</t>
  </si>
  <si>
    <t>85903-7.10</t>
  </si>
  <si>
    <t>4500134186-30</t>
  </si>
  <si>
    <t>85868-7.9</t>
  </si>
  <si>
    <r>
      <rPr>
        <sz val="11"/>
        <color rgb="FF0000FF"/>
        <rFont val="宋体"/>
        <charset val="0"/>
      </rPr>
      <t>圆筒彩纸</t>
    </r>
    <r>
      <rPr>
        <sz val="11"/>
        <color rgb="FF0000FF"/>
        <rFont val="Arial"/>
        <charset val="0"/>
      </rPr>
      <t>4/30</t>
    </r>
    <r>
      <rPr>
        <sz val="11"/>
        <color rgb="FF0000FF"/>
        <rFont val="宋体"/>
        <charset val="0"/>
      </rPr>
      <t>已放</t>
    </r>
    <r>
      <rPr>
        <sz val="11"/>
        <color rgb="FF0000FF"/>
        <rFont val="Arial"/>
        <charset val="0"/>
      </rPr>
      <t>MA</t>
    </r>
  </si>
  <si>
    <t>5FVUUOPT</t>
  </si>
  <si>
    <t>4500134367-10</t>
  </si>
  <si>
    <t>7/18 截SI</t>
  </si>
  <si>
    <t>6/20SSCC Label</t>
  </si>
  <si>
    <t>日期码格式：ZURU INC(BVI) 标准格式 日期：按实际生产日期
Packaging Info: #77516: 2PK #77515 入PVC圆筒。收藏指南用MA 5L. 3L不带UPC版收缩膜,2PK铜版纸图稿跟返单4500132157。 （两个球的配比不能重复）。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</si>
  <si>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86064-7.17</t>
  </si>
  <si>
    <t>4500134367-20</t>
  </si>
  <si>
    <t>SEARS MEXICO</t>
  </si>
  <si>
    <t>4500132862-100</t>
  </si>
  <si>
    <t>8/2 截SI</t>
  </si>
  <si>
    <t>UPC 贴纸</t>
  </si>
  <si>
    <t>日期码格式：ZURU INC(BVI) 标准格式 日期：按实际生产日期
Packaging Info:
77515GQ2：MA 1L 包装+UPC 贴纸+MA 多语说明书+MA 3L 收藏指南+MA 3L PDQ
Remark:</t>
  </si>
  <si>
    <t>Zoe Luo</t>
  </si>
  <si>
    <t>86546-8.5</t>
  </si>
  <si>
    <t>77515GQ2-S002-1</t>
  </si>
  <si>
    <t>QE43411694</t>
  </si>
  <si>
    <t>4500134189-40</t>
  </si>
  <si>
    <t>7/17 截SI</t>
  </si>
  <si>
    <t>86375-7.29</t>
  </si>
  <si>
    <t>QE91454966</t>
  </si>
  <si>
    <t>4500134189-100</t>
  </si>
  <si>
    <t>86203-7.23</t>
  </si>
  <si>
    <t>4500134929-50</t>
  </si>
  <si>
    <t>日期码格式：ZURU INC(BVI) 标准格式 日期：按实际生产日期
Packaging Info: 
5.77515GQ2-S003:MA 1L包装(如果没有1L可以用多语,但是一单不能混用不同版本包装)
UPC#193052061034 ，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</si>
  <si>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86202-7.23</t>
  </si>
  <si>
    <t>4500131249-10</t>
  </si>
  <si>
    <t>7/1 BV</t>
  </si>
  <si>
    <t>85873-7.9</t>
  </si>
  <si>
    <t>4500131249-20</t>
  </si>
  <si>
    <t>7/5 BV</t>
  </si>
  <si>
    <t>85995-7.15</t>
  </si>
  <si>
    <t>4500135039-10</t>
  </si>
  <si>
    <t>7/9 BV</t>
  </si>
  <si>
    <t>7/15 截SI</t>
  </si>
  <si>
    <t>6/11RFID贴纸</t>
  </si>
  <si>
    <t>日期码格式：ZURU DGYYYYMMDD CHINA(日期避开周末和法定节假日即可） 日期：按实际生产日期
Packaging Info: 77515SLB-S002
1.包装要求：
77515：MA B版 1L收缩膜+客版 A版 5L收藏指南+MA A版 5L纸袋+MA A版 23L说明书+客版 1L PDQ，翻单：4500129012
每pcs产品上要贴1张RFID贴纸，贴纸由ZURU提供，贴纸位置请严格按照我们签回的签板；
Remark: 77515SLB-S002
1.包装要求：
77515：MA B版 1L收缩膜+客版 A版 5L收藏指南+MA A版 5L纸袋+MA A版 23L说明书+客版 1L PDQ，翻单：4500129012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77515：12pcs/CTN，77515SLB-S002:1152pcs/96CTN/Slip Sheet</t>
  </si>
  <si>
    <t>85993-7.15</t>
  </si>
  <si>
    <t>4500135039-20</t>
  </si>
  <si>
    <t>86063-7.17</t>
  </si>
  <si>
    <t>450135044-10</t>
  </si>
  <si>
    <t>7/16 交仓</t>
  </si>
  <si>
    <t>日期码格式：ZURU DGYYYYMMDD CHINA(日期避开周末和法定节假日即可） 日期：按实际生产日期
Packaging Info:77515SLB-S002
1.包装要求：
77515：MA B版 1L收缩膜+客版 A版 5L收藏指南+MA A版 5L纸袋+MA A版 23L说明书+客版 1L PDQ，翻单：4500129012
每pcs产品上要贴1张RFID贴纸，贴纸由ZURU提供，贴纸位置请严格按照我们签回的签板；
Remark: 77515SLB-S002
1.包装要求：
77515：MA B版 1L收缩膜+客版 A版 5L收藏指南+MA A版 5L纸袋+MA A版 23L说明书+客版 1L PDQ，翻单：4500129012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77515：12pcs/CTN，
77515SLB-S002:1152pcs/96CTN/Slip Sheet</t>
  </si>
  <si>
    <t>86150-7.20</t>
  </si>
  <si>
    <t>450135044-20</t>
  </si>
  <si>
    <t>7/23 截SI</t>
  </si>
  <si>
    <t>86283-7.25</t>
  </si>
  <si>
    <t>450135044-30</t>
  </si>
  <si>
    <t>7/12 BV</t>
  </si>
  <si>
    <t>7/22 截SI</t>
  </si>
  <si>
    <t>86248-7.24</t>
  </si>
  <si>
    <t>FB11967</t>
  </si>
  <si>
    <t>4500134903-10</t>
  </si>
  <si>
    <t>MEC255-77515-S001</t>
  </si>
  <si>
    <t>混装（77555+77515）</t>
  </si>
  <si>
    <t>7/11 截SI</t>
  </si>
  <si>
    <t>6/4条码贴</t>
  </si>
  <si>
    <t>日期码格式：ZURU INC(BVI) 标准格式 日期：06-13-2024
Packaging Info: MEC255 104pcs 一个展示架 ，展示架客版artwork,工厂自行订购展示架组装出货。
77515GQ1 全套MA-1L 包装 ，每个球需要加贴一张条码贴 覆盖ZURU原条码，显示为客户的条码，外厂送货的产品会粘好条码贴再送
货 。
77515GQ1 MASTER CHEF MINI BRANDS-,13pcs/PDQ，一个展示架入3个PDQ 。
PDQ 里面的球原则上按ZURU 标准比例配送 ，如有疑问请与对应的客制PM 确认。
展示架头卡和两侧面需要加原点双面胶，供客人在店里加贴A4大小价格牌 ，同时展示架前挡板也要加圆点双面胶glue dots 供客人加价格牌，详细后面按图示添加
，QC 验货一定要多加留意 ，如未按要求加到目的地会被退货 。
做货订单按以下条码显示：
77515GQ1 5056296044810 5S MASTER CHEF S1 CDU V2
Remark: 订单必须经过ZURU QC验货并且通过后方可出货。
请务必准时交货，促销单延期会有巨额罚款。
包装和外箱日期码请按2024年6月13号打，这样可以所有产品日期一致，按ZURU格式即可。</t>
  </si>
  <si>
    <t>86218-7.23</t>
  </si>
  <si>
    <t>无BOM</t>
  </si>
  <si>
    <t>SHIRRA PANWEST</t>
  </si>
  <si>
    <t>MPO 7994</t>
  </si>
  <si>
    <t>4500135422-10</t>
  </si>
  <si>
    <t>7/12 截SI</t>
  </si>
  <si>
    <t>6、13</t>
  </si>
  <si>
    <t>6/17UPC</t>
  </si>
  <si>
    <t>日期码格式：ZURU INC(BVI) 标准格式 日期：按实际生产日期
Packaging Info: 77515SK1: MA 3L EAN 版本包装+UPC贴纸, 193052061034
Remark: 出加拿大
日期跟踪码：产品外包装及产品本身都必须有日期跟踪码，ZURU标准格式日期码.
不晚于7/10 号提供大货图片， 大货图片要包含外箱，箱唛， 产品带包装/不带包装图片， 尺寸测量， 称重等，请注意 客人看了大货图片才会放SO。</t>
  </si>
  <si>
    <t>86016-7.16</t>
  </si>
  <si>
    <t>Dirk Rossmann GmbH</t>
  </si>
  <si>
    <t>4500135247-10</t>
  </si>
  <si>
    <t>DIY厨艺大师无香味版-干燥剂</t>
  </si>
  <si>
    <t>7/8 第三方</t>
  </si>
  <si>
    <t>PASS</t>
  </si>
  <si>
    <t>6/12EAN条码贴纸+德语警语贴纸</t>
  </si>
  <si>
    <t>日期码格式：ZURU INC(BVI) 标准格式 日期：按实际生产日期
Packaging Info: 77515： MA 1L 收缩膜+EAN条码贴纸+德语警语贴纸+MA A版5L配件袋+德语警告语贴纸+MA 5L 收藏指南/说明书
Remark: 1.此单出欧洲要求：使用无闪粉版本，电池符合欧洲法规要求(如有)
2. 此客户要求：化学品无硼无香。
3. 外箱上下需加保护卡，以防开箱时产品被划破。（保护卡需要时整面）
4. 此单在出货前3周提供大货样品给Rossmann德国客人安排第三方验货。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9.此单出德国，走整柜请知悉。</t>
  </si>
  <si>
    <t>85871-7.9</t>
  </si>
  <si>
    <t>77515-S001-1</t>
  </si>
  <si>
    <t>TIENDAS CHEDRAUI, S.A. DE C.V.</t>
  </si>
  <si>
    <t>4500134144-100</t>
  </si>
  <si>
    <t>6/14进口商+UPC贴纸</t>
  </si>
  <si>
    <t>日期码格式：ZURU INC(BVI) 标准格式 日期：按实际生产日期
Packaging Info:
9. 77515GQ2：MA 3L EAN包装+UPC贴纸+MA 多语说明书+MA 3L PDQ包装+保证书+客版黑白说明书+进口商贴纸+箱唛，产品/包装都要贴1张进口商贴纸
Remark: 
8. 77515GQ2：3PCS AG13 Batteries(Include)</t>
  </si>
  <si>
    <t>86205-7.23</t>
  </si>
  <si>
    <t>4500127149-20</t>
  </si>
  <si>
    <r>
      <rPr>
        <sz val="11"/>
        <color rgb="FF0000FF"/>
        <rFont val="Arial"/>
        <charset val="0"/>
      </rPr>
      <t xml:space="preserve">7/11 </t>
    </r>
    <r>
      <rPr>
        <sz val="11"/>
        <color rgb="FF0000FF"/>
        <rFont val="宋体"/>
        <charset val="0"/>
      </rPr>
      <t>第三方</t>
    </r>
  </si>
  <si>
    <t>5、28</t>
  </si>
  <si>
    <t>日期码格式：ZURU INC(BVI) 标准格式 日期：按实际生产日期
Packaging Info: 
#77515GQ2: MA3L,PDQ(25装)+客版3L,UPC条码收缩膜(UPC: 193052061034)+MA5L收藏指南+MA23L说明书+MA5L配件袋+MA复合袋---客版收缩膜翻单：4500126515
Remark: 1. 带电池的产品需使用英法双语电池(纽扣电池除外)；
2. 此单有箱唛;
3.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</si>
  <si>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85992-7.15</t>
  </si>
  <si>
    <t>4500134957-10</t>
  </si>
  <si>
    <t>日期码格式：ZURU INC(BVI) 标准格式 日期：按实际生产日期
Packaging Info: 77515GQ2: MA3LPDQ+ MA 5L收藏指南+MA 3L EAN 最新收缩膜+贴纸（德国CALLOUT 和荷兰警告语 ）
贴纸以及位置图翻#4500119795
EAN#4894680032255
Remark: 1. 此单出德国，需要满足Zuru Standard欧洲标准测试要求；
2. 请准时出货，推期会有罚款；
3. 需要符合欧洲标准不能含有闪粉和微塑料，否则不符合法规会有客诉产生
4. 配比：标准配比
5. 大货样品一套</t>
  </si>
  <si>
    <t>Shirley Zhou</t>
  </si>
  <si>
    <t>86095-7.18</t>
  </si>
  <si>
    <t>THE FARMERS' TRADING COMPANY LIMITE</t>
  </si>
  <si>
    <t>4500133936-30</t>
  </si>
  <si>
    <t>6/19价格贴纸</t>
  </si>
  <si>
    <t>日期码格式：ZURU INC(BVI) 标准格式 日期：按实际生产日期
Packaging Info: MA UPC英语包装（优先1L英语版本,或者3L/5L含英语即可）+可移动材质的价格贴纸；
其中77515包装和说明书需要加电池警告语贴纸；</t>
  </si>
  <si>
    <t>86281-7.25</t>
  </si>
  <si>
    <t>FB11913</t>
  </si>
  <si>
    <t>4500132996-10</t>
  </si>
  <si>
    <t>条码贴翻订单4500121348</t>
  </si>
  <si>
    <t>日期码格式：ZURU INC(BVI) 标准格式 日期：按实际生产日期
Packaging Info: 77515GQ5-S001:MA-3L+5L warning 配套包装(必须为多语warning 版本，需要在西班牙售卖）+一张条码贴覆盖ZURU条码，另外产品内包装再加多一张9国语言电池说
明书 ，即产品内含2张说明书 （ZURU标准说明书1张+9国语言电池说明书）
产品信息：11 assortment have the same ratio
条码贴翻订单4500121348
Remark: *包装日期码按ZURU格式即可，请确保不迟于外箱日期码，可等于或者早于外箱日期码，必须为法定工作日。
*MA版本按工厂现有最新库存即可，因订单出英国和西班牙，此客包装需含英语和西班牙语才能满足出口要求，故此请严格按我们列出的3L 或者其他多语包装进行
，1L包装是需要额外加西班牙语贴纸的（一般我们不采用此方式），请注意检查产品及包装应带UKCA图标，包装显示ZURU UK LTD信息，QC同事请查核，如有问题与
跟单确认。
*订单必须经过ZURU QC验货并且通过后方可出货。
*条码以订单显示为准 ，请安排生产前先核对 ，有问题请提出。
*所有产品按符合欧洲标准走货，需要是不含微塑料版本。
*涉及到硼的，请使用低硼版本
一定要按订单要求用多语版本包装，条码贴一定要核对过是否与订单显示一致再贴。</t>
  </si>
  <si>
    <t>86151-7.20</t>
  </si>
  <si>
    <t>4500135927-20</t>
  </si>
  <si>
    <t>6/21进口商贴纸</t>
  </si>
  <si>
    <t>日期码格式：ZURU INC(BVI) 标准格式 日期：按实际生产日期
Packaging Info:77515:MA 1L包装+进口商贴纸+箱唛
Remark:</t>
  </si>
  <si>
    <t>86416-7.30</t>
  </si>
  <si>
    <t>4500134934-10</t>
  </si>
  <si>
    <t>6、12</t>
  </si>
  <si>
    <t>6/25条码箱贴纸</t>
  </si>
  <si>
    <t>86206-7.23/86218-7.23</t>
  </si>
  <si>
    <t>4500135809-10</t>
  </si>
  <si>
    <t>7/25 截SI</t>
  </si>
  <si>
    <t>6、14</t>
  </si>
  <si>
    <t>86336-7.27</t>
  </si>
  <si>
    <t>4500135797-10</t>
  </si>
  <si>
    <t>86252-7.24</t>
  </si>
  <si>
    <t>4500135055-10</t>
  </si>
  <si>
    <t>7/29 截SI</t>
  </si>
  <si>
    <t>86149-7.20</t>
  </si>
  <si>
    <t>4500135055-20</t>
  </si>
  <si>
    <t>4500135055-30</t>
  </si>
  <si>
    <t>7/30 截SI</t>
  </si>
  <si>
    <t>86187-7.23</t>
  </si>
  <si>
    <t>4500135055-40</t>
  </si>
  <si>
    <t>86282-7.25</t>
  </si>
  <si>
    <t>4500135055-50</t>
  </si>
  <si>
    <t>暂定7/22船期</t>
  </si>
  <si>
    <t>86320-7.27</t>
  </si>
  <si>
    <t>4500135055-60</t>
  </si>
  <si>
    <t>7/15 交仓</t>
  </si>
  <si>
    <t>86062-7.17</t>
  </si>
  <si>
    <t xml:space="preserve"> 
6631646300</t>
  </si>
  <si>
    <t>4500135055-70</t>
  </si>
  <si>
    <t>7/20 交仓</t>
  </si>
  <si>
    <t>4500132689-10</t>
  </si>
  <si>
    <t>8/22 交仓</t>
  </si>
  <si>
    <t>日期码格式：ZURU INC(BVI) 标准格式 日期：按实际生产日期
Packaging Info: 77515SLB-S001
77515GQ6-S002: MA 1L收缩膜/PDQ+MA 23L收藏指南/说明书+MA 5L ACCESSORY BAG
UPC#193052061034，请先检查条码是否正确再安排做货
Slip sheet： 12PCS/PDQ/CTN(Carton SIZE:22.5*22*31.5CM),20*4H=80CTN=960PCS/SLIP SHEET，;一共需要5套slip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</si>
  <si>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87020-8.26</t>
  </si>
  <si>
    <t>8J9AIVAX</t>
  </si>
  <si>
    <t>4500135267-60</t>
  </si>
  <si>
    <t>8、19 截SI</t>
  </si>
  <si>
    <t>7/5 SSCC Label+6、7防伪贴纸</t>
  </si>
  <si>
    <t>日期码格式：ZURU INC(BVI) 标准格式 日期：按实际生产日期
Packaging Info: 
#77515 MA1L UPC版本，跟单提供防伪贴纸;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</si>
  <si>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86900-8.20</t>
  </si>
  <si>
    <t>1UI2CGBN</t>
  </si>
  <si>
    <t>4500135282-110</t>
  </si>
  <si>
    <t>8/20 截SI</t>
  </si>
  <si>
    <t>日期码格式：ZURU INC(BVI) 标准格式 日期：按实际生产日期
Packaging Info:
#77515：MA1L UPC版本，跟单提供防伪贴纸。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</si>
  <si>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86881-8.19</t>
  </si>
  <si>
    <t>4500135282-120</t>
  </si>
  <si>
    <t>87OIBCEI</t>
  </si>
  <si>
    <t>4500135161-40</t>
  </si>
  <si>
    <r>
      <rPr>
        <sz val="11"/>
        <color rgb="FF0000FF"/>
        <rFont val="Arial"/>
        <charset val="0"/>
      </rPr>
      <t xml:space="preserve">8/21 </t>
    </r>
    <r>
      <rPr>
        <sz val="11"/>
        <color rgb="FF0000FF"/>
        <rFont val="宋体"/>
        <charset val="0"/>
      </rPr>
      <t>截</t>
    </r>
    <r>
      <rPr>
        <sz val="11"/>
        <color rgb="FF0000FF"/>
        <rFont val="Arial"/>
        <charset val="0"/>
      </rPr>
      <t>SI</t>
    </r>
  </si>
  <si>
    <t>日期码格式：ZURU INC(BVI) 标准格式 日期：按实际生产日期
Packaging Info: 
#77515 MA1L UPC版本，跟单提供防伪贴纸.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</si>
  <si>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86918-8.21</t>
  </si>
  <si>
    <t>FAMILY DOLLAR SERVICES, INC,</t>
  </si>
  <si>
    <t>4500134580-10</t>
  </si>
  <si>
    <t>客版资料</t>
  </si>
  <si>
    <t>7/29 交仓</t>
  </si>
  <si>
    <t>5/31价格贴纸</t>
  </si>
  <si>
    <t>日期码格式：ZURU INC(BVI) 标准格式 日期：2024-07-04
Packaging Info: 1) MA UPC 收缩膜包装（优先1L英语）。客版PDQ，出口美国。如有说明书请使用ZURU MA说明书，优先放1L英语。
2) 可移动价格贴＄10+客人SKU#1003742（需要贴在包装收缩膜上，印刷在PDQ上），客版价格贴以及具体位置，待跟单提供
3)ZURU标准日期码格式：工厂城市缩写+生产年月日。此单指定日期码：DG20240704。
4)外箱箱唛正侧相邻两面粘贴产品彩色贴纸+印刷黑色标，每箱两张彩色贴纸, 彩色产品贴纸待跟单提供。如侧唛位置放不下彩贴和唛头信息，可改为放两个正唛。
无论是正唛+侧唛或者是两个正唛，唛头信息和彩贴需放在同一个面。箱唛需排版给跟单确认。
Remark: 客户PO#23546319
客户SKU#1003742
1) Item#77515GQ3-S001
2) 样品
产前样5套：产前样5套要求在2024/06/18前寄给深圳办公室跟单Jenny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排大货生产。做产前样前需和跟单确认产品包装日期码和产品上日期码的打码位置+格式，要求是和大货一样的日期码，指定大货日期码为：DG20240
704） 。此单的客版包材"价格贴"和"PDQ"需等客户确认产前样后才可以开始大货印刷。
大货样2套：大货样2套需在大货物料到厂后开始上线第一天寄出给深圳办公室；大货样需要同大货一个产线， 所有东西完全同大货一样, 1套我们需转寄客人审批出
货；1套跟单需留样（请尽量安排早点寄出以便客人早点批出货！）
1套样板 = 1套带PDQ的球+1套光身样散件
8 PCS/ PDQ = 8个球入一个PDQ
3) 此单无第三方验货+抽样测试，ZURU QC验货PASS后，跟单得到客户的approval之后方可安排出货
4)大货外箱材积绝对不可大于下述数据，材积只接受3%的变小；重量正负不得超过以下列出数据的5%，接受外箱以印章方式印上实际毛重。
大货外箱尺寸请保持：22.0 x21.0 x22.5 cm，材积必须不能大于0.3673 CubeFeet（即0.0104CBM); 外箱毛重 3.00 LBS（即1.38 KGS）。
5) 大货配比：
Item#77515GQ3-S001
S001-MINI BRANDS-MASTER CHEF MINI BRANDS-SERIES 1,8pcs/Gravity PDQ, 8pcs/CTN,No Inner,STD Color Assortment
UPC: 193052061034
Case pack: 8pcs/PDQ/CTN, 2W*2D*2H=8pcs/PDQ
11 assortment have the same ratio;
3PCS AG13 Batteries(Included) ;
6) 客户Family Dollar不允许少数出货，必须按照PO上的数量出货，也不允许延期，否则会有罚款。
7) 产品不能含有PFAS。</t>
  </si>
  <si>
    <t>Jenny Liu/Andro</t>
  </si>
  <si>
    <t>86353-7.29</t>
  </si>
  <si>
    <t>4500135501-140</t>
  </si>
  <si>
    <r>
      <rPr>
        <sz val="11"/>
        <color rgb="FF0000FF"/>
        <rFont val="Arial"/>
        <charset val="0"/>
      </rPr>
      <t>7/18</t>
    </r>
    <r>
      <rPr>
        <sz val="11"/>
        <color rgb="FF0000FF"/>
        <rFont val="宋体"/>
        <charset val="0"/>
      </rPr>
      <t>客自提</t>
    </r>
  </si>
  <si>
    <t>6、6</t>
  </si>
  <si>
    <t>日期码格式：ZURU INC(BVI) 标准格式 日期：按实际生产日期
Packaging Info: 1.物料要求
J. 77515GQ1: MA PDQ +外挂中文收藏指南+中文收藏指南(每一款都不同)+警告语+收缩膜年龄贴（8+）
(翻单4500134513 )
所有款号务必使用带有CCC 标识的AW
Remark: 2.外箱材质如下：
1）毛重小于5kg 外箱纸质 K=B 爆破:1000Kpa 边压:4400N/M;
2）毛重大于5kg 外箱纸质 K636K 爆破:1400Kpa 边压:6300N/M;
3. 产品/销售包装/外箱日期码要一致， 防窜贴贴在侧唛LOGO 右侧
4. 这张订单做出厂价，我司自行安排车辆去贵司提货，贵司需要配合提供出口报关
5.以上产品务必满足国内6P 测试标准，因为可能会被市场监督局抽查，如有问题产生，工厂要负全责
6. 防伪码标签，请严格按照使用指引和预留出的位置标准操作，防伪标签不可覆盖CCC标志、防伪标贴位置框外CCC贴纸上的文字
7. 芯片码横向平贴在上半部分蛋壳/彩盒内侧立面处，注意事项请见跟单提供文档资料。</t>
  </si>
  <si>
    <t>86097-7.18</t>
  </si>
  <si>
    <t>4500132790-30</t>
  </si>
  <si>
    <r>
      <rPr>
        <sz val="11"/>
        <color rgb="FF0000FF"/>
        <rFont val="Arial"/>
        <charset val="0"/>
      </rPr>
      <t xml:space="preserve">8/7 </t>
    </r>
    <r>
      <rPr>
        <sz val="11"/>
        <color rgb="FF0000FF"/>
        <rFont val="宋体"/>
        <charset val="0"/>
      </rPr>
      <t>截</t>
    </r>
    <r>
      <rPr>
        <sz val="11"/>
        <color rgb="FF0000FF"/>
        <rFont val="Arial"/>
        <charset val="0"/>
      </rPr>
      <t>SI</t>
    </r>
  </si>
  <si>
    <t>翻126495</t>
  </si>
  <si>
    <t>日期码格式：ZUR4196 标准格式 日期：
Packaging Info: 1.包装：
77515GQ5：MA 3L PDQ /3L EAN版收缩膜/ MA收藏指南/说明书/配件袋+客人警告语贴纸*2+产品贴纸
-所有贴纸和位置图翻PO#4500126495
Remark: 2.订单出欧洲国家-西班牙，产品不能含有闪粉/微塑料！
3.客人日期码 ZUR4196，产品/包装/外箱，请务必保持一致
4.大货样品2套/item，验货后抽办1套/item，请多备料，谢谢。
5.产品信息： #77515GQ5： 11 assortment have the same ratio; 3PCS AG13 Batteries (included)</t>
  </si>
  <si>
    <t>86545-8.5</t>
  </si>
  <si>
    <t>ZMPO24523</t>
  </si>
  <si>
    <t>寄快递</t>
  </si>
  <si>
    <t>左图中3款散件每款各110PCS/共330PCS/羊肉需要组装好，胶水烤干，剩下的配件也要给我们，如调料空瓶，蛋糕台，夹子，UV灯等;备注： 收到样品订单后尽快安排 ，谢谢！</t>
  </si>
  <si>
    <t>86452-7.31</t>
  </si>
  <si>
    <t>TJX COMPANIES, INC</t>
  </si>
  <si>
    <t>846875  Marshalls
DC#881-168PCS
,
DC#884-108PCS
,
DC#886-192PCS
,
DC#887-168PCS
,
DC#888-168PCS</t>
  </si>
  <si>
    <t>4500136522-120</t>
  </si>
  <si>
    <t>6/27已寄出 客供价格贴纸</t>
  </si>
  <si>
    <t>日期码格式：ZURU INC(BVI) 标准格式 日期：按实际生产日期
Packaging Info: MA UPC包装+价格贴纸，价格贴纸客供。#77398、#77486、#77516 球的收缩膜用无条码版本。
Remark: 1. 产品和包装上印刷tracking code信息，格式为ZURU常规格式。
2. 分5个DC出货，每款产品每个DC的箱唛资料不同。具体分DC数量，请参考后面行项目备注。
3. ZURU QC验货。</t>
  </si>
  <si>
    <t>86826-8.19</t>
  </si>
  <si>
    <r>
      <rPr>
        <sz val="11"/>
        <color rgb="FF0000FF"/>
        <rFont val="宋体"/>
        <charset val="0"/>
      </rPr>
      <t>圆筒彩纸</t>
    </r>
    <r>
      <rPr>
        <sz val="11"/>
        <color rgb="FF0000FF"/>
        <rFont val="Arial"/>
        <charset val="0"/>
      </rPr>
      <t>6/27</t>
    </r>
    <r>
      <rPr>
        <sz val="11"/>
        <color rgb="FF0000FF"/>
        <rFont val="宋体"/>
        <charset val="0"/>
      </rPr>
      <t>已放</t>
    </r>
    <r>
      <rPr>
        <sz val="11"/>
        <color rgb="FF0000FF"/>
        <rFont val="Arial"/>
        <charset val="0"/>
      </rPr>
      <t>MA</t>
    </r>
  </si>
  <si>
    <t>846873 Marshalls
DC#881-216PCS
DC#884-132PCS
DC#886-240PCS
DC#887-204PCS
DC#888-204PCS</t>
  </si>
  <si>
    <t>4500136506-120</t>
  </si>
  <si>
    <r>
      <rPr>
        <sz val="11"/>
        <color rgb="FF0000FF"/>
        <rFont val="Arial"/>
        <charset val="0"/>
      </rPr>
      <t xml:space="preserve">8/5 </t>
    </r>
    <r>
      <rPr>
        <sz val="11"/>
        <color rgb="FF0000FF"/>
        <rFont val="宋体"/>
        <charset val="0"/>
      </rPr>
      <t>出</t>
    </r>
  </si>
  <si>
    <t>日期码格式：ZURU INC(BVI) 标准格式 日期：按实际生产日期
Packaging Info: MA UPC包装+价格贴纸，价格贴纸客供。#77398、#77486、#77516 球的收缩膜用无条码版本。
Remark: 1. 产品和包装上印刷tracking code信息，格式为ZURU常规格式。
2. 分4-5个DC出货，每款产品每个DC的箱唛资料不同。具体分DC数量，请参考后面行项目备注。
3. ZURU QC验货。</t>
  </si>
  <si>
    <t>86813-8.15</t>
  </si>
  <si>
    <t>846933  TJ MAXX
DC#891-240PCS
,
DC#894-192PCS
,
DC#896-144PCS
,
DC#897-264PCS
,
DC#898-156PCS</t>
  </si>
  <si>
    <t>4500136556-120</t>
  </si>
  <si>
    <t>86587-8.7   86463-7.31</t>
  </si>
  <si>
    <t>846930  TJ MAXX
DC#891-288PCS
,
DC#894-228PCS
,
DC#896-180PCS
,
DC#897-312PCS
,
DC#898-192PCS</t>
  </si>
  <si>
    <t>4500136539-120</t>
  </si>
  <si>
    <t>86586-8.7   86461-7.31</t>
  </si>
  <si>
    <t>4500134268-40</t>
  </si>
  <si>
    <t>86547-8.5</t>
  </si>
  <si>
    <t>4500135655-30</t>
  </si>
  <si>
    <t>7/28 截SI</t>
  </si>
  <si>
    <t>日期码格式：ZURU INC(BVI) 标准格式 日期：按实际生产日期
Packaging Info:
4.77515GQ2-S003: MA 最新UPC 包装,一个PDQ一个箱
UPC#193052061034,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</si>
  <si>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86405-7.30</t>
  </si>
  <si>
    <t>4500135655-80</t>
  </si>
  <si>
    <t>4500136316-20</t>
  </si>
  <si>
    <t>翻单翻126734</t>
  </si>
  <si>
    <t>日期码格式：ZURU INC(BVI) 标准格式 日期：按实际生产日期
Packaging Info:
77515GQ2：MA 3L B版收缩膜+1张德国CALLOUT&lt;(&gt;&amp;&lt;)&gt;荷兰警告语贴纸(翻4500126734)+MA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</si>
  <si>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86250-7.24</t>
  </si>
  <si>
    <t>F002 - COSTA RICA</t>
  </si>
  <si>
    <t>4500134486-70</t>
  </si>
  <si>
    <t>7/24 截SI</t>
  </si>
  <si>
    <t>6/27进口商贴纸</t>
  </si>
  <si>
    <t>日期码格式：ZURU INC(BVI) 标准格式 日期：按实际生产日期
Packaging Info:77515GQ1: MA 1L包装+箱唛+进口商贴纸
Remark: 请确保包装条形码是UPC，如不一致，请及时指出</t>
  </si>
  <si>
    <t>86244-7.24</t>
  </si>
  <si>
    <t>F003 - PANAMA</t>
  </si>
  <si>
    <t>4500134559-70</t>
  </si>
  <si>
    <t>日期码格式：ZURU INC(BVI) 标准格式 日期：按实际生产日期
Packaging Info:77515GQ1: MA 1L包装+箱唛，无进口商贴纸
Remark:</t>
  </si>
  <si>
    <t>86338-2-7.27</t>
  </si>
  <si>
    <t>M001 - COSTA RICA</t>
  </si>
  <si>
    <t>4500134404-120</t>
  </si>
  <si>
    <t>日期码格式：ZURU INC(BVI) 标准格式 日期：按实际生产日期
Packaging Info:77515GQ1:: MA 1L包装+箱唛，无进口商贴纸
Remark: 请确保包装上的条形码是UPC，如有不一致，请及时提出。谢谢！</t>
  </si>
  <si>
    <t>86021-7.23</t>
  </si>
  <si>
    <t>N002 - PANAMA</t>
  </si>
  <si>
    <t>4500135179-210</t>
  </si>
  <si>
    <t>日期码格式：ZURU INC(BVI) 标准格式 日期：按实际生产日期
Packaging Info: 77515: MA 1L包装+箱唛，无进口商贴纸
Remark:</t>
  </si>
  <si>
    <t>86204-7.23</t>
  </si>
  <si>
    <t>Yug Contract</t>
  </si>
  <si>
    <t>乌克兰</t>
  </si>
  <si>
    <t>4500129803-40</t>
  </si>
  <si>
    <t>6/3MA EAN 收缩膜+进口商贴纸</t>
  </si>
  <si>
    <t xml:space="preserve">日期码格式：ZURU INC(BVI) 标准格式 日期：按实际生产日期
Packaging Info: 
77515GQ6：B 版 3L MA EAN 收缩膜+进口商贴纸；A 版 23L MA 说明书/A 版 5L MA 收藏指南/A 版 1L MA PDQ
1、所有item 均用MA EAN 条码，若包装不是EAN 条码的请告知
2、此单出欧洲需满足EU测试标准要求
Remark: </t>
  </si>
  <si>
    <t>86533-8.3</t>
  </si>
  <si>
    <t>01541370/1</t>
  </si>
  <si>
    <t>4500135730-10</t>
  </si>
  <si>
    <t>日期码格式：ZURU INC(BVI) 标准格式 日期：按实际生产日期
Packaging Info: 77515GQ2：MA-1L包装配套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*涉及到硼的，请使用低硼版本</t>
  </si>
  <si>
    <t>86321-7.27</t>
  </si>
  <si>
    <t xml:space="preserve"> 
4049</t>
  </si>
  <si>
    <t>4500133128-90</t>
  </si>
  <si>
    <t>6/13价格贴纸 6/28 UCC</t>
  </si>
  <si>
    <t>日期码格式：ZURU INC(BVI) 标准格式 日期：按实际生产日期
Packaging Info: 1. 出口美国，MA UPC 版本包装，优先1L。
2. 产品需要价格贴纸， 贴纸资料后面提供。
#77515GQ1 PRICER TICK-11.99; Included 3PCS AG13 Batteries
3. 外箱需要UCC贴纸。贴纸资料后面提供。
Remark: 4. Zuru QC 验货即可。</t>
  </si>
  <si>
    <t>Abby Mai,Lluvia</t>
  </si>
  <si>
    <t>86396-7.30</t>
  </si>
  <si>
    <t>ZMPO24509</t>
  </si>
  <si>
    <t>大货最新ZURU Logo版本/产品可按大货比列入PDQ/请用大货标准箱装箱/箱唛请参照邮件附件;备注：收到样品订单后尽快安排 ，注意样板品质质量要求要高于大货品质要求 ，送货时必须要附带送货单(没有送货单和QC检验合格报告的仓库一律拒绝收货)，请知悉，谢谢！</t>
  </si>
  <si>
    <t>87055-8.27</t>
  </si>
  <si>
    <t>ALPINE NET CORPORATION</t>
  </si>
  <si>
    <t>TBA</t>
  </si>
  <si>
    <t>4500136797-40</t>
  </si>
  <si>
    <t>日期码格式：ZURU INC(BVI) 标准格式 日期：按实际生产日期
Packaging Info: 1. ZURU MA UPC (首选1L/多语可以接受) 包装77515SK- 展示架3L, 收缩膜1L UPC
Remark: 2. 产品和包装上印刷tracking code信息，格式为ZURU常规
3. 箱唛资料跟单提供，侧唛需要工厂从正唛上的CASE UPC#(GTIN) 生成可以扫描的条形码。
4. 需ZURU QC 验货合格后方可出货
5. 装柜要求：装柜工厂需要每款装完拍照，清晰点的图（可以看清箱唛内容）留底。</t>
  </si>
  <si>
    <t>Jessi Xu</t>
  </si>
  <si>
    <t>86292-7.25</t>
  </si>
  <si>
    <t>77515SK-S002-2</t>
  </si>
  <si>
    <t>4500136707-20</t>
  </si>
  <si>
    <t>日期码格式：ZURU INC(BVI) 标准格式 日期：按实际生产日期
Packaging Info: 
2.77515GQ5："最新MA 3L+5L warning EAN B本收缩膜+一张法国和意大利环保标贴纸（翻单4500124462）}MA MA 5L A版收藏指南+MA 23L A版说明书+MA 3L PDQ；
Remark: 西班牙内销单，ZURU 验货后即可出货；
2.外箱EAN 14 条码参考：
77515GQ5：10193052061031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</si>
  <si>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86253-7.24</t>
  </si>
  <si>
    <t>4500136067-10</t>
  </si>
  <si>
    <t>7/24 BV</t>
  </si>
  <si>
    <t>8/5 交仓</t>
  </si>
  <si>
    <t>86598-8.7</t>
  </si>
  <si>
    <t>4500136067-20</t>
  </si>
  <si>
    <t>86745-8.13</t>
  </si>
  <si>
    <t>4500136067-30</t>
  </si>
  <si>
    <t>8/12 截SI</t>
  </si>
  <si>
    <t>86518-8.3</t>
  </si>
  <si>
    <t>4500136067-40</t>
  </si>
  <si>
    <t>8/2 BV</t>
  </si>
  <si>
    <t>8/7 截SI</t>
  </si>
  <si>
    <t>PUERTO RICO</t>
  </si>
  <si>
    <t>4500141346-70</t>
  </si>
  <si>
    <t>8/5出</t>
  </si>
  <si>
    <t>是4500134559的减单数量</t>
  </si>
  <si>
    <t>日期码格式：ZURU INC(BVI) 标准格式 日期：按实际生产日期
Packaging Info: 77515GQ1: MA 1L包装+箱唛，无进口商贴纸
Remark:</t>
  </si>
  <si>
    <t>86544-8.5</t>
  </si>
  <si>
    <t>4500129564-20</t>
  </si>
  <si>
    <t>6/14防盗贴纸</t>
  </si>
  <si>
    <t>日期码格式：ZURU INC(BVI) 标准格式 日期：按实际生产日期
Packaging Info: 1.包装：
#77515GQ1：MA 1L 收缩膜/PDQ+MA 3L收藏指南/说明书+一张防盗贴纸（贴纸类型10111896: 40R ECON YBL DE 8.2 1kr，请工厂自行跟checkpoint供应商订购贴纸)
；UPC#193052061034，请先检查包装条码是否正确再安排做货;
Remark: 2. 外箱有条码要求，排版时请留意并请确保条码清晰可扫描（封箱胶不要黏到条码上), 否则客人会有罚款。
3. 订单出英国，产品及包装需要印UKCA图标，包装需要有ZURU UK LTD/ZURU France地址信息，QC同事请查核，如有问题与跟单确认。
4. 箱唛日期码与包装保持一致
5. 若外箱重量超过16KGS，请提前告知ZURU跟单，需要客人批准才能出货
6.产品信息：#92104TQ4：MUNCHKIN(RARE): HIMALAYAN: PERSIAN: MAINE COON: RAGDOLL: RAGAMUFFIN: NORWEGIAN FOREST CAT = 2: 8: 10: 10: 10: 10: 10
#77515GQ1：3PCS AG13 Batteries(Included)</t>
  </si>
  <si>
    <t>86316-7.27</t>
  </si>
  <si>
    <t>Army &amp; Air Force Exchange Service</t>
  </si>
  <si>
    <t>0092110302</t>
  </si>
  <si>
    <t>4500136946-10</t>
  </si>
  <si>
    <t>MEC251-77515-S001</t>
  </si>
  <si>
    <t>6/27已寄出条码箱贴纸</t>
  </si>
  <si>
    <t>日期码格式：ZURU INC(BVI) 标准格式 日期：按实际生产日期
Packaging Info: 1. MA +UPC 版包装，优先1L, 出口美国。
2. PO#0092110304, 0092110305, 0092110306, 这3个订单外箱需要贴4x6"UCC 贴纸，只需贴一面（UCC贴纸为客供贴纸）。PO#0092110302, 0092110303，这2个订
单外箱不需要UCC贴纸。
3. 展示架上需粘贴 mother UPC 贴纸 （Item#的 MEC251 的 mother UPC: 193052068019)
Remark: 4. ZURU QC 验货。
5. 产品和包装上需印刷tracking code信息，格式为ZURU常规.</t>
  </si>
  <si>
    <t>86534R1-8.3</t>
  </si>
  <si>
    <t>0092110303</t>
  </si>
  <si>
    <t>4500136946-20</t>
  </si>
  <si>
    <t>0092110304</t>
  </si>
  <si>
    <t>4500136946-30</t>
  </si>
  <si>
    <t>0092110305</t>
  </si>
  <si>
    <t>4500136946-40</t>
  </si>
  <si>
    <t>0092110306</t>
  </si>
  <si>
    <t>4500136946-50</t>
  </si>
  <si>
    <t>4XKX3QIO</t>
  </si>
  <si>
    <t>4500136617-100</t>
  </si>
  <si>
    <t>消耗132045-504pcs+130192-77515-336pcs</t>
  </si>
  <si>
    <t>空白外箱（加印带Zuru字样的最新logo，除了邮包盒直接做外箱的产品）</t>
  </si>
  <si>
    <t>6/28 SSCC贴纸</t>
  </si>
  <si>
    <t>日期码格式：ZURU INC(BVI) 标准格式 日期：按实际生产日期
Packaging Info: Amazon FR(77584, 9548, 9543A, 9281H)/UK(9548, 92105DEGH, 77515)
5. 77515：24pcs/ctn, no inner; MA 3L 收缩膜包装+2张贴纸(含UPC#；IT/FR sorting label）+MA 5L A配件袋+MA 5L A收藏指南+MA23L A警示说明书+其他最新版
MA包装+1张防伪贴纸(位置参照Amazon US同款订单）; 消耗此PO#4500132045中对应款(客PO#3R6IKAZM UK 504pcs)已采购的所有贴纸(SSCC label除外)+消耗此PO#4
500130192中对应款(客PO#6UK8V27T UK 504pcs)已采购的所有贴纸(SSCC label除外）中336pcs;
7. 最迟验货不得晚于2024/7/29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 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</si>
  <si>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86927-8.21</t>
  </si>
  <si>
    <t>24-1064489JDO</t>
  </si>
  <si>
    <t>4500137214-30</t>
  </si>
  <si>
    <t>指定日期码：2024-07</t>
  </si>
  <si>
    <t>7/31 前交仓</t>
  </si>
  <si>
    <t>日期码格式：2024-07 日期：
Packaging Info: MA 1L包装+进口商贴纸+箱唛
指定日期码：2024-07
Remark:</t>
  </si>
  <si>
    <t>86447-7.31</t>
  </si>
  <si>
    <t>24-1064488JEC</t>
  </si>
  <si>
    <t>4500137217-30</t>
  </si>
  <si>
    <t>8、23 截SI</t>
  </si>
  <si>
    <t>87002-8.26</t>
  </si>
  <si>
    <t>4500137238-40</t>
  </si>
  <si>
    <t>6/29进口商贴纸</t>
  </si>
  <si>
    <t>日期码格式：ZURU INC(BVI) 标准格式 日期：按实际生产日期
Packaging Info:
2.77515GQ2：MA 3L EAN包装+进口商贴纸+MA 收藏指南+保证书文档+箱唛
Remark:
77515GQ2: 3PCS AG13 Batteries(Include)</t>
  </si>
  <si>
    <t>86247-7.24</t>
  </si>
  <si>
    <t>4500137977-10</t>
  </si>
  <si>
    <t>8/5 截SI</t>
  </si>
  <si>
    <t>7/1进口商贴纸</t>
  </si>
  <si>
    <t>日期码格式：ZURU INC(BVI) 标准格式 日期：按实际生产日期
Packaging Info: 77515GQ5 : MA 3L EAN 收缩膜 + 进口商贴纸， 3L MA PDQ;
Remark: 订单出欧洲国家 西班牙，产品不能含有微塑料！</t>
  </si>
  <si>
    <t>86579-8.6</t>
  </si>
  <si>
    <t>4500136650-10</t>
  </si>
  <si>
    <t>8/5 出</t>
  </si>
  <si>
    <t>7/9条码箱贴纸</t>
  </si>
  <si>
    <t>86564-8.5</t>
  </si>
  <si>
    <t>CLADELLAS S.A.</t>
  </si>
  <si>
    <t>4500137569-10</t>
  </si>
  <si>
    <t>8/6 截SI</t>
  </si>
  <si>
    <t>6/28进口商贴纸</t>
  </si>
  <si>
    <t>日期码格式：ZURU INC(BVI) 标准格式 日期：按实际生产日期
Packaging Info: 77515GQ5: MA 3LPDQ+ MA 3L+5L B版 EAN包装+5L收藏指南+23L说明书+5L配件袋+进口商贴纸
Remark: 1. 需要满足Zuru Standard欧洲标准测试要求；
2. 出口欧洲，微塑料需符合法规。
3. 标准配比</t>
  </si>
  <si>
    <t>86578-8.6</t>
  </si>
  <si>
    <t>JUGUETES Y PELUCHES SANCHIS S.A.</t>
  </si>
  <si>
    <t>4500137958-10</t>
  </si>
  <si>
    <t>6/26进口商贴纸</t>
  </si>
  <si>
    <t>日期码格式：ZURU INC(BVI) 标准格式 日期：按实际生产日期
Packaging Info: 1.77515GQ5 : 3L MA收缩膜 + 进口商贴纸 ， 3L MA PDQ /指南/23L 说明书 ;
Remark: 订单出西班牙，所有产品不能含有微塑料/闪粉！</t>
  </si>
  <si>
    <t>86404-7.30</t>
  </si>
  <si>
    <t>000034436936</t>
  </si>
  <si>
    <t>4500137595-30</t>
  </si>
  <si>
    <t>8/8 交仓</t>
  </si>
  <si>
    <t>86696-8.12</t>
  </si>
  <si>
    <t>4500137647-20</t>
  </si>
  <si>
    <t>8、16 截SI</t>
  </si>
  <si>
    <t>7/18 价格贴纸客供</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</si>
  <si>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5 surprise 的LOGO 贴纸 （ ZURU 统一要求的）
7.收缩膜可使用标版带UPC条码MA，无需白色贴纸覆盖。</t>
  </si>
  <si>
    <t>86855-8.19</t>
  </si>
  <si>
    <t>4500137625-30</t>
  </si>
  <si>
    <t>8/23 截SI</t>
  </si>
  <si>
    <t>86953-8.22</t>
  </si>
  <si>
    <t>Loblaws INC.</t>
  </si>
  <si>
    <t>4868844526 32</t>
  </si>
  <si>
    <t>4500137926-20</t>
  </si>
  <si>
    <t>6/21通用UPC条码贴纸</t>
  </si>
  <si>
    <t>日期码格式：ZURU INC(BVI) 标准格式 日期：按实际生产日期
Packaging Info: 
77515 MA 3L EAN 版本包装+通用UPC条码贴纸，UPC号码为： 193052061034
Remark: 出口加拿大
2024/7/26 需要寄出2pcs 大货样
Zuru验货.日期跟踪码：产品外包装及产品本身都必须有日期跟踪码，ZURU标准格式日期码</t>
  </si>
  <si>
    <t>86655-8.9</t>
  </si>
  <si>
    <t>4500137072-150</t>
  </si>
  <si>
    <t>贴纸已在PO4500126092备注一起订购</t>
  </si>
  <si>
    <t>日期码格式：ZURU INC(BVI) 标准格式 日期：按实际生产日期
Packaging Info: 
77515GQ2：3L EAN包装+警告语贴纸+收藏指南无香味贴纸（翻单4500125111) 贴纸已在PO4500126092备注一起订购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77515GQ2-10 assortment have the same ratio
8.SKU 条码 （产品和外箱条码一致）
77515GQ2 4894680032255</t>
  </si>
  <si>
    <t>86407-7.30</t>
  </si>
  <si>
    <t>4500136069-10</t>
  </si>
  <si>
    <t>7/29 BV</t>
  </si>
  <si>
    <t>8/13 截SI</t>
  </si>
  <si>
    <t>86688-8.10</t>
  </si>
  <si>
    <t>4500136069-20</t>
  </si>
  <si>
    <t>86746-8.13</t>
  </si>
  <si>
    <t xml:space="preserve"> 
6631646305</t>
  </si>
  <si>
    <t>4500136069-30</t>
  </si>
  <si>
    <t>86563-8.5</t>
  </si>
  <si>
    <t>4500138373-10</t>
  </si>
  <si>
    <t>8//5 BV</t>
  </si>
  <si>
    <t>8/12 交仓</t>
  </si>
  <si>
    <t>7/18RFID贴纸</t>
  </si>
  <si>
    <t>86748-8.13</t>
  </si>
  <si>
    <t>4500138373-20</t>
  </si>
  <si>
    <t>4500138373-30</t>
  </si>
  <si>
    <t>86689-8.10</t>
  </si>
  <si>
    <t>4500138373-40</t>
  </si>
  <si>
    <t>86772-8.14</t>
  </si>
  <si>
    <t>4500138373-50</t>
  </si>
  <si>
    <t>8/10 交仓</t>
  </si>
  <si>
    <t>4500138373-60</t>
  </si>
  <si>
    <t>86841-8.19</t>
  </si>
  <si>
    <t>4500138373-70</t>
  </si>
  <si>
    <t>8/9 截SI</t>
  </si>
  <si>
    <t>86599-8.7</t>
  </si>
  <si>
    <t>4500139213-10</t>
  </si>
  <si>
    <t>日期码格式：ZURU INC(BVI) 标准格式 日期：按实际生产日期
Packaging Info: 1.77515GQ6：MA 3L(5L warning) EAN 版本包装+一张法国和意大利环保标贴纸+MA 3L PDQ+MA 23L 说明书+MA 收藏指南+MA 5L 配件袋；（贴纸翻单4500124462）；
Remark: 1.意大利内销单，ZURU 验货后即可出货；
2.外箱EAN 14 条码参考：
77515GQ6：60193052061036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</si>
  <si>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86773-8.14</t>
  </si>
  <si>
    <t>8WZ2GXNO</t>
  </si>
  <si>
    <t>4500137269-10</t>
  </si>
  <si>
    <t>8/8出货</t>
  </si>
  <si>
    <t>外箱正面印ZURU Logo</t>
  </si>
  <si>
    <t>7/18 SSCC</t>
  </si>
  <si>
    <t>日期码格式：ZURU INC(BVI) 标准格式 日期：按实际生产日期
Packaging Info: #77516: 2PK #77515 入PVC圆筒。收藏指南用MA 5L. 3L不带UPC版收缩膜,2PK铜版纸图稿跟返单4500134367。 （两个球的配比不能重复）。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</si>
  <si>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86727-8.12</t>
  </si>
  <si>
    <r>
      <rPr>
        <sz val="11"/>
        <color rgb="FF0000FF"/>
        <rFont val="宋体"/>
        <charset val="0"/>
      </rPr>
      <t>圆筒彩纸</t>
    </r>
    <r>
      <rPr>
        <sz val="11"/>
        <color rgb="FF0000FF"/>
        <rFont val="Arial"/>
        <charset val="0"/>
      </rPr>
      <t>6/24</t>
    </r>
    <r>
      <rPr>
        <sz val="11"/>
        <color rgb="FF0000FF"/>
        <rFont val="宋体"/>
        <charset val="0"/>
      </rPr>
      <t>已放</t>
    </r>
    <r>
      <rPr>
        <sz val="11"/>
        <color rgb="FF0000FF"/>
        <rFont val="Arial"/>
        <charset val="0"/>
      </rPr>
      <t>MA</t>
    </r>
  </si>
  <si>
    <t>37W7WDTK</t>
  </si>
  <si>
    <t>4500137299-10</t>
  </si>
  <si>
    <t>8、13 截SI</t>
  </si>
  <si>
    <t>86756-8.13</t>
  </si>
  <si>
    <t>4500137665-30</t>
  </si>
  <si>
    <t>7/18 客供价格贴纸</t>
  </si>
  <si>
    <t>87013-8.26</t>
  </si>
  <si>
    <t>7440779 &amp;7440780</t>
  </si>
  <si>
    <t>4500137498-180</t>
  </si>
  <si>
    <t>6、19</t>
  </si>
  <si>
    <t>翻单4500131176</t>
  </si>
  <si>
    <t>日期码格式：ZURU INC(BVI) 标准格式 日期：按实际生产日期
Packaging Info: 
77515 ,,MA B 版3L(warning 5L)EAN 收缩膜+ NL 警语贴纸翻单4500131176+MA 收藏指南+ MA 23 L 说明书
Remark: 1. 大货样：请在7/12 之前寄出77425，77515，77593，77486，77584大货样，每款2 PCS， 寄到ZURU 罗湖办公室7B Sandy 收.
2. 请核对EAN 条码
77515 4894680032255</t>
  </si>
  <si>
    <t>86548-8.5</t>
  </si>
  <si>
    <t>000033581691</t>
  </si>
  <si>
    <t>4500138462-10</t>
  </si>
  <si>
    <t>日期码格式：ZURU INC(BVI) 标准格式 日期：按实际生产日期
Packaging Info: 1、包装方式: MA UPC优先1L+展示架（展示架需带底座且带挂钩，挂钩数量同标版无底座版本），出口美国
Remark: 2、无测试无第三方验货要求。
3、纸箱4面印ZURU LOGO + 箱唛
4、日期码请按ZURU标准版执行即可。
5、ZURU QC验货。</t>
  </si>
  <si>
    <t>86715-8.12</t>
  </si>
  <si>
    <t>0086-8300367-3891</t>
  </si>
  <si>
    <t>4500137539-20</t>
  </si>
  <si>
    <t>8/16 截SI</t>
  </si>
  <si>
    <t>7/22条码箱贴纸</t>
  </si>
  <si>
    <t>日期码格式：ZURU INC(BVI) 标准格式 日期：按实际生产日期
Packaging Info: 
77515GQ5: MA包装, MA 1L 收缩膜, MA 1L PDQ；
Remark: 
77515GQ5: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此订单所有型号：
1. 产品和包装上印刷 tracking code信息，格式为ZURU常规格式;
2. 出货方式：货代自提</t>
  </si>
  <si>
    <t>86854-8.19</t>
  </si>
  <si>
    <t>MPO02776</t>
  </si>
  <si>
    <t>77515-S001-MSLD96</t>
  </si>
  <si>
    <t>DIY厨艺大师(Demo 按2142pcs数量配套组装好交货)</t>
  </si>
  <si>
    <t>8/5送25200PCS永捷混装展示架 送齐demo展示公仔2100套</t>
  </si>
  <si>
    <t>7/2RFID贴纸</t>
  </si>
  <si>
    <t>Remark: 包装：MA B版 1L收缩膜+客版 A版 5L收藏指南+MA A版 5L纸袋+MA A版 23L说明书
日期码：
Tracking Code: 日期码格式：ZURU DGYYYYMMDD CHINA(日期避开周末和法定节假日即可） 日期：按实际生产日期。
RFID贴纸：
每pcs产品上要贴1张RFID贴纸，贴纸由ZURU提供，贴纸位置请严格按照我们签回的签板，不可擅自调整位置，贴纸也不可有任何破损或折坏，不可淋湿!!（如缺数请及时
告知！）
此单需要验货，请多备料
Demo 按2142pcs数量配套组装好交货</t>
  </si>
  <si>
    <t>Iris</t>
  </si>
  <si>
    <t>87400-9.10</t>
  </si>
  <si>
    <t>8/12送25200PCS永捷混装展示架</t>
  </si>
  <si>
    <t>10000948817-3891</t>
  </si>
  <si>
    <t>4500137416-10</t>
  </si>
  <si>
    <t>77515SK-S001</t>
  </si>
  <si>
    <t>DIY厨艺大师展示架不带底座需配备S-挂钩</t>
  </si>
  <si>
    <t>此单客户取消目前的PO，下新的PO，箱唛上的PO号码需要加水贴纸返工</t>
  </si>
  <si>
    <t>8/17 截SI</t>
  </si>
  <si>
    <t>6/18背身贴纸+外箱贴纸</t>
  </si>
  <si>
    <t>日期码格式：ZURU INC(BVI) 标准格式 日期：按实际生产日期
Packaging Info: 产品包装MA 1L (UPC 版), MA 1L收缩膜；MA 1L展示架+背身贴纸；
Remark: 1. 77515SK-S001-MINI BRANDS-MASTER CHEF MINI BRANDS-SERIES 1,60pcs/Sidekick,60pcs/CTN,W/O TV,W/O Base,No Inner,STD Color Assortment;1779座展示架
，不带底座，需配备S-挂钩;
2. 产品包装MA 1L (UPC 版), MA 1L收缩膜，收缩膜上的UPC显示193052061034；MA 1L展示架+背身贴纸；展示架背身贴纸信息显示客户的DPCI 及UPC ，对应内
容如下：DPCI# 086-02-6036; UPC#193052075789;
3. 外箱正唛左上角粘贴条码箱贴纸，每箱只贴一张;由ZURU订购, 来料贴纸上显示的客户DPCI# 086-02-1217, UPC# 193052075758;
4. 外箱正唛箱唛内容右侧需贴一张Event label，内容显示Temp Space Sidecaps Set Date： 11/3/2024，工厂自行订购
5. 产品和包装上均要印刷tracking code信息，格式为ZURU常规格式
6. 出货方式：货代自提</t>
  </si>
  <si>
    <t>86816-8.16</t>
  </si>
  <si>
    <t>0086-8106055-0581</t>
  </si>
  <si>
    <t>4500138295-10</t>
  </si>
  <si>
    <t>8/21 客上柜</t>
  </si>
  <si>
    <t>87019-8.26</t>
  </si>
  <si>
    <t>4500138543-20</t>
  </si>
  <si>
    <t>翻单119592</t>
  </si>
  <si>
    <t>日期码格式：ZURU INC(BVI) 标准格式 日期：按实际生产日期
Packaging Info:
77515SK: MA B 版3L(warning 5L)EAN 收缩膜+ NL 警语贴纸（翻单4500119592），MA 5L 收藏指南，MA 23 L 说明书，MA 5L 配件袋（+ NL 警语贴纸 翻单4500
119592）， MA 展架（With Base）
Remark: 标准配比
出欧洲，微塑料需合规（如item本身不含微塑料 则忽略此要求）</t>
  </si>
  <si>
    <t>86812-8.15</t>
  </si>
  <si>
    <t>2024zuru11</t>
  </si>
  <si>
    <t>4500136191-10</t>
  </si>
  <si>
    <t>6/18UPC</t>
  </si>
  <si>
    <t>日期码格式：ZURU INC(BVI) 标准格式 日期：按实际生产日期
Packaging Info: 77515SK1 MA 3L EAN 版本包装+客版 UPC条码贴纸，UPC号码为：193052077578
Remark: 出口加拿大，
Zuru验货，日期跟踪码：产品外包装及产品本身都必须有日期跟踪码，ZURU标准格式日期码</t>
  </si>
  <si>
    <t>86635-8.8</t>
  </si>
  <si>
    <t>RIALTO SPA</t>
  </si>
  <si>
    <t>4500138474-40</t>
  </si>
  <si>
    <t>7/10意大利环保标</t>
  </si>
  <si>
    <t>日期码格式：ZURU INC(BVI) 标准格式 日期：按实际生产日期
Packaging Info: 
77515SK: MA SK + MA B版3L+5L 收缩膜+ 1*ETA条码贴纸(含客户ITEM#5728241) + 1*意大利环保标 （含进口商信息）
Remark: 1. 此单出意大利，需要满足EU标准，通过ZURU验货即可；
2. 产品均符合EU微塑料法规要求：不能含有微塑料/闪粉;
3. RATIO 按照MA 即可。</t>
  </si>
  <si>
    <t>86724-8.12</t>
  </si>
  <si>
    <t>4500127150-30</t>
  </si>
  <si>
    <t>8/9 第三方</t>
  </si>
  <si>
    <t>8/19 截SI</t>
  </si>
  <si>
    <t>日期码格式：ZURU INC(BVI) 标准格式 日期：按实际生产日期
Packaging Info:
#77515GQ2: MA3L,PDQ(25装)+客版3L,UPC条码收缩膜(UPC: 193052061034)+MA5L收藏指南+MA23L说明书+MA5L配件袋+MA复合袋---客版收缩膜翻单：4500126515
Remark: 
2. 带电池的产品需使用英法双语电池(纽扣电池除外)；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</si>
  <si>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86875-8.19</t>
  </si>
  <si>
    <t>2000005885</t>
  </si>
  <si>
    <t>4500137894-50</t>
  </si>
  <si>
    <t>7、15</t>
  </si>
  <si>
    <t>日期码格式：ZUR4218 日期：
Packaging Info: 
5.77515GQ5: MA 3L EAN 收缩膜 + 产品贴纸+MA 3L PDQ /MA收藏指南/说明书/配件袋
--贴纸和位置图都翻PO#4500126495，客人进口商贴纸更新，额外加一张电池黑白说明书放产品里面
Remark: 1.订单出欧洲国家-西班牙，产品不能含有闪粉/微塑料！
2.客人格式日期码 ZUR4218，产品/包装/外箱都需要印此日期码，请务必保持一致
3. #9548： 新品请在7/22提供2套大货样品给客人审批，验货后验货员需要封1套板寄给香港办公室，请多备料
4. 需要符合欧洲标准不能含有闪粉和微塑料，否则不合法规会有客诉产生
5. 硼含量需要符合欧洲标准，否则不合法规会有客诉产生</t>
  </si>
  <si>
    <t>86848-8.19</t>
  </si>
  <si>
    <t>4500129565-20</t>
  </si>
  <si>
    <t>8/22 截SI</t>
  </si>
  <si>
    <t>7/9防盗贴纸</t>
  </si>
  <si>
    <t>86942-8.22</t>
  </si>
  <si>
    <t>ZMPO24473</t>
  </si>
  <si>
    <t>大货最新版本/产品请按大货比例入展架/箱唛参照邮件附件;备注：收到样品订单后尽快安排 ，注意样板品质质量要求要高于大货品质要求 ，送货时必须要附带送货单(没有送货单和QC检验合格报告的仓库一律拒绝收货)，请知悉，谢谢！</t>
  </si>
  <si>
    <t>87300-9.5</t>
  </si>
  <si>
    <t>ZMPO24559</t>
  </si>
  <si>
    <r>
      <rPr>
        <sz val="11"/>
        <rFont val="Arial"/>
        <charset val="0"/>
      </rPr>
      <t>80</t>
    </r>
    <r>
      <rPr>
        <sz val="11"/>
        <rFont val="宋体"/>
        <charset val="0"/>
      </rPr>
      <t>套散件</t>
    </r>
  </si>
  <si>
    <t>Amazon UK:
4AC87AYC</t>
  </si>
  <si>
    <t>4500139238-20</t>
  </si>
  <si>
    <t>8、29 截SI</t>
  </si>
  <si>
    <t>7/25 SSCC</t>
  </si>
  <si>
    <t>日期码格式：ZURU INC(BVI) 标准格式 日期：按实际生产日期
Packaging Info: Amazon UK(77515, 9281BH, 9298DGH, 9543AD):
1. 77515: 24pcs/ctn, no inner; MA 3L 收缩膜+2张贴纸(含UPC#；IT/FR sorting label）+MA 5L A配件袋+MA 5L A收藏指南+MA23L A警示说明书+其他最新版MA包
装+1张防伪贴纸(具体位置参考USA同款订单);参考翻单PO#4500136617； 可消耗PO#4500130192(剩余168pcs 贴纸）+PO#4500128257(504pcs 纸箱+贴纸);
5. 验货时间不迟于2024/8/19.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</si>
  <si>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87117-8.29</t>
  </si>
  <si>
    <t>6PS6MFLU</t>
  </si>
  <si>
    <t>4500139220-160</t>
  </si>
  <si>
    <t>7/31SSCC贴纸</t>
  </si>
  <si>
    <t>日期码格式：ZURU INC(BVI) 标准格式 日期：按实际生产日期
Packaging Info: 出口加拿大，包装需要至少2/3L UPC版，无硼版本；
#77516: 2PK MA 3L#77515 入PVC圆筒。收藏指南用MA 5L. 3L收缩膜不带条码，.2PK铜版纸图稿跟返单4500134367。 （两个球的配比不能重复）。跟Amazn US合并
订料；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</si>
  <si>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86883-8.19</t>
  </si>
  <si>
    <r>
      <rPr>
        <sz val="11"/>
        <color rgb="FF0000FF"/>
        <rFont val="Arial"/>
        <charset val="0"/>
      </rPr>
      <t>7/10</t>
    </r>
    <r>
      <rPr>
        <sz val="11"/>
        <color rgb="FF0000FF"/>
        <rFont val="宋体"/>
        <charset val="0"/>
      </rPr>
      <t>已放</t>
    </r>
  </si>
  <si>
    <t>4500139220</t>
  </si>
  <si>
    <t>3BD3WHFR</t>
  </si>
  <si>
    <t>4500139220-470</t>
  </si>
  <si>
    <t>4500139232</t>
  </si>
  <si>
    <t>7MUZ22ZE</t>
  </si>
  <si>
    <t>4500139232-360</t>
  </si>
  <si>
    <t>日期码格式： 标准格式 日期：按实际生产日期
Packaging Info: 出口加拿大，包装需要至少2/3L UPC版，无硼版本
#77516: 2PK MA 3L#77515 入PVC圆筒。收藏指南用MA 5L. 3L收缩膜不带条码，.2PK铜版纸图稿跟返单4500134367。 （两个球的配比不能重复）。跟Amazn US合并
订料。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
。</t>
  </si>
  <si>
    <t>86884-8.19</t>
  </si>
  <si>
    <t>3Z47M54B</t>
  </si>
  <si>
    <t>4500139232-520</t>
  </si>
  <si>
    <t>DUTY FREE DYNAMICS CORP</t>
  </si>
  <si>
    <t>4500139058-110</t>
  </si>
  <si>
    <t>日期码格式：ZURU INC(BVI) 标准格式 日期：按实际生产日期
Packaging Info: 
77515:MA 1L包装+MA 23L说明书+箱唛</t>
  </si>
  <si>
    <t>87016-8.26</t>
  </si>
  <si>
    <t>Meijer客户PO
216125559</t>
  </si>
  <si>
    <t>4500139283-10</t>
  </si>
  <si>
    <t>8/26 截SI</t>
  </si>
  <si>
    <t>日期码格式： 标准格式 日期：按实际生产日期
Packaging Info: 1. MA 1L 包装
2. 客人指定箱唛排版
Remark: 出货前 Zuru QC 验货</t>
  </si>
  <si>
    <t>86947-8.22</t>
  </si>
  <si>
    <t>Meijer客户PO
216125560</t>
  </si>
  <si>
    <t>4500139284-10</t>
  </si>
  <si>
    <t>8/29 截SI</t>
  </si>
  <si>
    <t>87078-8.28</t>
  </si>
  <si>
    <t>5BCPRNTH</t>
  </si>
  <si>
    <t>4500138712-20</t>
  </si>
  <si>
    <t>8/24 出货</t>
  </si>
  <si>
    <t>7/22防伪贴纸+7/31 SSCC Label</t>
  </si>
  <si>
    <t>日期码格式：ZURU INC(BVI) 标准格式 日期：按实际生产日期
Packaging Info: 
#77515 MA1L UPC版本，跟单提供防伪贴纸;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
Amazon US Holiday Toy Book 订单。</t>
  </si>
  <si>
    <t>86992-8.26</t>
  </si>
  <si>
    <t>2MEJUV5P</t>
  </si>
  <si>
    <t>4500138723-20</t>
  </si>
  <si>
    <t>8/19 等SO出货</t>
  </si>
  <si>
    <t>86997-8.26</t>
  </si>
  <si>
    <t>2YQHWT8I</t>
  </si>
  <si>
    <t>4500138236-10</t>
  </si>
  <si>
    <t xml:space="preserve">8/30入仓 </t>
  </si>
  <si>
    <t>7/11SSCC贴纸 其他贴纸翻单</t>
  </si>
  <si>
    <t>日期码格式：ZURU INC(BVI) 标准格式 日期：按实际生产日期
Packaging Info: Amazon UK(77515)
1.77515: 24pcs/ctn, no inner; MA 3L 收缩膜+2张贴纸(含UPC#；IT/FR sorting label）+MA 5L A配件袋+MA 5L A收藏指南+MA23L A警示说明书+其他最新版MA包
装+1张防伪贴纸(具体位置参考USA同款订单);参考翻单PO#4500136617；
2.最迟验货不得晚于2024/8/21;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</si>
  <si>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87317-9.6</t>
  </si>
  <si>
    <t>5CU67VDT</t>
  </si>
  <si>
    <t>4500139201-10</t>
  </si>
  <si>
    <t>8/7SSCC</t>
  </si>
  <si>
    <t>日期码格式：ZURU INC(BVI) 标准格式 日期：按实际生产日期
Packaging Info: 
#77515 MA1L UPC版本，跟单提供防伪贴纸;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</si>
  <si>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87107-8.29</t>
  </si>
  <si>
    <t>5XT34NPI</t>
  </si>
  <si>
    <t>4500139201-20</t>
  </si>
  <si>
    <t>4500139480-80</t>
  </si>
  <si>
    <t>日期码格式：ZURU INC(BVI) 标准格式 日期：按实际生产日期
Packaging Info:
77515GQ2：3L EAN包装+警告语贴纸+收藏指南无香味贴纸（翻单4500125111) 贴纸已在PO4500126092备注一起订购
Remark: 1. 包装如含
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77515GQ2-10 assortment have the same ratio
8.SKU 条码 （产品和外箱条码一致）
77515GQ2 4894680032255</t>
  </si>
  <si>
    <t>86981-8.26</t>
  </si>
  <si>
    <t>W0672642</t>
  </si>
  <si>
    <t>4500138737-20</t>
  </si>
  <si>
    <t>7/10价格贴纸+条码贴纸</t>
  </si>
  <si>
    <t>87090-8.28</t>
  </si>
  <si>
    <t>4500139849-10</t>
  </si>
  <si>
    <t>7、9</t>
  </si>
  <si>
    <t>日期码格式：ZURU INC(BVI) 标准格式 日期：按实际生产日期
Packaging Info: 收缩膜和PDQ 用1L 版本 ，其他通用版本ok .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</si>
  <si>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86952-8.22</t>
  </si>
  <si>
    <t>4EYRR2SX</t>
  </si>
  <si>
    <t>4500139220-80</t>
  </si>
  <si>
    <t>日期码格式：ZURU INC(BVI) 标准格式 日期：按实际生产日期
Packaging Info: 出口加拿大，包装需要至少2/3L UPC版，无硼版本；
#77515：MA 3L 加UPC贴纸覆盖原EAN条码，UPC贴纸跟返单4500132623。 加防伪贴纸， 跟单提供；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</si>
  <si>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7DBIO5DB</t>
  </si>
  <si>
    <t>4500139232-180</t>
  </si>
  <si>
    <t>4500138385-10</t>
  </si>
  <si>
    <t>8/19 BV</t>
  </si>
  <si>
    <t>8/26 交仓</t>
  </si>
  <si>
    <t>7/18 RFID贴纸</t>
  </si>
  <si>
    <t>87190-9.2</t>
  </si>
  <si>
    <t>4500138385-20</t>
  </si>
  <si>
    <t>9/6 交仓</t>
  </si>
  <si>
    <t>87217-9.3</t>
  </si>
  <si>
    <t>4500138385-30</t>
  </si>
  <si>
    <t>8/27 交仓</t>
  </si>
  <si>
    <t>87350-9.9</t>
  </si>
  <si>
    <t>4500138385-40</t>
  </si>
  <si>
    <t>8/23 交仓</t>
  </si>
  <si>
    <t>4500138385-50</t>
  </si>
  <si>
    <t>9/3 交仓</t>
  </si>
  <si>
    <t>86998-8.26</t>
  </si>
  <si>
    <t>4500138385-60</t>
  </si>
  <si>
    <t>87021-8.26</t>
  </si>
  <si>
    <t>4500138385-70</t>
  </si>
  <si>
    <t>9/2 交仓</t>
  </si>
  <si>
    <t>87054-8.27</t>
  </si>
  <si>
    <t>4500138385-80</t>
  </si>
  <si>
    <t>8/28 交仓</t>
  </si>
  <si>
    <t>87091-8.28</t>
  </si>
  <si>
    <t>4500138385-90</t>
  </si>
  <si>
    <t>87136-8.30</t>
  </si>
  <si>
    <t>TJX CANADA</t>
  </si>
  <si>
    <t>客户PO
30406869</t>
  </si>
  <si>
    <t>4500135825-10</t>
  </si>
  <si>
    <t>6/25空白UPC贴纸</t>
  </si>
  <si>
    <t>日期码格式：ZURU INC(BVI) 标准格式 日期：按实际生产日期
Packaging Info: 77516 3L UPC版本包装+空白UPC贴纸 193052061041
Remark: 出加拿大
请留意：每行对应不同的客户PO。
Zuru验货.日期跟踪码：产品外包装及产品本身都必须有日期跟踪码，ZURU标准格式日期码</t>
  </si>
  <si>
    <t>87349-9.9</t>
  </si>
  <si>
    <t>客户PO
30406870</t>
  </si>
  <si>
    <t>4500135825-20</t>
  </si>
  <si>
    <t>客户PO
30407069</t>
  </si>
  <si>
    <t>4500135825-30</t>
  </si>
  <si>
    <t>客户PO
30407252</t>
  </si>
  <si>
    <t>4500135825-40</t>
  </si>
  <si>
    <t>4500137056-120</t>
  </si>
  <si>
    <t>有第三方监柜，每款多备一套备品随货送出</t>
  </si>
  <si>
    <t>8/22出货</t>
  </si>
  <si>
    <t>7/29价标贴纸</t>
  </si>
  <si>
    <t>日期码格式：ZURU INC(BVI) 标准格式 日期：按实际生产日期
Packaging Info:
12. 77515GQ2：MA 3L EAN包装+UPC贴纸+MA 多语说明书+MA 3L PDQ包装+保证书+进口商贴纸+价标贴纸+箱唛
Remark:
9. 77515GQ2：3PCS AG13 Batteries(Include)
11. 此单价格贴纸（ZURU定购).
12. 此单有第三方监柜，每款多备一套备品随货送出</t>
  </si>
  <si>
    <t>87003-8.26</t>
  </si>
  <si>
    <t>61869344</t>
  </si>
  <si>
    <t>4500139217-90</t>
  </si>
  <si>
    <t>7/31价标贴纸</t>
  </si>
  <si>
    <t>日期码格式：ZURU INC(BVI) 标准格式 日期：按实际生产日期
Packaging Info:
77515GQ2：MA 3L EAN包装+UPC贴纸+MA 多语说明书+MA 3L PDQ包装+保证书+进口商贴纸+价标贴纸+箱唛（MA包装/UPC条码贴纸/MA说明书/进口商贴纸/保证书翻单P
O4500137056）
Remark: 1.此单价格贴纸（ZURU定购).
2.此单有第三方监柜，每款多备一套备品随货送出
77515GQ2: 3PCS AG13 Batteries(Include)</t>
  </si>
  <si>
    <t>86983-8.06</t>
  </si>
  <si>
    <t>4MSLZLUN</t>
  </si>
  <si>
    <t>4500137817-10</t>
  </si>
  <si>
    <t>87104-8.29</t>
  </si>
  <si>
    <t>圆筒彩纸6/24已放MA</t>
  </si>
  <si>
    <t>5A8EV4BY</t>
  </si>
  <si>
    <t>4500139201-30</t>
  </si>
  <si>
    <t>日期码格式：ZURU INC(BVI) 标准格式 日期：按实际生产日期
Packaging Info: #77516: 2PK #77515 入PVC圆筒。收藏指南用MA 5L. 3L不带UPC版收缩膜,2PK铜版纸图稿跟返单4500134367。 （两个球的配比不能重复）。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</si>
  <si>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70043875</t>
  </si>
  <si>
    <t>4500138871-30</t>
  </si>
  <si>
    <t>9/2 截SI</t>
  </si>
  <si>
    <t>7/18客供价格贴纸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</si>
  <si>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5 surprise 的LOGO 贴纸 （ ZURU 统一要求的）
7.收缩膜可使用标版带UPC条码MA，无需白色贴纸覆盖。</t>
  </si>
  <si>
    <t>87165-8.31</t>
  </si>
  <si>
    <r>
      <rPr>
        <sz val="11"/>
        <color rgb="FF0000FF"/>
        <rFont val="Arial"/>
        <charset val="0"/>
      </rPr>
      <t>7/31</t>
    </r>
    <r>
      <rPr>
        <sz val="11"/>
        <color rgb="FF0000FF"/>
        <rFont val="宋体"/>
        <charset val="0"/>
      </rPr>
      <t>已放</t>
    </r>
  </si>
  <si>
    <t>TINI CORPORATION</t>
  </si>
  <si>
    <t>越南</t>
  </si>
  <si>
    <t>SC 001-2024</t>
  </si>
  <si>
    <t>4500139266-50</t>
  </si>
  <si>
    <t>9/14 截SI</t>
  </si>
  <si>
    <t>7、/16</t>
  </si>
  <si>
    <t xml:space="preserve">日期码格式：ZURU INC(BVI) 标准格式 日期：按实际生产日期
Packaging Info: MA UPC packages(优先1L)无贴纸
Remark: </t>
  </si>
  <si>
    <t>87513-9.18</t>
  </si>
  <si>
    <t>Amazon DE:
8MEEWX2J</t>
  </si>
  <si>
    <t>4500139313-10</t>
  </si>
  <si>
    <t>87262-9.4</t>
  </si>
  <si>
    <t>9/1-9/5入仓</t>
  </si>
  <si>
    <t>7/25 SSCC LABEL</t>
  </si>
  <si>
    <t>日期码格式：ZURU INC(BVI) 标准格式 日期：按实际生产日期
Packaging Info: Amazon DE 77584/92104HB/77621/9548/9543EABD/9281A/7150A/77515/71109D/9283BA/9279AH/7127A
8. 77515: 24pcs/ctn, no inner; MA 3L 收缩膜+2张贴纸(含UPC#；IT/FR sorting label）+MA 5L A配件袋+MA 5L A收藏指南+MA23L A警示说明书+其他最新版MA包
装+1张防伪贴纸(具体位置参考USA同款订单);参考翻单PO#4500136617；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</si>
  <si>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Amazon DE:
7L3UOG6I</t>
  </si>
  <si>
    <t>4500139313-120</t>
  </si>
  <si>
    <t>9/10 截SI</t>
  </si>
  <si>
    <t>87425-9.11</t>
  </si>
  <si>
    <t>Amazon UK:
8HJEKSNR</t>
  </si>
  <si>
    <t>4500139573-20</t>
  </si>
  <si>
    <t>9/4交仓</t>
  </si>
  <si>
    <t>日期码格式：ZURU INC(BVI) 标准格式 日期：按实际生产日期
Packaging Info: Amazon UK(77555,77515):
2. 77515: 24pcs/ctn, no inner; MA 3L 收缩膜+2张贴纸(含UPC#；IT/FR sorting label）+MA 5L A配件袋+MA 5L A收藏指南+MA23L A警示说明书+其他最新版MA包
装+1张防伪贴纸(具体位置参考USA同款订单);参考翻单PO#4500136617；
3. 验货时间不迟于2024/8/26.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</si>
  <si>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87351-9.9</t>
  </si>
  <si>
    <t>Amazon FR:
1T2AH6UJ</t>
  </si>
  <si>
    <t>4500139373-50</t>
  </si>
  <si>
    <t>日期码格式：ZURU INC(BVI) 标准格式 日期：按实际生产日期
Packaging Info: Amazon FR(77555,77584,77621,92108D,77515,9283AB，7150A, 7127A):
5. 77515: 24pcs/ctn, no inner; MA 3L 收缩膜+2张贴纸(含UPC#；IT/FR sorting label）+MA 5L A配件袋+MA 5L A收藏指南+MA23L A警示说明书+其他最新版MA包
装+1张防伪贴纸(具体位置参考USA同款订单);参考翻单PO#4500136617；
9. 验货时间不迟于2024/8/26.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</si>
  <si>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87514-9.18</t>
  </si>
  <si>
    <t>4400417731</t>
  </si>
  <si>
    <t>4500139599-20</t>
  </si>
  <si>
    <t>已出大货样品一套</t>
  </si>
  <si>
    <t>9/4 截SI</t>
  </si>
  <si>
    <t>贴纸翻119795</t>
  </si>
  <si>
    <t>日期码格式：ZURU INC(BVI) 标准格式 日期：按实际生产日期
Packaging Info: 
77515GQ2: MA3LPDQ+ MA 5L收藏指南+MA 3L EAN 最新收缩膜+贴纸（德国CALLOUT 和荷兰警告语 ）
贴纸以及位置图翻#4500119795
EAN#4894680032255
Remark: 1. 此单出德国，需要满足Zuru Standard欧洲标准测试要求；
2. 请准时出货，推期会有罚款；
3. 需要符合欧洲标准不能含有闪粉和微塑料，否则不符合法规会有客诉产生
4. 大货样品一套
5. 所有电子产品身上需要加字唛，为ZURU FRANCE 地址 (如无电子产品，或者产品布标有此地址，可忽略此信息)
ZURU France 1/3, Rue d'Argenteuil 95210 SAINT-GRATIEN, FRANCE
6. 标准配比</t>
  </si>
  <si>
    <t>87264-9.4</t>
  </si>
  <si>
    <t>6006-001527</t>
  </si>
  <si>
    <t>4500139765-10</t>
  </si>
  <si>
    <t>翻单4500129957</t>
  </si>
  <si>
    <t>日期码格式：ZURU INC(BVI) 标准格式 日期：按实际生产日期
Packaging Info: MA 1L PKG+进口商贴纸（贴纸翻单4500129957)
此客户进口商贴纸只有一款，所有item 通用，可直接翻之前订单
贴纸位置请贴条码附近空白处，不遮挡英文信息及警语标记即可
Remark:</t>
  </si>
  <si>
    <t>87079-8.28</t>
  </si>
  <si>
    <t>7321765</t>
  </si>
  <si>
    <t>4500140171-10</t>
  </si>
  <si>
    <t>9/2 客上柜</t>
  </si>
  <si>
    <t>8/7条码箱贴纸</t>
  </si>
  <si>
    <t>87220-9.3</t>
  </si>
  <si>
    <t>4500127150-60</t>
  </si>
  <si>
    <t>8/29第三方</t>
  </si>
  <si>
    <t>9/6 截SI</t>
  </si>
  <si>
    <t>87259-9.4</t>
  </si>
  <si>
    <t>28558241</t>
  </si>
  <si>
    <t>4500140727-10</t>
  </si>
  <si>
    <t>10/17 截SI</t>
  </si>
  <si>
    <t>7/29电池警告语贴纸</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</si>
  <si>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3. 77515SK: 包装正面和说明书都需要加电池警告语贴纸（法规要求）
Remark: 1. 此单出AKL
2. 77515SK: 3PCS AG13 Batteries(Included)</t>
  </si>
  <si>
    <t>87928-10.17</t>
  </si>
  <si>
    <t>28558243</t>
  </si>
  <si>
    <t>4500140728-10</t>
  </si>
  <si>
    <t>10/11 截SI</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</si>
  <si>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3. 77515SK: 包装正面和说明书都需要加电池警告语贴纸（法规要求）
Remark: 1. 此单出LYT
2. 77515SK: 3PCS AG13 Batteries(Included)</t>
  </si>
  <si>
    <t>87846-10.11</t>
  </si>
  <si>
    <t>4500139632-10</t>
  </si>
  <si>
    <t>MSLD90-77515-S001 (GQ1)</t>
  </si>
  <si>
    <t>混装（77555+77515+9298+92104+92105+9296+9549+9548+7133+71126）</t>
  </si>
  <si>
    <t>7/17EAN条码贴</t>
  </si>
  <si>
    <t>日期码格式：ZURU INC(BVI) 标准格式 日期：08-08-2024
Packaging Info: MSLD90---259pcs 一个展示架 ，展示架客版artwork,工厂自行订购展示架组装出货。
兴信产品：
77555GQ1：全套MA-1L包装+客户EAN条码贴一张覆盖ZURU 原条码 ,按标准比例
77515GQ1：全套MA-1L包装+客户EAN条码贴一张覆盖ZURU 原条码 ,按标准比例
9298：全套MA-1L包装+客户EAN条码贴一张覆盖ZURU 原条码
7 assortment (6 common + 1 rare)=CORGI:SHEPHERD:POODLE:DALMATIAN:SCHNAUZER:BROWN DALNATIAN:HOUND DOG=2:8:10:10:10:10:10;
92104：全套MA-1L包装+客户EAN条码贴一张覆盖ZURU 原条码
MUNCHKIN(RARE): HIMALAYAN: PERSIAN: MAINE COON: RAGDOLL: RAGAMUFFIN: NORWEGIAN FOREST CAT = 2: 8: 10: 10: 10: 10: 10
9296：全套MA-1L包装+客户EAN条码贴一张覆盖ZURU 原条码
cow:monkey:panda:zebra:axolotl;chiken:=1:1:1:1:1:1;
92105：全套MA-1L包装+客户EAN条码贴一张覆盖ZURU 原条码
SLOTH:BUNNY:DALMATIAN:HIPPO:COW:KITTEN:POODLE=3:7:10:10:10:10:10; RARE: SLOTH
9548：全套MA-1L包装+客户EAN条码贴一张覆盖ZURU 原条码
7133：全套MA-1L包装+客户EAN条码贴一张覆盖ZURU 原条码
71126：全套MA-1L包装+客户EAN条码贴一张覆盖ZURU 原条码
其他工厂产品包装要求：
77494GQ1：MA-1L包装+客户EAN条码贴一张覆盖ZURU 原条码
77634GQ1：MA-3L包装+客户EAN条码贴一张覆盖ZURU 原条码
77634GQ即77557 的国际版本，需要移除以下四个minis，否则退货
RETROM-S1-P29Coca Cola Fresca 1970's
RETROM-S1-P28Coca Cola Diet Coke 1980's
RETROM-S1-P19Hershey's Syrup
RETROM-S1-C02Hershey's Kisses-Box(1965)
77567GQ1：MA-1L包装+客户EAN条码贴一张覆盖ZURU 原条码
9549：MA-1L包装+客户EAN条码贴一张覆盖ZURU 原条码
3 assorment ratio (PINK BUNNY: White Bunny:Black Bunny)=1:1:1
7495：MA-1L包装+客户EAN条码贴一张覆盖ZURU 原条码
6+1 assortment;
Golden T-REX:T-REX:MOSASAUR:RAPTOR:THERIZINOSAURUS:TRICERATOPS: STEGOSAURUS=1:10:9:10:10:10:10;
74107：MA-1L包装+客户EAN条码贴一张覆盖ZURU 原条码
T-Rex/Spinosaurus/Stegosaurus=1:1:1;
74108：MA-1L包装+客户EAN条码贴一张覆盖ZURU 原条码
Spinosaurus/T-Rex=1:1;
36603：MA-包装+客户EAN条码贴一张覆盖ZURU 原条码
4880：MA-包装+客户EAN条码贴一张覆盖ZURU 原条码
36648-B：MA-包装+客户EAN条码贴一张覆盖ZURU 原条码
NEW SKINS-New 6 assortment Ratio:(36648A-2024)MEGA SONIC,(36648B)ROBOTNIK,(36648D-2024)HYPER SPIKE,(36648E-2024)SUPER SPEED,(36648G)RETRO,(36648
H-2024)SONIC TEAM(new RACE TEAM)=3:1:3:2:1:2
36729：MA-包装+客户EAN条码贴一张覆盖ZURU 原条码
36583-B：MA-包装+客户EAN条码贴一张覆盖ZURU 原条码
New 6 assortment Ratio:(36583A-2024)MEGA SONIC, (36583B)ROBOTNIK, (36583D-2024)HYPER SPIKE, (36583E-2024)SUPER SPEED, (36583G)RETRO, (36583H-202
4)SONIC TEAM(new RACE TEAM)=2:1:2:1:1:1
36675：MA-包装+客户EAN条码贴一张覆盖ZURU 原条码
以下为各款入展示架数量
77494GQ1 Disney Mini Brands S3,13pcs/Gravity PDQ 26pcs 一个展示架入2个PDQ
77634GQ1 Retro Grocery Mini Brands S1,13pcs/Gravity PDQ 26pcs 一个展示架入2个PDQ
77555GQ1 Home Mini Brands S1,13pcs/Gravity PDQ 26pcs 一个展示架入2个PDQ
77567GQ1 Mega Gross Minis-S2,13pcs/Gravity PDQ 26pcs 一个展示架入2个PDQ
77515GQ1 Master Chef Mini Brands S1,13Pcs/Gravity PDQ 26pcs 一个展示架入2个PDQ
9298 Puppycorn Surprise-S8,Bulk 10pcs
92104 Kittycorn Surprise Series 9 Plush Small,Bulk 10pcs
9296 Eggzania Mini S1 ,Bulk 4pcs
92105 ADOPT-A-CORN SURPRISE S1 9pcs
9549 Magic Bunny Surprise-S1 ,Bulk 3pcs
9548 Mama &lt;(&gt;&amp;&lt;)&gt; Baby Surprise Duck-S1 ,Bulk 3pcs
7495 Dino Island Nano Egg Series 1,Bulk 16pcs
74107 Jurassic-Series 1 Mini Light-Up Dino,Bulk 12pcs
74108 Jurassic-Series 1 Mega Light-Up Dino,Bulk 4pcs
7133 Dino Wars - S1, Raptor, Bulk 6pcs
71126 Shark Attack S1, Bulk 2pcs
36603 Insanity-Manic,Open Box,bulk 6pcs
4880 Dino Attack Extinct(1Medium Egg,8Darts) Open Box 8pcs
36648-B Skins-S1 Sonic Flux(8 Darts) 12pcs
36729 Blastercorn unicorn blaser,Bulk 8pcs
36583-B Skins Dread Sonic(12 Darts) Open Box,Bulk 8pcs
36675 Excel-S1 Caliber Open Box,Bulk 8pcs
77494GQ1由永捷配送
77634GQ1/36648-B/36729/36583-B/36675 由库有配送
77567GQ1/7495/74107/74108 由泰亨配送
9549 由华康配送
36603/4880 由雨禾配送
展示架头卡和两侧面右上角位置需要加4个透明胶点，供客人在店里加贴A4大小价格牌 ，同时展示架前挡板每个价格位也要加2个透明胶点供客人加价格牌，胶点贴
上去后离型膜不要撕下供客户在目的仓撕下后贴上价格贴 ，详细后面按图示添加 ，工厂做货前需要提供照片给Sherry Lu 确认后再开始大货，QC 验货一定要多加
留意 ，如未按要求做货到目的地会被退货
注意此订单共对应客户10个订单 ，每个订单为40个展示架（共计10 *40HQ ) ，分2层入柜 ，每层摆放20个，详细见以下客户订单号，会发送10个订单箱唛 ，一定
要按对应订单堆放以便后面入柜 ，混装有罚款：
FB12005
FBA12005
FBB12005
FBC12005
FBD12005
FBE12005
FBF12005
FBG12005
FBH12005
FBI12005
各款客户条码如下
571327 77494GQ1 5056296044766
569402 77634GQ1 5056296043240
569323 77555GQ1 5056296043035
571325 77567GQ1 5056296044742
571331 77515GQ1 5056296044810
571333 9298 5056296044834
571336 92104 5056296044865
567048 9296 5056296039526
569321 92105 5056296043011
569319 9549 5056296042991
569320 9548 5056296043004
571309 7495 5056296044575
571310 74107 5056296045268
565484 74108 5056296035498
568395 7133 5056296041635
571312 71126 5056296044612
563533 36603 5056296033821
563511 4880 5056296033593
571346 36648-B 5056296044971
569401 36729 5056296043233
558819 36583-B 5056296044520
567062 36675 5056296039496
Remark: 订单必须经过ZURU QC验货并且通过后方可出货。
请务必准时交货，促销单延期会有巨额罚款。
包装和外箱日期码请按2024年8月8号打，这样可以所有产品日期一致，按ZURU格式即可。</t>
  </si>
  <si>
    <t>87765-9.30</t>
  </si>
  <si>
    <t>4500140056-10</t>
  </si>
  <si>
    <t>8、30 入仓</t>
  </si>
  <si>
    <t>8/14 外箱贴纸</t>
  </si>
  <si>
    <t>日期码格式：ZURU INC(BVI) 标准格式 日期：按实际生产日期
Packaging Info:
4.77515:MA英语UPC 版本包装 (优先1L，如无1L，可用3L),箱唛+外箱贴纸,此外77515含纽扣电池，包装跟说明书上需加电池警告语贴纸，贴纸及其位置图跟回 PO#4
500125613
77515GQ1:77515GQ1-S003:3PCS AG13 Batteries(Included);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</si>
  <si>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87130-8.30</t>
  </si>
  <si>
    <t>20171083</t>
  </si>
  <si>
    <t>4500140283-10</t>
  </si>
  <si>
    <t>8/5 SSCC</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</si>
  <si>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</si>
  <si>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87128-8.30</t>
  </si>
  <si>
    <t>8EM35KOO</t>
  </si>
  <si>
    <t>4500138945-10</t>
  </si>
  <si>
    <t>8/7 SSCC LABEL</t>
  </si>
  <si>
    <t>日期码格式：ZURU INC(BVI) 标准格式 日期：按实际生产日期
Packaging Info: #77515 MA1L UPC版本，跟单提供防伪贴纸;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</si>
  <si>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87108-8.29</t>
  </si>
  <si>
    <t>56TNSO2X</t>
  </si>
  <si>
    <t>4500138945-20</t>
  </si>
  <si>
    <t>5Y4U9G6L</t>
  </si>
  <si>
    <t>4500138945-30</t>
  </si>
  <si>
    <t>日期码格式：ZURU INC(BVI) 标准格式 日期：按实际生产日期
Packaging Info:
#77516: 2PK #77515 入PVC圆筒。收藏指南用MA 5L. 3L不带UPC版收缩膜,2PK铜版纸图稿跟返单4500134367。 （两个球的配比不能重复）。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</si>
  <si>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4500140174-20</t>
  </si>
  <si>
    <t>预计9/9客上柜</t>
  </si>
  <si>
    <t>8/7 条码箱贴纸</t>
  </si>
  <si>
    <t>日期码格式：ZURU INC(BVI) 标准格式 日期：按实际生产日期
Packaging Info: 
77515GQ5： MA包装, MA 1L 收缩膜, MA 1L PDQ；
Remark: 
77515GQ5：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此订单所有型号：
1. 产品和包装上印刷 tracking code信息，格式为ZURU常规格式;
2. 出货方式：货代自提</t>
  </si>
  <si>
    <t>87426-9.11</t>
  </si>
  <si>
    <t>PSICHOGIOS PUBLICATIONS SA</t>
  </si>
  <si>
    <t>希腊</t>
  </si>
  <si>
    <t>4500138892-10</t>
  </si>
  <si>
    <t>说明书和收藏指南需要贴贴纸</t>
  </si>
  <si>
    <t>8/31 截SI</t>
  </si>
  <si>
    <t>7/17警语贴纸</t>
  </si>
  <si>
    <t>日期码格式：ZURU INC(BVI) 标准格式 日期：按实际生产日期
Packaging Info: 1.77515GQ1：MA 3L EAN 包装+一张客户警语贴纸+MA 收藏指南+MA 说明书+一张说明书警语贴纸+MA 3L PDQ/SK；
Remark: 此单需要寄一套大货样给客户，不需要展示架和PDQ</t>
  </si>
  <si>
    <t>Cecilia Wen</t>
  </si>
  <si>
    <t>87578-9.19</t>
  </si>
  <si>
    <t>77515GQ1-S001-3L</t>
  </si>
  <si>
    <t>4500138892-20</t>
  </si>
  <si>
    <t>日期码格式：ZURU INC(BVI) 标准格式 日期：按实际生产日期
Packaging Info: 1.77515SK：MA 3L EAN 包装+一张客户警语贴纸+MA 收藏指南+MA 说明书+一张说明书警语贴纸+MA 3L PDQ/SK；
Remark: 此单需要寄一套大货样给客户，不需要展示架和PDQ</t>
  </si>
  <si>
    <t>4500138892-30</t>
  </si>
  <si>
    <t>6GAZFDBS</t>
  </si>
  <si>
    <t>4500139533-10</t>
  </si>
  <si>
    <t>9/5 截SI</t>
  </si>
  <si>
    <t>8/20客人已寄出SSCC</t>
  </si>
  <si>
    <t>日期码格式：ZURU INC(BVI) 标准格式 日期：按实际生产日期
Packaging Info: #77516: 2PK #77515 入PVC圆筒。收藏指南用MA 5L. 3L不带UPC版收缩膜,2PK铜版纸图稿跟返单4500134367。 （两个球的配比不能重复）。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</si>
  <si>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87340-9.9</t>
  </si>
  <si>
    <t>8YTPANEG</t>
  </si>
  <si>
    <t>4500139582-10</t>
  </si>
  <si>
    <t>9/1 截SI</t>
  </si>
  <si>
    <t>日期码格式： 标准格式 日期：按实际生产日期
Packaging Info: #77516: 2PK #77515 入PVC圆筒, 收藏指南用MA 5L, 3L不带UPC版收缩膜, 2PK铜版纸图稿跟返单4500134367.(两个球的配比不能重复);
Remark:1.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</si>
  <si>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87461-9.12</t>
  </si>
  <si>
    <t>G.T. WHOLESALE LIMITED</t>
  </si>
  <si>
    <t>2845784-00</t>
  </si>
  <si>
    <t>4500139993-20</t>
  </si>
  <si>
    <t>9/7 截仓</t>
  </si>
  <si>
    <t>8/9 进口商贴纸+通用UPC贴纸</t>
  </si>
  <si>
    <t>日期码格式：ZURU INC(BVI) 标准格式 日期：按实际生产日期
Packaging Info: 
77515GQ2 MA 3L EAN 版本包装+通用UPC条码贴纸，UPC号码为： 193052061034
Remark: 出口加拿大， 有 进口商贴纸,
8/22前寄出大货样2套
Zuru验货时需要单个产品称重的图片和整箱产品称重的图片，还需要产品上makeinChina，彩盒上的警告语的清晰图片，以及公仔尺寸的测量图片
日期跟踪码：产品外包装及产品本身都必须有日期跟踪码，ZURU标准格式日期码</t>
  </si>
  <si>
    <t>87360-9.9</t>
  </si>
  <si>
    <t>77515GQ2-S002-3L</t>
  </si>
  <si>
    <t>4500140635-20</t>
  </si>
  <si>
    <t>9/4 入仓</t>
  </si>
  <si>
    <t>8/21外箱贴纸</t>
  </si>
  <si>
    <t>日期码格式：ZURU INC(BVI) 标准格式 日期：按实际生产日期
Packaging Info:
2. 77515：MA英语UPC 版本包装 (优先1L，如无1L，可用3L),箱唛+外箱贴纸,此外77515含纽扣电池，包装跟说明书上需加电池警告语贴纸，贴纸及其位置图跟回 PO
#4500125613
77515GQ1:77515GQ1-S003:3PCS AG13 Batteries(Included);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</si>
  <si>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87288-9.5</t>
  </si>
  <si>
    <t>4500141124-10</t>
  </si>
  <si>
    <t>8/16 进口商贴纸</t>
  </si>
  <si>
    <t>日期码格式：ZURU INC(BVI) 标准格式 日期：按实际生产日期
Packaging Info: MA 1L包装+MA 23L说明书+进口商贴纸+箱唛
Remark:</t>
  </si>
  <si>
    <t>87289-9.5</t>
  </si>
  <si>
    <t>KROGER (KRG LLC)</t>
  </si>
  <si>
    <t>500-53645</t>
  </si>
  <si>
    <t>4500141573-80</t>
  </si>
  <si>
    <t>9/23 截SI</t>
  </si>
  <si>
    <t>日期码格式：ZURU INC(BVI) 标准格式 日期：按实际生产日期
Packaging Info: 1、包装方式：MA UPC优先1L最新版，出口美国
Remark: 2、无测试与第三方验货要求。
3、纸箱4面印ZURU LOGO + 箱唛
4、日期码请按ZURU标准版执行即可。
5、ZURU QC验货。</t>
  </si>
  <si>
    <t>87605-9.21</t>
  </si>
  <si>
    <t xml:space="preserve"> 已入</t>
  </si>
  <si>
    <t>600-35233</t>
  </si>
  <si>
    <t>4500141572-90</t>
  </si>
  <si>
    <t>9、20 截SI</t>
  </si>
  <si>
    <t>87604-9.21</t>
  </si>
  <si>
    <t>800-54561</t>
  </si>
  <si>
    <t>4500141575-20</t>
  </si>
  <si>
    <t>9、/18 截SI</t>
  </si>
  <si>
    <t>87527R1-9.18</t>
  </si>
  <si>
    <t>4500132696-10</t>
  </si>
  <si>
    <t>9/11 交仓</t>
  </si>
  <si>
    <t>日期码格式：ZURU INC(BVI) 标准格式 日期：按实际生产日期
Packaging Info: 77515SLB-S001
77515GQ6-S002: MA 1L收缩膜/PDQ+MA 23L收藏指南/说明书+MA 5L ACCESSORY BAG
UPC#193052061034，请先检查条码是否正确再安排做货
Slip sheet： 12PCS/PDQ/CTN(Carton SIZE:22.5*22*31.5CM),20*4H=80CTN=960PCS/SLIP SHEET，;一共需要2套slip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</si>
  <si>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87483-9.13</t>
  </si>
  <si>
    <t>PO#84164</t>
  </si>
  <si>
    <t>4500140722-10</t>
  </si>
  <si>
    <t>7、19</t>
  </si>
  <si>
    <t>价格贴纸翻单129544</t>
  </si>
  <si>
    <t>日期码格式：ZURU INC(BVI) 标准格式 日期：按实际生产日期
Packaging Info: 1.ZURU MA UPC 包装(优先使用1L，最新包装) + 客版可移动价格贴纸(#77515 贴纸翻单4500129544 &lt;(&gt;&amp;&lt;)&gt; #77555贴纸翻单4500129536) , 工厂自行订购, 出口
美国。
Remark: 1.ZURU MA UPC 包装(优先使用1L，最新包装) + 客版可移动价格贴纸(#77515 贴纸翻单4500129544 &lt;(&gt;&amp;&lt;)&gt; #77555贴纸翻单4500129536) , 工厂自行订购, 出口
美国。
2.ZURU标准日期码格式,所有产品及包装都必须带有日期码，日期码必须一致(但日期不可为周末)。
3.此单外箱不可有水贴纸。
4.可移价贴需贴在产品包装背面右下角的位置。
All Pre Price Tickets should be placed on the back of the product
located in the lower right hand corner of the package
#77515GQ1-S001 $16.99
5.出货配比：
#77515GQ1-S001-MINI BRANDS-MASTER CHEF MINI BRANDS-SERIES 1-CAPSULE,13PCS/Gravity PDQ, 52PCS/4PDQ/CTN</t>
  </si>
  <si>
    <t>87342-9.9</t>
  </si>
  <si>
    <t>4050</t>
  </si>
  <si>
    <t>4500133133-80</t>
  </si>
  <si>
    <t>9/18截SI</t>
  </si>
  <si>
    <t>6/13价格贴纸</t>
  </si>
  <si>
    <t>日期码格式：ZURU INC(BVI) 标准格式 日期：按实际生产日期
Packaging Info: 1. 出口美国，MA UPC 版本包装，优先1L。
2. 产品需要价格贴纸， 贴纸资料后面提供。
#77515GQ1 PRICER TICK-11.99; Included 3PCS AG13 Batteries
3. 外箱需要UCC贴纸。贴纸资料后面提供。
Remark: 4. Zuru QC 验货即可。</t>
  </si>
  <si>
    <t>87683-9.25</t>
  </si>
  <si>
    <t>PO#2660931:
143951575</t>
  </si>
  <si>
    <t>4500140587-80</t>
  </si>
  <si>
    <t>9/20 交仓</t>
  </si>
  <si>
    <t>日期码格式：ZURU INC(BVI) 标准格式 日期：按实际生产日期
Packaging Info: 77515GQ1
MA-1L 配套包装
-77515GQ1: 收缩膜和PDQ 用1L 版本 ，其他通用版本ok
-订单对应客户6个PO号 ，备注有显示 ，注意分开做货/验货/装柜 ，混装有罚款。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</si>
  <si>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87591-9.21</t>
  </si>
  <si>
    <t>HN</t>
  </si>
  <si>
    <t>4500141816-50</t>
  </si>
  <si>
    <t>9/14 客上柜</t>
  </si>
  <si>
    <t>日期码格式：ZURU INC(BVI) 标准格式 日期：按实际生产日期
Packaging Info:
77515 ： 1L 收缩膜+进口商贴纸， MA 指南 /说明书
Remark: 标准配比</t>
  </si>
  <si>
    <t>87521-9.18</t>
  </si>
  <si>
    <t>W0676644</t>
  </si>
  <si>
    <t>4500140875-10</t>
  </si>
  <si>
    <t>9、19 截SI</t>
  </si>
  <si>
    <t>7/31 价格贴纸+外箱贴纸</t>
  </si>
  <si>
    <t>87552-9.18</t>
  </si>
  <si>
    <t>4500139856-10</t>
  </si>
  <si>
    <t>MSLD104-77515-S001</t>
  </si>
  <si>
    <t>混装（77515+77485）同MSLD96-S001 开发的demo 368PCS</t>
  </si>
  <si>
    <t>9/23 第三方</t>
  </si>
  <si>
    <t>9/27 截SI</t>
  </si>
  <si>
    <t>日期码格式：ZURU INC(BVI) 标准格式 日期：按实际生产日期
Packaging Info: 客版英法双语展示架(144装)
+ #77515: 客版3L,UPC条码收缩膜(UPC: 193052061034; 收缩膜翻单:4500126515)+MA5L收藏指南+MA23L说明书+MA5L配件袋+MA复合袋
+ #77485: 客版3L,UPC条码收缩膜(UPC:193052057105; 收缩膜消耗4500137946客版MA库存)+MA5L收藏指南+MA配件袋
+ #77559(泰亨): 客版3L,UPC条码收缩膜(UPC:193052063649; 收缩膜翻单：4500126756)+MA5L收藏指南+MA9L配件袋+MA5L,UV胶水瓶贴纸
--UPC明细：
77515 MASTER CHEF 193052061034
77485 FASHION MB 193052057105
77559 GARDEN 193052063649
--产品配比：
77515 Master Chef Mini Brands S1, 16pcs/bin*3bin=48pcs
77485 Mini Brands Fashion, 16pcs/bin*3bin=48pcs
77559 Botanical Garden S1, 16pcs/bin*3bin=48pcs
Remark: 1. 此单有箱唛;
2. 此单需要第三方验货，烦请多备包装物料;
3. 此单需另备一座空展示架用以签办。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</si>
  <si>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87722-9.27</t>
  </si>
  <si>
    <t>60171208</t>
  </si>
  <si>
    <t>4500139689-30</t>
  </si>
  <si>
    <t>7/26价格贴纸客供</t>
  </si>
  <si>
    <t>87380-9.9</t>
  </si>
  <si>
    <r>
      <rPr>
        <sz val="11"/>
        <color rgb="FF0000FF"/>
        <rFont val="Arial"/>
        <charset val="0"/>
      </rPr>
      <t>7/11</t>
    </r>
    <r>
      <rPr>
        <sz val="11"/>
        <color rgb="FF0000FF"/>
        <rFont val="宋体"/>
        <charset val="0"/>
      </rPr>
      <t>已放</t>
    </r>
  </si>
  <si>
    <t>Amazon DE:
6F75TQGW</t>
  </si>
  <si>
    <t>4500139651-10</t>
  </si>
  <si>
    <t>预计9/8 入仓</t>
  </si>
  <si>
    <t>7/29SSCC  空白贴纸</t>
  </si>
  <si>
    <t>日期码格式：ZURU INC(BVI) 标准格式 日期：按实际生产日期
Packaging Info: Amazon DE 77515
1. 77515: 24pcs/ctn, no inner; MA 3L 收缩膜+2张贴纸(含UPC#；IT/FR sorting label）+MA 5L A配件袋+MA 5L A收藏指南+MA23L A警示说明书+其他最新版MA包
装+1张防伪贴纸(具体位置参考USA同款订单);参考翻单PO#4500136617；
2. ZURU验货最晚不得迟于2024/8/30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</si>
  <si>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87448-9.12</t>
  </si>
  <si>
    <t>0854006439
RIDGEVILLE SC</t>
  </si>
  <si>
    <t>4500142371-10</t>
  </si>
  <si>
    <t>9/5BV</t>
  </si>
  <si>
    <t>8/19 RFID贴纸</t>
  </si>
  <si>
    <t>日期码格式：ZURU DGYYYYMMDD CHINA(日期避开周末和法定节假日即可） 日期：按实际生产日期
Packaging Info: 77515GQ6-S002：
1.包装要求：
MA B版 1L收缩膜+客版 A版 5L收藏指南+MA A版 5L纸袋+MA A版 23L说明书+客版 1L PDQ，翻单：4500129013
每pcs产品上要贴1张RFID贴纸，贴纸由ZURU提供，贴纸位置请严格按照我们签回的签板；
Remark: 77515GQ6-S002：
1.包装要求：
MA B版 1L收缩膜+客版 A版 5L收藏指南+MA A版 5L纸袋+MA A版 23L说明书+客版 1L PDQ，翻单：4500129013
每pcs产品上要贴1张RFID贴纸，贴纸由ZURU提供，贴纸位置请严格按照我们签回的签板；
2. 外箱印刷带条码的RFID箱唛：RFID紫色色带+WM Dept.图标+RFID图标+ITF-14条码（不干胶打印），四面右下角印刷ZURU logo, ITFF条码只印刷在正唛一面，在
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此单需要空运，以loose carton出货，12pcs/PDQ/CTN</t>
  </si>
  <si>
    <t>87414-9.11</t>
  </si>
  <si>
    <t>0854006484
MOBILE</t>
  </si>
  <si>
    <t>4500142371-20</t>
  </si>
  <si>
    <t>0854006461
EASTVALE</t>
  </si>
  <si>
    <t>4500142371-30</t>
  </si>
  <si>
    <t>0854006492
ELWOOD</t>
  </si>
  <si>
    <t>4500142371-40</t>
  </si>
  <si>
    <t>0854006463
STATESBORO</t>
  </si>
  <si>
    <t>4500142371-50</t>
  </si>
  <si>
    <t>0854006517
SUFFOLK</t>
  </si>
  <si>
    <t>4500142371-60</t>
  </si>
  <si>
    <t>0854006443
HOUSTON</t>
  </si>
  <si>
    <t>4500142371-70</t>
  </si>
  <si>
    <t>Amazon DE:
4F26T77E</t>
  </si>
  <si>
    <t>4500139668-20</t>
  </si>
  <si>
    <t>9/15 入仓</t>
  </si>
  <si>
    <t>8/6 SSCC</t>
  </si>
  <si>
    <t>日期码格式：ZURU INC(BVI) 标准格式 日期：按实际生产日期
Packaging Info: Amazon DE 7149A/ 77515
2. 77515: 24pcs/ctn, no inner; MA 3L 收缩膜+2张贴纸(含UPC#；IT/FR sorting label）+MA 5L A配件袋+MA 5L A收藏指南+MA23L A警示说明书+其他最新版MA包
装+1张防伪贴纸(具体位置参考USA同款订单);参考翻单PO#4500136617；
3. ZURU 最晚验货不得迟于2024/9/6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</si>
  <si>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87576-9.19</t>
  </si>
  <si>
    <t>2FUC5VCW</t>
  </si>
  <si>
    <t>4500141223-110</t>
  </si>
  <si>
    <t>9/13截SI</t>
  </si>
  <si>
    <t>7、26</t>
  </si>
  <si>
    <t>8/21客人寄出SSCC LABEL（客供贴纸)</t>
  </si>
  <si>
    <t>日期码格式：ZURU INC(BVI) 标准格式 日期：按实际生产日期
Packaging Info: 
#77515：MA 3L 加UPC贴纸覆盖原EAN条码，UPC贴纸跟返单4500132623。 加防伪贴纸，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</si>
  <si>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87555-9.18</t>
  </si>
  <si>
    <t>4500141223</t>
  </si>
  <si>
    <t>7ER8BNXE</t>
  </si>
  <si>
    <t>4500141223-120</t>
  </si>
  <si>
    <t>36OZ1U4W</t>
  </si>
  <si>
    <t>4500141223-130</t>
  </si>
  <si>
    <t>7PJZSJMN</t>
  </si>
  <si>
    <t>4500141223-140</t>
  </si>
  <si>
    <t>70046918</t>
  </si>
  <si>
    <t>4500141673-30</t>
  </si>
  <si>
    <t>8/13 客供价格贴纸</t>
  </si>
  <si>
    <t>Taylor Liao</t>
  </si>
  <si>
    <t>87661-9.25</t>
  </si>
  <si>
    <t>0854006509
SUFFOLK</t>
  </si>
  <si>
    <t>4500142385-10</t>
  </si>
  <si>
    <t>9/9BV</t>
  </si>
  <si>
    <t>9/23 截仓</t>
  </si>
  <si>
    <t>日期码格式：ZURU DGYYYYMMDD CHINA(日期避开周末和法定节假日即可） 日期：按实际生产日期
Packaging Info: 77515SLB-S002：
1.包装要求：
MA B版 1L收缩膜+客版 A版 5L收藏指南+MA A版 5L纸袋+MA A版 23L说明书+客版 1L PDQ，翻单：4500129013
每pcs产品上要贴1张RFID贴纸，贴纸由ZURU提供，贴纸位置请严格按照我们签回的签板；
Remark: 77515SLB-S002：
1.包装要求：
MA B版 1L收缩膜+客版 A版 5L收藏指南+MA A版 5L纸袋+MA A版 23L说明书+客版 1L PDQ，翻单：4500129013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sheet出货，77515：1152pcs/96CTN/Slip Sheet</t>
  </si>
  <si>
    <t>87422-9.11</t>
  </si>
  <si>
    <t>0854006454
EASTVALE</t>
  </si>
  <si>
    <t>4500142385-20</t>
  </si>
  <si>
    <t>9/10 截仓</t>
  </si>
  <si>
    <t>0854006504
STATESBORO</t>
  </si>
  <si>
    <t>4500142385-30</t>
  </si>
  <si>
    <t>9/18 截仓</t>
  </si>
  <si>
    <t>87447-9.12</t>
  </si>
  <si>
    <t>0854006493
ELWOOD</t>
  </si>
  <si>
    <t>4500142385-40</t>
  </si>
  <si>
    <t>87480-9.13</t>
  </si>
  <si>
    <t>0854006442
HOUSTON</t>
  </si>
  <si>
    <t>4500142385-50</t>
  </si>
  <si>
    <t>9/10 交仓</t>
  </si>
  <si>
    <t>0854006449
RIDGEVILLE SC</t>
  </si>
  <si>
    <t>4500142385-60</t>
  </si>
  <si>
    <t>9/14 交仓</t>
  </si>
  <si>
    <t>87601-9.21</t>
  </si>
  <si>
    <t>0854006514
MOBILE</t>
  </si>
  <si>
    <t>4500142385-70</t>
  </si>
  <si>
    <t>Amazon UK:
5CSF571P</t>
  </si>
  <si>
    <t>4500139350-10</t>
  </si>
  <si>
    <t>8/8 SSCC</t>
  </si>
  <si>
    <t>日期码格式：ZURU INC(BVI) 标准格式 日期：按实际生产日期
Packaging Info: Amazon UK(77515):
1. 77515: 24pcs/ctn, no inner; MA 3L 收缩膜+2张贴纸(含UPC#；IT/FR sorting label）+MA 5L A配件袋+MA 5L A收藏指南+MA23L A警示说明书+其他最新版MA包
装+1张防伪贴纸(具体位置参考USA同款订单);参考翻单PO#4500136617；
2. 验货时间不迟于2024/9/16.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</si>
  <si>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87672-9.25</t>
  </si>
  <si>
    <t>Amazon UK:
4Q86O1LY</t>
  </si>
  <si>
    <t>4500139350-20</t>
  </si>
  <si>
    <t>JULIO CEPEDA JUGUETERIAS</t>
  </si>
  <si>
    <t>4500140650-10</t>
  </si>
  <si>
    <t>有第三方监柜，多备一套样品随货送出</t>
  </si>
  <si>
    <t>9/20 监柜出货</t>
  </si>
  <si>
    <t>8/12 UPC贴纸+进口商贴纸</t>
  </si>
  <si>
    <t>日期码格式：ZURU INC(BVI) 标准格式 日期：按实际生产日期
Packaging Info: 77515GQ2: MA 3L EAN包装+MA 3L PDQ包装+MA 多语收藏指南+MA 多语说明书+UPC贴纸+进口商贴纸+箱唛
Remark: 此单有第三方监柜，多备一套样品随货送出
77515GQ2: 3PCS AG13 Batteries(Include)</t>
  </si>
  <si>
    <t>87590-9.21</t>
  </si>
  <si>
    <t>9394C</t>
  </si>
  <si>
    <t>4500140516-20</t>
  </si>
  <si>
    <t>9/13出货</t>
  </si>
  <si>
    <t xml:space="preserve">贴纸翻单138474 </t>
  </si>
  <si>
    <t>日期码格式：ZURU INC(BVI) 标准格式 日期：按实际生产日期
Packaging Info:
77515SK: MA SK + MA B版3L+5L 收缩膜+ 1*EAN条码贴纸(翻单4500138474 ) + 1*意大利环保标 （含进口商信息，翻单 4500138474 ）
Remark: 1. 此单出意大利，需符合EU标准，不含微塑料
2. 需保证按期9/13完货，延期罚款</t>
  </si>
  <si>
    <t>AMY XIAO</t>
  </si>
  <si>
    <t>87492-9.13</t>
  </si>
  <si>
    <t xml:space="preserve">
巴西</t>
  </si>
  <si>
    <t>4500141335-20</t>
  </si>
  <si>
    <t>8/14进口商贴纸</t>
  </si>
  <si>
    <t>日期码格式：ZURU INC(BVI) 标准格式 日期：按实际生产日期
Packaging Info: 此单封箱胶带要用客版CANDIDE版本
77515GQ2：MA 1L UPC包装+MA 1L PDQ包装+MA 多语说明书+进口商贴纸+箱唛
Remark:
77515GQ2: 3PCS AG13 Batteries(Include)</t>
  </si>
  <si>
    <t>87693-9.26</t>
  </si>
  <si>
    <t>4500141185-20</t>
  </si>
  <si>
    <t>9/30 截SI</t>
  </si>
  <si>
    <t>日期码格式：ZURU INC(BVI) 标准格式 日期：按实际生产日期
Packaging Info:
77515GQ5： 1L MA包装（含G Mark)+进口商贴纸翻4500128286(含QR code, 阿拉伯警语); 贴纸上的QR code需微信可扫，扫描结果64429；客版指南翻4500128286；MA说明书+额外书纸翻4500128286；MA PDQ, MA展示架，PDQ和展示架也需要进口商贴纸翻4500128286
由于中东信仰伊斯兰教，禁止出宗教/十字架/圣诞/恶魔/天使/魔术/六角星/猪/无人机等元素的产品,包装/说明书/指南不含希伯来语，如果含有如上元素，请及时
告知，谢谢。
Remark: 
77515:3PCS AG13 Batteries (included)</t>
  </si>
  <si>
    <t>87747-9.30</t>
  </si>
  <si>
    <t>4500141185-30</t>
  </si>
  <si>
    <t>日期码格式：ZURU INC(BVI) 标准格式 日期：按实际生产日期
Packaging Info:
77515SK： 1L MA包装（含G Mark)+进口商贴纸翻4500128286(含QR code, 阿拉伯警语); 贴纸上的QR code需微信可扫，扫描结果64429；客版指南翻4500128286；MA说明书+额外书纸翻4500128286；MA PDQ, MA展示架，PDQ和展示架也需要进口商贴纸翻4500128286
由于中东信仰伊斯兰教，禁止出宗教/十字架/圣诞/恶魔/天使/魔术/六角星/猪/无人机等元素的产品,包装/说明书/指南不含希伯来语，如果含有如上元素，请及时
告知，谢谢。
Remark: 
77515:3PCS AG13 Batteries (included)</t>
  </si>
  <si>
    <t>4500141268-40</t>
  </si>
  <si>
    <t>移除 MASCM-S1-010</t>
  </si>
  <si>
    <t>日期码格式：ZURU INC(BVI) 标准格式 日期：按实际生产日期
Packaging Info: 
77515GQ5： 1L MA包装（含G Mark)+进口商贴纸翻4500128286(含QR code, 阿拉伯警语); 贴纸上的QR code需微信可扫，扫描结果64429；客版指南翻45001
28286；MA说明书+额外书纸翻4500128286；MA PDQ, MA展示架，PDQ和展示架也需要进口商贴纸翻4500128286
Remark:
77515:3PCS AG13 Batteries (included)</t>
  </si>
  <si>
    <t>87807-10.8</t>
  </si>
  <si>
    <t>4500141268-50</t>
  </si>
  <si>
    <t>日期码格式：ZURU INC(BVI) 标准格式 日期：按实际生产日期
Packaging Info: 
77515SK： 1L MA包装（含G Mark)+进口商贴纸翻4500128286(含QR code, 阿拉伯警语); 贴纸上的QR code需微信可扫，扫描结果64429；客版指南翻45001
28286；MA说明书+额外书纸翻4500128286；MA PDQ, MA展示架，PDQ和展示架也需要进口商贴纸翻4500128286
Remark:
77515:3PCS AG13 Batteries (included)</t>
  </si>
  <si>
    <t>PO16825</t>
  </si>
  <si>
    <t>4500141784-10</t>
  </si>
  <si>
    <t>预计9/13出货</t>
  </si>
  <si>
    <t>8/5进口商信息贴纸+胶袋贴纸</t>
  </si>
  <si>
    <t>日期码格式：ZURU INC(BVI) 标准格式 日期：按实际生产日期
Packaging Info: 77515GQ2: 最新MA 3L A版 PDQ+ B版 3L EAN 收缩膜+ A版 23L 收藏指南+ A版 23L 说明书+ A版 5L 纸袋+ 进口商信息UV胶德语警语贴纸
每个PDQ装进1个透明胶袋里面，胶袋上加1pcs贴纸
Remark: 1. 出货前需提供验货图片，待客人确认OK后 才能出货
2.大货样品1套，请多备料
3. 出口欧洲微塑料需合规</t>
  </si>
  <si>
    <t>87462-9.12</t>
  </si>
  <si>
    <t>301750</t>
  </si>
  <si>
    <t>4500141924-10</t>
  </si>
  <si>
    <t>指定日期码：ZURU DG LOTE:2920240830 如果球壳上只打LOTE:29 240830太长打不了可以只打LOTE:29</t>
  </si>
  <si>
    <t>9/16 等SO出货</t>
  </si>
  <si>
    <t>8/6进口商贴纸（含EAN条码）+ 蓝色logo贴纸</t>
  </si>
  <si>
    <r>
      <rPr>
        <sz val="10"/>
        <color rgb="FFFF0000"/>
        <rFont val="等线"/>
        <charset val="134"/>
      </rPr>
      <t>日期码格式：LOTE:29 日期：2024/08/30</t>
    </r>
    <r>
      <rPr>
        <sz val="10"/>
        <color rgb="FF0000FF"/>
        <rFont val="等线"/>
        <charset val="134"/>
      </rPr>
      <t xml:space="preserve">
Packaging Info: 77515GQ6：最新MA PDQ + 最新MA 1L包装 + 进口商贴纸（含EAN条码）+ 蓝色logo贴纸
Remark: 1. 出口欧洲，微塑料需符合法规；标准配比；
2. 产品1. 出口欧洲，微塑料需符合法规；标准配比；
3 产品和包装上的日期码请打为：
LOTE:29
20240830
LOTE:29
20240830</t>
    </r>
  </si>
  <si>
    <t>Sherry Chen</t>
  </si>
  <si>
    <t>87680-9.25</t>
  </si>
  <si>
    <t>216125565</t>
  </si>
  <si>
    <t>4500142229-20</t>
  </si>
  <si>
    <t>87617-9.23</t>
  </si>
  <si>
    <t>216125563</t>
  </si>
  <si>
    <t>4500142222-20</t>
  </si>
  <si>
    <t>9/25 截SI</t>
  </si>
  <si>
    <t>87659-9.25</t>
  </si>
  <si>
    <t>4500132691-10</t>
  </si>
  <si>
    <t xml:space="preserve">9/19 交仓 </t>
  </si>
  <si>
    <t>日期码格式：ZURU INC(BVI) 标准格式 日期：按实际生产日期
Packaging Info: 77515SLB-S001
77515GQ6-S002: MA 1L收缩膜/PDQ+MA 23L收藏指南/说明书+MA 5L ACCESSORY BAG
UPC#193052061034，请先检查条码是否正确再安排做货
Slip sheet： 12PCS/PDQ/CTN(Carton SIZE:22.5*22*31.5CM),20*4H=80CTN=960PCS/SLIP SHEET，;一共需要6套slip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</si>
  <si>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87611-9.23</t>
  </si>
  <si>
    <t>4500141725-20</t>
  </si>
  <si>
    <t>确认用3L的展示架，1L的收缩膜</t>
  </si>
  <si>
    <t>日期码格式：ZURU INC(BVI) 标准格式 日期：
Packaging Info: 1.MA UPC 英语包装（优先1L英语版本，或者3L/5L含英语都可）
2.77515SK需要贴电池警告语贴纸，包装和说明书都需要贴，贴纸翻单PO#4500133936
3. 此客人不接受易掉落或者剥落或者可直接触碰的闪粉，可降解也不行，但可以接受符合欧洲微塑料标准的珠光粉或者闪片。
Remark: 1. 此订单出AKL；
77515SK:3PCS AG13 Batteries(Included)；</t>
  </si>
  <si>
    <t>87847-10.11</t>
  </si>
  <si>
    <t>4500141726-20</t>
  </si>
  <si>
    <t>10/15 交仓</t>
  </si>
  <si>
    <t>日期码格式：ZURU INC(BVI) 标准格式 日期：按实际生产日期
Packaging Info: 1.MA UPC 英语包装（优先1L英语版本，或者3L/5L含英语都可）
2.77515SK需要贴电池警告语贴纸，包装和说明书都需要贴，贴纸翻单PO#4500133936
3. 此客人不接受易掉落或者剥落或者可直接触碰的闪粉，可降解也不行，但可以接受符合欧洲微塑料标准的珠光粉或者闪片。
Remark: 1. 此订单出LYT
77515SK:3PCS AG13 Batteries(Included)；</t>
  </si>
  <si>
    <t>87929-10.17</t>
  </si>
  <si>
    <t>4500140740-10</t>
  </si>
  <si>
    <t>9/21 交仓</t>
  </si>
  <si>
    <t>9/4外箱贴纸</t>
  </si>
  <si>
    <t>日期码格式：ZURU INC(BVI) 标准格式 日期：按实际生产日期
Packaging Info: 1. 77515：MA英语UPC 版本包装 (优先1L，如无1L，可用3L),箱唛+外箱贴纸,此外77515含纽扣电池，包装跟说明书上需加电池警告语贴纸，贴纸及其位置图跟回
PO#4500125613
77515GQ1: 3PCS AG13 Batteries(Included);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</si>
  <si>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87589-9.21</t>
  </si>
  <si>
    <t>4500141482-30</t>
  </si>
  <si>
    <t>ROSS通用箱唛模板，工厂按实际45 PO排版（部分需要修改：客户PO , 装箱数以及Item号）给客人确认</t>
  </si>
  <si>
    <t>87763-9.30</t>
  </si>
  <si>
    <t>4500141458-10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</si>
  <si>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t>
  </si>
  <si>
    <t>87752-9.30</t>
  </si>
  <si>
    <t>4500143418-50</t>
  </si>
  <si>
    <t>9/21 截SI</t>
  </si>
  <si>
    <t>8/23进口商贴纸+UPC贴纸</t>
  </si>
  <si>
    <t>日期码格式：ZURU INC(BVI) 标准格式 日期：按实际生产日期
Packaging Info:
5. 77515GQ2：MA 3L EAN包装+UPC贴纸+MA 多语说明书+MA 3L PDQ包装+保证书+外箱贴纸+进口商贴纸+箱唛，产品/包装/说明书都要贴1张进口商贴纸
Remark:
3. 77515:3PCS AG13 Batteries(Include)
4. 此单有第三方监柜，需要每款多备2套完整物料</t>
  </si>
  <si>
    <t>87594-9.21</t>
  </si>
  <si>
    <t>4500127223-20</t>
  </si>
  <si>
    <t>第三方</t>
  </si>
  <si>
    <t>10/7 截SI</t>
  </si>
  <si>
    <t>日期码格式：ZURU INC(BVI) 标准格式 日期：按实际生产日期
Packaging Info:
#77515GQ2: MA3L,PDQ(25装)+客版3L,UPC条码收缩膜(UPC: 193052061034)+MA5L收藏指南+MA23L说明书+MA5L配件袋+MA复合袋---客版收缩膜翻单：4500126515
Remark: 1. 带电池的产品需使用英法双语电池(纽扣电池除外)；
2. 此单有箱唛;
3.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</si>
  <si>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87798-10.8</t>
  </si>
  <si>
    <t>4500141730-40</t>
  </si>
  <si>
    <t>预计9/29 待SO</t>
  </si>
  <si>
    <t>9/5SSCC LABEL（客供贴纸)</t>
  </si>
  <si>
    <t>日期码格式：ZURU INC(BVI) 标准格式 日期：按实际生产日期
Packaging Info: 
#77515 MA1L UPC版本，需要贴一张客供防伪帖纸，防伪贴纸跟单提供;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</si>
  <si>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87778-10.6</t>
  </si>
  <si>
    <t>4500141730-120</t>
  </si>
  <si>
    <t>AG240171-HK</t>
  </si>
  <si>
    <t>4500142326-10</t>
  </si>
  <si>
    <t>9/27 外厂客上柜</t>
  </si>
  <si>
    <t>8/16客供警语贴纸</t>
  </si>
  <si>
    <t>日期码格式：ZURU INC(BVI) 标准格式 日期：按实际生产日期
Packaging Info: MA 1L PKG+A版收藏指南+23L warning instruction+1L PDQ A版+客供警语贴纸
（一张贴贴球底部，一张贴收藏指南，一张贴warning instruction）+客供电池警语贴纸(贴顶部）
Remark: 此单出香港</t>
  </si>
  <si>
    <t>87700-9.26</t>
  </si>
  <si>
    <t>AG240166-HK</t>
  </si>
  <si>
    <t>4500141533-10</t>
  </si>
  <si>
    <t>8/7客供警语贴纸</t>
  </si>
  <si>
    <t>日期码格式：ZURU INC(BVI) 标准格式 日期：按实际生产日期
Packaging Info: 77515GQ2: MA 1L PKG+客供警语贴纸（一张贴贴球底部，一张贴收藏指南，一张贴warning instruction）+客供电池警语贴纸(贴顶部）
详情参考HK客供贴纸位置图
Remark: 此单出香港</t>
  </si>
  <si>
    <t>87742-9.30</t>
  </si>
  <si>
    <t>AG240150-HK</t>
  </si>
  <si>
    <t>4500140760-10</t>
  </si>
  <si>
    <t>7/29 客供警语贴纸</t>
  </si>
  <si>
    <t>日期码格式：ZURU INC(BVI) 标准格式 日期：按实际生产日期
Packaging Info: 77515GQ2: MA 1L PKG+客供警语贴纸（一张贴贴球底部，一张贴收藏指南，一张贴warning instruction）+客供电池警语贴纸(贴顶部），详请参考HK客 供警语贴纸位
置图
Remark: 此单出香港</t>
  </si>
  <si>
    <t>87701-9.26</t>
  </si>
  <si>
    <t>ZURU Italy SRL</t>
  </si>
  <si>
    <t>4500145621-10</t>
  </si>
  <si>
    <t>77515GQ6-P-S004-MTS</t>
  </si>
  <si>
    <t>25个空PDQ平铺一箱</t>
  </si>
  <si>
    <t>日期码格式：ZURU INC(BVI) 标准格式 日期：按实际生产日期
Packaging Info: MA 3L 彩盒
Remark: "1.意大利国家内销单，需要通过ZURU 验货结果后才能出货 (工厂需要主动提前同ZURU QC预约验货避免延期出货造成不必要麻烦)；
2.德国市场不可以出军事车仔因法规要求(下Metal machine 这个品牌时需要注意此点);
*特定款有特殊外箱条码要求时,需要明确列出产品款对应的具体外箱条码号码/条码类型*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t>
  </si>
  <si>
    <t>SD44</t>
  </si>
  <si>
    <t>88208-11.12</t>
  </si>
  <si>
    <t>4500142131-10</t>
  </si>
  <si>
    <t>8/19 客供价格贴纸</t>
  </si>
  <si>
    <t>87764-9.30</t>
  </si>
  <si>
    <t>0854498610</t>
  </si>
  <si>
    <t>4500142765-30</t>
  </si>
  <si>
    <t>9/23BV</t>
  </si>
  <si>
    <t>9/23 截SI   9-10月份首单</t>
  </si>
  <si>
    <t>8/21RFID贴纸</t>
  </si>
  <si>
    <t>日期码格式：ZURU DGYYYYMMDD CHINA(日期避开周末和法定节假日即可） 日期：按实际生产日期
Packaging Info: 
77515GQ5-S002
1.包装要求：
MA B版 1L收缩膜+客版 A版 5L收藏指南+MA A版 5L纸袋+MA A版 23L说明书+客版 1L PDQ
每pcs产品上要贴1张RFID贴纸，贴纸由ZURU提供，贴纸位置请严格按照我们签回的签板；
Remark: 
77515GQ5-S002
1.包装要求：
MA B版 1L收缩膜+客版 A版 5L收藏指南+MA A版 5L纸袋+MA A版 23L说明书+客版 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carton出货，21pcs/PDQ/CTN</t>
  </si>
  <si>
    <t>87637-9.24</t>
  </si>
  <si>
    <t>77515GQ5-S002-WM</t>
  </si>
  <si>
    <t>COMERCIALIZADORA MEXICO AMERICANA S</t>
  </si>
  <si>
    <t>4500140138-10</t>
  </si>
  <si>
    <t>DIY厨艺大师-干燥剂</t>
  </si>
  <si>
    <t>8/12进口商贴纸+UPC贴纸</t>
  </si>
  <si>
    <t>日期码格式：ZURU INC(BVI) 标准格式 日期：按实际生产日期
Packaging Info: 77515GQ2：MA 3L EAN包装+UPC贴纸+MA 3L PDQ包装+MA 多语收藏指南+进口商贴纸+箱唛+保证书，产品/包装/说明书上各贴1张进口商贴纸
Remark: 1. 77515GQ2：3PCS AG13 Batteries(Include)
2. 此单有第三方监柜，监柜都不能在外仓进行
3. 此单每款要多备1个样品随货送去监柜
4. WM墨西哥防霉的新要求:货物必须在出货主箱和集装箱中按要求放置干燥剂。
此单#77515GQ2 放置6小包干燥剂
每包干燥剂重量2-3g。请拍照确认。
如走柜货等loading plan 确认后再通知购买挂在货柜上的干燥剂
如果走散货，由货代在集装箱代放干燥劑</t>
  </si>
  <si>
    <t>87702-9.26</t>
  </si>
  <si>
    <t>Amazon ES</t>
  </si>
  <si>
    <t>Amazon ES:
3POH24EL</t>
  </si>
  <si>
    <t>4500142613-40</t>
  </si>
  <si>
    <t>9/26 截SI</t>
  </si>
  <si>
    <t>8/30 SSCC+8/29 2张贴纸(含UPC#；IT/FR sorting label）</t>
  </si>
  <si>
    <t>日期码格式：ZURU INC(BVI) 标准格式 日期：按实际生产日期
Packaging Info: Amazon ES(92107B, 77555, 92104E, 77515, 71109D)
3. 77515：24pcs/ctn, no inner; MA 3L 收缩膜+3张贴纸(1张UPC#；1张IT/FR sorting label；1张ES回收环保标志）+MA 5L A配件袋+MA 5L A收藏指南+MA23L A警
示说明书+其他最新版MA包装+1张防伪贴纸(具体位置参考USA同款订单)；
6. 最迟验货不得晚于2024/9/24;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</si>
  <si>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Mandy Hu</t>
  </si>
  <si>
    <t>87699-9.26</t>
  </si>
  <si>
    <t>0854498595</t>
  </si>
  <si>
    <t>4500142771-40</t>
  </si>
  <si>
    <t>9/30 截SI  9-10月份首单</t>
  </si>
  <si>
    <t>日期码格式：ZURU DGYYYYMMDD CHINA(日期避开周末和法定节假日即可） 日期：按实际生产日期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carton出货，21pcs/PDQ/CTN</t>
  </si>
  <si>
    <t>87777-10.6</t>
  </si>
  <si>
    <t>0854498600</t>
  </si>
  <si>
    <t>4500142769-40</t>
  </si>
  <si>
    <t>9/29 截SI 9-10月份首单</t>
  </si>
  <si>
    <t>日期码格式：ZURU DGYYYYMMDD CHINA(日期避开周末和法定节假日即可） 日期：按实际生产日期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carton出货，21pcs/PDQ/CTN</t>
  </si>
  <si>
    <t>87776-10.6</t>
  </si>
  <si>
    <t>AMERICAN WHOLESALE BOOK CO. ,INC.</t>
  </si>
  <si>
    <t>4500141817-10</t>
  </si>
  <si>
    <t>9/24 截SI</t>
  </si>
  <si>
    <t>8/7 不可移价格贴纸</t>
  </si>
  <si>
    <t>日期码格式：ZURU INC(BVI) 标准格式 日期：按实际生产日期
Packaging Info: 1. MA, UPC版包装，优先1L + 不可移价格贴纸（77515GQ1）. 出口美国.
2. 77515GQ1, 价格贴纸资料跟单提供.
Remark: 3.产品和包装上需要印刷tracking code信息, 为ZURU常规格式.
4.ZURU QC 验货.
5.#77515GQ1: 13pcs/Gravity PDQ,52pcs/4PDQ/CTN.</t>
  </si>
  <si>
    <t>87628-9.24</t>
  </si>
  <si>
    <t>Toy Zone North Africa</t>
  </si>
  <si>
    <t>突尼斯</t>
  </si>
  <si>
    <t>4500143078-10</t>
  </si>
  <si>
    <t>10/21 截SI</t>
  </si>
  <si>
    <t>日期码格式：ZURU INC(BVI) 标准格式 日期：按实际生产日期
Packaging Info: 77515GQ2:MA 收缩膜（优先使用1L）+MA 说明书/指南（如有）+MA PDQ（如有）【优先使用1L】；无进口商贴纸
Remark: 标准配比</t>
  </si>
  <si>
    <t>87979-10.23</t>
  </si>
  <si>
    <t>6OCX357B</t>
  </si>
  <si>
    <t>4500140080-10</t>
  </si>
  <si>
    <t>9/27 交仓</t>
  </si>
  <si>
    <t>空白外箱（印最新Zuru Logo）</t>
  </si>
  <si>
    <t>8/1SSCC</t>
  </si>
  <si>
    <t>日期码格式：ZURU INC(BVI) 标准格式 日期：按实际生产日期
Packaging Info: MA 英语UPC 版本包装（首选1L，无1L才用多语含英语）+ 1张客供防伪贴纸（贴纸位置翻单4500124084）+ 纽扣电池警告语贴纸（说明书和包装上各1pcs, 贴纸和位
置图跟回KMART PO 4500121356).
Remark: 1. 此订单出澳大利亚，请按澳洲标准生产；
2.空白外箱（印最新Zuru Logo） + SSCC LABEL一张, 无箱唛.(SSCC LABEL贴在外箱正面的正中间，贴一面即可，跟单订购寄工厂；贴纸离外箱边距必须至少3CM。
每一张SSCC Label都是唯一且有不同流水及条码的,没有损耗,绝对不可以贴错，否则贴错或损坏一张会导致全部都错并造成罚款，千万要注意)
3. 收到SSCC 外箱条码贴纸之后，需要给QA检验 ，检验时需特别注意如下2 点：
①检查是否全部贴纸的条形码都能成功扫描，如果发现有扫不出来的，需抽出来发给我们，我们将会安排重订；
②检查所有贴纸，尤其是条形码部位是否有脏污渍，划伤，或是印刷不清晰的情况，导致也不能成功扫描，如果有检验到这样的贴纸，也需同样发给我们安排重订;
4. 订单必须经过ZURU QC验货并且通过后方可出货。</t>
  </si>
  <si>
    <t>87750-9.30</t>
  </si>
  <si>
    <t>SANBORN HERMANOS, S. A. DE C. V.</t>
  </si>
  <si>
    <t>4500143355-50</t>
  </si>
  <si>
    <t>9/5 进口商贴纸+UPC贴纸</t>
  </si>
  <si>
    <t>日期码格式：ZURU INC(BVI) 标准格式 日期：按实际生产日期
Packaging Info: 
77515GQ2：MA 1L UPC包装+MA 多语说明书+MA 5L 收藏指南+MA 3L PDQ+进口商贴纸+箱唛
Remark: 
77515GQ2: 3PCS AG13 Batteries(Include)</t>
  </si>
  <si>
    <t>87708-9.26</t>
  </si>
  <si>
    <t>77515GQ2-S001-1</t>
  </si>
  <si>
    <t>Babyhouse</t>
  </si>
  <si>
    <t>乌兹别克斯坦</t>
  </si>
  <si>
    <t>4500141936-20</t>
  </si>
  <si>
    <t>日期码格式：ZURU INC(BVI) 标准格式 日期：按实际生产日期
Packaging Info: 77515GQ1: MA 1L 收缩膜; MA指南/PDQ(如有); 无进口商贴纸;
Remark: 走欧洲，所有产品不能含有微塑料/闪粉！</t>
  </si>
  <si>
    <t>87862-10.12</t>
  </si>
  <si>
    <t>000034436943</t>
  </si>
  <si>
    <t>450014317-30</t>
  </si>
  <si>
    <t>10/8 交仓</t>
  </si>
  <si>
    <t>87793-10.8</t>
  </si>
  <si>
    <t>0854498609</t>
  </si>
  <si>
    <t>4500142773-40</t>
  </si>
  <si>
    <t>9/30BV</t>
  </si>
  <si>
    <t>10/14 截SI 9-10月份首单</t>
  </si>
  <si>
    <t>日期码格式：ZURU DGYYYYMMDD CHINA(日期避开周末和法定节假日即可） 日期：按实际生产日期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carton出货，21pcs/PDQ/CTN</t>
  </si>
  <si>
    <t>87908-10.16</t>
  </si>
  <si>
    <t>0854498598</t>
  </si>
  <si>
    <t>4500142774-40</t>
  </si>
  <si>
    <t>10/8 截SI 9-10月份首单</t>
  </si>
  <si>
    <t>日期码格式：ZURU DGYYYYMMDD CHINA(日期避开周末和法定节假日即可） 日期：按实际生产日期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PDQ，翻单：4500142765每pcs产品上要贴1张RFID贴纸，贴纸由ZURU提供，贴
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carton出货，21pcs/PDQ/CTN</t>
  </si>
  <si>
    <t>87876-10.14</t>
  </si>
  <si>
    <t>ZURU Germany GMBH</t>
  </si>
  <si>
    <t>4500143211-10</t>
  </si>
  <si>
    <t>77515-S003-MTS</t>
  </si>
  <si>
    <t xml:space="preserve"> NL 警语贴纸翻单131176</t>
  </si>
  <si>
    <t>日期码格式：ZURU INC(BVI) 标准格式 日期：按实际生产日期
Packaging Info: 77515：MA B 版3L(warning 5L)EAN 收缩膜+ NL 警语贴纸翻单4500131176+MA 收藏指南+ MA 23 L 说明书+ MA 配件袋
Remark: "1.荷兰内销单，需要通过ZURU 验货结果后才能出货 (工厂需要主动提前同ZURU QC预约验货避免延期出货造成不必要麻烦)；
2. 出口欧洲，所出口产品需要符合欧洲法规。
3.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</si>
  <si>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SD15</t>
  </si>
  <si>
    <t>87749-9.30</t>
  </si>
  <si>
    <t>4OE4MIIL</t>
  </si>
  <si>
    <t>4500141501-30</t>
  </si>
  <si>
    <t>日期码格式：ZURU INC(BVI) 标准格式 日期：按实际生产日期
Packaging Info: ZURU MA 1L
2.#77515 MA1L UPC版本，需要贴一张客供防伪帖纸，防伪贴纸跟单提供;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</si>
  <si>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87779-10.6</t>
  </si>
  <si>
    <t>4500141501</t>
  </si>
  <si>
    <t>72LJ65OM</t>
  </si>
  <si>
    <t>4500141501-40</t>
  </si>
  <si>
    <t>7DJNBPJY</t>
  </si>
  <si>
    <t>4500141501-50</t>
  </si>
  <si>
    <t>日期码格式：ZURU INC(BVI) 标准格式 日期：按实际生产日期
Packaging Info: ZURU MA 1L
3.#77516: 2PK #77515 入PVC圆筒。收藏指南用MA 5L. 3L不带UPC版收缩膜,3L 2PK铜版纸图稿跟返单4500134367。 （两个球的配比不能重复）。 收缩膜，铜版纸M
A 7/9已放。
Remark: 1.Amazon FOB订单，出口US。
2.日期码使用ZURU标准版本。邮包盒上要打日期码。
3.箱尺寸要求：外箱最长边不能超过25" （超过了，case pack只能为1），不符合要求的大货，一律不接受。
4.外箱箱唛要求：
①外箱正面印ZURU Logo+SSCC Label（客供贴纸，由跟单订购)。关于 SSCC Label 请注意：
SSCC Label 显示的是客人自己的item#。
SSCC Label 必须贴在外箱正面的正中间位置（贴一面即可），并且贴纸离外箱边距必须至少3cm(可以覆盖Logo&lt;(&gt;&amp;&lt;)&gt;箱唛)，否则会影响到客户那边仓库的扫描识
别。
每一张SSCC label 都是唯一且有不同流水及条码的，没有损耗，绝对不可贴错 。如果贴错或损坏任何一张，都会导致全部都错，千万要注意！
②外箱侧面印item#（订单上显示的SKU#)+carton size(以工厂实际尺寸为准,单位: inch) +MADE IN CHINA,日期使用ZURU 标准版本。
5.装柜要求：按照客户PO# 装柜/箱号顺序装柜，跟单会提前给到装柜计划。
在大货生产/仓库存放时，请留意该装柜要求，以便装柜时不混乱（避免装错/装漏/找不到货号等）。</t>
  </si>
  <si>
    <t>0854498611</t>
  </si>
  <si>
    <t>4500142775-40</t>
  </si>
  <si>
    <t>10/7 BV</t>
  </si>
  <si>
    <t>10/21 截SI  9-10月份首单</t>
  </si>
  <si>
    <t>87950-10.19</t>
  </si>
  <si>
    <t>0854498601</t>
  </si>
  <si>
    <t>4500142776-40</t>
  </si>
  <si>
    <t>10/14 BV</t>
  </si>
  <si>
    <t>10/18 10/28截SI 9-10月份首单</t>
  </si>
  <si>
    <t>88019-10.25</t>
  </si>
  <si>
    <t>4500142162-10</t>
  </si>
  <si>
    <t>10/15 截SI</t>
  </si>
  <si>
    <t>87886-10.15</t>
  </si>
  <si>
    <t>Marshalls
DC#881-168PCS
,
DC#884-108PCS
,
DC#886-192PCS
,
DC#887-168PCS
,
DC#888-168PCS</t>
  </si>
  <si>
    <t>4500144054-140</t>
  </si>
  <si>
    <t>要用MA 3L收缩膜加贴空白贴纸覆盖条码</t>
  </si>
  <si>
    <t>10/9 截SI</t>
  </si>
  <si>
    <t>9/5 客供价格贴纸</t>
  </si>
  <si>
    <t>日期码格式：ZURU INC(BVI) 标准格式 日期：按实际生产日期
Packaging Info: MA UPC包装+价格贴纸，价格贴纸客供。球的收缩膜用无条码版本或者加空白贴纸覆盖条码信息。
Remark: 1. 产品和包装上印刷tracking code信息，格式为ZURU常规格式。
2. 分5个DC出货，每款产品每个DC的箱唛资料不同。具体分DC数量，请参考后面行项目备注。
3. ZURU QC验货。</t>
  </si>
  <si>
    <t>87878-10.15</t>
  </si>
  <si>
    <t xml:space="preserve">  已入</t>
  </si>
  <si>
    <r>
      <rPr>
        <sz val="11"/>
        <color rgb="FF0000FF"/>
        <rFont val="Arial"/>
        <charset val="0"/>
      </rPr>
      <t>9/2</t>
    </r>
    <r>
      <rPr>
        <sz val="11"/>
        <color rgb="FF0000FF"/>
        <rFont val="宋体"/>
        <charset val="0"/>
      </rPr>
      <t>已放</t>
    </r>
  </si>
  <si>
    <t>TJ MAXX
DC#891-180PCS
,
DC#894-120PCS
,
DC#896-132PCS
,
DC#897-228PCS
,
DC#898-144PCS</t>
  </si>
  <si>
    <t>4500144055-140</t>
  </si>
  <si>
    <t>10/10 截SI</t>
  </si>
  <si>
    <t>87872-10.14</t>
  </si>
  <si>
    <t>YOYO LLC</t>
  </si>
  <si>
    <t>吉尔吉斯斯坦</t>
  </si>
  <si>
    <t>4500144539-10</t>
  </si>
  <si>
    <t>待SO出货</t>
  </si>
  <si>
    <t>日期码格式：ZURU INC(BVI) 标准格式 日期：按实际生产日期
Packaging Info: 1L MA收缩膜+MA 说明书/指南（如有）；MA PDQ（如有）；无进口商贴纸
Remark: 标准配比</t>
  </si>
  <si>
    <t>87936-10.18</t>
  </si>
  <si>
    <t>4500144056-140</t>
  </si>
  <si>
    <t>87930-10.18</t>
  </si>
  <si>
    <t>4500144057-140</t>
  </si>
  <si>
    <t>10/12 10/18 截SI</t>
  </si>
  <si>
    <t>87931-10.18</t>
  </si>
  <si>
    <t>4 Kidz Polska Sp. z o.o.</t>
  </si>
  <si>
    <t>4500139234-10</t>
  </si>
  <si>
    <t>10/11 出货</t>
  </si>
  <si>
    <t>7/26进口商贴纸</t>
  </si>
  <si>
    <t>日期码格式：ZURU INC(BVI) 标准格式 日期：按实际生产日期
Packaging Info: 77515GQ1:B 版1L MA 收缩膜+进口商贴纸；B 版 23L MA 说明书/A 版 5L MA 收藏指南/A 版 1L MA PDQ
Remark: 1、对于含有比例/配比的产品均是标准比例/配比
2、所有item 均用MA UPC 条码，若包装不是UPC 条码的请告知
3、此单出欧洲需满足EU测试标准要求</t>
  </si>
  <si>
    <t>87864-10.12</t>
  </si>
  <si>
    <t>4500142165-10</t>
  </si>
  <si>
    <t>87885-10.15</t>
  </si>
  <si>
    <t>4500143798-10</t>
  </si>
  <si>
    <t>10/14 截SI</t>
  </si>
  <si>
    <t>贴纸翻126734</t>
  </si>
  <si>
    <t>日期码格式：ZURU INC(BVI) 标准格式 日期：按实际生产日期
Packaging Info: 77515GQ2:MA 3L B版收缩膜+1张德国CALLOUT&lt;(&gt;&amp;&lt;)&gt;荷兰警告语贴纸翻4500126734+MA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</si>
  <si>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87873-10.14</t>
  </si>
  <si>
    <t>4500142720-70</t>
  </si>
  <si>
    <t>10/9 入仓</t>
  </si>
  <si>
    <t>9/25 外箱贴纸</t>
  </si>
  <si>
    <t>日期码格式：ZURU INC(BVI) 标准格式 日期：按实际生产日期
Packaging Info:
7.77515:MA英语UPC 版本包装 (优先1L，如无1L，可用3L),箱唛+外箱贴纸,此外77515含纽扣电池，包装跟说明书上需加电池警告语贴纸，贴纸及其位置图跟回 PO#4
500125613
Ratio:
77515GQ1:77515GQ1-S003:3PCS AG13 Batteries(Included);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</si>
  <si>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87861-10.12</t>
  </si>
  <si>
    <t>4500143374-20</t>
  </si>
  <si>
    <t>10/10 交仓</t>
  </si>
  <si>
    <t>87891-10.15</t>
  </si>
  <si>
    <t>4500143380-20</t>
  </si>
  <si>
    <t>87892-10.15</t>
  </si>
  <si>
    <t>N.V. DREAMLAND</t>
  </si>
  <si>
    <t>4500140409-10</t>
  </si>
  <si>
    <t>生产请注意：此单客户需要切换C版本纸袋和黑白说明，建议客人增加贴纸中</t>
  </si>
  <si>
    <t>9/5 NL 警语贴纸</t>
  </si>
  <si>
    <t>日期码格式：ZURU INC(BVI) 标准格式 日期：按实际生产日期
Packaging Info:
77515GQ6: MA B 版3L(warning 5L) EAN 收缩膜+ NL 警语贴纸，MA 5L A版收藏指南，MA B版 23L 说明书+贴纸，MA 5L B版配件袋+ 贴纸， MA 3L 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</si>
  <si>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87797-10.8</t>
  </si>
  <si>
    <t>4500143896-10</t>
  </si>
  <si>
    <t>10/23 截SI</t>
  </si>
  <si>
    <t>9/10价格贴纸客供</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</si>
  <si>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5 surprise 的LOGO 贴纸 （ ZURU 统一要求的）
8.收缩膜可使用标版带UPC条码MA，无需白色贴纸覆盖。</t>
  </si>
  <si>
    <t>87976-10.22</t>
  </si>
  <si>
    <t>4500143914-10</t>
  </si>
  <si>
    <t>9/26 外箱贴纸</t>
  </si>
  <si>
    <t>日期码格式：ZURU INC(BVI) 标准格式 日期：按实际生产日期
Packaging Info: 77515:MA英语UPC 版本包装 (优先1L，如无1L，可用3L),箱唛+外箱贴纸,此外77515含纽扣电池，包装跟说明书上需加电池警告语贴纸，贴纸及其位置图跟回 PO#450
0125613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
77515GQ1:3PCS AG13 Batteries(Included);</t>
  </si>
  <si>
    <t>87909-10.16</t>
  </si>
  <si>
    <t>4500144440-30</t>
  </si>
  <si>
    <t>10/16 交仓</t>
  </si>
  <si>
    <t>9/23 SSCC LABEL（客供贴纸)+纽扣电池警告语贴纸/防盗贴纸翻单121356</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</si>
  <si>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</si>
  <si>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87935-10.18</t>
  </si>
  <si>
    <t>4500144441-20</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</si>
  <si>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</si>
  <si>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87937-10.18</t>
  </si>
  <si>
    <t>4500143931-10</t>
  </si>
  <si>
    <t>11/7 截SI</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</si>
  <si>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77515SK: 包装正面和说明书都需要加电池警告语贴纸（法规要求），贴纸翻单PO#4500140727
Remark: 此订单出AKL
77515SK: 3PCS AG13 Batteries(Included)</t>
  </si>
  <si>
    <t>88164-11.7</t>
  </si>
  <si>
    <t>4500144401-10</t>
  </si>
  <si>
    <t>10/22 交仓</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</si>
  <si>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77515SK： 包装正面和说明书都需要加电池警告语贴纸（法规要求），贴纸翻单PO#4500140727
Remark: 此订单出LYT
77515SK: 3PCS AG13 Batteries(Included)</t>
  </si>
  <si>
    <t>87972-10.22</t>
  </si>
  <si>
    <t>4500143944-30</t>
  </si>
  <si>
    <t>10/24交仓</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</si>
  <si>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MINI BRANDS 的LOGO 贴纸 （ ZURU 统一要求的）
8.收缩膜可使用标版带UPC条码MA，无需白色贴纸覆盖。</t>
  </si>
  <si>
    <t>88006-10.24</t>
  </si>
  <si>
    <t>4500144474-10</t>
  </si>
  <si>
    <t>警告语贴纸翻126734</t>
  </si>
  <si>
    <t>Amber Zhang</t>
  </si>
  <si>
    <t>87959-10.21</t>
  </si>
  <si>
    <t>Amazon
DE-PO#5JDCYAG
I</t>
  </si>
  <si>
    <t>4500144611-30</t>
  </si>
  <si>
    <t>入仓10/28</t>
  </si>
  <si>
    <t>9/13 SSCC LABEL+2张贴纸(含UPC#；IT/FR sorting label）翻单142613</t>
  </si>
  <si>
    <t>日期码格式：ZURU INC(BVI) 标准格式 日期：按实际生产日期
Packaging Info: Amazon DE 9543BE/ 77515/ 77555
2. 77515: 24pcs/ctn, no inner; MA 3L 收缩膜+2张贴纸(含UPC#；IT/FR sorting label）+MA 5L A配件袋+MA 5L A收藏指南+MA23L A警示说明书+其他最新版MA包
装+1张防伪贴纸(具体位置参考USA同款订单);参考翻单PO#4500142613；
4. ZURU 验货最迟不得晚于2024/10/21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</si>
  <si>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88070-10.31</t>
  </si>
  <si>
    <t>Amazon
DE-PO#55XT5MP
E</t>
  </si>
  <si>
    <t>4500144611-50</t>
  </si>
  <si>
    <t>9/13SSCC LABEL)+2张贴纸(含UPC#；IT/FR sorting label）翻单142613</t>
  </si>
  <si>
    <t>VM INTERNATIONAL</t>
  </si>
  <si>
    <t>4500144677-20</t>
  </si>
  <si>
    <t>10/22 截SI</t>
  </si>
  <si>
    <t>日期码格式：ZURU INC(BVI) 标准格式 日期：按实际生产日期
Packaging Info: 1.ZURU 标准日期码格式，
2.无第三方测试和验货，ZURU 内部QC验货即可出货
Remark: 3. 优先 MA 1L UPC包装;
4. 纸箱印ZURU LOGO，出口美国；</t>
  </si>
  <si>
    <t>87962-10.21</t>
  </si>
  <si>
    <t>4500127224-20</t>
  </si>
  <si>
    <t>10/18 BV</t>
  </si>
  <si>
    <t>11/2 截SI</t>
  </si>
  <si>
    <t>88005-10.24</t>
  </si>
  <si>
    <t>4500145012-20</t>
  </si>
  <si>
    <t>10/30 截SI</t>
  </si>
  <si>
    <t>88064-10.30</t>
  </si>
  <si>
    <t>4500143970-30</t>
  </si>
  <si>
    <t>9/26 价格贴纸客供</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</si>
  <si>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5 surprise 的LOGO 贴纸 （ ZURU 统一要求的）
8.收缩膜可使用标版带UPC条码MA，无需白色贴纸覆盖。</t>
  </si>
  <si>
    <t>88040-10.29</t>
  </si>
  <si>
    <t>4500145189-20</t>
  </si>
  <si>
    <t>10、31 截SI</t>
  </si>
  <si>
    <t>10/8 客供价格贴纸</t>
  </si>
  <si>
    <t>日期码格式：ZURU INC(BVI) 标准格式 日期：按实际生产日期
Packaging Info: 
77515：MA B版3L 收缩膜+1*客供价格贴纸+MA B版配件袋+MA 23L 说明书+MA A版收藏指南
Remark: "1 此单出欧洲，需要无闪粉版本
2 此单需要在CRD当天传验货图片给客户确认才能出货。
3 需准时完成生产，推期出货会有罚款。"</t>
  </si>
  <si>
    <t>Winnie zhong</t>
  </si>
  <si>
    <t>88045-10.29</t>
  </si>
  <si>
    <t>Amazon ES:
43S32MNV</t>
  </si>
  <si>
    <t>4500145205-60</t>
  </si>
  <si>
    <t>11/11截SI</t>
  </si>
  <si>
    <t>UPC+IT/FR sorting label+ES回收环保标志1号翻单142613 9/23防伪贴纸+SSCC</t>
  </si>
  <si>
    <t>日期码格式：ZURU INC(BVI) 标准格式 日期：按实际生产日期
Packaging Info: Amazon ES(77555, 77612, 77584, 9548, 92104H, 77515)
6. 77515：24pcs/ctn, no inner; MA 3L 收缩膜+3张贴纸(1张UPC#，1张IT/FR sorting label，1张ES回收环保标志1号，参考翻单PO#4500142613）+MA 5L A配件袋
+MA 5L A收藏指南+MA23L A警示说明书+其他最新版MA包装+1张防伪贴纸(具体位置参考USA同款订单)；
7. 最迟验货不得晚于2024/10/29;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</si>
  <si>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88183-11.9</t>
  </si>
  <si>
    <t>Amazon
FR:63Q7AGJP</t>
  </si>
  <si>
    <t>4500145216-20</t>
  </si>
  <si>
    <t>待通知出货</t>
  </si>
  <si>
    <t>UPC+IT/FR sorting label+ES回收环保标志1号翻单142613 9/24 防伪贴纸+SSCC</t>
  </si>
  <si>
    <t>日期码格式：ZURU INC(BVI) 标准格式 日期：按实际生产日期
Packaging Info: Amazon FR(9548, 77515, 9279H)
2. 77515：24pcs/ctn, no inner; MA 3L 收缩膜+3张贴纸(1张UPC#，1张IT/FR sorting label，1张ES回收环保标志1号，参考翻单PO#4500142613）+MA 5L A配件袋
+MA 5L A收藏指南+MA23L A警示说明书+其他最新版MA包装+1张防伪贴纸(具体位置参考USA同款订单)；
4. 最迟验货不得晚于2024/10/28;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</si>
  <si>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88195-11.11</t>
  </si>
  <si>
    <t>4500144008-10</t>
  </si>
  <si>
    <t>11、11截SI</t>
  </si>
  <si>
    <t>88171-11.8</t>
  </si>
  <si>
    <t>4500145570-30</t>
  </si>
  <si>
    <t>12、11 截SI</t>
  </si>
  <si>
    <t>日期码格式：ZURU INC(BVI) 标准格式 日期：按实际生产日期
Packaging Info: MA 1 L包装+箱唛
Remark:</t>
  </si>
  <si>
    <t>88619-12.18</t>
  </si>
  <si>
    <t>01584959/1</t>
  </si>
  <si>
    <t>4500143459-10</t>
  </si>
  <si>
    <t>11/6 截SI</t>
  </si>
  <si>
    <t>日期码格式：ZURU INC(BVI) 标准格式 日期：按实际生产日期
Packaging Info: 77515GQ2：MA-3L包装配套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*涉及到硼的，请使用低硼版本
*每票货出货前需要提供shipment images 方能出货</t>
  </si>
  <si>
    <t>88127-11.5</t>
  </si>
  <si>
    <t>01584963/1</t>
  </si>
  <si>
    <t>4500143480-10</t>
  </si>
  <si>
    <t>88128-11.5</t>
  </si>
  <si>
    <t>TRU ASIA-THA</t>
  </si>
  <si>
    <t>泰国</t>
  </si>
  <si>
    <t>4500145310-60</t>
  </si>
  <si>
    <t>10/31 交仓</t>
  </si>
  <si>
    <t>9/29进口商贴纸+空白贴纸</t>
  </si>
  <si>
    <t>日期码格式：ZURU INC(BVI) 标准格式 日期：按实际生产日期
Packaging Info: MA UPC包装（优先1L)+1张进口商贴纸+1张空白贴纸盖住包装上的G Mark(确保空白贴纸厚度足够，不会透出字体，贴纸颜色请严格按照要求，避免色差）
贴纸AW、位置图待提供
Remark: 
77515-3PCS AG13 Batteries(Included)</t>
  </si>
  <si>
    <t>88076-10.31</t>
  </si>
  <si>
    <t>4500145752-10</t>
  </si>
  <si>
    <t>翻4500144871</t>
  </si>
  <si>
    <t>日期码格式：ZURU INC(BVI) 标准格式 日期：按实际生产日期
Packaging Info: MA 3L+ 5L warning EAN 版本包装+MA 23L 说明书+MA 5L 收藏指南+MA 5L 配件袋+MA 3L PDQ+一张法国/意大利/西班牙环保标贴纸（翻4500144871）；
Remark: 1.意大利国家内销单，需要通过ZURU 验货结果后才能出货 (工厂需要主动提前同ZURU QC预约验货避免延期出货造成不必要麻烦)；
2.德国市场不可以出军事车仔因法规要求(下Metal machine 这个品牌时需要注意此点);
*特定款有特殊外箱条码要求时,需要明确列出产品款对应的具体外箱条码号码/条码类型*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t>
  </si>
  <si>
    <t>88152-11.6</t>
  </si>
  <si>
    <t>PO#0037177992
ship to CHINO</t>
  </si>
  <si>
    <t>4500142845-10</t>
  </si>
  <si>
    <t xml:space="preserve">10/15号前 未出大货 样 </t>
  </si>
  <si>
    <t>11/5 待SO出货</t>
  </si>
  <si>
    <t>9/29 UPC贴纸 10/9UCC 贴纸</t>
  </si>
  <si>
    <t>日期码格式：ZURU INC(BVI) 标准格式 日期：按实际生产日期
Packaging Info: ZURU MA 1L 最新包装+ UPC贴纸.UPC文档跟单提供，工厂采购；出口美国；
77515GQ5&lt;(&gt;&amp;&lt;)&gt;77625GQ2&lt;(&gt;&amp;&lt;)&gt;25257&lt;(&gt;&amp;&lt;)&gt;71126：UPC文档跟单提供，工厂采购；
Remark: 1. 日期跟踪码：产品包装及产品本身都必须有日期跟踪码，并且确保两者的日期跟踪码要一致；ZURU标准格式日期码(请自行调整具体年月日生产期，但不能为周
末）。
2. 外箱贴纸：
外箱除了需要印刷箱唛外，还需额外加贴Packing Slip 和 UCC 贴纸 各一张
Packing Slip: 每款产品第一箱的外箱都需在1面正唛右上角处贴上Packing Slip（跟单提供资料；工厂用A4纸打印）,见箱唛资料详细内容。
UCC贴纸：每个外箱的1面正唛右下角需贴一张UCC贴纸，贴纸尺寸为4*6 inch, PDF文档跟单提供,工厂采购。
注意：Packing Slip 和 UCC 贴纸 需出现在同一面上
外箱上架贴纸；
请务必先发箱唛排版给跟单确认后再做印刷
* 因#77625GQ2 (MAKE-A-RACER) 有上架时间要求，需在外箱上加贴一张外箱贴纸提醒客户（贴纸资料跟单提供，工厂采购），贴纸尺寸可以根据外箱尺寸适当做调
整, 贴纸位于外箱侧面， 可以先按照最小的贴纸尺寸100*59mm做排版给跟单确认，排版上做虚线预留好贴纸的空间。
3. 需要提供ZURU QC验货图片及验货报告给客户才能放SO出货，请QC验货时尽可能拍详细的图片。
4. 需在10月15日前寄出2套大货样给客户确认才可出货.
5. 该订单包含2个客户PO，出1个DC,详细见订单最右边栏的remarks
PO#0037177992 ship to CHINO;
PO#0037181507 ship to CHINO;
6.出货配比：
#77515GQ5-S001-MINI BRANDS-MASTER CHEF MINI BRANDS-SERIES 1,21pcs/Gravity PDQ, 42pcs/CTN,No Inner,STD Color Assortment；</t>
  </si>
  <si>
    <t>88256-11.18</t>
  </si>
  <si>
    <t>4500142845-40</t>
  </si>
  <si>
    <t>4500142845-70</t>
  </si>
  <si>
    <t>PO#0037181507
ship to CHINO</t>
  </si>
  <si>
    <t>4500142845-100</t>
  </si>
  <si>
    <t>4500144795-10</t>
  </si>
  <si>
    <t>MEC309-777515GQ1-S001</t>
  </si>
  <si>
    <t>包装和外箱日期码请按2024年10月21号打，这样可以所有产品日期一致，按ZURU格式即可。</t>
  </si>
  <si>
    <t>11/4 截SI</t>
  </si>
  <si>
    <t>9/30EAN条码贴</t>
  </si>
  <si>
    <t>日期码格式：ZURU INC(BVI) 标准格式 日期：10-21-2024
Packaging Info: MEC309 : 104pcs一个展示架 ，展示架客版artwork,工厂自行订购展示架组装出货。
77559GQ1/77567GQ1/77555GQ1/77515GQ1 全套MA-1L 包装 ，每个球需要加贴一张客户EAN条码贴覆盖ZURU原条码，显示为客户的条码，外厂送货的产品会粘好条码
贴再送货 。
77567GQ1 Mega Gross Minis-S2,13pcs/Gravity PDQ, 一个展示架入2个PDQ
77555GQ1 Home Mini Brands S1,13pcs/Gravity PDQ,一个展示架入2个PDQ
77559GQ1 Botanical Garden S1,13pcs/Gravity PDQ ,一个展示架入2个PDQ
77515GQ1 Master Chef Mini Brands S1,13pcs/Gravity PDQ,一个展示架入2个PDQ
PDQ 里面的球原则上按ZURU 标准比例配送 ，如有疑问请与对应的客制PM 确认。
77559GQ1和77567GQ1 由泰亨配送
77555GQ1和77515GQ1 由兴信自行生产
展示架前挡板每个价格位需贴两个胶点，胶点需贴在12.5~14cm长度内的两端{客户价格贴大小 ：14.5x 4cm}
展示架头卡位右上角以及两侧面的右上角 ，也需加胶点 ，胶点分别落在A4 纸尺寸4个角落范围内 { 客户价格贴大小为A4 纸大小：210mm×297mm}
详细后面按图示添加 ，做大货前胶点位置必须由ZURU 跟单确认后方可做大货 （如未经复核直接做货，有问题需要返工由工厂承担），QC 验货一定要多加留意 ，
如未按要求加到目的地会被退货 。
为防止贴上去的胶点移位，需要在展示架包裹一层薄膜 ，需要拍照确认再安排。
做货订单按以下条码显示：
77567GQ1 ：5056296044742
77515GQ1 ：5056296044810
77555GQ1 ：5056296043035
77559GQ1 ：5056296044797
Remark: 订单必须经过ZURU QC验货并且通过后方可出货。
请务必准时交货，促销单延期会有巨额罚款。
包装和外箱日期码请按2024年10月21号打，这样可以所有产品日期一致，按ZURU格式即可。</t>
  </si>
  <si>
    <t>88358-11.26</t>
  </si>
  <si>
    <t>Amazon ES:
8JIUPOUZ</t>
  </si>
  <si>
    <t>4500146156-10</t>
  </si>
  <si>
    <t>11/16 入仓</t>
  </si>
  <si>
    <t>UPC+IT/FR sorting label+ES回收环保标志1号翻单142613 10/17 防伪贴纸，10/10 SSCC</t>
  </si>
  <si>
    <t>日期码格式：ZURU INC(BVI) 标准格式 日期：按实际生产日期
Packaging Info: Amazon ES(77515)
1. 77515：24pcs/ctn, no inner; MA 3L 收缩膜+3张贴纸(1张UPC#，1张IT/FR sorting label，1张ES回收环保标志1号，参考翻单PO#4500142613）+MA 5L A配件袋
+MA 5L A收藏指南+MA23L A警示说明书+其他最新版MA包装+1张防伪贴纸(具体位置参考USA同款订单)；
2. 最迟验货不得晚于2024/11/6;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</si>
  <si>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88266-11.19</t>
  </si>
  <si>
    <t>Amazon
UK:7AMQ96FV</t>
  </si>
  <si>
    <t>4500145236-30</t>
  </si>
  <si>
    <t>11、27 截SI</t>
  </si>
  <si>
    <t>UPC+IT/FR sorting label+ES回收环保标志1号翻单142613 10/8防伪贴纸+10/11SSCC</t>
  </si>
  <si>
    <t>日期码格式：ZURU INC(BVI) 标准格式 日期：按实际生产日期
Packaging Info: Amazon UK(77515, 92104H, 92105A, 92107E, 9279H)
1. 77515：24pcs/ctn, no inner; MA 3L 收缩膜+3张贴纸(1张UPC#，1张IT/FR sorting label，1张ES回收环保标志1号，参考翻单PO#4500142613）+MA 5L A配件袋
+MA 5L A收藏指南+MA23L A警示说明书+其他最新版MA包装+1张防伪贴纸(具体位置参考USA同款订单)；
6.最迟验货不得晚于2024/11/11;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</si>
  <si>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88372-11.27</t>
  </si>
  <si>
    <t>Amazon
UK:5UUQUV4S</t>
  </si>
  <si>
    <t>4500145236-60</t>
  </si>
  <si>
    <t>88345-11.26</t>
  </si>
  <si>
    <t>PO16866</t>
  </si>
  <si>
    <t>4500146219-50</t>
  </si>
  <si>
    <t>已出 样板</t>
  </si>
  <si>
    <t>11/23 截Si</t>
  </si>
  <si>
    <t>进口商信息贴纸+胶袋贴纸翻单141784</t>
  </si>
  <si>
    <t>日期码格式：ZURU INC(BVI) 标准格式 日期：按实际生产日期
Packaging Info:
77515GQ2: 最新MA 3L /EAN 收缩膜+ MA 23L 收藏指南+ MA 23L 说明书+ MA 5L 纸袋+ 进口商信息UV胶德语警语贴纸 (翻单：4500141784)+ WEEE说明书
每个PDQ装进1个透明胶袋里面，胶袋上加1pcs贴纸(翻单：4500141784)
Remark: "1. 出货前需提供验货图片，待客人确认OK后 才能出货
2.大货样品1套，请多备料
3. 出口欧洲微塑料需合规"</t>
  </si>
  <si>
    <t>88319-11.22</t>
  </si>
  <si>
    <t>4500144871-10</t>
  </si>
  <si>
    <t>11/20 出货</t>
  </si>
  <si>
    <t>9、14</t>
  </si>
  <si>
    <t>9/9 环保标贴纸</t>
  </si>
  <si>
    <t>日期码格式：ZURU INC(BVI) 标准格式 日期：按实际生产日期
Packaging Info: MA 3L+ 5L warning) EAN 版本包装+MA 23L 说明书+MA 5L 收藏指南+MA 5L 配件袋+MA 3L PDQ+一张法国/意大利/西班牙环保标贴纸；
Remark: "1.意大利国家内销单，需要通过ZURU 验货结果后才能出货 (工厂需要主动提前同ZURU QC预约验货避免延期出货造成不必要麻烦)；
2.德国市场不可以出军事车仔因法规要求(下Metal machine 这个品牌时需要注意此点);
*特定款有特殊外箱条码要求时,需要明确列出产品款对应的具体外箱条码号码/条码类型*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t>
  </si>
  <si>
    <t>88273-11.20</t>
  </si>
  <si>
    <t>4500146044-10</t>
  </si>
  <si>
    <t>客人确认可以接受MA 3L 包装，请按MA 3L 做货，另请用UPC 贴纸覆盖EAN 条码</t>
  </si>
  <si>
    <t>11、28 交仓</t>
  </si>
  <si>
    <t>10/21 价格贴纸客供+UPC空白贴纸</t>
  </si>
  <si>
    <t>日期码格式：ZURU INC(BVI) 标准格式 日期：按实际生产日期
Packaging Info: 1.ZURU MA 3L 收缩膜+3L客版铜版纸+PVC桶 + 客供价格贴纸，出口美国,收缩膜条码请用空白贴纸覆盖 。
Remark: 1.ZURU MA 3L 收缩膜+3L客版铜版纸+PVC桶 + 客供价格贴纸，出口美国,收缩膜条码请用空白贴纸覆盖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5 surprise 的LOGO 贴纸 （ ZURU 统一要求的）</t>
  </si>
  <si>
    <t>88385-11.28</t>
  </si>
  <si>
    <t>ASIA GOAL LIMITED TAIWAN BRANCH (H.</t>
  </si>
  <si>
    <t>台湾</t>
  </si>
  <si>
    <t>AG240256-TW</t>
  </si>
  <si>
    <t>4500148003-10</t>
  </si>
  <si>
    <t>11/15 待SO出货</t>
  </si>
  <si>
    <t>10、17</t>
  </si>
  <si>
    <t>10、17 客供警语贴纸</t>
  </si>
  <si>
    <t>日期码格式：ZURU INC(BVI) 标准格式 日期：按实际生产日期
Packaging Info: 77515GQ2：MA 1L PKG+1张警语贴纸贴球底部
Remark: 此单出台湾</t>
  </si>
  <si>
    <t>88255-11.18</t>
  </si>
  <si>
    <t>AG240247-HK</t>
  </si>
  <si>
    <t>4500147679-50</t>
  </si>
  <si>
    <t>11/18 客自提</t>
  </si>
  <si>
    <t>10/25 客供警语贴纸</t>
  </si>
  <si>
    <t>日期码格式：ZURU INC(BVI) 标准格式 日期：按实际生产日期
Packaging Info:
77515GQ2：MA 1L PKG+A版收藏指南+23L warning instruction+1L PDQ A版+客供警语贴纸
（一张贴球底部，一张贴收藏指南，一张贴warning instruction）+客供电池警语贴纸(贴顶部）
详情参考HK客供贴纸位置图
Remark: 此单出香港</t>
  </si>
  <si>
    <t>88277-11.20</t>
  </si>
  <si>
    <t>4500146703-20</t>
  </si>
  <si>
    <t>11/24 截SI</t>
  </si>
  <si>
    <t>警告语贴纸翻单4500128658+气味贴纸翻单4500125111</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</si>
  <si>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77515GQ1:MA EAN 3L + MA PDQ +1</t>
    </r>
    <r>
      <rPr>
        <sz val="11"/>
        <color rgb="FF0000FF"/>
        <rFont val="宋体"/>
        <charset val="0"/>
      </rPr>
      <t>张警告语贴纸</t>
    </r>
    <r>
      <rPr>
        <sz val="11"/>
        <color rgb="FF0000FF"/>
        <rFont val="Arial"/>
        <charset val="0"/>
      </rPr>
      <t>(</t>
    </r>
    <r>
      <rPr>
        <sz val="11"/>
        <color rgb="FF0000FF"/>
        <rFont val="宋体"/>
        <charset val="0"/>
      </rPr>
      <t>翻单</t>
    </r>
    <r>
      <rPr>
        <sz val="11"/>
        <color rgb="FF0000FF"/>
        <rFont val="Arial"/>
        <charset val="0"/>
      </rPr>
      <t>4500128658</t>
    </r>
    <r>
      <rPr>
        <sz val="11"/>
        <color rgb="FF0000FF"/>
        <rFont val="宋体"/>
        <charset val="0"/>
      </rPr>
      <t>）</t>
    </r>
    <r>
      <rPr>
        <sz val="11"/>
        <color rgb="FF0000FF"/>
        <rFont val="Arial"/>
        <charset val="0"/>
      </rPr>
      <t>+1</t>
    </r>
    <r>
      <rPr>
        <sz val="11"/>
        <color rgb="FF0000FF"/>
        <rFont val="宋体"/>
        <charset val="0"/>
      </rPr>
      <t>张收藏指南上的气味贴纸</t>
    </r>
    <r>
      <rPr>
        <sz val="11"/>
        <color rgb="FF0000FF"/>
        <rFont val="Arial"/>
        <charset val="0"/>
      </rPr>
      <t xml:space="preserve"> </t>
    </r>
    <r>
      <rPr>
        <sz val="11"/>
        <color rgb="FF0000FF"/>
        <rFont val="宋体"/>
        <charset val="0"/>
      </rPr>
      <t>（气味贴纸翻单</t>
    </r>
    <r>
      <rPr>
        <sz val="11"/>
        <color rgb="FF0000FF"/>
        <rFont val="Arial"/>
        <charset val="0"/>
      </rPr>
      <t>4500125111</t>
    </r>
    <r>
      <rPr>
        <sz val="11"/>
        <color rgb="FF0000FF"/>
        <rFont val="宋体"/>
        <charset val="0"/>
      </rPr>
      <t>）</t>
    </r>
    <r>
      <rPr>
        <sz val="11"/>
        <color rgb="FF0000FF"/>
        <rFont val="Arial"/>
        <charset val="0"/>
      </rPr>
      <t xml:space="preserve">
Remark: 
</t>
    </r>
    <r>
      <rPr>
        <sz val="11"/>
        <color rgb="FF0000FF"/>
        <rFont val="宋体"/>
        <charset val="0"/>
      </rPr>
      <t>工厂货号</t>
    </r>
    <r>
      <rPr>
        <sz val="11"/>
        <color rgb="FF0000FF"/>
        <rFont val="Arial"/>
        <charset val="0"/>
      </rPr>
      <t>77515GQ1-</t>
    </r>
    <r>
      <rPr>
        <sz val="11"/>
        <color rgb="FF0000FF"/>
        <rFont val="宋体"/>
        <charset val="0"/>
      </rPr>
      <t>客户货号</t>
    </r>
    <r>
      <rPr>
        <sz val="11"/>
        <color rgb="FF0000FF"/>
        <rFont val="Arial"/>
        <charset val="0"/>
      </rPr>
      <t>7223819-</t>
    </r>
    <r>
      <rPr>
        <sz val="11"/>
        <color rgb="FF0000FF"/>
        <rFont val="宋体"/>
        <charset val="0"/>
      </rPr>
      <t>彩盒条码</t>
    </r>
    <r>
      <rPr>
        <sz val="11"/>
        <color rgb="FF0000FF"/>
        <rFont val="Arial"/>
        <charset val="0"/>
      </rPr>
      <t>4894680032255-</t>
    </r>
    <r>
      <rPr>
        <sz val="11"/>
        <color rgb="FF0000FF"/>
        <rFont val="宋体"/>
        <charset val="0"/>
      </rPr>
      <t>外箱条码</t>
    </r>
    <r>
      <rPr>
        <sz val="11"/>
        <color rgb="FF0000FF"/>
        <rFont val="Arial"/>
        <charset val="0"/>
      </rPr>
      <t xml:space="preserve">10193052061031
2/ </t>
    </r>
    <r>
      <rPr>
        <sz val="11"/>
        <color rgb="FF0000FF"/>
        <rFont val="宋体"/>
        <charset val="0"/>
      </rPr>
      <t>配比：</t>
    </r>
    <r>
      <rPr>
        <sz val="11"/>
        <color rgb="FF0000FF"/>
        <rFont val="Arial"/>
        <charset val="0"/>
      </rPr>
      <t xml:space="preserve">
77515GQ1: </t>
    </r>
    <r>
      <rPr>
        <sz val="11"/>
        <color rgb="FF0000FF"/>
        <rFont val="宋体"/>
        <charset val="0"/>
      </rPr>
      <t>去掉香味款</t>
    </r>
    <r>
      <rPr>
        <sz val="11"/>
        <color rgb="FF0000FF"/>
        <rFont val="Arial"/>
        <charset val="0"/>
      </rPr>
      <t xml:space="preserve"> MASCM-S1-007</t>
    </r>
    <r>
      <rPr>
        <sz val="11"/>
        <color rgb="FF0000FF"/>
        <rFont val="宋体"/>
        <charset val="0"/>
      </rPr>
      <t>，调整比例出货，</t>
    </r>
    <r>
      <rPr>
        <sz val="11"/>
        <color rgb="FF0000FF"/>
        <rFont val="Arial"/>
        <charset val="0"/>
      </rPr>
      <t>10</t>
    </r>
    <r>
      <rPr>
        <sz val="11"/>
        <color rgb="FF0000FF"/>
        <rFont val="宋体"/>
        <charset val="0"/>
      </rPr>
      <t>款</t>
    </r>
    <r>
      <rPr>
        <sz val="11"/>
        <color rgb="FF0000FF"/>
        <rFont val="Arial"/>
        <charset val="0"/>
      </rPr>
      <t xml:space="preserve">MINI </t>
    </r>
    <r>
      <rPr>
        <sz val="11"/>
        <color rgb="FF0000FF"/>
        <rFont val="宋体"/>
        <charset val="0"/>
      </rPr>
      <t>尽量平均分配</t>
    </r>
    <r>
      <rPr>
        <sz val="11"/>
        <color rgb="FF0000FF"/>
        <rFont val="Arial"/>
        <charset val="0"/>
      </rPr>
      <t xml:space="preserve">
3/ </t>
    </r>
    <r>
      <rPr>
        <sz val="11"/>
        <color rgb="FF0000FF"/>
        <rFont val="宋体"/>
        <charset val="0"/>
      </rPr>
      <t>产品和包装要求无硼无香，包装不能含有</t>
    </r>
    <r>
      <rPr>
        <sz val="11"/>
        <color rgb="FF0000FF"/>
        <rFont val="Arial"/>
        <charset val="0"/>
      </rPr>
      <t xml:space="preserve">PVC
4/ </t>
    </r>
    <r>
      <rPr>
        <sz val="11"/>
        <color rgb="FF0000FF"/>
        <rFont val="宋体"/>
        <charset val="0"/>
      </rPr>
      <t>如有微塑料，必须合规欧洲标准，闪粉也是微塑料的一种，目前仅接受三张方式</t>
    </r>
    <r>
      <rPr>
        <sz val="11"/>
        <color rgb="FF0000FF"/>
        <rFont val="Arial"/>
        <charset val="0"/>
      </rPr>
      <t>1.</t>
    </r>
    <r>
      <rPr>
        <sz val="11"/>
        <color rgb="FF0000FF"/>
        <rFont val="宋体"/>
        <charset val="0"/>
      </rPr>
      <t>去除，</t>
    </r>
    <r>
      <rPr>
        <sz val="11"/>
        <color rgb="FF0000FF"/>
        <rFont val="Arial"/>
        <charset val="0"/>
      </rPr>
      <t>2.</t>
    </r>
    <r>
      <rPr>
        <sz val="11"/>
        <color rgb="FF0000FF"/>
        <rFont val="宋体"/>
        <charset val="0"/>
      </rPr>
      <t>用可降解材料，和</t>
    </r>
    <r>
      <rPr>
        <sz val="11"/>
        <color rgb="FF0000FF"/>
        <rFont val="Arial"/>
        <charset val="0"/>
      </rPr>
      <t xml:space="preserve">3. </t>
    </r>
    <r>
      <rPr>
        <sz val="11"/>
        <color rgb="FF0000FF"/>
        <rFont val="宋体"/>
        <charset val="0"/>
      </rPr>
      <t>永久封印在固体。</t>
    </r>
    <r>
      <rPr>
        <sz val="11"/>
        <color rgb="FF0000FF"/>
        <rFont val="Arial"/>
        <charset val="0"/>
      </rPr>
      <t xml:space="preserve">
5/ </t>
    </r>
    <r>
      <rPr>
        <sz val="11"/>
        <color rgb="FF0000FF"/>
        <rFont val="宋体"/>
        <charset val="0"/>
      </rPr>
      <t>此订单有第三方验货</t>
    </r>
    <r>
      <rPr>
        <sz val="11"/>
        <color rgb="FF0000FF"/>
        <rFont val="Arial"/>
        <charset val="0"/>
      </rPr>
      <t>, 77515</t>
    </r>
    <r>
      <rPr>
        <sz val="11"/>
        <color rgb="FF0000FF"/>
        <rFont val="宋体"/>
        <charset val="0"/>
      </rPr>
      <t>验货样请用</t>
    </r>
    <r>
      <rPr>
        <sz val="11"/>
        <color rgb="FF0000FF"/>
        <rFont val="Arial"/>
        <charset val="0"/>
      </rPr>
      <t>4500128658</t>
    </r>
  </si>
  <si>
    <t>88315-11.22</t>
  </si>
  <si>
    <t>4500147334-20</t>
  </si>
  <si>
    <t>11/25第三方</t>
  </si>
  <si>
    <t>Hold</t>
  </si>
  <si>
    <t>12/2 截SI</t>
  </si>
  <si>
    <t>贴纸翻单135247</t>
  </si>
  <si>
    <t>日期码格式：ZURU INC(BVI) 标准格式 日期：按实际生产日期
Packaging Info:
77515: MA 1L 收缩膜+EAN条码贴纸+德语警语贴纸+MA 5L配件袋+德语警告语贴纸+MA 5L 收藏指南/说明书(资料翻单#4500135247)
Remark: 1.此单出欧洲要求：微塑料需符合法规，电池符合欧洲法规要求(如有)
2. 此客户要求：化学品无硼无香。
3. 外箱上下需加保护卡，以防开箱时产品被划破。（保护卡需要时整面）
4. 此单在出货前3周提供大货样品给Rossmann德国客人安排第三方验货。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9.此单出德国 。</t>
  </si>
  <si>
    <t>88424-12.2</t>
  </si>
  <si>
    <t>4500148250-30</t>
  </si>
  <si>
    <t>12/1预计截SI</t>
  </si>
  <si>
    <t>收藏指南上的气味贴纸（翻单4500125111） +10、29进口商贴纸</t>
  </si>
  <si>
    <t>日期码格式：ZURU INC(BVI) 标准格式 日期：按实际生产日期
Packaging Info:
77515GQ2：MA 3L EAN包装+收藏指南 贴纸（翻单4500125111） +1进口商贴纸 + MA 3L PDQ
Remark: 1/ 产品信息+配比：
77515GQ2: 去掉香味款 MASCM-S1-007，调整比例出货，10款MINI 尽量平均分配
2/ 产品和包装要求无硼无香，包装不能含有PVC
3/ 如有微塑料，必须合规欧洲标准，闪粉也是微塑料的一种，目前仅接受三张方式1.去除，2.用可降解材料，和3. 永久封印在固体。
4/ 如带电池出货，请注意电池标志需要符合欧洲新规(EU) 2023-1542</t>
  </si>
  <si>
    <t>88489-12.6</t>
  </si>
  <si>
    <t>Meijer客户PO2
16323650</t>
  </si>
  <si>
    <t>4500144981-20</t>
  </si>
  <si>
    <t>12/4 截SI</t>
  </si>
  <si>
    <t>9、13 UPC贴纸</t>
  </si>
  <si>
    <t>日期码格式： 标准格式 日期：按实际生产日期
Packaging Info: 1. MA 1L 包装
2. 客人指定箱唛排版
3. 77515GQ1可使用MA 3L库存，EAN条码需用UPC贴纸覆盖
Remark: 出货前 Zuru QC 验货</t>
  </si>
  <si>
    <t>Minny Peng</t>
  </si>
  <si>
    <t>88507-12.6</t>
  </si>
  <si>
    <t>Meijer客户PO2
16323645</t>
  </si>
  <si>
    <t>4500145013-20</t>
  </si>
  <si>
    <t>12/3 截SI</t>
  </si>
  <si>
    <t>88459-12.4</t>
  </si>
  <si>
    <t>ZMPO24801</t>
  </si>
  <si>
    <t>只需77198的白色空球，只需用外面透明收缩膜压缩就好，不需要彩色收缩膜</t>
  </si>
  <si>
    <t xml:space="preserve">Angus </t>
  </si>
  <si>
    <t>4500147239-10</t>
  </si>
  <si>
    <t>11、/22前交仓</t>
  </si>
  <si>
    <t>10/11 UPC贴纸</t>
  </si>
  <si>
    <t>日期码格式：ZURU INC(BVI) 标准格式 日期：按实际生产日期
Packaging Info: MA 多语 EAN+UPC贴纸包装，UPC号码193052061034
Remark: "出加拿大
Zuru验货.日期跟踪码：产品外包装及产品本身都必须有日期跟踪码，ZURU标准格式日期码"</t>
  </si>
  <si>
    <t>88272-11.20</t>
  </si>
  <si>
    <t>4500122571-10</t>
  </si>
  <si>
    <t>多备1套样板 监柜</t>
  </si>
  <si>
    <t>有干燥剂</t>
  </si>
  <si>
    <t>8/12 贴纸+保证书</t>
  </si>
  <si>
    <t>日期码格式：LOTDGYYYYMMDD 日期：按实际生产日期
Packaging Info: 77515GQ2：MA 3L 包装+UPC条码贴纸+MA 3L PDQ+MA 5L收藏指南+MA 23L Warning instruction+进口商贴纸+保证书+箱唛
Remark: 1. 77515GQ2：11 assortment have the same ratio；3PCS AG13 Batteries(Include)
2. 此单有第三方监柜，
3. 此单每款要多备1套样板随大货送去监柜
4. WM墨西哥防霉的新要求:货物必须在出货主箱和集装箱中按要求放置干燥剂。
此单#77515GQ2每箱需要放置6小包干燥剂
每包干燥剂重量2-3g。请拍照确认。
如走柜货等loading plan 确认后再通知购买挂在货柜上的干燥剂
如果走散货，由货代在集装箱代放干燥劑
5. 客版日期码格式要求：LOT+ZURU标准日期码格式。东莞生产的格式：LOTDGYYYYMMDD,DG是东莞拼写首字母，YYYYMMDD是实际的年月日，例如(LOTDG20240920)</t>
  </si>
  <si>
    <t>88396-11.30</t>
  </si>
  <si>
    <t>4500147955-20</t>
  </si>
  <si>
    <t>按MA 3L 包装， 用UPC贴纸覆盖EAN 条码</t>
  </si>
  <si>
    <t>11/4 客供价格贴纸+10/21 UPC贴纸</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</si>
  <si>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6.收缩膜可使用标版带UPC条码MA，无需白色贴纸覆盖。
7.#77516 用3L包装，UPC贴纸覆盖EAN条码</t>
  </si>
  <si>
    <t>88394-11.29</t>
  </si>
  <si>
    <t>4500148281-10</t>
  </si>
  <si>
    <t>日期码格式：ZURU INC(BVI) 标准格式 日期：按实际生产日期
Packaging Info: 1. 包材：ZURU 最新 MA UPC 1L 版本，出口美国;
Remark: 2.日期跟踪码：产品包装及产品本身都必须有日期跟踪码，并且确保两者的日期跟踪码要一致；ZURU标准格式日期码(请自行调整具体年月日生产期，但不能为末 ）
。
3. 出货配比：ZURU 标版配比</t>
  </si>
  <si>
    <t>88398-11.30</t>
  </si>
  <si>
    <t>4500148687-1
：FB12147</t>
  </si>
  <si>
    <t>4500148687-20</t>
  </si>
  <si>
    <t>条码贴翻订单4500144795</t>
  </si>
  <si>
    <t>日期码格式：ZURU INC(BVI) 标准格式 日期：按实际生产日期
Packaging Info: 77515GQ1：MA最新1L配套包装+客户EAN条码贴一张覆盖ZURU 原条码，条码按订单显示为准 ，请先检查包装条码是否正确再安排做货。条码贴翻订单4500144795。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(不用ZURU条码，使用客户提供的50开头EAN条码)，请安排生产前先核对 ，有问题请提出。
*所有产品按符合欧洲标准走货，需要是不含微塑料版本 。
*涉及到硼的，如可选择情况下应使用低硼版本 （slime 类别低硼一般低于300ppm)，无选择的应与跟单复核再安排</t>
  </si>
  <si>
    <t>88783-12.30</t>
  </si>
  <si>
    <t>4500148687-2
：FB12111</t>
  </si>
  <si>
    <t>4500148687-70</t>
  </si>
  <si>
    <t>2025ZURU05</t>
  </si>
  <si>
    <t>4500148922-50</t>
  </si>
  <si>
    <t>12/9截SI</t>
  </si>
  <si>
    <t>10/28UPC贴纸</t>
  </si>
  <si>
    <t>日期码格式： 标准格式 日期：按实际生产日期
Packaging Info:77515GQ6 MA 多语EAN+UPC贴纸UPC号码193052061034
Remark: "出加拿大
Zuru验货.日期跟踪码：产品外包装及产品本身都必须有日期跟踪码，ZURU标准格式日期码"</t>
  </si>
  <si>
    <t>88480-12.5</t>
  </si>
  <si>
    <t>4500148922-190</t>
  </si>
  <si>
    <t>10/21 UPC贴纸</t>
  </si>
  <si>
    <t>日期码格式： 标准格式 日期：按实际生产日期
Packaging Info:77515SK1 客版UPC贴纸 MA 多语EAN+UPC贴纸UPC号码193052077578
Remark: "出加拿大
Zuru验货.日期跟踪码：产品外包装及产品本身都必须有日期跟踪码，ZURU标准格式日期码"</t>
  </si>
  <si>
    <t>4500149216-70</t>
  </si>
  <si>
    <t>环保标贴纸 （翻4500124462）</t>
  </si>
  <si>
    <t>日期码格式：ZURU INC(BVI) 标准格式 日期：按实际生产日期
Packaging Info:7. 77515：最新MA 3L+5L warning EAN收缩膜+一张法国环保标贴纸 （翻4500124462）+ MA 23L 说明书+MA PDQ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</si>
  <si>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</si>
  <si>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88561-12.12</t>
  </si>
  <si>
    <t>4500147832-20</t>
  </si>
  <si>
    <t>12/8 截SI</t>
  </si>
  <si>
    <t>警告语贴纸(翻单PO 4500131147)+收藏指南贴纸(翻单4500125111)</t>
  </si>
  <si>
    <t>日期码格式：ZURU INC(BVI) 标准格式 日期：按实际生产日期
Packaging Info: 
77515GQ1-3L EAN包装+警告语贴纸(翻单PO 4500131147)+收藏指南贴纸(翻单4500125111)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77515GQ1-Remove MASCM-S1-007; 3PCS AG13 Batteries(Included)
7, Item-EAN
77515GQ1S 4894680032255</t>
  </si>
  <si>
    <t>SD50</t>
  </si>
  <si>
    <t>88537-12.11</t>
  </si>
  <si>
    <t>4500147832-30</t>
  </si>
  <si>
    <t>警告语贴纸((翻单PO 4500131147)+收收藏指南贴纸(翻单4500125111)</t>
  </si>
  <si>
    <t>日期码格式：ZURU INC(BVI) 标准格式 日期：按实际生产日期
Packaging Info: 
77515GQ2-3L EAN包装+警告语贴纸((翻单PO 4500131147)+收收藏指南贴纸(翻单4500125111)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77515GQ2-3PCS AG13 Batteries(Included)
7, Item-EAN
77515GQ2 4894680032255</t>
  </si>
  <si>
    <t>PO#0000366918
18</t>
  </si>
  <si>
    <t>4500149379-10</t>
  </si>
  <si>
    <t>12/10 交仓</t>
  </si>
  <si>
    <t>88536-12.11</t>
  </si>
  <si>
    <t>SUPERCENTER</t>
  </si>
  <si>
    <t>4500147888-60</t>
  </si>
  <si>
    <t>有第三方监柜，至少多备一套完整的物料用于监柜</t>
  </si>
  <si>
    <t>12/9 截SI 客版日期码要求：LOT+ZURU标准日期码格式</t>
  </si>
  <si>
    <t>UPC条码贴纸+进口商贴纸+保证书翻单PO4500122571</t>
  </si>
  <si>
    <t>日期码格式：LOTDGYYYYMMDD 日期：按实际生产日期
Packaging Info:4. 77515GQ2：MA 3L EAN包装+UPC条码贴纸+MA 3L PDQ包装+MA 多语收藏指南+进口商贴纸+箱唛+保证书，产品/包装/说明书上各贴1张进口商贴纸， 贴纸和保证书
文档翻单PO4500122571
13.77515GQ2通用一份保证书文档
Remark: 1. 客版日期码要求：LOT+ZURU标准日期码格式。东莞生产的格式：LOTDGYYYYMMDD, DG是东莞拼音首字母，
YYYYMMDD是实际的年月日，例如(LOTDG20240920)
2.77515GQ2:3PCS AG13 Batteries(Include)
4. 此单有第三方监柜，至少多备一套完整的物料用于监柜，请多备料。
5.WM墨西哥防霉的新要求:货物必须在出货主箱和集装箱中按要求放置干燥剂，干燥剂指定品牌干霸
77515GQ2: 需要在每箱放入6小包干燥剂，每包干燥剂重量2-3g
如走柜货等loading plan 确认后再通知集装箱干燥剂数量
此单兴信将安排5*40HC，每个40HC需要放置10包干燥剂，每包干燥剂1KG</t>
  </si>
  <si>
    <t>88519-12.9</t>
  </si>
  <si>
    <t>4500148506-10</t>
  </si>
  <si>
    <t>12/12交仓</t>
  </si>
  <si>
    <t>11、19客供价格贴纸+空白贴纸</t>
  </si>
  <si>
    <t>日期码格式：ZURU INC(BVI) 标准格式 日期：按实际生产日期
Packaging Info: 1.ZURU MA 3L 收缩膜+客版铜版纸+PVC桶 + 客供价格贴纸，出口美国
Remark: 1.ZURU MA 3L 收缩膜+客版铜版纸+PVC桶 + 客供价格贴纸，出口美国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5 surprise 的LOGO 贴纸 （ ZURU 统一要求的）
8.收缩膜请使用空白贴纸覆盖</t>
  </si>
  <si>
    <t>88562-12.12</t>
  </si>
  <si>
    <t>4500149082-20</t>
  </si>
  <si>
    <t>12、25 截SI</t>
  </si>
  <si>
    <t>10、25</t>
  </si>
  <si>
    <t>进口商贴纸（翻PO-4500141924）+11/7蓝色logo贴纸+11/6西班牙回收贴纸</t>
  </si>
  <si>
    <t>日期码格式：LOTE:30-20241130(位置不够可以分两行，记得加上城市代码） 日期：2024/11/30
Packaging Info:77515GQ1:最新MA PDQ + 最新MA 3L包装 + 进口商贴纸（翻PO-4500141924）+ 蓝色logo贴纸（产品和PDQ都需要进口商贴纸和logo贴纸）+ 西班牙回收贴纸（1类-含纸和塑料）
Remark: 1. 出口欧洲，微塑料需符合法规；标准配比；
2. 包装上的日期码请打为：LOTE: 30-20241130（注意也需要加上城市代码）；
3. 产品和外箱不用打客户的批次码，正常打工厂的码就可以；</t>
  </si>
  <si>
    <t>88710-12.25</t>
  </si>
  <si>
    <t>PO#2698213-SK
U#143951575</t>
  </si>
  <si>
    <t>4500149887-10</t>
  </si>
  <si>
    <t>12/6 截SI</t>
  </si>
  <si>
    <t>11/22UPC贴纸</t>
  </si>
  <si>
    <t>日期码格式：ZURU INC(BVI) 标准格式 日期：按实际生产日期
Packaging Info: -77515GQ1: 收缩膜和PDQ 用3L 版本+UPC贴纸，其他通用版本ok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</si>
  <si>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Zoe Chen</t>
  </si>
  <si>
    <t>88534-12.10</t>
  </si>
  <si>
    <t>4500149297-50</t>
  </si>
  <si>
    <t>12/11 交仓</t>
  </si>
  <si>
    <t>11/18 SSCC LABEL（客供贴纸)+纽扣电池警告语贴纸/防盗贴纸翻单121356</t>
  </si>
  <si>
    <t>日期码格式：ZURU INC(BVI) 标准格式 日期：按实际生产日期
Packaging Info:77515GQ1:MA英语UPC版本包装（收缩膜和说明书,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</si>
  <si>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88560-12.12</t>
  </si>
  <si>
    <t>CUS
PO#47771185 -
SYD</t>
  </si>
  <si>
    <t>4500151367-10</t>
  </si>
  <si>
    <t>产品和包装上的日期码一致</t>
  </si>
  <si>
    <t>12/15 截SI</t>
  </si>
  <si>
    <t>日期码格式：ZURU INC(BVI) 标准格式 日期：按实际生产日期
Packaging Info: 1. 包装(MA UPC 包装,1L 3L都可接受）
77515GQ1:MA UPC PKG+2张电池警告语贴纸带进口商信息（分别贴在包装正面和说明书上）, 贴纸翻单4500122443；3PCS AG13 Batteries(Include)
2. 进口商贴纸上已经去掉日期码，产品和包装上的日期码一致，请按要求在包装上打日期码（进口商贴纸不覆盖日期码）
3. 原指定日期码DDMMYY可改用ZURU标准日期码
Remark: 1.共出4港口(SYD,BNE,MEL,FRE)， 不同港口数量信息请见订单行项目，并请参考箱唛资料，港口不同，箱唛资料也不同；
2. 箱唛不可出现任何手写内容（箱数除外），重量与实际一致且不可手写
3.此单出澳大利亚，请按澳洲标准生产并满足当地法规要求
4.出无闪粉版本，需符合欧洲微塑料法规</t>
  </si>
  <si>
    <t>Christine Liao</t>
  </si>
  <si>
    <t>88613-12.17</t>
  </si>
  <si>
    <t>CUS
PO#47771186 -
BNE</t>
  </si>
  <si>
    <t>4500151367-20</t>
  </si>
  <si>
    <t>12/17 截SI</t>
  </si>
  <si>
    <t>CUS
PO#47771187 -
MEL</t>
  </si>
  <si>
    <t>4500151367-30</t>
  </si>
  <si>
    <t>12/12 截SI</t>
  </si>
  <si>
    <t>88552-12.11</t>
  </si>
  <si>
    <t>CUS
PO#47771188 -
FRE</t>
  </si>
  <si>
    <t>4500151367-40</t>
  </si>
  <si>
    <t>12/13入仓</t>
  </si>
  <si>
    <t>88575-12.13</t>
  </si>
  <si>
    <t>4500150993-20</t>
  </si>
  <si>
    <t>12/16 交仓</t>
  </si>
  <si>
    <t>11、21</t>
  </si>
  <si>
    <t>年龄贴翻单</t>
  </si>
  <si>
    <t>日期码格式：ZURU INC(BVI) 标准格式 日期：按实际生产日期
Packaging Info: 物料要求 SKU 所有款号务必使用带有CCC 标识的AW 翻单：
2 77515GQ1 MA PDQ +外挂中文收藏指南+中文收藏指南(每一款都不同)+警告语+收缩膜年龄贴（8+） 翻单： 4500135501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</si>
  <si>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88576-12.13</t>
  </si>
  <si>
    <t>ESAL ENTERPRISES FZC</t>
  </si>
  <si>
    <t>沙特阿拉伯</t>
  </si>
  <si>
    <t>4500148916-80</t>
  </si>
  <si>
    <t>77515GQ5-S001-STC</t>
  </si>
  <si>
    <t>10号球的吸塑盒上的pork loin mini产品贴纸删掉pork loin字样 额外+书纸</t>
  </si>
  <si>
    <t>12/23 截SI</t>
  </si>
  <si>
    <t>进口商贴纸翻4500128286</t>
  </si>
  <si>
    <t>日期码格式：ZURU INC(BVI) 标准格式 日期：按实际生产日期
Packaging Info: 77515GQ5： 1L MA包装（含G Mark)+进口商贴纸(含QR code, 阿拉伯警语); 贴纸上的QR code需微信可扫，扫描结果64429；客版指南翻4500128286；客版产品贴纸（删掉pork loin）单词翻4500148906；MA说明书+额外书纸翻4500128286;3L MA PDQ, PDQ也需要进口商贴纸翻4500128286
Remark: 77515:3PCS AG13 Batteries (included)
pork loin mini的产品贴纸删掉pork loin字样</t>
  </si>
  <si>
    <t>88651-12.19</t>
  </si>
  <si>
    <t>4500148906-150</t>
  </si>
  <si>
    <t>12/22 截SI</t>
  </si>
  <si>
    <t>日期码格式：ZURU INC(BVI) 标准格式 日期：
Packaging Info:77515GQ5： 1L MA包装（含G Mark)+进口商贴纸(含QR code, 阿拉伯警语); 贴纸上的QR code需微信可扫，扫描结果64429；客版指南翻4500128286；客版产品贴纸（删掉pork loin）单词；MA说明书+额外书纸翻4500128286;3L MA PDQ,3L MA展示架，PDQ和展示架也需要进口商贴纸翻4500128286
Remark:77515GQ5:3PCS AG13 Batteries (included)
pork loin mini的产品贴纸删掉pork loin字样</t>
  </si>
  <si>
    <t>88731-12.26</t>
  </si>
  <si>
    <t>4500148906-160</t>
  </si>
  <si>
    <t>77515SK-S002-STC</t>
  </si>
  <si>
    <t>日期码格式：ZURU INC(BVI) 标准格式 日期：
Packaging Info:77515SK： 1L MA包装（含G Mark)+进口商贴纸(含QR code, 阿拉伯警语); 贴纸上的QR code需微信可扫，扫描结果64429；客版指南翻4500128286；客版产品贴纸（删掉pork loin）单词；MA说明书+额外书纸翻4500128286;3L MA PDQ,3L MA展示架，PDQ和展示架也需要进口商贴纸翻4500128286
Remark: 77515SK:77515:3PCS AG13 Batteries (included)
pork loin mini的产品贴纸删掉pork loin字样</t>
  </si>
  <si>
    <t>卡塔尔</t>
  </si>
  <si>
    <t>4500148795-160</t>
  </si>
  <si>
    <t>日期码格式：ZURU INC(BVI) 标准格式 日期：按实际生产日期
Packaging Info: 77515GQ5： 1L MA包装（含G Mark)+进口商贴纸(含QR code, 阿拉伯警语); 贴纸上的QR code需微信可扫，扫描结果64429；客版指南翻4500128286；客版产品贴纸（删掉pork loin）单词；MA说明书+额外书纸翻4500128286;3L MA PDQ, 3L MA展示架，PDQ和展示架也需要进口商贴纸翻4500128286
Remark:77515GQ5:3PCS AG13 Batteries (included)pork loin mini的产品贴纸删掉pork loin字样</t>
  </si>
  <si>
    <t>88660-12.20</t>
  </si>
  <si>
    <t>4500148795-170</t>
  </si>
  <si>
    <t>日期码格式：ZURU INC(BVI) 标准格式 日期：按实际生产日期
Packaging Info: 77515SK： 1L MA包装（含G Mark)+进口商贴纸(含QR code, 阿拉伯警语); 贴纸上的QR code需微信可扫，扫描结果64429；客版指南翻4500128286；客版产品贴纸（删掉pork loin）单词；MA说明书+额外书纸翻4500128286;3L MA PDQ, 3L MA展示架，PDQ和展示架也需要进口商贴纸翻4500128286
Remark:77515SK：3PCS AG13 Batteries (included)pork loin mini的产品贴纸删掉pork loin字样</t>
  </si>
  <si>
    <t>PO#0000360737
17</t>
  </si>
  <si>
    <t>4500149379-20</t>
  </si>
  <si>
    <t>12/23 交仓</t>
  </si>
  <si>
    <t>88682-12.22</t>
  </si>
  <si>
    <t>DD’S DISCOUNTS</t>
  </si>
  <si>
    <t>4500150165-20</t>
  </si>
  <si>
    <t>12/23交仓</t>
  </si>
  <si>
    <t>空白贴纸+11/20 价格贴纸</t>
  </si>
  <si>
    <t>日期码格式：ZURU INC(BVI) 标准格式 日期：按实际生产日期
Packaging Info:2.#77516请使用 MA 3L 收缩膜，并使用空白贴纸覆盖EAN条码
Remark: 1.价格贴纸位于包装正面右下角，不挡住重要信息即可，可适当调整
，价格贴纸由跟单提供。
2.标准日期码格式，产品和包装必须有日期码 。
3.同个产品同个货期不可出现不同的包装。
4. 跟单提供ROSS通用的箱唛模版，工厂按实际45 PO上客户PO/Item号/装箱数 提供箱唛排版来确认。
5. PVC 桶中球不能出现完全相同的ASSORTMENT ， 即同一个PVC 中球里的ASSORTMENT 需要不同。 以免消费者失望。
6.PVC 桶上加上MINI BRANDS 的LOGO 贴纸 （ ZURU 统一要求的）</t>
  </si>
  <si>
    <t>88681-12.22</t>
  </si>
  <si>
    <t>4500150583-10</t>
  </si>
  <si>
    <t>12/18 交仓</t>
  </si>
  <si>
    <t>11/25 SSCC LABEL（客供贴纸)+纽扣电池警告语贴纸/防盗贴纸翻单121356</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</si>
  <si>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</si>
  <si>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88782-12.30</t>
  </si>
  <si>
    <t>4500150582-10</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</si>
  <si>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</si>
  <si>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88781-12.30</t>
  </si>
  <si>
    <t>4500150625-80</t>
  </si>
  <si>
    <t>12/18 截SI</t>
  </si>
  <si>
    <t>警告语/地址贴纸翻单129688，收藏指南贴纸翻单125111</t>
  </si>
  <si>
    <t>日期码格式：ZURU INC(BVI) 标准格式 日期：按实际生产日期
Packaging Info: 
77515GQ5-3L EAN A版包装+警告语/地址贴纸（翻单4500129688）+收藏指南 贴纸（翻单4500125111）+MA PDQ(如果PDQ 有1L 和3L ,优先3L)，不要带香味款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77515GQ5-REMOVE MASCM-S1-007（移除所有香味款）
8.SKU-客户款号-条码
77515GQ5-4894680032255</t>
  </si>
  <si>
    <t>Luna</t>
  </si>
  <si>
    <t>88669-12.21</t>
  </si>
  <si>
    <t>PO0000475</t>
  </si>
  <si>
    <t>4500151018-40</t>
  </si>
  <si>
    <t>1/2 截SI</t>
  </si>
  <si>
    <t>11/25 UPC贴纸</t>
  </si>
  <si>
    <t>日期码格式： 标准格式 日期：按实际生产日期 Tracking Code:
Packaging Info: 
 77515GQ1 MA 多语EAN+UPC贴纸。UPC号码193052061034
Remark: 出加拿大
 每款产品都需要加进口商贴纸
Zuru验货.日期跟踪码：产品外包装及产品本身都必须有日期跟踪码，ZURU标准格式日期码</t>
  </si>
  <si>
    <t>在仓库 七</t>
  </si>
  <si>
    <t>4500148421-10</t>
  </si>
  <si>
    <t>1/3 截SI</t>
  </si>
  <si>
    <t>11/20 客供价格贴纸+UPC贴纸</t>
  </si>
  <si>
    <t>日期码格式： 标准格式 日期：按实际生产日期
Packaging Info: 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 #77516 可用MA 3L包装，用UPC 贴纸覆盖EAN 条码。</t>
  </si>
  <si>
    <t>Amazon Mexico, S. DE R.L. DE CV</t>
  </si>
  <si>
    <t>2YATGWVR</t>
  </si>
  <si>
    <t>4500151559-10</t>
  </si>
  <si>
    <t>1/3 交仓</t>
  </si>
  <si>
    <t>空白外箱加印ZURU Logo+MADE IN CHINA</t>
  </si>
  <si>
    <t>12/4UPC贴纸+进口商贴纸+12/6 SSCC贴纸</t>
  </si>
  <si>
    <t>日期码格式：ZURU INC(BVI) 标准格式 日期：按实际生产日期
Packaging Info: 77515: MA 3L+UPC贴纸+进口商贴纸+SSCC贴纸
Remark: Amazon FOB订单，出口Mexico，外箱最长边不能超过25" （超过了，case pack只能为1），不符合要求的大货，一律不接受。
1.空白外箱加印ZURU Logo+MADE IN CHINA+SSCC LABEL(客供贴纸），无shipping mark,日期使用ZURU 标准版本。SSCC Label显示的是客人自己的item#，SSCC Lab
el 贴在外箱正面的正中间，贴一面即可，跟单订购，贴纸离外箱距必须至少3cm,每一张SSCC Label都是唯一且有不同流水及条码的，没有损耗，绝对不可贴错，否
则贴错或损坏一张会导致全部都错，千万要注意！
2. 日期码使用ZURU标准版
3. 客户PO备注在remark处
4.77515: 3PCS AG13 Batteries(Included)</t>
  </si>
  <si>
    <t>64SP3ZYY</t>
  </si>
  <si>
    <t>4500151559-100</t>
  </si>
  <si>
    <t>RIDGEVILLE
SC0881401673</t>
  </si>
  <si>
    <t>4500152220-10</t>
  </si>
  <si>
    <t>12/23 BV</t>
  </si>
  <si>
    <t>1/6 截SI</t>
  </si>
  <si>
    <t>12/6RFID</t>
  </si>
  <si>
    <t>日期码格式：ZURU DGYYYYMMDD CHINA(日期避开周末和法定节假日即可） 日期：按实际生产日期 Tracking Code: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carton出货，21pcs/PDQ/CTN</t>
  </si>
  <si>
    <t>EASTVALE08814
01675</t>
  </si>
  <si>
    <t>4500152220-20</t>
  </si>
  <si>
    <t>1/4 截仓</t>
  </si>
  <si>
    <t>SUFFOLK088140
1672</t>
  </si>
  <si>
    <t>4500152220-30</t>
  </si>
  <si>
    <t>1/3 截仓</t>
  </si>
  <si>
    <t>日期码格式：ZURU DGYYYYMMDD CHINA(日期避开周末和法定节假日即可） 日期：按实际生产日期 
Packaging Info: 77515GQ5-S002
 1.包装要求：
 MA B版 1L收缩膜+客版 A版 5L收藏指南+MA A版 5L纸袋+MA A版 23L说明书+客版 1L PDQ，翻单：4500142765
每pcs产品上要贴1张RFID贴纸，贴纸由ZURU提供，贴纸位置请严格按照我们签回的签板；
Remark: 77515GQ5-S002
 1.包装要求：
 MA B版 1L收缩膜+客版 A版 5L收藏指南+MA A版 5L纸袋+MA A版 23L说明书+客版 1L PDQ，翻单：4500142765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carton出货，21pcs/PDQ/CTN</t>
  </si>
  <si>
    <t xml:space="preserve"> ZMPO24979</t>
  </si>
  <si>
    <t>MEC251</t>
  </si>
  <si>
    <r>
      <rPr>
        <sz val="12"/>
        <color theme="1"/>
        <rFont val="Arial"/>
        <charset val="0"/>
      </rPr>
      <t>1</t>
    </r>
    <r>
      <rPr>
        <sz val="12"/>
        <color theme="1"/>
        <rFont val="宋体"/>
        <charset val="0"/>
      </rPr>
      <t>套空展示架</t>
    </r>
  </si>
  <si>
    <t>已快递给客人</t>
  </si>
  <si>
    <t>Remark:大货最新版本/可打平包寄出/请配齐展示架所有物料                                                                                                  备注： 收到样品订单后尽快安排 ，注意样板品质质量要求要高于大货品质要求 ，送货时必须要附带送货单(没有送货单和QC检验合格报告的仓库一律拒绝收货)，请知悉，谢谢！</t>
  </si>
  <si>
    <t>88823-12.31</t>
  </si>
  <si>
    <t>4500151774-70</t>
  </si>
  <si>
    <t>12/17 BV</t>
  </si>
  <si>
    <t>12/30 截仓</t>
  </si>
  <si>
    <t>日期码格式：ZURU INC(BVI) 标准格式 日期：按实际生产日期
Packaging Info:
#77515GQ2: MA3L,PDQ(25装)+客版3L,UPC条码收缩膜(UPC: 193052061034)+MA5L收藏指南+MA23L说明书+MA5L配件袋+MA复合袋---客版收缩膜翻单：4500126515
Remark: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</si>
  <si>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88649-12.19</t>
  </si>
  <si>
    <t>4500151774-80</t>
  </si>
  <si>
    <t>12/19 截仓</t>
  </si>
  <si>
    <t>88711-12.25</t>
  </si>
  <si>
    <t>10001033543-3891</t>
  </si>
  <si>
    <t>4500150926-10</t>
  </si>
  <si>
    <t>12/6 条码箱贴纸</t>
  </si>
  <si>
    <t>日期码格式：ZURU INC(BVI) 标准格式 日期：按实际生产日期
Packaging Info: 77515GQ5：MA包装, MA 1L 收缩膜, MA 1L PDQ；
Remark: 77515GQ5: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此订单所有型号：
1. 产品和包装上印刷 tracking code信息，格式为ZURU常规格式;
2. 出货方式：货代自提</t>
  </si>
  <si>
    <t>Customer PO#
1212432</t>
  </si>
  <si>
    <t>4500151696-20</t>
  </si>
  <si>
    <t>待客人放舱</t>
  </si>
  <si>
    <t>12/10 客供价格贴+11/26外箱贴</t>
  </si>
  <si>
    <t>日期码格式：ZURU INC(BVI) 标准格式 日期：按实际生产日期
Packaging Info:
2. 第20行 1008pcs #77515-S001: MA 1L UPC 包装+客供价格贴+外箱贴，资料跟单提供，工厂自行采购；
5. 价格贴纸和.com贴纸贴到球上后，用透明胶带覆盖贴纸表面以防贴纸掉色。
Remark: 1. 产品和包装上印刷tracking code信息，格式为ZURU常规
2. 箱子最小的尺寸要求： 30.48 x 22.86 x 10.16cm, 最大的尺寸为 66. 04 X 45.72 X 43.18cm, 外箱的高不能大于宽，否则会有罚款，如外箱达不到要求请告知
跟单，需要调整。
3. 外箱贴纸尺寸4x6英寸，贴纸居中贴在侧面，且距离外箱底部1.5英寸，外箱胶纸不可以覆盖住贴纸上的条形码，不可以有褶皱/刮花导致扫描不出信息，否则会
有罚款.
4. 需ZURU QC 验货合格后方可出货
5. 价格贴的位置为球的顶部或者底部的空白处，不可以覆盖住重要文字以及图案.</t>
  </si>
  <si>
    <t>88756-12.27</t>
  </si>
  <si>
    <t>Customer PO#
1212433</t>
  </si>
  <si>
    <t>4500151696-40</t>
  </si>
  <si>
    <t>12/10 客供价格贴+客供.COM 贴纸+11/26外箱贴</t>
  </si>
  <si>
    <t>日期码格式：ZURU INC(BVI) 标准格式 日期：按实际生产日期
Packaging Info:
4. 第40行 216pcs #77515-S001: MA 1L UPC 包装+客供价格贴+客供.COM 贴纸+外箱贴，资料跟单提供，工厂自行采购；价格贴的位置为球的顶部/底部空白处，.CO
M 贴纸位置为球的顶部/
底部空白处；价格贴如在底部，.COM 贴纸则在顶部， 不可以覆盖住重要文字以及图案；
5. 价格贴纸和.com贴纸贴到球上后，用透明胶带覆盖贴纸表面以防贴纸掉色。
Remark: 1. 产品和包装上印刷tracking code信息，格式为ZURU常规
2. 箱子最小的尺寸要求： 30.48 x 22.86 x 10.16cm, 最大的尺寸为 66. 04 X 45.72 X 43.18cm, 外箱的高不能大于宽，否则会有罚款，如外箱达不到要求请告知
跟单，需要调整。
3. 外箱贴纸尺寸4x6英寸，贴纸居中贴在侧面，且距离外箱底部1.5英寸，外箱胶纸不可以覆盖住贴纸上的条形码，不可以有褶皱/刮花导致扫描不出信息，否则会
有罚款.
4. 需ZURU QC 验货合格后方可出货
5. 价格贴的位置为球的顶部或者底部的空白处，不可以覆盖住重要文字以及图案.</t>
  </si>
  <si>
    <t>4500151785-30</t>
  </si>
  <si>
    <t>12/31 截SI</t>
  </si>
  <si>
    <t>日期码格式：ZURU INC(BVI) 标准格式 日期：按实际生产日期
Packaging Info: 1. ZURU MA UPC (首选1L/多语可以接受) 包装
2. 产品和包装上印刷tracking code信息，格式为ZURU常规
3. 箱唛资料跟单提供，侧唛需要工厂从正唛上的CASE UPC#(GTIN) 生成可以扫描的条形码。
Remark: 4. 需ZURU QC 验货合格后方可出货
5. 装柜要求：装柜工厂需要每款装完拍照，清晰点的图（可以看清箱唛内容）留底。</t>
  </si>
  <si>
    <t>88757-12.27</t>
  </si>
  <si>
    <t>4500151785-40</t>
  </si>
  <si>
    <t>London Supply Group SA</t>
  </si>
  <si>
    <t>乌拉圭</t>
  </si>
  <si>
    <t>4500152280-70</t>
  </si>
  <si>
    <t>日期码格式：ZURU INC(BVI) 标准格式 日期：按实际生产日期 Tracking Code:
Packaging Info: 
 77515GQ2:MA 1L包装+MA 多语说明（含西语）+箱唛，无进口商贴纸
Remark:</t>
  </si>
  <si>
    <t>WALGREEN CO.</t>
  </si>
  <si>
    <t>北美</t>
  </si>
  <si>
    <t>MPO03150</t>
  </si>
  <si>
    <t>实单代替MPOWAL034手工单</t>
  </si>
  <si>
    <t>77515-S001-MSLD109</t>
  </si>
  <si>
    <t>1/10 送库有</t>
  </si>
  <si>
    <t xml:space="preserve">周转箱 </t>
  </si>
  <si>
    <t>10/24 WIC贴纸</t>
  </si>
  <si>
    <t>Remark:1.取消手工单MPOWAL034 子件#77515，改下正式单MPO031502.订单要求参考MPOWAL034
3.分三批送货
第一批 77515 -6396pcs(已送货)
第二批 77515--19188pcs(已送货)
第三批 77515--6378pcs(待安排送货)</t>
  </si>
  <si>
    <t xml:space="preserve">Cara </t>
  </si>
  <si>
    <t>在仓库6396</t>
  </si>
  <si>
    <t>4500150696-40</t>
  </si>
  <si>
    <t>77515SLB-S003</t>
  </si>
  <si>
    <t xml:space="preserve">           </t>
  </si>
  <si>
    <t>UPC贴纸翻单145734+slip sheet贴纸</t>
  </si>
  <si>
    <t>日期码格式：ZURU INC(BVI) 标准格式 日期：按实际生产日期
Packaging Info: 
7.77515SLB-S003
77515GQ1-S003: MA 3L A版PDQ+MA 3L B版收缩膜+1张UPC贴纸(贴纸翻PO#4500145734)+其他MA最新版包装
UPC#193052061034，请先检查条码是否正确再安排做货
Slip sheet：13PCS/PDQ/CTN(Carton SIZE:23*22*33CM),15*5H=75CTN=975PCS/SLIP SHEET;一共需要1套slip sheet；
Slip Sheet打包好后，需要在正唛、侧唛右下角各贴一张slip sheet贴纸，直接用A4纸打印出来即可，贴纸尺寸160mm width x 140mm high；Slip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</si>
  <si>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Amy Ding</t>
  </si>
  <si>
    <t>4500150141-2</t>
  </si>
  <si>
    <t>4500150141-70</t>
  </si>
  <si>
    <t>加多一张2国语言电池说明书</t>
  </si>
  <si>
    <t>1/4 截SI</t>
  </si>
  <si>
    <r>
      <rPr>
        <sz val="11"/>
        <color rgb="FF1506E0"/>
        <rFont val="宋体"/>
        <charset val="0"/>
      </rPr>
      <t>日期码格式：</t>
    </r>
    <r>
      <rPr>
        <sz val="11"/>
        <color rgb="FF1506E0"/>
        <rFont val="Arial"/>
        <charset val="0"/>
      </rPr>
      <t xml:space="preserve">ZURU INC(BVI) </t>
    </r>
    <r>
      <rPr>
        <sz val="11"/>
        <color rgb="FF1506E0"/>
        <rFont val="宋体"/>
        <charset val="0"/>
      </rPr>
      <t>标准格式</t>
    </r>
    <r>
      <rPr>
        <sz val="11"/>
        <color rgb="FF1506E0"/>
        <rFont val="Arial"/>
        <charset val="0"/>
      </rPr>
      <t xml:space="preserve"> </t>
    </r>
    <r>
      <rPr>
        <sz val="11"/>
        <color rgb="FF1506E0"/>
        <rFont val="宋体"/>
        <charset val="0"/>
      </rPr>
      <t>日期：按实际生产日期</t>
    </r>
    <r>
      <rPr>
        <sz val="11"/>
        <color rgb="FF1506E0"/>
        <rFont val="Arial"/>
        <charset val="0"/>
      </rPr>
      <t xml:space="preserve">
Packaging Info:
77515GQ1</t>
    </r>
    <r>
      <rPr>
        <sz val="11"/>
        <color rgb="FF1506E0"/>
        <rFont val="宋体"/>
        <charset val="0"/>
      </rPr>
      <t>：</t>
    </r>
    <r>
      <rPr>
        <sz val="11"/>
        <color rgb="FF1506E0"/>
        <rFont val="Arial"/>
        <charset val="0"/>
      </rPr>
      <t>MA</t>
    </r>
    <r>
      <rPr>
        <sz val="11"/>
        <color rgb="FF1506E0"/>
        <rFont val="宋体"/>
        <charset val="0"/>
      </rPr>
      <t>最新</t>
    </r>
    <r>
      <rPr>
        <sz val="11"/>
        <color rgb="FF1506E0"/>
        <rFont val="Arial"/>
        <charset val="0"/>
      </rPr>
      <t>1L</t>
    </r>
    <r>
      <rPr>
        <sz val="11"/>
        <color rgb="FF1506E0"/>
        <rFont val="宋体"/>
        <charset val="0"/>
      </rPr>
      <t>配套包装</t>
    </r>
    <r>
      <rPr>
        <sz val="11"/>
        <color rgb="FF1506E0"/>
        <rFont val="Arial"/>
        <charset val="0"/>
      </rPr>
      <t>+</t>
    </r>
    <r>
      <rPr>
        <sz val="11"/>
        <color rgb="FF1506E0"/>
        <rFont val="宋体"/>
        <charset val="0"/>
      </rPr>
      <t>客户</t>
    </r>
    <r>
      <rPr>
        <sz val="11"/>
        <color rgb="FF1506E0"/>
        <rFont val="Arial"/>
        <charset val="0"/>
      </rPr>
      <t>EAN</t>
    </r>
    <r>
      <rPr>
        <sz val="11"/>
        <color rgb="FF1506E0"/>
        <rFont val="宋体"/>
        <charset val="0"/>
      </rPr>
      <t>条码贴一张覆盖</t>
    </r>
    <r>
      <rPr>
        <sz val="11"/>
        <color rgb="FF1506E0"/>
        <rFont val="Arial"/>
        <charset val="0"/>
      </rPr>
      <t xml:space="preserve">ZURU </t>
    </r>
    <r>
      <rPr>
        <sz val="11"/>
        <color rgb="FF1506E0"/>
        <rFont val="宋体"/>
        <charset val="0"/>
      </rPr>
      <t>原条码，条码贴翻订单</t>
    </r>
    <r>
      <rPr>
        <sz val="11"/>
        <color rgb="FF1506E0"/>
        <rFont val="Arial"/>
        <charset val="0"/>
      </rPr>
      <t>4500144795</t>
    </r>
    <r>
      <rPr>
        <sz val="11"/>
        <color rgb="FF1506E0"/>
        <rFont val="宋体"/>
        <charset val="0"/>
      </rPr>
      <t>。</t>
    </r>
    <r>
      <rPr>
        <sz val="11"/>
        <color rgb="FF1506E0"/>
        <rFont val="Arial"/>
        <charset val="0"/>
      </rPr>
      <t xml:space="preserve">
</t>
    </r>
    <r>
      <rPr>
        <sz val="11"/>
        <color rgb="FF1506E0"/>
        <rFont val="宋体"/>
        <charset val="0"/>
      </rPr>
      <t>另外产品内包装再加多一张</t>
    </r>
    <r>
      <rPr>
        <sz val="11"/>
        <color rgb="FF1506E0"/>
        <rFont val="Arial"/>
        <charset val="0"/>
      </rPr>
      <t>2</t>
    </r>
    <r>
      <rPr>
        <sz val="11"/>
        <color rgb="FF1506E0"/>
        <rFont val="宋体"/>
        <charset val="0"/>
      </rPr>
      <t>国语言电池说明书</t>
    </r>
    <r>
      <rPr>
        <sz val="11"/>
        <color rgb="FF1506E0"/>
        <rFont val="Arial"/>
        <charset val="0"/>
      </rPr>
      <t xml:space="preserve"> </t>
    </r>
    <r>
      <rPr>
        <sz val="11"/>
        <color rgb="FF1506E0"/>
        <rFont val="宋体"/>
        <charset val="0"/>
      </rPr>
      <t>，即产品内含</t>
    </r>
    <r>
      <rPr>
        <sz val="11"/>
        <color rgb="FF1506E0"/>
        <rFont val="Arial"/>
        <charset val="0"/>
      </rPr>
      <t>2</t>
    </r>
    <r>
      <rPr>
        <sz val="11"/>
        <color rgb="FF1506E0"/>
        <rFont val="宋体"/>
        <charset val="0"/>
      </rPr>
      <t>张说明书</t>
    </r>
    <r>
      <rPr>
        <sz val="11"/>
        <color rgb="FF1506E0"/>
        <rFont val="Arial"/>
        <charset val="0"/>
      </rPr>
      <t xml:space="preserve"> </t>
    </r>
    <r>
      <rPr>
        <sz val="11"/>
        <color rgb="FF1506E0"/>
        <rFont val="宋体"/>
        <charset val="0"/>
      </rPr>
      <t>（</t>
    </r>
    <r>
      <rPr>
        <sz val="11"/>
        <color rgb="FF1506E0"/>
        <rFont val="Arial"/>
        <charset val="0"/>
      </rPr>
      <t>ZURU</t>
    </r>
    <r>
      <rPr>
        <sz val="11"/>
        <color rgb="FF1506E0"/>
        <rFont val="宋体"/>
        <charset val="0"/>
      </rPr>
      <t>标准说明书</t>
    </r>
    <r>
      <rPr>
        <sz val="11"/>
        <color rgb="FF1506E0"/>
        <rFont val="Arial"/>
        <charset val="0"/>
      </rPr>
      <t>1</t>
    </r>
    <r>
      <rPr>
        <sz val="11"/>
        <color rgb="FF1506E0"/>
        <rFont val="宋体"/>
        <charset val="0"/>
      </rPr>
      <t>张</t>
    </r>
    <r>
      <rPr>
        <sz val="11"/>
        <color rgb="FF1506E0"/>
        <rFont val="Arial"/>
        <charset val="0"/>
      </rPr>
      <t>+2</t>
    </r>
    <r>
      <rPr>
        <sz val="11"/>
        <color rgb="FF1506E0"/>
        <rFont val="宋体"/>
        <charset val="0"/>
      </rPr>
      <t>国语言电池说明书），两国语言说明书翻订单</t>
    </r>
    <r>
      <rPr>
        <sz val="11"/>
        <color rgb="FF1506E0"/>
        <rFont val="Arial"/>
        <charset val="0"/>
      </rPr>
      <t>4500148687
Remark: *MA</t>
    </r>
    <r>
      <rPr>
        <sz val="11"/>
        <color rgb="FF1506E0"/>
        <rFont val="宋体"/>
        <charset val="0"/>
      </rPr>
      <t>版本按工厂现有最新库存即可，订单出英国，请注意检查产品及包装应带</t>
    </r>
    <r>
      <rPr>
        <sz val="11"/>
        <color rgb="FF1506E0"/>
        <rFont val="Arial"/>
        <charset val="0"/>
      </rPr>
      <t>UKCA</t>
    </r>
    <r>
      <rPr>
        <sz val="11"/>
        <color rgb="FF1506E0"/>
        <rFont val="宋体"/>
        <charset val="0"/>
      </rPr>
      <t>图标，包装显示</t>
    </r>
    <r>
      <rPr>
        <sz val="11"/>
        <color rgb="FF1506E0"/>
        <rFont val="Arial"/>
        <charset val="0"/>
      </rPr>
      <t>ZURU UK LTD</t>
    </r>
    <r>
      <rPr>
        <sz val="11"/>
        <color rgb="FF1506E0"/>
        <rFont val="宋体"/>
        <charset val="0"/>
      </rPr>
      <t>信息，</t>
    </r>
    <r>
      <rPr>
        <sz val="11"/>
        <color rgb="FF1506E0"/>
        <rFont val="Arial"/>
        <charset val="0"/>
      </rPr>
      <t>QC</t>
    </r>
    <r>
      <rPr>
        <sz val="11"/>
        <color rgb="FF1506E0"/>
        <rFont val="宋体"/>
        <charset val="0"/>
      </rPr>
      <t>同事请查核，如有问题与跟单确认。</t>
    </r>
    <r>
      <rPr>
        <sz val="11"/>
        <color rgb="FF1506E0"/>
        <rFont val="Arial"/>
        <charset val="0"/>
      </rPr>
      <t xml:space="preserve">
*</t>
    </r>
    <r>
      <rPr>
        <sz val="11"/>
        <color rgb="FF1506E0"/>
        <rFont val="宋体"/>
        <charset val="0"/>
      </rPr>
      <t>生产日期按实际（法定工作日），按</t>
    </r>
    <r>
      <rPr>
        <sz val="11"/>
        <color rgb="FF1506E0"/>
        <rFont val="Arial"/>
        <charset val="0"/>
      </rPr>
      <t>ZURU</t>
    </r>
    <r>
      <rPr>
        <sz val="11"/>
        <color rgb="FF1506E0"/>
        <rFont val="宋体"/>
        <charset val="0"/>
      </rPr>
      <t>标准格式即可</t>
    </r>
    <r>
      <rPr>
        <sz val="11"/>
        <color rgb="FF1506E0"/>
        <rFont val="Arial"/>
        <charset val="0"/>
      </rPr>
      <t xml:space="preserve"> </t>
    </r>
    <r>
      <rPr>
        <sz val="11"/>
        <color rgb="FF1506E0"/>
        <rFont val="宋体"/>
        <charset val="0"/>
      </rPr>
      <t>，但是请知悉包装日期码需要早于或者等于外箱日期码</t>
    </r>
    <r>
      <rPr>
        <sz val="11"/>
        <color rgb="FF1506E0"/>
        <rFont val="Arial"/>
        <charset val="0"/>
      </rPr>
      <t xml:space="preserve"> </t>
    </r>
    <r>
      <rPr>
        <sz val="11"/>
        <color rgb="FF1506E0"/>
        <rFont val="宋体"/>
        <charset val="0"/>
      </rPr>
      <t>，不能晚于外箱日期码</t>
    </r>
    <r>
      <rPr>
        <sz val="11"/>
        <color rgb="FF1506E0"/>
        <rFont val="Arial"/>
        <charset val="0"/>
      </rPr>
      <t xml:space="preserve">
*</t>
    </r>
    <r>
      <rPr>
        <sz val="11"/>
        <color rgb="FF1506E0"/>
        <rFont val="宋体"/>
        <charset val="0"/>
      </rPr>
      <t>请注意所有订单都需要经过</t>
    </r>
    <r>
      <rPr>
        <sz val="11"/>
        <color rgb="FF1506E0"/>
        <rFont val="Arial"/>
        <charset val="0"/>
      </rPr>
      <t>ZURU QC</t>
    </r>
    <r>
      <rPr>
        <sz val="11"/>
        <color rgb="FF1506E0"/>
        <rFont val="宋体"/>
        <charset val="0"/>
      </rPr>
      <t>验货并且通过后方可出货</t>
    </r>
    <r>
      <rPr>
        <sz val="11"/>
        <color rgb="FF1506E0"/>
        <rFont val="Arial"/>
        <charset val="0"/>
      </rPr>
      <t xml:space="preserve">
*</t>
    </r>
    <r>
      <rPr>
        <sz val="11"/>
        <color rgb="FF1506E0"/>
        <rFont val="宋体"/>
        <charset val="0"/>
      </rPr>
      <t>条码以订单显示为准</t>
    </r>
    <r>
      <rPr>
        <sz val="11"/>
        <color rgb="FF1506E0"/>
        <rFont val="Arial"/>
        <charset val="0"/>
      </rPr>
      <t xml:space="preserve"> </t>
    </r>
    <r>
      <rPr>
        <sz val="11"/>
        <color rgb="FF1506E0"/>
        <rFont val="宋体"/>
        <charset val="0"/>
      </rPr>
      <t>，请安排生产前先核对</t>
    </r>
    <r>
      <rPr>
        <sz val="11"/>
        <color rgb="FF1506E0"/>
        <rFont val="Arial"/>
        <charset val="0"/>
      </rPr>
      <t xml:space="preserve"> </t>
    </r>
    <r>
      <rPr>
        <sz val="11"/>
        <color rgb="FF1506E0"/>
        <rFont val="宋体"/>
        <charset val="0"/>
      </rPr>
      <t>，有问题请提出。</t>
    </r>
    <r>
      <rPr>
        <sz val="11"/>
        <color rgb="FF1506E0"/>
        <rFont val="Arial"/>
        <charset val="0"/>
      </rPr>
      <t xml:space="preserve">
*</t>
    </r>
    <r>
      <rPr>
        <sz val="11"/>
        <color rgb="FF1506E0"/>
        <rFont val="宋体"/>
        <charset val="0"/>
      </rPr>
      <t>所有产品按符合欧洲标准走货，需要是不含微塑料版本</t>
    </r>
    <r>
      <rPr>
        <sz val="11"/>
        <color rgb="FF1506E0"/>
        <rFont val="Arial"/>
        <charset val="0"/>
      </rPr>
      <t xml:space="preserve"> </t>
    </r>
    <r>
      <rPr>
        <sz val="11"/>
        <color rgb="FF1506E0"/>
        <rFont val="宋体"/>
        <charset val="0"/>
      </rPr>
      <t>。</t>
    </r>
    <r>
      <rPr>
        <sz val="11"/>
        <color rgb="FF1506E0"/>
        <rFont val="Arial"/>
        <charset val="0"/>
      </rPr>
      <t xml:space="preserve">
*</t>
    </r>
    <r>
      <rPr>
        <sz val="11"/>
        <color rgb="FF1506E0"/>
        <rFont val="宋体"/>
        <charset val="0"/>
      </rPr>
      <t>涉及到硼的，如可选择情况下应使用低硼版本</t>
    </r>
    <r>
      <rPr>
        <sz val="11"/>
        <color rgb="FF1506E0"/>
        <rFont val="Arial"/>
        <charset val="0"/>
      </rPr>
      <t xml:space="preserve"> </t>
    </r>
    <r>
      <rPr>
        <sz val="11"/>
        <color rgb="FF1506E0"/>
        <rFont val="宋体"/>
        <charset val="0"/>
      </rPr>
      <t>（</t>
    </r>
    <r>
      <rPr>
        <sz val="11"/>
        <color rgb="FF1506E0"/>
        <rFont val="Arial"/>
        <charset val="0"/>
      </rPr>
      <t xml:space="preserve">slime </t>
    </r>
    <r>
      <rPr>
        <sz val="11"/>
        <color rgb="FF1506E0"/>
        <rFont val="宋体"/>
        <charset val="0"/>
      </rPr>
      <t>类别低硼一般低于</t>
    </r>
    <r>
      <rPr>
        <sz val="11"/>
        <color rgb="FF1506E0"/>
        <rFont val="Arial"/>
        <charset val="0"/>
      </rPr>
      <t>300ppm)</t>
    </r>
    <r>
      <rPr>
        <sz val="11"/>
        <color rgb="FF1506E0"/>
        <rFont val="宋体"/>
        <charset val="0"/>
      </rPr>
      <t>，无选择的应与跟单复核再安排</t>
    </r>
    <r>
      <rPr>
        <sz val="11"/>
        <color rgb="FF1506E0"/>
        <rFont val="Arial"/>
        <charset val="0"/>
      </rPr>
      <t xml:space="preserve"> </t>
    </r>
    <r>
      <rPr>
        <sz val="11"/>
        <color rgb="FF1506E0"/>
        <rFont val="宋体"/>
        <charset val="0"/>
      </rPr>
      <t>。</t>
    </r>
    <r>
      <rPr>
        <sz val="11"/>
        <color rgb="FF1506E0"/>
        <rFont val="Arial"/>
        <charset val="0"/>
      </rPr>
      <t xml:space="preserve">
Order Modifiable Records
Revision # Date: Comment:
1 11-</t>
    </r>
  </si>
  <si>
    <t>CRG</t>
  </si>
  <si>
    <t>哥斯达黎加</t>
  </si>
  <si>
    <t>ZU01-25</t>
  </si>
  <si>
    <t>4500152087-110</t>
  </si>
  <si>
    <t>1/8 截SI</t>
  </si>
  <si>
    <t>12/10 进口商贴纸</t>
  </si>
  <si>
    <t>日期码格式：ZURU INC(BVI) 标准格式 日期：按实际生产日期
Packaging Info: 77515GQ2:MA 1L包装+进口商贴纸+箱唛
Remark:</t>
  </si>
  <si>
    <t>4500147530-20</t>
  </si>
  <si>
    <t>日期码格式：ZURU INC(BVI) 标准格式 日期：按实际生产日期
Packaging Info:77515SLB-S003
77515GQ1-S003: MA 3L A版PDQ+MA 3L B版收缩膜+1张UPC贴纸(贴纸翻PO#4500145734)+其他MA最新版包装
UPC#193052061034，请先检查条码是否正确再安排做货
Slip sheet：13PCS/PDQ/CTN(Carton SIZE:23*22*33CM),15*5H=75CTN=975PCS/SLIP SHEET;一共需要2套slip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t>
  </si>
  <si>
    <t>4500145734-10</t>
  </si>
  <si>
    <t>9/20 UPC贴纸+slip sheet贴纸</t>
  </si>
  <si>
    <t>日期码格式：ZURU INC(BVI) 标准格式 日期：按实际生产日期
Packaging Info: 77515SLB-S003
77515GQ1-S003: MA 3L A版PDQ+MA 3L B版收缩膜+1张UPC贴纸+其他MA最新版包装
UPC#193052061034，请先检查条码是否正确再安排做货
Slip sheet：13PCS/PDQ/CTN(Carton SIZE:23*22*33CM),15*5H=75CTN=975PCS/SLIP SHEET;一共需要2套slip sheet；
Slip Sheet打包好后，需要在正唛、侧唛右下角各贴一张slip sheet贴纸，直接用A4纸打印出来即可，贴纸尺寸160mm width x 140mm high；Slip Sheet尺寸限制为
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</si>
  <si>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10001033542-3890</t>
  </si>
  <si>
    <t>4500152133-10</t>
  </si>
  <si>
    <t>12/19条码箱贴纸</t>
  </si>
  <si>
    <t>日期码格式：ZURU INC(BVI) 标准格式 日期：按实际生产日期 Tracking Code:
Packaging Info: 77515GQ5: MA包装, MA 1L 收缩膜, MA 1L PDQ；
Remark: 77515GQ5: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此订单所有型号：
 1. 产品和包装上印刷 tracking code信息，格式为ZURU常规格式;
 2. 出货方式：货代自提</t>
  </si>
  <si>
    <t>4500152293-40</t>
  </si>
  <si>
    <t>12/16 SSCC LABEL（客供贴纸)+纽扣电池警告语贴纸/防盗贴纸翻单121356</t>
  </si>
  <si>
    <t>日期码格式：ZURU INC(BVI) 标准格式 日期：按实际生产日期 Tracking Code: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</si>
  <si>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4500152292-100</t>
  </si>
  <si>
    <t>日期码格式：ZURU INC(BVI) 标准格式 日期：按实际生产日期 Tracking Code: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</si>
  <si>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4500151118-10</t>
  </si>
  <si>
    <t>外箱/产品/包装 保持一致</t>
  </si>
  <si>
    <t>11/22法意西回收贴纸+无香味贴纸</t>
  </si>
  <si>
    <t>日期码格式：ZURU INC(BVI) 标准格式 日期：按实际生产日期
Packaging Info: 1.77515GQ2:最新MA 3L EAN收缩膜+一张法意西回收贴纸+ MA 23L 说明书+MA PDQ+ MA收藏指南加无香贴纸（所有包装如有提示香味都做无香版）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</si>
  <si>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4500151401-10</t>
  </si>
  <si>
    <t>说明书+配件袋都要贴贴纸</t>
  </si>
  <si>
    <t>警语贴纸/说明书贴纸/配件袋贴纸 翻单PO#4500140409</t>
  </si>
  <si>
    <t>日期码格式：ZURU INC(BVI) 标准格式 日期：按实际生产日期
Packaging Info: 77515GQ5: MA B 版3L(warning 5L) EAN 收缩膜+ 1张NL荷兰语警语贴纸 翻单PO#4500140409，MA 5L A版收藏指南，MA B版 23L 说明书+贴纸翻单4500140409，MA
 5L B版配件袋+ 贴纸 翻单4500140409， MA 3L PDQ
Remark: 1.外箱需要印条码，请确保条码可以清晰扫描，且条码内容正确
 2.出欧洲，微塑料需合规（如item本身不含微塑料,则忽略此要求）
 3.STD配比
 4. 所有产品均需符合REACH 申明</t>
  </si>
  <si>
    <t>七</t>
  </si>
  <si>
    <t>4500151832-20</t>
  </si>
  <si>
    <t>日期码格式：ZURU INC(BVI) 标准格式 日期：按实际生产日期 
Packaging Info:
 77515GQ5: MA B 版3L(warning 5L) EAN 收缩膜+ 1张NL荷兰语警语贴纸（翻PO#4500140409)，MA 5L A版收藏指南，MA B版 23L 说明书+贴纸翻单PO#4500140409，
 MA 5L B版配件袋+ 贴纸 翻单4500140409， MA 3L PDQ
Remark: 1.外箱需要印条码，请确保条码可以清晰扫描，且条码内容正确
 2.出欧洲，微塑料需合规（如item本身不含微塑料,则忽略此要求）
 3.STD配比
 4. 所有产品符合REACH申明</t>
  </si>
  <si>
    <t>0092242910</t>
  </si>
  <si>
    <t>4500152559-10</t>
  </si>
  <si>
    <t>12/5 UPC</t>
  </si>
  <si>
    <r>
      <rPr>
        <sz val="11"/>
        <rFont val="宋体"/>
        <charset val="0"/>
      </rPr>
      <t xml:space="preserve">日期码格式：ZURU INC(BVI) 标准格式 日期：按实际生产日期
Packaging Info:
Remark: 1. MA UPC包装(优先1L），出口美国
2. 客户PO# 0092242911 0092242912 0092242913 这3个订单外箱需要贴4x6"UCC 贴纸，只需贴一面（UCC贴纸为客供贴纸）。PO#0092242910 0092242914，这2个
订单外箱不需要UCC贴纸。
3. ZURU QC 验货。
4. 产品和包裝上需印刷tracking code信息，格式为ZURU常规。
5. </t>
    </r>
    <r>
      <rPr>
        <sz val="11"/>
        <color rgb="FFFF0000"/>
        <rFont val="宋体"/>
        <charset val="0"/>
      </rPr>
      <t>展示架上需粘贴 mother UPC 贴纸 （Item# MEC251 的 mother UPC: 193052068019 ）</t>
    </r>
  </si>
  <si>
    <t>Yilia</t>
  </si>
  <si>
    <t>0092242914</t>
  </si>
  <si>
    <t>4500152559-20</t>
  </si>
  <si>
    <t>4500152559-30</t>
  </si>
  <si>
    <t>12/13 UCC 12/5 UPC</t>
  </si>
  <si>
    <t>4500152559-40</t>
  </si>
  <si>
    <t>4500152559-50</t>
  </si>
  <si>
    <t>BURLINGTON COAT FACTORY</t>
  </si>
  <si>
    <t>4500151479-60</t>
  </si>
  <si>
    <t>12/13 客供价格贴纸+12/12 外箱贴纸</t>
  </si>
  <si>
    <t>日期码格式：ZURU INC(BVI) 标准格式 日期：按实际生产日期
Packaging Info: 1. ZURU MA （首选1L）UPC版本+客供价格贴纸+外箱贴纸，出口美国 有PVC桶的价格贴纸贴在PVC桶上面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5. 每个产品有一个价格贴纸，价格贴纸覆盖UPC条码上 （若UPC 条码太大，可以露出ITEM#, 覆盖条码即可）贴的时候要是会覆盖包装上重要的信息和图案，需要
告知跟单。</t>
  </si>
  <si>
    <t>4500151635-70</t>
  </si>
  <si>
    <t>11/27价格贴纸+12/16 UCC贴纸</t>
  </si>
  <si>
    <t>日期码格式：ZURU INC(BVI) 标准格式 日期：按实际生产日期
Packaging Info: 1. 出口美国，MA UPC 版本包装，优先1L。
#77515GQ1: PRICER TICK-11.99; 3PCS AG13 Batteries(Included);
2. 产品需要价格贴纸， 贴纸资料后面提供。
3. 外箱需要UCC贴纸。贴纸资料后面提供。
Remark: 4. Zuru QC 验货即可。</t>
  </si>
  <si>
    <t>Abby Mai, Lluviazeng</t>
  </si>
  <si>
    <t>T. PLANET SHOPS SL</t>
  </si>
  <si>
    <t>4500150460-10</t>
  </si>
  <si>
    <t>已出 1套大货样品</t>
  </si>
  <si>
    <t>12/13 进口商贴纸+产品贴纸</t>
  </si>
  <si>
    <t>日期码格式：ZURU INC(BVI) 标准格式 日期：按实际生产日期
Packaging Info: 77515SK1： 最新MA 3L EAN 收缩膜 +最新MA5L 收藏指南+最新MA 3L 展示架 + 进口商贴纸(含西班牙环保标)+产品贴纸
Remark: 1, 此货出西班牙，请确保所有包装都有西班牙环保标。
2，出货前两周需寄1套大货样品和1套测试样品，请多备料
3, 此客人推期有罚款，请按时完货
3, 出货前要验货图片给客人确认OK后才出货
4, 如有胶袋，需要增加胶袋警告语贴纸</t>
  </si>
  <si>
    <t>MCD BRANDS SAS</t>
  </si>
  <si>
    <t>4500152326-90</t>
  </si>
  <si>
    <t>12/17进口商贴纸+EAN贴纸</t>
  </si>
  <si>
    <r>
      <rPr>
        <sz val="11"/>
        <rFont val="宋体"/>
        <charset val="0"/>
      </rPr>
      <t>日期码格式：ZURU INC(BVI) 标准格式 日期：按实际生产日期 
Packaging Info:
 77515GQ2:MA 3L包装+进口商贴纸+箱唛+</t>
    </r>
    <r>
      <rPr>
        <sz val="11"/>
        <color rgb="FFFF0000"/>
        <rFont val="宋体"/>
        <charset val="0"/>
      </rPr>
      <t>EAN贴纸</t>
    </r>
    <r>
      <rPr>
        <sz val="11"/>
        <rFont val="宋体"/>
        <charset val="0"/>
      </rPr>
      <t xml:space="preserve">
Remark: 进口商贴纸请多备料5pcs,出货后需要寄给客户</t>
    </r>
  </si>
  <si>
    <t>TIENDAS SORIANA, S.A. DE C.V.</t>
  </si>
  <si>
    <t>4500149669-50</t>
  </si>
  <si>
    <t>另+保证书</t>
  </si>
  <si>
    <t>12/11 UPC贴纸+1个小的红色logo贴纸+进口商贴纸</t>
  </si>
  <si>
    <t>日期码格式：ZURU INC(BVI) 标准格式 日期：按实际生产日期
Packaging Info:5. 77515GQ2：MA 3L EAN包装+UPC贴纸+MA 多语说明书+MA 3L PDQ包装+1个小的红色logo贴纸+进口商贴纸+保证书+箱唛，3张不同的进口商贴纸分别是贴在彩卡/产
品电池盖/说明书上
Remark: 5. 77515GQ2：3PCS AG13 Batteries(Include)
6. 集装箱及装柜要求：集装箱不能有破洞；不能太脏
7.每个item需要放1整箱在每个集装箱门口
8.装柜的时候要前、中、后拍照</t>
  </si>
  <si>
    <t>4500151779-60</t>
  </si>
  <si>
    <t>4500150683-10</t>
  </si>
  <si>
    <t>11、28</t>
  </si>
  <si>
    <r>
      <rPr>
        <sz val="11"/>
        <rFont val="宋体"/>
        <charset val="0"/>
      </rPr>
      <t>日期码格式：</t>
    </r>
    <r>
      <rPr>
        <sz val="11"/>
        <rFont val="Arial"/>
        <charset val="0"/>
      </rPr>
      <t xml:space="preserve">ZURU INC(BVI) </t>
    </r>
    <r>
      <rPr>
        <sz val="11"/>
        <rFont val="宋体"/>
        <charset val="0"/>
      </rPr>
      <t>标准格式</t>
    </r>
    <r>
      <rPr>
        <sz val="11"/>
        <rFont val="Arial"/>
        <charset val="0"/>
      </rPr>
      <t xml:space="preserve"> </t>
    </r>
    <r>
      <rPr>
        <sz val="11"/>
        <rFont val="宋体"/>
        <charset val="0"/>
      </rPr>
      <t>日期：按实际生产日期</t>
    </r>
    <r>
      <rPr>
        <sz val="11"/>
        <rFont val="Arial"/>
        <charset val="0"/>
      </rPr>
      <t xml:space="preserve"> 
Packaging Info:77515GQ5</t>
    </r>
    <r>
      <rPr>
        <sz val="11"/>
        <rFont val="宋体"/>
        <charset val="0"/>
      </rPr>
      <t>装（含</t>
    </r>
    <r>
      <rPr>
        <sz val="11"/>
        <rFont val="Arial"/>
        <charset val="0"/>
      </rPr>
      <t>G Mark)+</t>
    </r>
    <r>
      <rPr>
        <sz val="11"/>
        <rFont val="宋体"/>
        <charset val="0"/>
      </rPr>
      <t>进口商贴纸</t>
    </r>
    <r>
      <rPr>
        <sz val="11"/>
        <rFont val="Arial"/>
        <charset val="0"/>
      </rPr>
      <t>(</t>
    </r>
    <r>
      <rPr>
        <sz val="11"/>
        <rFont val="宋体"/>
        <charset val="0"/>
      </rPr>
      <t>含</t>
    </r>
    <r>
      <rPr>
        <sz val="11"/>
        <rFont val="Arial"/>
        <charset val="0"/>
      </rPr>
      <t xml:space="preserve">QR code, </t>
    </r>
    <r>
      <rPr>
        <sz val="11"/>
        <rFont val="宋体"/>
        <charset val="0"/>
      </rPr>
      <t>阿拉伯警语</t>
    </r>
    <r>
      <rPr>
        <sz val="11"/>
        <rFont val="Arial"/>
        <charset val="0"/>
      </rPr>
      <t xml:space="preserve">); </t>
    </r>
    <r>
      <rPr>
        <sz val="11"/>
        <rFont val="宋体"/>
        <charset val="0"/>
      </rPr>
      <t>贴纸上的</t>
    </r>
    <r>
      <rPr>
        <sz val="11"/>
        <rFont val="Arial"/>
        <charset val="0"/>
      </rPr>
      <t>QR code</t>
    </r>
    <r>
      <rPr>
        <sz val="11"/>
        <rFont val="宋体"/>
        <charset val="0"/>
      </rPr>
      <t>需微信可扫，扫描结果</t>
    </r>
    <r>
      <rPr>
        <sz val="11"/>
        <rFont val="Arial"/>
        <charset val="0"/>
      </rPr>
      <t>64429</t>
    </r>
    <r>
      <rPr>
        <sz val="11"/>
        <rFont val="宋体"/>
        <charset val="0"/>
      </rPr>
      <t>；客版指南翻</t>
    </r>
    <r>
      <rPr>
        <sz val="11"/>
        <rFont val="Arial"/>
        <charset val="0"/>
      </rPr>
      <t>4500128286</t>
    </r>
    <r>
      <rPr>
        <sz val="11"/>
        <rFont val="宋体"/>
        <charset val="0"/>
      </rPr>
      <t>；客版产品贴纸</t>
    </r>
    <r>
      <rPr>
        <sz val="11"/>
        <rFont val="Arial"/>
        <charset val="0"/>
      </rPr>
      <t xml:space="preserve">
</t>
    </r>
    <r>
      <rPr>
        <sz val="11"/>
        <rFont val="宋体"/>
        <charset val="0"/>
      </rPr>
      <t>（删掉</t>
    </r>
    <r>
      <rPr>
        <sz val="11"/>
        <rFont val="Arial"/>
        <charset val="0"/>
      </rPr>
      <t>pork loin</t>
    </r>
    <r>
      <rPr>
        <sz val="11"/>
        <rFont val="宋体"/>
        <charset val="0"/>
      </rPr>
      <t>）单词翻</t>
    </r>
    <r>
      <rPr>
        <sz val="11"/>
        <rFont val="Arial"/>
        <charset val="0"/>
      </rPr>
      <t>4500148906</t>
    </r>
    <r>
      <rPr>
        <sz val="11"/>
        <rFont val="宋体"/>
        <charset val="0"/>
      </rPr>
      <t>；</t>
    </r>
    <r>
      <rPr>
        <sz val="11"/>
        <rFont val="Arial"/>
        <charset val="0"/>
      </rPr>
      <t>MA</t>
    </r>
    <r>
      <rPr>
        <sz val="11"/>
        <rFont val="宋体"/>
        <charset val="0"/>
      </rPr>
      <t>说明书</t>
    </r>
    <r>
      <rPr>
        <sz val="11"/>
        <rFont val="Arial"/>
        <charset val="0"/>
      </rPr>
      <t>+</t>
    </r>
    <r>
      <rPr>
        <sz val="11"/>
        <rFont val="宋体"/>
        <charset val="0"/>
      </rPr>
      <t>额外书纸翻</t>
    </r>
    <r>
      <rPr>
        <sz val="11"/>
        <rFont val="Arial"/>
        <charset val="0"/>
      </rPr>
      <t>4500128286;3L MA PDQ, PDQ</t>
    </r>
    <r>
      <rPr>
        <sz val="11"/>
        <rFont val="宋体"/>
        <charset val="0"/>
      </rPr>
      <t>和展架也需要进口商贴纸翻</t>
    </r>
    <r>
      <rPr>
        <sz val="11"/>
        <rFont val="Arial"/>
        <charset val="0"/>
      </rPr>
      <t xml:space="preserve">4500128286
</t>
    </r>
    <r>
      <rPr>
        <sz val="11"/>
        <color rgb="FFFF0000"/>
        <rFont val="Arial"/>
        <charset val="0"/>
      </rPr>
      <t xml:space="preserve"> MA PDQ, MA</t>
    </r>
    <r>
      <rPr>
        <sz val="11"/>
        <color rgb="FFFF0000"/>
        <rFont val="宋体"/>
        <charset val="0"/>
      </rPr>
      <t>展示架，</t>
    </r>
    <r>
      <rPr>
        <sz val="11"/>
        <color rgb="FFFF0000"/>
        <rFont val="Arial"/>
        <charset val="0"/>
      </rPr>
      <t>PDQ</t>
    </r>
    <r>
      <rPr>
        <sz val="11"/>
        <color rgb="FFFF0000"/>
        <rFont val="宋体"/>
        <charset val="0"/>
      </rPr>
      <t>和展示架也需要进口商贴纸翻</t>
    </r>
    <r>
      <rPr>
        <sz val="11"/>
        <color rgb="FFFF0000"/>
        <rFont val="Arial"/>
        <charset val="0"/>
      </rPr>
      <t>4500148906</t>
    </r>
    <r>
      <rPr>
        <sz val="11"/>
        <rFont val="Arial"/>
        <charset val="0"/>
      </rPr>
      <t xml:space="preserve">
Remark: 77515:3PCS AG13 Batteries (included)
 pork loin mini</t>
    </r>
    <r>
      <rPr>
        <sz val="11"/>
        <rFont val="宋体"/>
        <charset val="0"/>
      </rPr>
      <t>的产品贴纸删掉</t>
    </r>
    <r>
      <rPr>
        <sz val="11"/>
        <rFont val="Arial"/>
        <charset val="0"/>
      </rPr>
      <t>pork loin</t>
    </r>
    <r>
      <rPr>
        <sz val="11"/>
        <rFont val="宋体"/>
        <charset val="0"/>
      </rPr>
      <t>字样</t>
    </r>
  </si>
  <si>
    <t>4500150683-20</t>
  </si>
  <si>
    <r>
      <rPr>
        <sz val="11"/>
        <rFont val="宋体"/>
        <charset val="0"/>
      </rPr>
      <t>日期码格式：</t>
    </r>
    <r>
      <rPr>
        <sz val="11"/>
        <rFont val="Arial"/>
        <charset val="0"/>
      </rPr>
      <t xml:space="preserve">ZURU INC(BVI) </t>
    </r>
    <r>
      <rPr>
        <sz val="11"/>
        <rFont val="宋体"/>
        <charset val="0"/>
      </rPr>
      <t>标准格式</t>
    </r>
    <r>
      <rPr>
        <sz val="11"/>
        <rFont val="Arial"/>
        <charset val="0"/>
      </rPr>
      <t xml:space="preserve"> </t>
    </r>
    <r>
      <rPr>
        <sz val="11"/>
        <rFont val="宋体"/>
        <charset val="0"/>
      </rPr>
      <t>日期：按实际生产日期</t>
    </r>
    <r>
      <rPr>
        <sz val="11"/>
        <rFont val="Arial"/>
        <charset val="0"/>
      </rPr>
      <t xml:space="preserve"> 
Packaging Info:77515SK</t>
    </r>
    <r>
      <rPr>
        <sz val="11"/>
        <rFont val="宋体"/>
        <charset val="0"/>
      </rPr>
      <t>装（含</t>
    </r>
    <r>
      <rPr>
        <sz val="11"/>
        <rFont val="Arial"/>
        <charset val="0"/>
      </rPr>
      <t>G Mark)+</t>
    </r>
    <r>
      <rPr>
        <sz val="11"/>
        <rFont val="宋体"/>
        <charset val="0"/>
      </rPr>
      <t>进口商贴纸</t>
    </r>
    <r>
      <rPr>
        <sz val="11"/>
        <rFont val="Arial"/>
        <charset val="0"/>
      </rPr>
      <t>(</t>
    </r>
    <r>
      <rPr>
        <sz val="11"/>
        <rFont val="宋体"/>
        <charset val="0"/>
      </rPr>
      <t>含</t>
    </r>
    <r>
      <rPr>
        <sz val="11"/>
        <rFont val="Arial"/>
        <charset val="0"/>
      </rPr>
      <t xml:space="preserve">QR code, </t>
    </r>
    <r>
      <rPr>
        <sz val="11"/>
        <rFont val="宋体"/>
        <charset val="0"/>
      </rPr>
      <t>阿拉伯警语</t>
    </r>
    <r>
      <rPr>
        <sz val="11"/>
        <rFont val="Arial"/>
        <charset val="0"/>
      </rPr>
      <t xml:space="preserve">); </t>
    </r>
    <r>
      <rPr>
        <sz val="11"/>
        <rFont val="宋体"/>
        <charset val="0"/>
      </rPr>
      <t>贴纸上的</t>
    </r>
    <r>
      <rPr>
        <sz val="11"/>
        <rFont val="Arial"/>
        <charset val="0"/>
      </rPr>
      <t>QR code</t>
    </r>
    <r>
      <rPr>
        <sz val="11"/>
        <rFont val="宋体"/>
        <charset val="0"/>
      </rPr>
      <t>需微信可扫，扫描结果</t>
    </r>
    <r>
      <rPr>
        <sz val="11"/>
        <rFont val="Arial"/>
        <charset val="0"/>
      </rPr>
      <t>64429</t>
    </r>
    <r>
      <rPr>
        <sz val="11"/>
        <rFont val="宋体"/>
        <charset val="0"/>
      </rPr>
      <t>；客版指南翻</t>
    </r>
    <r>
      <rPr>
        <sz val="11"/>
        <rFont val="Arial"/>
        <charset val="0"/>
      </rPr>
      <t>4500128286</t>
    </r>
    <r>
      <rPr>
        <sz val="11"/>
        <rFont val="宋体"/>
        <charset val="0"/>
      </rPr>
      <t>；客版产品贴纸</t>
    </r>
    <r>
      <rPr>
        <sz val="11"/>
        <rFont val="Arial"/>
        <charset val="0"/>
      </rPr>
      <t xml:space="preserve">
</t>
    </r>
    <r>
      <rPr>
        <sz val="11"/>
        <rFont val="宋体"/>
        <charset val="0"/>
      </rPr>
      <t>（删掉</t>
    </r>
    <r>
      <rPr>
        <sz val="11"/>
        <rFont val="Arial"/>
        <charset val="0"/>
      </rPr>
      <t>pork loin</t>
    </r>
    <r>
      <rPr>
        <sz val="11"/>
        <rFont val="宋体"/>
        <charset val="0"/>
      </rPr>
      <t>）单词翻</t>
    </r>
    <r>
      <rPr>
        <sz val="11"/>
        <rFont val="Arial"/>
        <charset val="0"/>
      </rPr>
      <t>4500148906</t>
    </r>
    <r>
      <rPr>
        <sz val="11"/>
        <rFont val="宋体"/>
        <charset val="0"/>
      </rPr>
      <t>；</t>
    </r>
    <r>
      <rPr>
        <sz val="11"/>
        <rFont val="Arial"/>
        <charset val="0"/>
      </rPr>
      <t>MA</t>
    </r>
    <r>
      <rPr>
        <sz val="11"/>
        <rFont val="宋体"/>
        <charset val="0"/>
      </rPr>
      <t>说明书</t>
    </r>
    <r>
      <rPr>
        <sz val="11"/>
        <rFont val="Arial"/>
        <charset val="0"/>
      </rPr>
      <t>+</t>
    </r>
    <r>
      <rPr>
        <sz val="11"/>
        <rFont val="宋体"/>
        <charset val="0"/>
      </rPr>
      <t>额外书纸翻</t>
    </r>
    <r>
      <rPr>
        <sz val="11"/>
        <rFont val="Arial"/>
        <charset val="0"/>
      </rPr>
      <t>4500128286;3L MA PDQ, PDQ</t>
    </r>
    <r>
      <rPr>
        <sz val="11"/>
        <rFont val="宋体"/>
        <charset val="0"/>
      </rPr>
      <t>和展架也需要进口商贴纸翻</t>
    </r>
    <r>
      <rPr>
        <sz val="11"/>
        <rFont val="Arial"/>
        <charset val="0"/>
      </rPr>
      <t xml:space="preserve">4500128286
</t>
    </r>
    <r>
      <rPr>
        <sz val="11"/>
        <color rgb="FFFF0000"/>
        <rFont val="Arial"/>
        <charset val="0"/>
      </rPr>
      <t xml:space="preserve"> MA PDQ, MA</t>
    </r>
    <r>
      <rPr>
        <sz val="11"/>
        <color rgb="FFFF0000"/>
        <rFont val="宋体"/>
        <charset val="0"/>
      </rPr>
      <t>展示架，</t>
    </r>
    <r>
      <rPr>
        <sz val="11"/>
        <color rgb="FFFF0000"/>
        <rFont val="Arial"/>
        <charset val="0"/>
      </rPr>
      <t>PDQ</t>
    </r>
    <r>
      <rPr>
        <sz val="11"/>
        <color rgb="FFFF0000"/>
        <rFont val="宋体"/>
        <charset val="0"/>
      </rPr>
      <t>和展示架也需要进口商贴纸翻</t>
    </r>
    <r>
      <rPr>
        <sz val="11"/>
        <color rgb="FFFF0000"/>
        <rFont val="Arial"/>
        <charset val="0"/>
      </rPr>
      <t>4500148906</t>
    </r>
    <r>
      <rPr>
        <sz val="11"/>
        <rFont val="Arial"/>
        <charset val="0"/>
      </rPr>
      <t xml:space="preserve">
Remark: 77515:3PCS AG13 Batteries (included)
 pork loin mini</t>
    </r>
    <r>
      <rPr>
        <sz val="11"/>
        <rFont val="宋体"/>
        <charset val="0"/>
      </rPr>
      <t>的产品贴纸删掉</t>
    </r>
    <r>
      <rPr>
        <sz val="11"/>
        <rFont val="Arial"/>
        <charset val="0"/>
      </rPr>
      <t>pork loin</t>
    </r>
    <r>
      <rPr>
        <sz val="11"/>
        <rFont val="宋体"/>
        <charset val="0"/>
      </rPr>
      <t>字样</t>
    </r>
  </si>
  <si>
    <t>4500149708-60</t>
  </si>
  <si>
    <t>说明书贴纸（翻4500151118）</t>
  </si>
  <si>
    <t>法国环保标贴纸 翻4500124462+无香贴纸</t>
  </si>
  <si>
    <r>
      <rPr>
        <sz val="11"/>
        <rFont val="宋体"/>
        <charset val="0"/>
      </rPr>
      <t>日期码格式：ZURU INC(BVI) 标准格式 日期：按实际生产日期 
Packaging Info:
 5.77515GQ2:最新MA 3L EAN收缩膜+一张法国环保标贴纸 翻4500124462+ MA 23L 说明书+</t>
    </r>
    <r>
      <rPr>
        <sz val="11"/>
        <color rgb="FFFF0000"/>
        <rFont val="宋体"/>
        <charset val="0"/>
      </rPr>
      <t>一张说明书贴纸（翻4500151118）</t>
    </r>
    <r>
      <rPr>
        <sz val="11"/>
        <rFont val="宋体"/>
        <charset val="0"/>
      </rPr>
      <t>+MA PDQ+MA收藏指南加无香贴纸（所有包装如有提示香味都做无香版）+一张纸袋贴纸（翻4500151118）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</si>
  <si>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4500150308-20</t>
  </si>
  <si>
    <t>客人确认可以接受MA 3L 包装，请按MA 3L 做货，另请用空白贴纸覆盖EAN 条码</t>
  </si>
  <si>
    <t>12/2 客供价格贴纸+空白贴纸</t>
  </si>
  <si>
    <t>日期码格式：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 #77516 收缩膜用3L+空白贴纸</t>
  </si>
  <si>
    <t>4500150464-20</t>
  </si>
  <si>
    <t>12/19 客供价格贴纸+空白贴纸</t>
  </si>
  <si>
    <r>
      <rPr>
        <sz val="11"/>
        <rFont val="宋体"/>
        <charset val="0"/>
      </rPr>
      <t xml:space="preserve">日期码格式：ZURU INC(BVI) 标准格式 日期：按实际生产日期
Packaging Info: 1.ZURU MA UPC 收缩膜+客版铜版纸+PVC桶 + 客供价格贴纸，出口美国 , 优先使用MA 1L 最新版本 。
</t>
    </r>
    <r>
      <rPr>
        <sz val="11"/>
        <color rgb="FFFF0000"/>
        <rFont val="宋体"/>
        <charset val="0"/>
      </rPr>
      <t>2.#77516请使用MA 3L 收缩膜+空白贴纸覆盖EAN条码</t>
    </r>
    <r>
      <rPr>
        <sz val="11"/>
        <rFont val="宋体"/>
        <charset val="0"/>
      </rPr>
      <t xml:space="preserve">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t>
    </r>
    <r>
      <rPr>
        <sz val="11"/>
        <color rgb="FFFF0000"/>
        <rFont val="宋体"/>
        <charset val="0"/>
      </rPr>
      <t>8.#77516请使用MA 3L 收缩膜+空白贴纸覆盖EAN条码</t>
    </r>
  </si>
  <si>
    <t>MAGGIO 3 SRL</t>
  </si>
  <si>
    <t>4500151811-40</t>
  </si>
  <si>
    <t>11、22</t>
  </si>
  <si>
    <t>12/12 进口商地址贴纸+PDQ条码贴</t>
  </si>
  <si>
    <r>
      <rPr>
        <sz val="10"/>
        <rFont val="等线"/>
        <charset val="134"/>
      </rPr>
      <t>日期码格式：ZURU INC(BVI) 标准格式 日期：按实际生产日期 
Packaging Info: 
 77555GQ1- MA 3L+5L EAN收缩膜（+1*意大利sorting logo含进口商地址贴纸）+MA 5L 收藏指南 +MA多语 PAPER BAG +MA 3L PDQ</t>
    </r>
    <r>
      <rPr>
        <sz val="10"/>
        <color rgb="FFFF0000"/>
        <rFont val="等线"/>
        <charset val="134"/>
      </rPr>
      <t>(+1*PDQ条码贴纸)</t>
    </r>
    <r>
      <rPr>
        <sz val="10"/>
        <rFont val="等线"/>
        <charset val="134"/>
      </rPr>
      <t xml:space="preserve">+MA 23L WARNI
 NG帽子说明书
 </t>
    </r>
    <r>
      <rPr>
        <sz val="10"/>
        <color rgb="FFFF0000"/>
        <rFont val="等线"/>
        <charset val="134"/>
      </rPr>
      <t>产品条码 4894680033429</t>
    </r>
    <r>
      <rPr>
        <sz val="10"/>
        <rFont val="等线"/>
        <charset val="134"/>
      </rPr>
      <t xml:space="preserve">
Remark: 1.此单出意大利，需符合EU标准，不能含微塑料，如果有slime等化学品需要不含硼
 2.需保证按期1/15前完货，延期罚款
 3.贴纸切勿盖住意大利警告语文字(QC 务必检查）</t>
    </r>
  </si>
  <si>
    <t>4500150510-10</t>
  </si>
  <si>
    <t>BASILE GIOCATTOLI SRL</t>
  </si>
  <si>
    <t>4500153469-10</t>
  </si>
  <si>
    <t>12/17 进口商地址贴纸</t>
  </si>
  <si>
    <t>日期码格式：ZURU INC(BVI) 标准格式 日期：按实际生产日期 
Packaging Info: 77515GQ1-MA B 3L+5L EAN收缩膜 （+1*意大利sorting logo含进口商地址贴纸）+ MA 5L 收藏指南+MA 3L PDQ+MA 多语bag+ MA 23L WARNING帽子说明书 条码 4
 894680032255
Remark: 1.此单出意大利，需符合EU标准，不能含微塑料，如果有slime等化学品需要不含硼；
2.需保证按期1/17前完货，延期罚款；77515需要大货样品1pc+1set散件。
 3.贴纸切勿盖住意大利警告语文字(QC 务必检查）</t>
  </si>
  <si>
    <t>MPO03111</t>
  </si>
  <si>
    <t xml:space="preserve"> PO#
4500153457</t>
  </si>
  <si>
    <t>77515-S001-MSLD121-S001</t>
  </si>
  <si>
    <t>DIY厨艺大师6个球按配比分隔开/箱</t>
  </si>
  <si>
    <t>日期统一打： 2025年1月16日</t>
  </si>
  <si>
    <t>数量有误，与客人确认后更新</t>
  </si>
  <si>
    <t>1/20送库有</t>
  </si>
  <si>
    <t>周转箱 备注上:客供子件给Mis FleetFarmPon4500153457#MSLD121-S001混装用</t>
  </si>
  <si>
    <r>
      <rPr>
        <sz val="10"/>
        <rFont val="等线"/>
        <charset val="134"/>
      </rPr>
      <t xml:space="preserve">Remark: 1. 包装： 包 ZURU MA 1L UPC最新包装；出口美国 最
2. 日期跟踪码：产品外包装及产品本身都必须有日期跟踪码，并且确保两者的日期跟踪码要一致； 日 ZURU标准格式日期码 标 (请自行调整具体年月日生产期，但不能为周末）因 请
该单是多工厂混装，为了统一，日期可以统一打 该 2025年1月16日
3. 按照按 Zuru MA 标板配比 标
4. 子件于 子 2025年1月20日送到库有混装，产品包装上需做好标识，以便组装厂识别组装时避免重复率，送货到库有厂时送货单请备注上：客供子件给 日 Mills Fleet Farm </t>
    </r>
    <r>
      <rPr>
        <sz val="10"/>
        <color rgb="FFFF0000"/>
        <rFont val="等线"/>
        <charset val="134"/>
      </rPr>
      <t>PO#
4500153457 # #MSLD121-S001混装用。</t>
    </r>
  </si>
  <si>
    <t>24-1067175JDO</t>
  </si>
  <si>
    <t>4500153864--90</t>
  </si>
  <si>
    <t>指定日期格式2025-01</t>
  </si>
  <si>
    <t>12/18 UPC 贴纸</t>
  </si>
  <si>
    <t>日期码格式：2025-01 日期： 
Packaging Info: 77515GQ2：MA 5L 收藏指南+MA 3L 包装+UPC 贴纸+MA 3L PDQ 包装+箱唛
Remark: 
 77515GQ2: 3PCS AG13 BATTERIES(INCLUDE)</t>
  </si>
  <si>
    <t>24-1067174JEC</t>
  </si>
  <si>
    <t>4500153836-30</t>
  </si>
  <si>
    <t>外箱箱唛，产品批号需要与进口商贴纸保持一致。</t>
  </si>
  <si>
    <t>UPC 贴纸翻单153864+12/17 进口商贴纸</t>
  </si>
  <si>
    <t>日期码格式：LOTE 格式：例如2025-01 日期： 
Packaging Info: 77515GQ2：MA 5L 收藏指南+MA 3L 包装+UPC 贴纸+MA 3L PDQ 包装+进口商贴纸+箱唛
Remark: 77515GQ2: 3PCS AG13 BATTERIES(INCLUDE)
 客户有LOTE 格式：例如2025-01. ，外箱箱唛，产品批号需要与进口商贴纸保持一致。</t>
  </si>
  <si>
    <t>4500153302-20</t>
  </si>
  <si>
    <t>有第三方</t>
  </si>
  <si>
    <t>客人日期码：LOT2503，产品/包装/外箱 请保持一致</t>
  </si>
  <si>
    <t>欠进口商贴纸+产品贴纸+黑白纸电池说明书 客版说明书待客人确认后提供</t>
  </si>
  <si>
    <r>
      <rPr>
        <sz val="10"/>
        <rFont val="等线"/>
        <charset val="134"/>
      </rPr>
      <t>日期码格式：LOT2503 日期： 
Packaging Info: 
 77515：</t>
    </r>
    <r>
      <rPr>
        <sz val="10"/>
        <color rgb="FFFF0000"/>
        <rFont val="等线"/>
        <charset val="134"/>
      </rPr>
      <t>最新MA 3L+5L warning EAN收缩膜+MA PDQ+1*进口商贴纸+1*产品贴纸+客版说明书</t>
    </r>
    <r>
      <rPr>
        <sz val="10"/>
        <rFont val="等线"/>
        <charset val="134"/>
      </rPr>
      <t xml:space="preserve">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r>
  </si>
  <si>
    <t>4500149460-160</t>
  </si>
  <si>
    <t>货期待客提供资料后复期</t>
  </si>
  <si>
    <t>加保证书  有第三方监柜</t>
  </si>
  <si>
    <t>欠</t>
  </si>
  <si>
    <t>欠UPC贴纸+进口商贴纸+价标贴纸</t>
  </si>
  <si>
    <t>日期码格式：ZURU INC(BVI) 标准格式 日期：按实际生产日期
Packaging Info:77515GQ2:MA 3LEAN包装+MA 23L说明书+UPC贴纸+进口商贴纸+价标贴纸+箱唛+保证书
Remark: 1. 此单价格贴纸（ZURU定购).
2.此单有第三方监柜，不用额外准备备品，会在大货中每款拆1pc，拆了包装的产品会由监装员用客供胶带封好或在外箱上写上""opened by telescope”</t>
  </si>
  <si>
    <t>4500145574-40</t>
  </si>
  <si>
    <t>12/24进口商贴纸+价标贴纸+11/29客供 Hu贴纸+ASN贴纸</t>
  </si>
  <si>
    <t>日期码格式：ZURU INC(BVI) 标准格式 日期：按实际生产日期
Packaging Info: 
77515GQ2；MA 3L 包装+UPC贴纸+MA 多语收藏指南+MA 3L PDQ包装+进口商贴纸+价标贴纸；
1.外箱只需四面印Zuru logo，再加2张贴纸，1张Hu贴纸（条码贴），1张ASN贴纸（尺寸6.5cm*6.3cm,潘通色号2597C），都贴于侧唛，只需贴1面(备注HU'S &lt;(&gt;&amp;
&lt;)&gt; ASN贴纸客供）
2. 一个外箱对应一个HU’S(条形码),不可以混条码包装
3.含有说明书需要增加说明书贴纸
4.价格贴纸覆盖原有彩盒的条形码
Remark: 
77515GQ2：3PCS AG13 Batteries(Include)
此单有监柜要求，需要每款多准备一套完整物料，用于监柜，不可以随大货走</t>
  </si>
  <si>
    <t>4500151307-100</t>
  </si>
  <si>
    <t>待收到资料后重新复期</t>
  </si>
  <si>
    <t>欠进口商贴纸+价标贴纸+UPC贴纸</t>
  </si>
  <si>
    <t>日期码格式：ZURU INC(BVI) 标准格式 日期：按实际生产日期
Packaging Info:
77515GQ2:MA 3LEAN包装+MA 23L说明书+UPC贴纸+进口商贴纸+价标贴纸+箱唛+保证书
Remark: 1. 此单价格贴纸（ZURU定购).
2.此单有第三方监柜，不用额外准备备品，会在大货中每款拆1pc，拆了包装的产品会由监装员用客供胶带封好或在外箱上写上""opened by telescope”</t>
  </si>
  <si>
    <t>4500153788-60</t>
  </si>
  <si>
    <t>12/17 进口商贴纸</t>
  </si>
  <si>
    <t>日期码格式：ZURU INC(BVI) 标准格式 日期：按实际生产日期 
Packaging Info:
 6.77515GQ2：最新MA 3L EAN 版本包装+一张进口商贴纸（含环保标）+MA 23L说明书；
Remark: 订单出西班牙，不能含微塑料/闪粉；</t>
  </si>
  <si>
    <t>PO#2698218-SK
U#143951575</t>
  </si>
  <si>
    <t>4500151646-20</t>
  </si>
  <si>
    <t>11/22 UPC贴纸</t>
  </si>
  <si>
    <t>日期码格式：ZURU INC(BVI) 标准格式 日期：按实际生产日期
Packaging Info:
 -77515GQ1: 收缩膜和PDQ 用3L 版本+UPC 贴纸，其他通用版本ok
 订单对应客户1个PO号 ，备注有显示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</si>
  <si>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10001033544-3890</t>
  </si>
  <si>
    <t>4500154167-10</t>
  </si>
  <si>
    <t>欠条码箱贴纸</t>
  </si>
  <si>
    <t>日期码格式：ZURU INC(BVI) 标准格式 日期：按实际生产日期 
Packaging Info: MA包装, MA 1L 收缩膜, MA 1L PDQ；
Remark: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4. 产品和包装上印刷 tracking code信息，格式为ZURU常规格式;
 5. 出货方式：货代自提。</t>
  </si>
  <si>
    <t>4500152538-2:
FB12127</t>
  </si>
  <si>
    <t>4500152538-50</t>
  </si>
  <si>
    <t>EAN条码贴翻144795</t>
  </si>
  <si>
    <t>日期码格式：ZURU INC(BVI) 标准格式 日期：按实际生产日期
Packaging Info: 
77515GQ1：MA最新1L配套包装+客户EAN条码贴一张覆盖ZURU 原条码，条码贴翻订单4500144795。
另外产品内包装再加多一张2国语言电池说明书 ，即产品内含2张说明书 （ZURU标准说明书1张+2国语言电池说明书），两国语言说明书翻订单4500148687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</si>
  <si>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4500152538-3:
FB12155</t>
  </si>
  <si>
    <t>4500152538-140</t>
  </si>
  <si>
    <t>4500152538-4:
FB12134</t>
  </si>
  <si>
    <t>4500152538-240</t>
  </si>
  <si>
    <t>4500153390-20</t>
  </si>
  <si>
    <t>12/16 价格贴纸+电池警告语贴纸</t>
  </si>
  <si>
    <t>日期码格式：ZURU INC(BVI) 标准格式 日期：按实际生产日期
Packaging Info: MA UPC英语包装（优先1L英语版本,或者3L/L含英语即可）+可移动材质的价格贴纸（价格贴纸要切虚线)
77515GQ1: 包装正面和说明书都需要加电池警告语贴纸（法规要求）
Remark:
77515GQ1: 3PCS AG13 Batteries(Included)</t>
  </si>
  <si>
    <t>Abby Liang</t>
  </si>
  <si>
    <t>4500151537-20</t>
  </si>
  <si>
    <t>使用MA 3L 收缩膜+空白贴纸覆盖EAN条码</t>
  </si>
  <si>
    <t>欠客供价格贴纸+空白贴纸</t>
  </si>
  <si>
    <r>
      <rPr>
        <sz val="11"/>
        <rFont val="宋体"/>
        <charset val="0"/>
      </rPr>
      <t>日期码格式： 标准格式 日期：按实际生产日期
Packaging Info: 1.ZURU MA UPC 收缩膜+客版铜版纸+PVC桶 + 客供价格贴纸，出口美国 , 优先使用MA 1L 最新版本 。
2.</t>
    </r>
    <r>
      <rPr>
        <sz val="11"/>
        <color rgb="FFFF0000"/>
        <rFont val="宋体"/>
        <charset val="0"/>
      </rPr>
      <t>#77516请使用MA 3L 收缩膜+空白贴纸覆盖EAN条码</t>
    </r>
    <r>
      <rPr>
        <sz val="11"/>
        <rFont val="宋体"/>
        <charset val="0"/>
      </rPr>
      <t xml:space="preserve">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8.#77516请使用MA 3L 收缩膜+空白贴纸覆盖EAN条码</t>
    </r>
  </si>
  <si>
    <t>4500151765-20</t>
  </si>
  <si>
    <t>UPC贴纸翻单150696+slip sheet贴纸</t>
  </si>
  <si>
    <t>日期码格式：ZURU INC(BVI) 标准格式 日期：按实际生产日期 
Packaging Info: 
 2.77515SLB-S003
 77515GQ1-S003: MA 3L A版PDQ+MA 3L B版收缩膜+1张UPC贴纸(贴纸翻PO#4500150696)+其他MA最新版包装
 UPC#193052061034，请先检查条码是否正确再安排做货
 Slip sheet：13PCS/PDQ/CTN(Carton SIZE:23*22*33CM),15*5H=75CTN=975PCS/SLIP SHEET;一共需要1套slip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</si>
  <si>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4500154604-150</t>
  </si>
  <si>
    <t>保证书翻单PO4500149460</t>
  </si>
  <si>
    <t>有第三方监柜</t>
  </si>
  <si>
    <t>欠价格贴纸+UPC贴纸/进口商贴纸翻单PO4500137056</t>
  </si>
  <si>
    <t>日期码格式：ZURU INC(BVI) 标准格式 日期：按实际生产日期 
Packaging Info: 
 77515GQ2:MA 3LEAN包装+MA 23L说明书+UPC贴纸+进口商贴纸+价标贴纸+箱唛+保证书,进口商贴纸/保证书翻单PO4500149460
Remark: 1. 此单价格贴纸（ZURU定购).
2.此单有第三方监柜，不用额外准备备品，会在大货中每款拆1pc，拆了包装的产品会由监装员用客供胶带封好或在外箱上写上""opened by telescope”</t>
  </si>
  <si>
    <t>4500154618-20</t>
  </si>
  <si>
    <t>欠SSCC Label</t>
  </si>
  <si>
    <t>日期码格式：ZURU INC(BVI) 标准格式 日期：按实际生产日期 
Packaging Info: 
 2. 77515GQ1:MA英语UPC 版本包装 (优先1L，如无1L，可用3L),箱唛+外箱贴纸,此外77515含纽扣电池，包装跟说明书上需加电池警告语贴纸，贴纸及其位置图跟回 PO#4500125613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</si>
  <si>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10001187607-3890</t>
  </si>
  <si>
    <t>4500155146-10</t>
  </si>
  <si>
    <t>日期码格式：ZURU INC(BVI) 标准格式 日期：按实际生产日期 
Packaging Info: MA包装, MA 1L 收缩膜, MA 1L PDQ；
Remark: 1. 77515GQ5-S002-MINI BRAND-MASTER CHEF MINI BRANDS-SERIES 1,21pcs/Gravity PDQ, 21pcs/CTN,No Inner,STD Color Assortment
 2. MA包装, MA 1L 收缩膜, MA 1L PDQ；收缩膜上的UPC显示193052061034;
 3. 外箱正唛左上角位置粘贴条码箱贴纸，每箱只贴一张，由ZURU订购。来料贴纸上显示的客户DPCI# 086-02-9598， UPC显示10193052061031;
 4. 产品和包装上印刷 tracking code信息，格式为ZURU常规格式;
 5. 出货方式：货代自提</t>
  </si>
  <si>
    <t>4500151720-10</t>
  </si>
  <si>
    <t>6006-005226</t>
  </si>
  <si>
    <t>4500154694-30</t>
  </si>
  <si>
    <t>欠进口商贴纸</t>
  </si>
  <si>
    <t>日期码格式：ZURU INC(BVI) 标准格式 日期：按实际生产日期 
Packaging Info: MA PKG, 优先1L +1张进口商贴纸（贴条码附近空白处，不得遮挡日期码）
 该客户只有一款进口商贴纸，所有款通用，进口商贴纸AW可翻此客户旧订单
Remark:</t>
  </si>
  <si>
    <t>Amazon DE:
4TWZBWOK</t>
  </si>
  <si>
    <t>4500154803-30</t>
  </si>
  <si>
    <t>12/26 ZURU邮箱贴纸 +1张UPC#，1张IT/FR sorting label，1张ES回收环保标志1号翻单PO#4500142613+欠防伪贴纸+12/30 SSCC</t>
  </si>
  <si>
    <r>
      <rPr>
        <sz val="10"/>
        <rFont val="等线"/>
        <charset val="134"/>
      </rPr>
      <t>日期码格式：ZURU INC(BVI) 标准格式 日期：按实际生产日期 
Packaging Info: Amazon UK(9543E)/DE(9543E/77515)
 2. 77515：24pcs/ctn, no inner; MA 3L(5L warning EAN#) B收缩膜+4张贴纸(1张UPC#，1张IT/FR sorting label，1张ES回收环保标志1号，参考翻单PO#4500142613；1张ZURU邮箱贴纸）+MA 5L</t>
    </r>
    <r>
      <rPr>
        <sz val="10"/>
        <color rgb="FFFF0000"/>
        <rFont val="等线"/>
        <charset val="134"/>
      </rPr>
      <t xml:space="preserve"> B</t>
    </r>
    <r>
      <rPr>
        <sz val="10"/>
        <rFont val="等线"/>
        <charset val="134"/>
      </rPr>
      <t xml:space="preserve">配件袋+MA 5L A收藏指南+MA23L </t>
    </r>
    <r>
      <rPr>
        <sz val="10"/>
        <color rgb="FFFF0000"/>
        <rFont val="等线"/>
        <charset val="134"/>
      </rPr>
      <t>B</t>
    </r>
    <r>
      <rPr>
        <sz val="10"/>
        <rFont val="等线"/>
        <charset val="134"/>
      </rPr>
      <t>警示说明书+其他最新版MA包装+1张防伪贴纸(具体位置参考USA同款订单)；
 3. 最迟验货不得晚于2025/02/28;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</si>
  <si>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Amazon Italy</t>
  </si>
  <si>
    <t>Amazon IT:
6MR547DO</t>
  </si>
  <si>
    <r>
      <rPr>
        <sz val="11"/>
        <color theme="1"/>
        <rFont val="Arial"/>
        <charset val="0"/>
      </rPr>
      <t>4500154891</t>
    </r>
    <r>
      <rPr>
        <b/>
        <sz val="11"/>
        <color theme="1"/>
        <rFont val="Arial"/>
        <charset val="0"/>
      </rPr>
      <t>-20</t>
    </r>
  </si>
  <si>
    <t>3/10 入仓</t>
  </si>
  <si>
    <t xml:space="preserve">空白外箱（加印带Zuru字样的最新logo，除了邮包盒直接做外箱的产品） </t>
  </si>
  <si>
    <t>ZURU邮箱贴纸翻单154803 +1张UPC#，1张IT/FR sorting label，1张ES回收环保标志1号翻单PO#4500142613+欠防伪贴纸+12/30 SSCC</t>
  </si>
  <si>
    <r>
      <rPr>
        <sz val="10"/>
        <color theme="1"/>
        <rFont val="等线"/>
        <charset val="134"/>
      </rPr>
      <t>日期码格式：ZURU INC(BVI) 标准格式 日期：按实际生产日期 
Packaging Info: Amazon IT(92104D/77515)
 2. 77515：24pcs/ctn, no inner; MA 3L(5L warning EAN#) B收缩膜+4张贴纸(1张UPC#，1张IT/FR sorting label，1张ES回收环保标志1号，参考翻单PO#4500142
613；1张ZURU邮箱贴纸，参考翻单PO#4500154803）+MA 5L</t>
    </r>
    <r>
      <rPr>
        <sz val="10"/>
        <color rgb="FFFF0000"/>
        <rFont val="等线"/>
        <charset val="134"/>
      </rPr>
      <t xml:space="preserve"> B</t>
    </r>
    <r>
      <rPr>
        <sz val="10"/>
        <color theme="1"/>
        <rFont val="等线"/>
        <charset val="134"/>
      </rPr>
      <t>配件袋+MA 5L A收藏指南+MA23L</t>
    </r>
    <r>
      <rPr>
        <sz val="10"/>
        <color rgb="FFFF0000"/>
        <rFont val="等线"/>
        <charset val="134"/>
      </rPr>
      <t xml:space="preserve"> B</t>
    </r>
    <r>
      <rPr>
        <sz val="10"/>
        <color theme="1"/>
        <rFont val="等线"/>
        <charset val="134"/>
      </rPr>
      <t>警示说明书+其他最新版MA包装+1张防伪贴纸(具体位置参考USA同款
 订单)；
 3. 最迟验货不得晚于2025/02/28;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</si>
  <si>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4500154624-150</t>
  </si>
  <si>
    <t>日期码格式：ZURU INC(BVI) 标准格式 日期：按实际生产日期
Packaging Info: 
 77515GQ2:MA 3LEAN包装+MA 23L说明书+UPC贴纸+进口商贴纸+价标贴纸+箱唛+保证书,进口商贴纸/保证书翻单PO4500149460
Remark: 1. 此单价格贴纸（ZURU定购).
2.此单有第三方监柜，不用额外准备备品，会在大货中每款拆1pc，拆了包装的产品会由监装员用客供胶带封好或在外箱上写上""opened by telescope”</t>
  </si>
  <si>
    <t>Total:</t>
  </si>
  <si>
    <t>ZURU  （77515 Mini Brands 迷你球DIY厨艺系列）生产排期表</t>
  </si>
  <si>
    <r>
      <rPr>
        <b/>
        <sz val="11"/>
        <color rgb="FFFF0000"/>
        <rFont val="Arial"/>
        <charset val="0"/>
      </rPr>
      <t>77515</t>
    </r>
    <r>
      <rPr>
        <b/>
        <sz val="11"/>
        <color rgb="FFFF0000"/>
        <rFont val="宋体"/>
        <charset val="0"/>
      </rPr>
      <t>出加拿大的</t>
    </r>
    <r>
      <rPr>
        <b/>
        <sz val="11"/>
        <color rgb="FFFF0000"/>
        <rFont val="Arial"/>
        <charset val="0"/>
      </rPr>
      <t>3L</t>
    </r>
    <r>
      <rPr>
        <b/>
        <sz val="11"/>
        <color rgb="FFFF0000"/>
        <rFont val="宋体"/>
        <charset val="0"/>
      </rPr>
      <t>都需要双语</t>
    </r>
    <r>
      <rPr>
        <b/>
        <sz val="11"/>
        <color rgb="FFFF0000"/>
        <rFont val="Arial"/>
        <charset val="0"/>
      </rPr>
      <t>logo</t>
    </r>
    <r>
      <rPr>
        <b/>
        <sz val="11"/>
        <color rgb="FFFF0000"/>
        <rFont val="宋体"/>
        <charset val="0"/>
      </rPr>
      <t>，最新版本</t>
    </r>
    <r>
      <rPr>
        <b/>
        <sz val="11"/>
        <color rgb="FFFF0000"/>
        <rFont val="Arial"/>
        <charset val="0"/>
      </rPr>
      <t xml:space="preserve">77515GQ1 GQ2 GQ5 GQ6 SK SK1 </t>
    </r>
    <r>
      <rPr>
        <b/>
        <sz val="11"/>
        <color rgb="FFFF0000"/>
        <rFont val="宋体"/>
        <charset val="0"/>
      </rPr>
      <t>纸袋</t>
    </r>
    <r>
      <rPr>
        <b/>
        <sz val="11"/>
        <color rgb="FFFF0000"/>
        <rFont val="Arial"/>
        <charset val="0"/>
      </rPr>
      <t xml:space="preserve"> </t>
    </r>
    <r>
      <rPr>
        <b/>
        <sz val="11"/>
        <color rgb="FFFF0000"/>
        <rFont val="宋体"/>
        <charset val="0"/>
      </rPr>
      <t>收藏指南</t>
    </r>
    <r>
      <rPr>
        <b/>
        <sz val="11"/>
        <color rgb="FFFF0000"/>
        <rFont val="Arial"/>
        <charset val="0"/>
      </rPr>
      <t xml:space="preserve"> </t>
    </r>
    <r>
      <rPr>
        <b/>
        <sz val="11"/>
        <color rgb="FFFF0000"/>
        <rFont val="宋体"/>
        <charset val="0"/>
      </rPr>
      <t>收缩膜</t>
    </r>
  </si>
  <si>
    <t>GQ1</t>
  </si>
  <si>
    <r>
      <rPr>
        <sz val="11"/>
        <rFont val="宋体"/>
        <charset val="0"/>
      </rPr>
      <t>总</t>
    </r>
    <r>
      <rPr>
        <sz val="11"/>
        <rFont val="Arial"/>
        <charset val="0"/>
      </rPr>
      <t>MA</t>
    </r>
  </si>
  <si>
    <t>采购单</t>
  </si>
  <si>
    <r>
      <rPr>
        <b/>
        <sz val="11"/>
        <rFont val="宋体"/>
        <charset val="0"/>
      </rPr>
      <t>无</t>
    </r>
    <r>
      <rPr>
        <b/>
        <sz val="11"/>
        <rFont val="Arial"/>
        <charset val="0"/>
      </rPr>
      <t>UPC</t>
    </r>
    <r>
      <rPr>
        <b/>
        <sz val="11"/>
        <rFont val="宋体"/>
        <charset val="0"/>
      </rPr>
      <t>版本</t>
    </r>
  </si>
  <si>
    <r>
      <rPr>
        <b/>
        <sz val="11"/>
        <color rgb="FFFF0000"/>
        <rFont val="宋体"/>
        <charset val="0"/>
      </rPr>
      <t>新无</t>
    </r>
    <r>
      <rPr>
        <b/>
        <sz val="11"/>
        <color rgb="FFFF0000"/>
        <rFont val="Arial"/>
        <charset val="0"/>
      </rPr>
      <t>UPC</t>
    </r>
    <r>
      <rPr>
        <b/>
        <sz val="11"/>
        <color rgb="FFFF0000"/>
        <rFont val="宋体"/>
        <charset val="0"/>
      </rPr>
      <t>版本-C</t>
    </r>
  </si>
  <si>
    <r>
      <rPr>
        <b/>
        <sz val="11"/>
        <rFont val="Arial"/>
        <charset val="0"/>
      </rPr>
      <t>MA  1</t>
    </r>
    <r>
      <rPr>
        <b/>
        <sz val="11"/>
        <rFont val="宋体"/>
        <charset val="0"/>
      </rPr>
      <t>语</t>
    </r>
    <r>
      <rPr>
        <b/>
        <sz val="11"/>
        <rFont val="Arial"/>
        <charset val="0"/>
      </rPr>
      <t>C</t>
    </r>
    <r>
      <rPr>
        <b/>
        <sz val="11"/>
        <rFont val="宋体"/>
        <charset val="0"/>
      </rPr>
      <t>版收缩膜</t>
    </r>
  </si>
  <si>
    <r>
      <rPr>
        <b/>
        <sz val="11"/>
        <color rgb="FFFF0000"/>
        <rFont val="Arial"/>
        <charset val="0"/>
      </rPr>
      <t>MA  3</t>
    </r>
    <r>
      <rPr>
        <b/>
        <sz val="11"/>
        <color rgb="FFFF0000"/>
        <rFont val="宋体"/>
        <charset val="0"/>
      </rPr>
      <t>语</t>
    </r>
    <r>
      <rPr>
        <b/>
        <sz val="11"/>
        <color rgb="FFFF0000"/>
        <rFont val="Arial"/>
        <charset val="0"/>
      </rPr>
      <t>C</t>
    </r>
    <r>
      <rPr>
        <b/>
        <sz val="11"/>
        <color rgb="FFFF0000"/>
        <rFont val="宋体"/>
        <charset val="0"/>
      </rPr>
      <t>版本收缩膜</t>
    </r>
  </si>
  <si>
    <t>ACTION  客版1L收缩膜+客版15L吊牌+客版UV灯说明书</t>
  </si>
  <si>
    <r>
      <rPr>
        <b/>
        <sz val="11"/>
        <rFont val="Arial"/>
        <charset val="0"/>
      </rPr>
      <t>MA  5L</t>
    </r>
    <r>
      <rPr>
        <b/>
        <sz val="11"/>
        <color rgb="FF00B0F0"/>
        <rFont val="Arial"/>
        <charset val="0"/>
      </rPr>
      <t>B</t>
    </r>
    <r>
      <rPr>
        <b/>
        <sz val="11"/>
        <color rgb="FF00B0F0"/>
        <rFont val="宋体"/>
        <charset val="0"/>
      </rPr>
      <t>版</t>
    </r>
    <r>
      <rPr>
        <b/>
        <sz val="11"/>
        <rFont val="宋体"/>
        <charset val="0"/>
      </rPr>
      <t>语收藏指南</t>
    </r>
  </si>
  <si>
    <r>
      <rPr>
        <b/>
        <sz val="11"/>
        <rFont val="Arial"/>
        <charset val="0"/>
      </rPr>
      <t>MA 23L_C_IFUD</t>
    </r>
    <r>
      <rPr>
        <b/>
        <sz val="11"/>
        <rFont val="宋体"/>
        <charset val="0"/>
      </rPr>
      <t>声明补充说明书</t>
    </r>
  </si>
  <si>
    <r>
      <rPr>
        <b/>
        <sz val="11"/>
        <rFont val="Arial"/>
        <charset val="0"/>
      </rPr>
      <t>WEE</t>
    </r>
    <r>
      <rPr>
        <b/>
        <sz val="11"/>
        <rFont val="宋体"/>
        <charset val="0"/>
      </rPr>
      <t>带电说明书</t>
    </r>
  </si>
  <si>
    <t>GQ5  B3L</t>
  </si>
  <si>
    <r>
      <rPr>
        <sz val="11"/>
        <rFont val="Arial"/>
        <charset val="0"/>
      </rPr>
      <t>B</t>
    </r>
    <r>
      <rPr>
        <sz val="11"/>
        <rFont val="宋体"/>
        <charset val="0"/>
      </rPr>
      <t>版</t>
    </r>
    <r>
      <rPr>
        <sz val="11"/>
        <rFont val="Arial"/>
        <charset val="0"/>
      </rPr>
      <t xml:space="preserve"> 1L</t>
    </r>
  </si>
  <si>
    <r>
      <rPr>
        <sz val="11"/>
        <color rgb="FFFF0000"/>
        <rFont val="Arial"/>
        <charset val="0"/>
      </rPr>
      <t>B</t>
    </r>
    <r>
      <rPr>
        <sz val="11"/>
        <color rgb="FFFF0000"/>
        <rFont val="宋体"/>
        <charset val="0"/>
      </rPr>
      <t>版</t>
    </r>
    <r>
      <rPr>
        <sz val="11"/>
        <color rgb="FFFF0000"/>
        <rFont val="Arial"/>
        <charset val="0"/>
      </rPr>
      <t xml:space="preserve"> 3L</t>
    </r>
  </si>
  <si>
    <t>B版本 3L 彩纸</t>
  </si>
  <si>
    <t>已删减实单</t>
  </si>
  <si>
    <r>
      <rPr>
        <sz val="11"/>
        <rFont val="Arial"/>
        <charset val="0"/>
      </rPr>
      <t>MA</t>
    </r>
    <r>
      <rPr>
        <sz val="11"/>
        <rFont val="宋体"/>
        <charset val="0"/>
      </rPr>
      <t>剩余</t>
    </r>
  </si>
  <si>
    <t>77515-S001-2</t>
  </si>
  <si>
    <t>88842-1.2</t>
  </si>
  <si>
    <t>88928-1.7</t>
  </si>
  <si>
    <t>88897-1.6</t>
  </si>
  <si>
    <t>88843-1.2</t>
  </si>
  <si>
    <t>1/9 客上柜</t>
  </si>
  <si>
    <t>88960-1.9</t>
  </si>
  <si>
    <t>88896-1.6</t>
  </si>
  <si>
    <t>94403-2.27                  94411-2.28</t>
  </si>
  <si>
    <t>88944-1.8</t>
  </si>
  <si>
    <t>88877-1.4</t>
  </si>
  <si>
    <t>88961-1.9</t>
  </si>
  <si>
    <t>88942-1.8</t>
  </si>
  <si>
    <t>88943-1.8</t>
  </si>
  <si>
    <t>1/6 客上柜</t>
  </si>
  <si>
    <t>88895-1.6</t>
  </si>
  <si>
    <t>1/8 交仓</t>
  </si>
  <si>
    <t>88992-1.11</t>
  </si>
  <si>
    <t>88993-1.11</t>
  </si>
  <si>
    <t>88841-1.2</t>
  </si>
  <si>
    <t>1/19  截SI</t>
  </si>
  <si>
    <t>94107-118</t>
  </si>
  <si>
    <t>88874-1.4</t>
  </si>
  <si>
    <t>1/11 截SI</t>
  </si>
  <si>
    <t>94108-1.18</t>
  </si>
  <si>
    <t>1/14 截SI</t>
  </si>
  <si>
    <t>94030-1.14</t>
  </si>
  <si>
    <t>日期码格式：ZURU INC(BVI) 标准格式 日期：按实际生产日期
Packaging Info:
Remark: 1. MA UPC包装(优先1L），出口美国
2. 客户PO# 0092242911 0092242912 0092242913 这3个订单外箱需要贴4x6"UCC 贴纸，只需贴一面（UCC贴纸为客供贴纸）。PO#0092242910 0092242914，这2个
订单外箱不需要UCC贴纸。
3. ZURU QC 验货。
4. 产品和包裝上需印刷tracking code信息，格式为ZURU常规。
5. 展示架上需粘贴 mother UPC 贴纸 （Item# MEC251 的 mother UPC: 193052068019 ）</t>
  </si>
  <si>
    <t>88990-1.11</t>
  </si>
  <si>
    <t>94051-1.15</t>
  </si>
  <si>
    <t>1/13 截SI</t>
  </si>
  <si>
    <t>94086-1.17</t>
  </si>
  <si>
    <t>1/13 出货</t>
  </si>
  <si>
    <t>94069-1.16</t>
  </si>
  <si>
    <t>1/7 截单</t>
  </si>
  <si>
    <t>日期码格式：ZURU INC(BVI) 标准格式 日期：按实际生产日期 
Packaging Info:
 77515GQ2:MA 3L包装+进口商贴纸+箱唛+EAN贴纸
Remark: 进口商贴纸请多备料5pcs,出货后需要寄给客户</t>
  </si>
  <si>
    <t>88941-1.8</t>
  </si>
  <si>
    <t>1/16 截SI</t>
  </si>
  <si>
    <t>94112-1.18</t>
  </si>
  <si>
    <t>1/19截SI</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</si>
  <si>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Info:77515GQ5</t>
    </r>
    <r>
      <rPr>
        <sz val="11"/>
        <color rgb="FF0000FF"/>
        <rFont val="宋体"/>
        <charset val="0"/>
      </rPr>
      <t>装（含</t>
    </r>
    <r>
      <rPr>
        <sz val="11"/>
        <color rgb="FF0000FF"/>
        <rFont val="Arial"/>
        <charset val="0"/>
      </rPr>
      <t>G Mark)+</t>
    </r>
    <r>
      <rPr>
        <sz val="11"/>
        <color rgb="FF0000FF"/>
        <rFont val="宋体"/>
        <charset val="0"/>
      </rPr>
      <t>进口商贴纸</t>
    </r>
    <r>
      <rPr>
        <sz val="11"/>
        <color rgb="FF0000FF"/>
        <rFont val="Arial"/>
        <charset val="0"/>
      </rPr>
      <t>(</t>
    </r>
    <r>
      <rPr>
        <sz val="11"/>
        <color rgb="FF0000FF"/>
        <rFont val="宋体"/>
        <charset val="0"/>
      </rPr>
      <t>含</t>
    </r>
    <r>
      <rPr>
        <sz val="11"/>
        <color rgb="FF0000FF"/>
        <rFont val="Arial"/>
        <charset val="0"/>
      </rPr>
      <t xml:space="preserve">QR code, </t>
    </r>
    <r>
      <rPr>
        <sz val="11"/>
        <color rgb="FF0000FF"/>
        <rFont val="宋体"/>
        <charset val="0"/>
      </rPr>
      <t>阿拉伯警语</t>
    </r>
    <r>
      <rPr>
        <sz val="11"/>
        <color rgb="FF0000FF"/>
        <rFont val="Arial"/>
        <charset val="0"/>
      </rPr>
      <t xml:space="preserve">); </t>
    </r>
    <r>
      <rPr>
        <sz val="11"/>
        <color rgb="FF0000FF"/>
        <rFont val="宋体"/>
        <charset val="0"/>
      </rPr>
      <t>贴纸上的</t>
    </r>
    <r>
      <rPr>
        <sz val="11"/>
        <color rgb="FF0000FF"/>
        <rFont val="Arial"/>
        <charset val="0"/>
      </rPr>
      <t>QR code</t>
    </r>
    <r>
      <rPr>
        <sz val="11"/>
        <color rgb="FF0000FF"/>
        <rFont val="宋体"/>
        <charset val="0"/>
      </rPr>
      <t>需微信可扫，扫描结果</t>
    </r>
    <r>
      <rPr>
        <sz val="11"/>
        <color rgb="FF0000FF"/>
        <rFont val="Arial"/>
        <charset val="0"/>
      </rPr>
      <t>64429</t>
    </r>
    <r>
      <rPr>
        <sz val="11"/>
        <color rgb="FF0000FF"/>
        <rFont val="宋体"/>
        <charset val="0"/>
      </rPr>
      <t>；客版指南翻</t>
    </r>
    <r>
      <rPr>
        <sz val="11"/>
        <color rgb="FF0000FF"/>
        <rFont val="Arial"/>
        <charset val="0"/>
      </rPr>
      <t>4500128286</t>
    </r>
    <r>
      <rPr>
        <sz val="11"/>
        <color rgb="FF0000FF"/>
        <rFont val="宋体"/>
        <charset val="0"/>
      </rPr>
      <t>；客版产品贴纸</t>
    </r>
    <r>
      <rPr>
        <sz val="11"/>
        <color rgb="FF0000FF"/>
        <rFont val="Arial"/>
        <charset val="0"/>
      </rPr>
      <t xml:space="preserve">
</t>
    </r>
    <r>
      <rPr>
        <sz val="11"/>
        <color rgb="FF0000FF"/>
        <rFont val="宋体"/>
        <charset val="0"/>
      </rPr>
      <t>（删掉</t>
    </r>
    <r>
      <rPr>
        <sz val="11"/>
        <color rgb="FF0000FF"/>
        <rFont val="Arial"/>
        <charset val="0"/>
      </rPr>
      <t>pork loin</t>
    </r>
    <r>
      <rPr>
        <sz val="11"/>
        <color rgb="FF0000FF"/>
        <rFont val="宋体"/>
        <charset val="0"/>
      </rPr>
      <t>）单词翻</t>
    </r>
    <r>
      <rPr>
        <sz val="11"/>
        <color rgb="FF0000FF"/>
        <rFont val="Arial"/>
        <charset val="0"/>
      </rPr>
      <t>4500148906</t>
    </r>
    <r>
      <rPr>
        <sz val="11"/>
        <color rgb="FF0000FF"/>
        <rFont val="宋体"/>
        <charset val="0"/>
      </rPr>
      <t>；</t>
    </r>
    <r>
      <rPr>
        <sz val="11"/>
        <color rgb="FF0000FF"/>
        <rFont val="Arial"/>
        <charset val="0"/>
      </rPr>
      <t>MA</t>
    </r>
    <r>
      <rPr>
        <sz val="11"/>
        <color rgb="FF0000FF"/>
        <rFont val="宋体"/>
        <charset val="0"/>
      </rPr>
      <t>说明书</t>
    </r>
    <r>
      <rPr>
        <sz val="11"/>
        <color rgb="FF0000FF"/>
        <rFont val="Arial"/>
        <charset val="0"/>
      </rPr>
      <t>+</t>
    </r>
    <r>
      <rPr>
        <sz val="11"/>
        <color rgb="FF0000FF"/>
        <rFont val="宋体"/>
        <charset val="0"/>
      </rPr>
      <t>额外书纸翻</t>
    </r>
    <r>
      <rPr>
        <sz val="11"/>
        <color rgb="FF0000FF"/>
        <rFont val="Arial"/>
        <charset val="0"/>
      </rPr>
      <t>4500128286;3L MA PDQ, PDQ</t>
    </r>
    <r>
      <rPr>
        <sz val="11"/>
        <color rgb="FF0000FF"/>
        <rFont val="宋体"/>
        <charset val="0"/>
      </rPr>
      <t>和展架也需要进口商贴纸翻</t>
    </r>
    <r>
      <rPr>
        <sz val="11"/>
        <color rgb="FF0000FF"/>
        <rFont val="Arial"/>
        <charset val="0"/>
      </rPr>
      <t>4500128286
 MA PDQ, MA</t>
    </r>
    <r>
      <rPr>
        <sz val="11"/>
        <color rgb="FF0000FF"/>
        <rFont val="宋体"/>
        <charset val="0"/>
      </rPr>
      <t>展示架，</t>
    </r>
    <r>
      <rPr>
        <sz val="11"/>
        <color rgb="FF0000FF"/>
        <rFont val="Arial"/>
        <charset val="0"/>
      </rPr>
      <t>PDQ</t>
    </r>
    <r>
      <rPr>
        <sz val="11"/>
        <color rgb="FF0000FF"/>
        <rFont val="宋体"/>
        <charset val="0"/>
      </rPr>
      <t>和展示架也需要进口商贴纸翻</t>
    </r>
    <r>
      <rPr>
        <sz val="11"/>
        <color rgb="FF0000FF"/>
        <rFont val="Arial"/>
        <charset val="0"/>
      </rPr>
      <t>4500148906
Remark: 77515:3PCS AG13 Batteries (included)
 pork loin mini</t>
    </r>
    <r>
      <rPr>
        <sz val="11"/>
        <color rgb="FF0000FF"/>
        <rFont val="宋体"/>
        <charset val="0"/>
      </rPr>
      <t>的产品贴纸删掉</t>
    </r>
    <r>
      <rPr>
        <sz val="11"/>
        <color rgb="FF0000FF"/>
        <rFont val="Arial"/>
        <charset val="0"/>
      </rPr>
      <t>pork loin</t>
    </r>
    <r>
      <rPr>
        <sz val="11"/>
        <color rgb="FF0000FF"/>
        <rFont val="宋体"/>
        <charset val="0"/>
      </rPr>
      <t>字样</t>
    </r>
  </si>
  <si>
    <t>94135-1.21</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</si>
  <si>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Info:77515SK</t>
    </r>
    <r>
      <rPr>
        <sz val="11"/>
        <color rgb="FF0000FF"/>
        <rFont val="宋体"/>
        <charset val="0"/>
      </rPr>
      <t>装（含</t>
    </r>
    <r>
      <rPr>
        <sz val="11"/>
        <color rgb="FF0000FF"/>
        <rFont val="Arial"/>
        <charset val="0"/>
      </rPr>
      <t>G Mark)+</t>
    </r>
    <r>
      <rPr>
        <sz val="11"/>
        <color rgb="FF0000FF"/>
        <rFont val="宋体"/>
        <charset val="0"/>
      </rPr>
      <t>进口商贴纸</t>
    </r>
    <r>
      <rPr>
        <sz val="11"/>
        <color rgb="FF0000FF"/>
        <rFont val="Arial"/>
        <charset val="0"/>
      </rPr>
      <t>(</t>
    </r>
    <r>
      <rPr>
        <sz val="11"/>
        <color rgb="FF0000FF"/>
        <rFont val="宋体"/>
        <charset val="0"/>
      </rPr>
      <t>含</t>
    </r>
    <r>
      <rPr>
        <sz val="11"/>
        <color rgb="FF0000FF"/>
        <rFont val="Arial"/>
        <charset val="0"/>
      </rPr>
      <t xml:space="preserve">QR code, </t>
    </r>
    <r>
      <rPr>
        <sz val="11"/>
        <color rgb="FF0000FF"/>
        <rFont val="宋体"/>
        <charset val="0"/>
      </rPr>
      <t>阿拉伯警语</t>
    </r>
    <r>
      <rPr>
        <sz val="11"/>
        <color rgb="FF0000FF"/>
        <rFont val="Arial"/>
        <charset val="0"/>
      </rPr>
      <t xml:space="preserve">); </t>
    </r>
    <r>
      <rPr>
        <sz val="11"/>
        <color rgb="FF0000FF"/>
        <rFont val="宋体"/>
        <charset val="0"/>
      </rPr>
      <t>贴纸上的</t>
    </r>
    <r>
      <rPr>
        <sz val="11"/>
        <color rgb="FF0000FF"/>
        <rFont val="Arial"/>
        <charset val="0"/>
      </rPr>
      <t>QR code</t>
    </r>
    <r>
      <rPr>
        <sz val="11"/>
        <color rgb="FF0000FF"/>
        <rFont val="宋体"/>
        <charset val="0"/>
      </rPr>
      <t>需微信可扫，扫描结果</t>
    </r>
    <r>
      <rPr>
        <sz val="11"/>
        <color rgb="FF0000FF"/>
        <rFont val="Arial"/>
        <charset val="0"/>
      </rPr>
      <t>64429</t>
    </r>
    <r>
      <rPr>
        <sz val="11"/>
        <color rgb="FF0000FF"/>
        <rFont val="宋体"/>
        <charset val="0"/>
      </rPr>
      <t>；客版指南翻</t>
    </r>
    <r>
      <rPr>
        <sz val="11"/>
        <color rgb="FF0000FF"/>
        <rFont val="Arial"/>
        <charset val="0"/>
      </rPr>
      <t>4500128286</t>
    </r>
    <r>
      <rPr>
        <sz val="11"/>
        <color rgb="FF0000FF"/>
        <rFont val="宋体"/>
        <charset val="0"/>
      </rPr>
      <t>；客版产品贴纸</t>
    </r>
    <r>
      <rPr>
        <sz val="11"/>
        <color rgb="FF0000FF"/>
        <rFont val="Arial"/>
        <charset val="0"/>
      </rPr>
      <t xml:space="preserve">
</t>
    </r>
    <r>
      <rPr>
        <sz val="11"/>
        <color rgb="FF0000FF"/>
        <rFont val="宋体"/>
        <charset val="0"/>
      </rPr>
      <t>（删掉</t>
    </r>
    <r>
      <rPr>
        <sz val="11"/>
        <color rgb="FF0000FF"/>
        <rFont val="Arial"/>
        <charset val="0"/>
      </rPr>
      <t>pork loin</t>
    </r>
    <r>
      <rPr>
        <sz val="11"/>
        <color rgb="FF0000FF"/>
        <rFont val="宋体"/>
        <charset val="0"/>
      </rPr>
      <t>）单词翻</t>
    </r>
    <r>
      <rPr>
        <sz val="11"/>
        <color rgb="FF0000FF"/>
        <rFont val="Arial"/>
        <charset val="0"/>
      </rPr>
      <t>4500148906</t>
    </r>
    <r>
      <rPr>
        <sz val="11"/>
        <color rgb="FF0000FF"/>
        <rFont val="宋体"/>
        <charset val="0"/>
      </rPr>
      <t>；</t>
    </r>
    <r>
      <rPr>
        <sz val="11"/>
        <color rgb="FF0000FF"/>
        <rFont val="Arial"/>
        <charset val="0"/>
      </rPr>
      <t>MA</t>
    </r>
    <r>
      <rPr>
        <sz val="11"/>
        <color rgb="FF0000FF"/>
        <rFont val="宋体"/>
        <charset val="0"/>
      </rPr>
      <t>说明书</t>
    </r>
    <r>
      <rPr>
        <sz val="11"/>
        <color rgb="FF0000FF"/>
        <rFont val="Arial"/>
        <charset val="0"/>
      </rPr>
      <t>+</t>
    </r>
    <r>
      <rPr>
        <sz val="11"/>
        <color rgb="FF0000FF"/>
        <rFont val="宋体"/>
        <charset val="0"/>
      </rPr>
      <t>额外书纸翻</t>
    </r>
    <r>
      <rPr>
        <sz val="11"/>
        <color rgb="FF0000FF"/>
        <rFont val="Arial"/>
        <charset val="0"/>
      </rPr>
      <t>4500128286;3L MA PDQ, PDQ</t>
    </r>
    <r>
      <rPr>
        <sz val="11"/>
        <color rgb="FF0000FF"/>
        <rFont val="宋体"/>
        <charset val="0"/>
      </rPr>
      <t>和展架也需要进口商贴纸翻</t>
    </r>
    <r>
      <rPr>
        <sz val="11"/>
        <color rgb="FF0000FF"/>
        <rFont val="Arial"/>
        <charset val="0"/>
      </rPr>
      <t>4500128286
 MA PDQ, MA</t>
    </r>
    <r>
      <rPr>
        <sz val="11"/>
        <color rgb="FF0000FF"/>
        <rFont val="宋体"/>
        <charset val="0"/>
      </rPr>
      <t>展示架，</t>
    </r>
    <r>
      <rPr>
        <sz val="11"/>
        <color rgb="FF0000FF"/>
        <rFont val="Arial"/>
        <charset val="0"/>
      </rPr>
      <t>PDQ</t>
    </r>
    <r>
      <rPr>
        <sz val="11"/>
        <color rgb="FF0000FF"/>
        <rFont val="宋体"/>
        <charset val="0"/>
      </rPr>
      <t>和展示架也需要进口商贴纸翻</t>
    </r>
    <r>
      <rPr>
        <sz val="11"/>
        <color rgb="FF0000FF"/>
        <rFont val="Arial"/>
        <charset val="0"/>
      </rPr>
      <t>4500148906
Remark: 77515:3PCS AG13 Batteries (included)
 pork loin mini</t>
    </r>
    <r>
      <rPr>
        <sz val="11"/>
        <color rgb="FF0000FF"/>
        <rFont val="宋体"/>
        <charset val="0"/>
      </rPr>
      <t>的产品贴纸删掉</t>
    </r>
    <r>
      <rPr>
        <sz val="11"/>
        <color rgb="FF0000FF"/>
        <rFont val="Arial"/>
        <charset val="0"/>
      </rPr>
      <t>pork loin</t>
    </r>
    <r>
      <rPr>
        <sz val="11"/>
        <color rgb="FF0000FF"/>
        <rFont val="宋体"/>
        <charset val="0"/>
      </rPr>
      <t>字样</t>
    </r>
  </si>
  <si>
    <t>日期码格式：ZURU INC(BVI) 标准格式 日期：按实际生产日期 
Packaging Info:
 5.77515GQ2:最新MA 3L EAN收缩膜+一张法国环保标贴纸 翻4500124462+ MA 23L 说明书+一张说明书贴纸（翻4500151118）+MA PDQ+MA收藏指南加无香贴纸（所有包装如有提示香味都做无香版）+一张纸袋贴纸（翻4500151118）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</si>
  <si>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94087-1.17</t>
  </si>
  <si>
    <t>94145-1.21</t>
  </si>
  <si>
    <t>3/14 交仓</t>
  </si>
  <si>
    <t>日期码格式：ZURU INC(BVI) 标准格式 日期：按实际生产日期
Packaging Info: 1.ZURU MA UPC 收缩膜+客版铜版纸+PVC桶 + 客供价格贴纸，出口美国 , 优先使用MA 1L 最新版本 。
2.#77516请使用MA 3L 收缩膜+空白贴纸覆盖EAN条码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8.#77516请使用MA 3L 收缩膜+空白贴纸覆盖EAN条码</t>
  </si>
  <si>
    <t>94486-3.7</t>
  </si>
  <si>
    <t>日期码格式：ZURU INC(BVI) 标准格式 日期：按实际生产日期 
Packaging Info: 
 77555GQ1- MA 3L+5L EAN收缩膜（+1*意大利sorting logo含进口商地址贴纸）+MA 5L 收藏指南 +MA多语 PAPER BAG +MA 3L PDQ(+1*PDQ条码贴纸)+MA 23L WARNI
 NG帽子说明书
 产品条码 4894680033429
Remark: 1.此单出意大利，需符合EU标准，不能含微塑料，如果有slime等化学品需要不含硼
 2.需保证按期1/15前完货，延期罚款
 3.贴纸切勿盖住意大利警告语文字(QC 务必检查）</t>
  </si>
  <si>
    <t>94070-1.16</t>
  </si>
  <si>
    <t>94559-3.14</t>
  </si>
  <si>
    <t>1/27 截SI</t>
  </si>
  <si>
    <t>94133-1.21</t>
  </si>
  <si>
    <t>Remark: 1. 包装： 包 ZURU MA 1L UPC最新包装；出口美国 最
2. 日期跟踪码：产品外包装及产品本身都必须有日期跟踪码，并且确保两者的日期跟踪码要一致； 日 ZURU标准格式日期码 标 (请自行调整具体年月日生产期，但不能为周末）因 请
该单是多工厂混装，为了统一，日期可以统一打 该 2025年1月16日
3. 按照按 Zuru MA 标板配比 标
4. 子件于 子 2025年1月20日送到库有混装，产品包装上需做好标识，以便组装厂识别组装时避免重复率，送货到库有厂时送货单请备注上：客供子件给 日 Mills Fleet Farm PO#
4500153457 # #MSLD121-S001混装用。</t>
  </si>
  <si>
    <t>94399-2.27</t>
  </si>
  <si>
    <t>1/22 截SI</t>
  </si>
  <si>
    <t>94113-1.18</t>
  </si>
  <si>
    <t>1/21 截SI  指定日期格式2025-01</t>
  </si>
  <si>
    <t>94144-1.21</t>
  </si>
  <si>
    <t>1/17 截SI</t>
  </si>
  <si>
    <t>94085-1.17</t>
  </si>
  <si>
    <t>1/16 第三方</t>
  </si>
  <si>
    <t>1/24 截SI  客人日期码：LOT2503，产品/包装/外箱 请保持一致  已出样板</t>
  </si>
  <si>
    <t>12/27 进口商贴纸+产品贴纸+12/31 黑白纸电池说明书</t>
  </si>
  <si>
    <t>日期码格式：LOT2503 日期： 
Packaging Info: 
 77515：最新MA 3L+5L warning EAN收缩膜+MA PDQ+1*进口商贴纸+1*产品贴纸+客版说明书
Remark: 1.RATIO 同MA 一致。
2.大货样品2套/item，用于客人验货签板。验货后还会抽办1套/item，请多备料。
 3.客人日期码：LOT2503，产品/包装/外箱 请保持一致,无须ZURU日期码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</si>
  <si>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94151-1.22</t>
  </si>
  <si>
    <t>2/11 截单</t>
  </si>
  <si>
    <t>94218-2.11</t>
  </si>
  <si>
    <t>2/11 出货</t>
  </si>
  <si>
    <t>94219-2.11</t>
  </si>
  <si>
    <t>2/12 预计客上柜</t>
  </si>
  <si>
    <t>1/3 条码箱贴纸</t>
  </si>
  <si>
    <t>94238-2.13</t>
  </si>
  <si>
    <t>2/19 截SI</t>
  </si>
  <si>
    <t>94275-2.18</t>
  </si>
  <si>
    <t>2/27 截SI</t>
  </si>
  <si>
    <t>94350-2.25</t>
  </si>
  <si>
    <t>3/21 截SI</t>
  </si>
  <si>
    <t>1/3客供价格贴纸+空白贴纸</t>
  </si>
  <si>
    <t>日期码格式： 标准格式 日期：按实际生产日期
Packaging Info: 1.ZURU MA UPC 收缩膜+客版铜版纸+PVC桶 + 客供价格贴纸，出口美国 , 优先使用MA 1L 最新版本 。
2.#77516请使用MA 3L 收缩膜+空白贴纸覆盖EAN条码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
8.#77516请使用MA 3L 收缩膜+空白贴纸覆盖EAN条码</t>
  </si>
  <si>
    <t>ZB00019-3.20</t>
  </si>
  <si>
    <t>1/2 进口商贴纸</t>
  </si>
  <si>
    <t>94351-2.25</t>
  </si>
  <si>
    <r>
      <rPr>
        <sz val="11"/>
        <color rgb="FF0000FF"/>
        <rFont val="Arial"/>
        <charset val="0"/>
      </rPr>
      <t>4500154891</t>
    </r>
    <r>
      <rPr>
        <b/>
        <sz val="11"/>
        <color rgb="FF0000FF"/>
        <rFont val="Arial"/>
        <charset val="0"/>
      </rPr>
      <t>-20</t>
    </r>
  </si>
  <si>
    <t>ZURU邮箱贴纸翻单154803 +1张UPC#，1张IT/FR sorting label，1张ES回收环保标志1号翻单PO#4500142613+1/10 防伪贴纸+12/30 SSCC</t>
  </si>
  <si>
    <t>日期码格式：ZURU INC(BVI) 标准格式 日期：按实际生产日期 
Packaging Info: Amazon IT(92104D/77515)
 2. 77515：24pcs/ctn, no inner; MA 3L(5L warning EAN#) B收缩膜+4张贴纸(1张UPC#，1张IT/FR sorting label，1张ES回收环保标志1号，参考翻单PO#4500142
613；1张ZURU邮箱贴纸，参考翻单PO#4500154803）+MA 5L B配件袋+MA 5L A收藏指南+MA23L B警示说明书+其他最新版MA包装+1张防伪贴纸(具体位置参考USA同款
 订单)；
 3. 最迟验货不得晚于2025/02/28;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</si>
  <si>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94547-3.14</t>
  </si>
  <si>
    <t>77515-S001-PKC</t>
  </si>
  <si>
    <t>DIY厨艺大师1PCS/胶袋带印刷</t>
  </si>
  <si>
    <t>12/26 ZURU邮箱贴纸 +1张UPC#，1张IT/FR sorting label，1张ES回收环保标志1号翻单PO#4500142613+1/10 防伪贴纸+12/30 SSCC</t>
  </si>
  <si>
    <t>日期码格式：ZURU INC(BVI) 标准格式 日期：按实际生产日期 
Packaging Info: Amazon UK(9543E)/DE(9543E/77515)
 2. 77515：24pcs/ctn, no inner; MA 3L(5L warning EAN#) B收缩膜+4张贴纸(1张UPC#，1张IT/FR sorting label，1张ES回收环保标志1号，参考翻单PO#4500142
 613；1张ZURU邮箱贴纸）+MA 5L B配件袋+MA 5L A收藏指南+MA23L B警示说明书+其他最新版MA包装+1张防伪贴纸(具体位置参考USA同款订单) +Polybag(含防窒息5
 L警示语+塑料循环标) +1张贴纸(UPC#，参考翻单PO#4500142613，贴在polybag)；
 3. 最迟验货不得晚于2025/02/28;
 *77515胶袋价格：0.128*3000=384RMB；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</si>
  <si>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94665-3.28</t>
  </si>
  <si>
    <t>PO#600-51058</t>
  </si>
  <si>
    <t>4500155435-70</t>
  </si>
  <si>
    <t>3/3 交仓</t>
  </si>
  <si>
    <t>日期码格式：ZURU INC(BVI) 标准格式 日期：按实际生产日期 
Packaging Info: 1、包装方式：MA UPC优先1L最新版，出口美国
Remark: 2、无测试与第三方验货要求。
 3、纸箱4面印ZURU LOGO + 箱唛
 4、日期码请按ZURU标准版执行即可。
 5、ZURU QC验货。</t>
  </si>
  <si>
    <t>ZB00067</t>
  </si>
  <si>
    <t>PO#500-79871</t>
  </si>
  <si>
    <t>4500155435-80</t>
  </si>
  <si>
    <t>2/26 截SI</t>
  </si>
  <si>
    <t>2/8UPC贴纸+进口商贴纸+2/11价标贴纸+1/7保证书</t>
  </si>
  <si>
    <t>日期码格式：ZURU INC(BVI) 标准格式 日期：按实际生产日期
Packaging Info:77515GQ2:MA 3LEAN包装+MA 23L说明书+UPC贴纸+进口商贴纸+价标贴纸+箱唛+保证书，包装和说明书都需要贴一张进口商贴纸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</si>
  <si>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94382-2.27</t>
  </si>
  <si>
    <t>2/8 进口商贴纸+2/11价标贴纸+2/8 UPC贴纸+1/7保证书</t>
  </si>
  <si>
    <t>日期码格式：ZURU INC(BVI) 标准格式 日期：按实际生产日期
Packaging Info:
77515GQ2:MA 3LEAN包装+MA 23L说明书+UPC贴纸+进口商贴纸+价标贴纸+箱唛+保证书,包装和说明书都需要加一张进口上贴纸，UPC贴纸/进口商贴纸/保证书翻单PO4500149460
Remark: 1. 此单价格贴纸（ZURU定购).
2.此单有第三方监柜，不用额外准备备品，会在大货中每款拆1pc，拆了包装的产品会由监装员用客供胶带封好或在外箱上写上""opened by telescope”</t>
  </si>
  <si>
    <t>94352-2.25</t>
  </si>
  <si>
    <t>3/14 截SI</t>
  </si>
  <si>
    <t>2/18 价格贴纸+UPC贴纸/进口商贴纸翻单PO4500137056+保证书翻单PO4500149460</t>
  </si>
  <si>
    <t>日期码格式：ZURU INC(BVI) 标准格式 日期：按实际生产日期
Packaging Info: 
 77515GQ2:MA 3LEAN包装+MA 23L说明书+UPC贴纸+进口商贴纸+价标贴纸+箱唛+保证书，包装和说明书都需要贴一张进口商贴纸，UPC贴纸/进口商贴纸/保证书翻单PO4500149460
Remark: 1. 此单价格贴纸（ZURU定购).
2.此单有第三方监柜，不用额外准备备品，会在大货中每款拆1pc，拆了包装的产品会由监装员用客供胶带封好或在外箱上写上""opened by telescope”</t>
  </si>
  <si>
    <t>94525-3.12</t>
  </si>
  <si>
    <t>2/18价格贴纸+UPC贴纸/进口商贴纸翻单PO4500137056</t>
  </si>
  <si>
    <t>日期码格式：ZURU INC(BVI) 标准格式 日期：按实际生产日期
Packaging Info: 
77515GQ2:MA 3LEAN包装+MA 23L说明书+UPC贴纸+进口商贴纸+价标贴纸+箱唛+保证书，包装和说明书都需要贴一张进口商贴纸，UPC贴纸/进口商贴纸/保证书翻单PO4500149460
Remark: 1. 此单价格贴纸（ZURU定购).
2.此单有第三方监柜，不用额外准备备品，会在大货中每款拆1pc，拆了包装的产品会由监装员用客供胶带封好或在外箱上写上""opened by telescope”</t>
  </si>
  <si>
    <t>94698-4.3</t>
  </si>
  <si>
    <t>FB12131</t>
  </si>
  <si>
    <t>4500154847-50</t>
  </si>
  <si>
    <t>3/4 截SI</t>
  </si>
  <si>
    <t>EAN条码翻单144795 +1/3电池说明书</t>
  </si>
  <si>
    <t>日期码格式：ZURU INC(BVI) 标准格式 日期：按实际生产日期 
Packaging Info: 
 77515GQ1: MA最新1L配套包装+客户EAN条码(翻单4500144795)覆盖ZURU 原条码，另外产品内包装再加多一张2国语言电池说明书 ，即产品内含2张说明书 （ZURU标
 准说明书1张+2国语言电池说明书）,MA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</si>
  <si>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</si>
  <si>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Amazon IT:
77AL2RKU</t>
  </si>
  <si>
    <t>4500155641-30</t>
  </si>
  <si>
    <t>3/17入仓</t>
  </si>
  <si>
    <t>ZURU邮箱贴纸翻单154803 +1张UPC#，1张IT/FR sorting label，1张ES回收环保标志1号翻单142613+2/8 防伪贴纸+1/26 SSCC</t>
  </si>
  <si>
    <t>日期码格式：ZURU INC(BVI) 标准格式 日期：按实际生产日期 
Packaging Info: Amazon IT(92104H/92104D/77515)
 3. 77515：24pcs/ctn, no inner; MA 3L(5L warning EAN#) B收缩膜+4张贴纸(1张UPC#，1张IT/FR环保标，1张ES回收环保标志1号，参考翻单PO#4500142613；1张
 ZURU邮箱贴纸，参考翻单PO#4500154803）+MA 5L C配件袋+MA 5L A收藏指南+MA23L C警示说明书+其他最新版MA包装+1张防伪贴纸(具体位置参考USA同款订单)+Polybag(含防窒息5L警示语+塑料循环标，参考翻单PO#4500154803)+1张贴纸(UPC#，参考翻单PO#4500142613，贴在polybag)；
 4. 最迟验货不得晚于2025/3/10.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</si>
  <si>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94600-3.21</t>
  </si>
  <si>
    <t>4500155852-20</t>
  </si>
  <si>
    <t>法意西回收贴纸+ 无香贴纸+说明书贴纸+纸袋贴纸  贴纸翻4500151118</t>
  </si>
  <si>
    <t>日期码格式：ZURU INC(BVI) 标准格式 日期：按实际生产日期 
Packaging Info: 
 77515GQ2: 最新MA 3L EAN收缩膜+一张法意西回收贴纸+ MA 23L 说明书+MA PDQ+ MA收藏指南加无香贴纸（所有包装如有提示香味都做无香版）+一张说明书贴纸+ 一张纸袋贴纸
 （贴纸翻4500151118）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</si>
  <si>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SD83</t>
  </si>
  <si>
    <t>94475-3.6</t>
  </si>
  <si>
    <t>4500156115-390</t>
  </si>
  <si>
    <t>日期码格式：ZURU INC(BVI) 标准格式 日期：按实际生产日期 
Packaging Info: BOL NL(77515)
 2. 77515: 24pcs/ctn, no inner,3PCS AG13 BATTERIES(INCLUDED), Contain UV Glue and Cream Glue; MA 3L(5L warning EAN)B 收缩膜+1张NL警告语贴纸(贴在
收缩膜上&lt;(&gt;,&lt;)&gt;参考翻单PO#4500131176)+MA 23L B说明书+MA 5L A收藏指南+MA 5L B配件袋；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</si>
  <si>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94548-3.14</t>
  </si>
  <si>
    <t>PLASTICOSUR S.A.</t>
  </si>
  <si>
    <t>4500155934-50</t>
  </si>
  <si>
    <t>3/17 截SI</t>
  </si>
  <si>
    <t>2/11进口商贴纸+产品贴纸</t>
  </si>
  <si>
    <t>日期码格式：ZURU INC(BVI) 标准格式 日期：按实际生产日期
Packaging Info:
5.77515GQ2:最新MA 3L EAN版本包装+一张西班牙环保标贴纸；</t>
  </si>
  <si>
    <t>Miya Fang</t>
  </si>
  <si>
    <t>94601-3.21</t>
  </si>
  <si>
    <t>FB12133</t>
  </si>
  <si>
    <t>4500154984-10</t>
  </si>
  <si>
    <t>3/25 截SI</t>
  </si>
  <si>
    <t>EAN条码翻单144795</t>
  </si>
  <si>
    <t>日期码格式：ZURU INC(BVI) 标准格式 日期：按实际生产日期 
Packaging Info: 77515GQ1: MA最新1L配套包装+客户EAN条码(翻单4500144795)覆盖ZURU 原条码，另外产品内包装再加多一张2国语言电池说明书 ，即产品内含2张说明书 （ZURU标
 准说明书1张+2国语言电池说明书）,MA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*订单对应客户1个PO号 ，备注有显示 ，注意分开做货/验货/装柜 ，混装有罚款。
 *样板： 请在大货生产前寄出2pcs大货样到罗湖办公室 7B Sandy Shao收</t>
  </si>
  <si>
    <t>94635-3.25</t>
  </si>
  <si>
    <t>FB12159</t>
  </si>
  <si>
    <t>4500155272-20</t>
  </si>
  <si>
    <t>4/2 截SI 已出样板</t>
  </si>
  <si>
    <t>日期码格式：ZURU INC(BVI) 标准格式 日期：按实际生产日期
Packaging Info:
77515GQ1:MA最新1L配套包装+客户EAN条码(翻单4500144795)覆盖ZURU 原条码，另外产品内包装再加多一张2国语言电池说明书 ，即产品内含2张说明书 （ZURU标准
 说明书1张+2国语言电池说明书）,MA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 大货样： 每个item 请在2/25 之前寄出2pcs 样板+1套散件到罗湖办公室7A Sandy Shao 收</t>
  </si>
  <si>
    <t>94684-4.1</t>
  </si>
  <si>
    <t>4500155954-10</t>
  </si>
  <si>
    <t>77515SK-S002-NS-MTS</t>
  </si>
  <si>
    <t>3/10 截SI</t>
  </si>
  <si>
    <t>日期码格式：ZURU INC(BVI) 标准格式 日期：按实际生产日期 
Packaging Info: 最新MA 3L EAN收缩膜+一张法意西回收贴纸+ MA 23L 说明书+MA PDQ+ MA收藏指南加无香贴纸（所有包装如有提示香味都做无香版）+一张说明书贴纸+一张纸袋贴纸
 （贴纸翻4500151118）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t>
  </si>
  <si>
    <t>94511-3.11</t>
  </si>
  <si>
    <t>ZMPO250165</t>
  </si>
  <si>
    <t>空球-收缩内收缩膜</t>
  </si>
  <si>
    <t>空白箱</t>
  </si>
  <si>
    <t>Remark：只需77515的空球，只需用外面透明收缩膜压缩就好，不需要彩色收缩膜;备注： 收到样品订单后尽快安排 ，注意样板品质质量要求要高于大货品质要求 ，送货时必须要附带送货单(没有送货单和QC检验合格报告的仓库一律拒绝收货)，请知悉，谢谢！</t>
  </si>
  <si>
    <t>年存</t>
  </si>
  <si>
    <t>4500156067-70</t>
  </si>
  <si>
    <t>2/19进口商贴纸+产品贴纸</t>
  </si>
  <si>
    <t>日期码格式：LOT2511 日期： 
Packaging Info: 
 7.77515GQ2:最新MA 3L EAN收缩膜+最新MA 23L说明书+最新MA 收藏指南+ 一张进口商贴纸（含葡萄牙警语+西班牙环保标）+一张产品贴纸+一张WEEE说明书纸
Remark: 1. 订单出欧洲国家-西班牙，产品不能含有闪粉/微塑料，请确保所有包装都有西班牙环保标。
 2. 客人格式日期码 LOT2511，产品（蛋壳等）/包装（收缩膜等）/外箱都需要印此日期码，请务必保持一致。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</si>
  <si>
    <t>94699-4.3</t>
  </si>
  <si>
    <t>4500156082-100</t>
  </si>
  <si>
    <t>1/23 警语贴纸</t>
  </si>
  <si>
    <t>日期码格式：ZURU INC(BVI) 标准格式 日期：按实际生产日期 
Packaging Info: 
 77515SK1:MA最新3L+5L warning EAN收缩膜+PL/HU/SK/CZ/RO警语贴纸+MA最新版 3L 展示架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</si>
  <si>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</si>
  <si>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94560-3.14</t>
  </si>
  <si>
    <t>2025ZURU10</t>
  </si>
  <si>
    <t>4500157213-10</t>
  </si>
  <si>
    <t>3/26 截SI</t>
  </si>
  <si>
    <t>2/11UPC贴纸</t>
  </si>
  <si>
    <t>日期码格式： 标准格式 日期：按实际生产日期
Packaging Info: 77515GQ6 MA 多语EAN+UPC贴纸 UPC 193052061034
Remark: 出加拿大
Zuru验货.日期跟踪码：产品外包装及产品本身都必须有日期跟踪码，ZURU标准格式日期码。（箱唛日期码按跟单提供格式）</t>
  </si>
  <si>
    <t>94638-3.25</t>
  </si>
  <si>
    <t>6OZZUM1V</t>
  </si>
  <si>
    <t>4500156625-30</t>
  </si>
  <si>
    <t>3/31交仓</t>
  </si>
  <si>
    <t>2/26 SSCC LABEL（客供贴纸)</t>
  </si>
  <si>
    <t>日期码格式：ZURU INC(BVI) 标准格式 日期：按实际生产日期 
Packaging Info:
 #77516: 2PK #77515 入PVC圆筒。收藏指南用MA 5L. 3L不带UPC版收缩膜,3L 2PK铜版纸图稿跟返单4500134367。 （两个球的配比不能重复）。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</si>
  <si>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ZB00097-4.2</t>
  </si>
  <si>
    <t>4500158356-120</t>
  </si>
  <si>
    <t>4/3 截SI</t>
  </si>
  <si>
    <t>2/24 UPC贴纸</t>
  </si>
  <si>
    <t>日期码格式：ZURU INC(BVI) 标准格式 日期：按实际生产日期 
Packaging Info: 
77515GQ2: MA多语EAN包装+UPC贴纸+MA PDQ包装+箱唛
Remark:
 77515GQ2: 3PCS AG13 BATTERIES(INCLUDED)</t>
  </si>
  <si>
    <t>94687-4.1</t>
  </si>
  <si>
    <t>4500156877-10</t>
  </si>
  <si>
    <t>3/28入仓</t>
  </si>
  <si>
    <t>2/26 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</si>
  <si>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7.收缩膜可使用标版带UPC条码MA，无需白色贴纸覆盖。</t>
  </si>
  <si>
    <t>ZB00057</t>
  </si>
  <si>
    <t>TJ MAXX
DC#891-168PCS
,
DC#894-132PCS
,
DC#896-120PCS
,
DC#897-252PCS
,
DC#898-132PCS</t>
  </si>
  <si>
    <t>4500157300-80</t>
  </si>
  <si>
    <t>3/6 价格贴纸客供+空白贴纸</t>
  </si>
  <si>
    <t>日期码格式：ZURU INC(BVI) 标准格式 日期：按实际生产日期 
Packaging Info: MA UPC包装+价格贴纸，价格贴纸客供。#77516球的收缩膜用无条码版本或者加空白贴纸覆盖条码信息。
Remark: 1. 产品和包装上印刷tracking code信息，格式为ZURU常规格式。
 2. 分5个DC出货，每款产品每个DC的箱唛资料不同。具体分DC数量，请参考后面行项目备注。
 3. ZURU QC验货。</t>
  </si>
  <si>
    <t>Emily Wu</t>
  </si>
  <si>
    <t>ZB00060         ZB00074         ZB00099-4.3</t>
  </si>
  <si>
    <t>Marshalls
DC#881-132PCS
,
DC#884-96PCS,
DC#886-132PCS
,
DC#887-120PCS
,
DC#888-120PCS</t>
  </si>
  <si>
    <t>4500157297-80</t>
  </si>
  <si>
    <t>3/27 截SI</t>
  </si>
  <si>
    <t>3/4 价格贴纸客供+空白贴纸</t>
  </si>
  <si>
    <t>日期码格式：ZURU INC(BVI) 标准格式 日期：按实际生产日期 
Packaging Info: MA UPC包装+价格贴纸，价格贴纸客供。#77516球的收缩膜用无条码版本或者加空白贴纸覆盖条码信息。
Remark: 1. 产品和包装上印刷tracking code信息，格式为ZURU常规格式。
 2. 分5个DC出货，每款产品每个DC的箱唛资料不同。具体分DC数量，请参考后面行项目备注。
 3. ZURU QC验货。</t>
  </si>
  <si>
    <t>ZB00053                 ZB00100-4.3</t>
  </si>
  <si>
    <t>4500158843-20</t>
  </si>
  <si>
    <t>3-29截仓</t>
  </si>
  <si>
    <t>警告语贴纸(翻单4500133308)+收藏指南无香贴纸(翻单4500133308)+地址贴纸(翻单4500133308）</t>
  </si>
  <si>
    <t>日期码格式：ZURU INC(BVI) 标准格式 日期：按实际生产日期
Packaging Info:
77515GQ2-3L EAN包装+警告语贴纸(翻单4500133308)+收藏指南无香贴纸(翻单4500133308)+地址贴纸(翻单4500133308）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</si>
  <si>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 Lin</t>
  </si>
  <si>
    <t>94674-3.31</t>
  </si>
  <si>
    <t>4500157194-10</t>
  </si>
  <si>
    <t>4/30通知出货</t>
  </si>
  <si>
    <t>3/4客供价格贴纸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</si>
  <si>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MINI BRAND 的LOGO 贴纸 （ ZURU 统一要求的）
8.收缩膜可使用标版带UPC条码MA，无需白色贴纸覆盖。</t>
  </si>
  <si>
    <t>ZB00224-5.9/ZB00224-5.9</t>
  </si>
  <si>
    <t>CatchMe.lk (PVT) LTD</t>
  </si>
  <si>
    <t>斯里兰卡</t>
  </si>
  <si>
    <t>4500159239-30</t>
  </si>
  <si>
    <t>4/18 交仓</t>
  </si>
  <si>
    <t>日期码格式：ZURU INC(BVI) 标准格式 日期：按实际生产日期
Packaging Info: MA PKG, 优先1L(UPC 条码）
Remark: 出斯里兰卡，需送货到汕头仓库</t>
  </si>
  <si>
    <t>94841-4.25</t>
  </si>
  <si>
    <t>Walmart Central America</t>
  </si>
  <si>
    <t>萨尔瓦多</t>
  </si>
  <si>
    <t>4500158302-20</t>
  </si>
  <si>
    <t>4/28 截SI</t>
  </si>
  <si>
    <t>3/24 双坑纸箱</t>
  </si>
  <si>
    <t>3/21进口商贴纸+UPC贴纸</t>
  </si>
  <si>
    <t>日期码格式：ZURU INC(BVI) 标准格式 日期：按实际生产日期
Packaging Info: 
 2. 77515GQ2：MA 3L EAN包装+UPC贴纸+MA 多语说明书+MA 3L PDQ包装+进口商贴纸+箱唛
Remark: 1.使用双坑外箱
 2.请注意产品包装条形码必须是UPC
 3.无第三方验货</t>
  </si>
  <si>
    <t>94865-4.28</t>
  </si>
  <si>
    <t>Walmart Central America-GT</t>
  </si>
  <si>
    <t>4500158447-20</t>
  </si>
  <si>
    <t>进口商贴纸+UPC贴纸翻单158302</t>
  </si>
  <si>
    <t>日期码格式：ZURU INC(BVI) 标准格式 日期：按实际生产日期 
Packaging Info:
 2. 77515GQ2：MA 3L EAN包装+UPC贴纸+MA 多语说明书+MA 3L PDQ包装+进口商贴纸+箱唛
 以上所有贴纸翻单PO4500158302
Remark: 1.使用双坑外箱
 2.请注意产品包装条形码必须是UPC
 3.无第三方验货</t>
  </si>
  <si>
    <t>94923-5.5</t>
  </si>
  <si>
    <t>Walmart Central America-CR</t>
  </si>
  <si>
    <t>4500158535-20</t>
  </si>
  <si>
    <t>4/29 截SI</t>
  </si>
  <si>
    <t>日期码格式：ZURU INC(BVI) 标准格式 日期：按实际生产日期 
Packaging Info:
 2. 77515GQ2：MA 3L EAN包装+UPC贴纸+MA 多语说明书+MA 3L PDQ包装+进口商贴纸+箱唛
 以上贴纸翻单PO 4500158302
Remark: 1.使用双坑外箱
 2.请注意产品包装条形码必须是UPC
 3.无第三方验货</t>
  </si>
  <si>
    <t>94882-4.29</t>
  </si>
  <si>
    <t>Walmart Central America-HN</t>
  </si>
  <si>
    <t>洪都拉斯</t>
  </si>
  <si>
    <t>4500158415-20</t>
  </si>
  <si>
    <t>日期码格式：ZURU INC(BVI) 标准格式 日期：按实际生产日期 
Packaging Info: 
 2. 77515GQ2：MA 3L EAN包装+UPC贴纸+MA 多语说明书+MA 3L PDQ包装+进口商贴纸+箱唛
 以上所有贴纸翻单PO4500158302
Remark: 1.使用双坑外箱
 2.请注意产品包装条形码必须是UPC
 3.无第三方验货</t>
  </si>
  <si>
    <t>94891-4.30</t>
  </si>
  <si>
    <t>4500157202-10</t>
  </si>
  <si>
    <t>ZB00225-5.9/ZB00225-5.9</t>
  </si>
  <si>
    <t>客户PO
30369558</t>
  </si>
  <si>
    <t>4500158873-150</t>
  </si>
  <si>
    <t>4/22 截SI</t>
  </si>
  <si>
    <t>日期码格式： 标准格式 日期：按实际生产日期
Packaging Info: 
 77516 MA 3L EAN版本包装+多语（含英法）铜版纸UPC版本 UPC 193052061041
Remark: 出加拿大
 有客供价格贴
 每行对应不同的客户PO， 客户PO已分别备注
Zuru验货.日期跟踪码：产品外包装及产品本身都必须有日期跟踪码，ZURU标准格式
 日期码
日期码</t>
  </si>
  <si>
    <t>客户PO
30369740</t>
  </si>
  <si>
    <t>4500158873-250</t>
  </si>
  <si>
    <t>Distruibuciones Universales, SA - D</t>
  </si>
  <si>
    <t>4500160421-100</t>
  </si>
  <si>
    <t>3/25 UPC贴纸</t>
  </si>
  <si>
    <t>日期码格式：ZURU INC(BVI) 标准格式 日期：按实际生产日期
Packaging Info: 
77515GQ2: MA多语EAN包装+UPC贴纸+MA多语收藏指南+MA多语PDQ+箱唛
Remark:
77515GQ2: 3PCS AG13 BATTERIES(INCLUDED)</t>
  </si>
  <si>
    <t>94795-4.18</t>
  </si>
  <si>
    <t>Simba Toys VN</t>
  </si>
  <si>
    <t>4500160287-40</t>
  </si>
  <si>
    <t>4/8 进口商贴纸</t>
  </si>
  <si>
    <t>日期码格式：ZURU INC(BVI) 标准格式 日期：按实际生产日期
Packaging Info:
其他item-MA EAN包装(语言包含英语就行)+1张进口商贴纸,
贴纸资料待提供
Remark:
77515-3PCS AG13 BATTERIES(INCLUDED)</t>
  </si>
  <si>
    <t>4500160287-50</t>
  </si>
  <si>
    <t>4500160287-60</t>
  </si>
  <si>
    <t>日期码格式：ZURU INC(BVI) 标准格式 日期：按实际生产日期
Packaging Info:
其他item-MA EAN包装(语言包含英语就行)+1张进口商贴纸,
贴纸资料待提供
Remark: 
77515-3PCS AG13 BATTERIES(INCLUDED)</t>
  </si>
  <si>
    <t>Amazon DE:
1D8H3RWR</t>
  </si>
  <si>
    <t>4500160230-10</t>
  </si>
  <si>
    <t>4/30 入仓</t>
  </si>
  <si>
    <t>ZURU邮箱贴纸翻单154803 +1张UPC#，1张IT/FR sorting label，1张ES回收环保标志1号翻单142613+3/24 防伪贴纸+4/7 SSCC</t>
  </si>
  <si>
    <t>日期码格式：ZURU INC(BVI) 标准格式 日期：按实际生产日期 
Packaging Info: Amazon DE(77515)
 1. 77515：24pcs/ctn, no inner; MA 3L(5L warning EAN#) B收缩膜+4张贴纸(1张UPC#，1张IT/FR环保标，1张ES回收环保标志1号，参考翻单PO#4500142613；1张
 ZURU邮箱贴纸，参考翻单PO#4500154803）+MA 5L B配件袋+MA 5L A收藏指南+MA23L B警示说明书+其他最新版MA包装+1张防伪贴纸(具体位置参考USA同款订单)+Poly
bag(含防窒息5L警示语+塑料循环标，参考翻单PO#4500154803)；
 2. 最迟验货不得晚于2025/4/25;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</si>
  <si>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94942-5.8</t>
  </si>
  <si>
    <t>Andrés Dauhajre SA (LA NOVIA DE VIL</t>
  </si>
  <si>
    <t>多米尼加共和国</t>
  </si>
  <si>
    <t>4500160345-80</t>
  </si>
  <si>
    <t>3/31 UPC贴纸</t>
  </si>
  <si>
    <t>日期码格式：ZURU INC(BVI) 标准格式 日期：按实际生产日期
Packaging Info: 
77515GQ2: MA多语EAN包装+UPC贴纸+MA多语收藏指南+MA多语PDQ+箱唛
Remark: 
77515GQ2: 3PCS AG13 BATTERIES(INCLUDED)</t>
  </si>
  <si>
    <t>94881-4.29</t>
  </si>
  <si>
    <t>TJ MAXX
DC#891-180PCS
,
DC#894-120PCS
,
DC#896-120PCS
,
DC#897-228PCS
,
DC#898-156PCS</t>
  </si>
  <si>
    <t>4500157317-10</t>
  </si>
  <si>
    <t>5/7 截SI</t>
  </si>
  <si>
    <t>4/1价格贴纸客供+空白贴纸</t>
  </si>
  <si>
    <t>日期码格式：ZURU INC(BVI) 标准格式 日期：按实际生产日期
Packaging Info: MA UPC包装。#77516球的收缩膜用无条码版本或者加空白贴纸覆盖条码信息。
Remark: 1. 产品和包装上印刷tracking code信息，格式为ZURU常规格式。
2. 分4-5个DC出货，每款产品每个DC的箱唛资料不同。具体分DC数量，请参考后面行项目备注。
3. ZURU QC验货。</t>
  </si>
  <si>
    <t>ZB00203-5.7</t>
  </si>
  <si>
    <t>Marshalls
DC#881-156PCS
,
DC#884-96PCS,
DC#886-120PCS
,
DC#887-96PCS,
DC#888-132PCS</t>
  </si>
  <si>
    <t>4500157316-10</t>
  </si>
  <si>
    <t>ZB00202-5.7</t>
  </si>
  <si>
    <t>ZMPO250311</t>
  </si>
  <si>
    <t>DIY厨艺大师15套</t>
  </si>
  <si>
    <t>Remark:大货订单最新3L版本/15套 成品球  （ 共11个款 每款单独分开装箱 并做标记）;备注：收到样品订单后尽快安排 ，谢谢！</t>
  </si>
  <si>
    <t>MEIJER DISTRIBUTION, INC.</t>
  </si>
  <si>
    <t>4500161385-10</t>
  </si>
  <si>
    <r>
      <rPr>
        <sz val="11"/>
        <color rgb="FF0000FF"/>
        <rFont val="Arial"/>
        <charset val="0"/>
      </rPr>
      <t>5/22</t>
    </r>
    <r>
      <rPr>
        <sz val="11"/>
        <color rgb="FF0000FF"/>
        <rFont val="宋体"/>
        <charset val="0"/>
      </rPr>
      <t>截</t>
    </r>
    <r>
      <rPr>
        <sz val="11"/>
        <color rgb="FF0000FF"/>
        <rFont val="Arial"/>
        <charset val="0"/>
      </rPr>
      <t>SI</t>
    </r>
  </si>
  <si>
    <t>日期码格式：ZURU INC(BVI) 标准格式 日期：
Packaging Info: 1. MA 1L 包装
2. 客人指定箱唛排版
Remark: 出货前 Zuru QC 验货</t>
  </si>
  <si>
    <t>Cherie Li</t>
  </si>
  <si>
    <t>4500161459-10</t>
  </si>
  <si>
    <t>5/22截SI</t>
  </si>
  <si>
    <t>ZB00307-5.22</t>
  </si>
  <si>
    <t>PO# 34715</t>
  </si>
  <si>
    <t>4500162408-50</t>
  </si>
  <si>
    <t>5/14 出货</t>
  </si>
  <si>
    <t>Sia Liu</t>
  </si>
  <si>
    <t>4500162922-70</t>
  </si>
  <si>
    <t>5/16 第三方</t>
  </si>
  <si>
    <r>
      <rPr>
        <sz val="11"/>
        <color rgb="FF0000FF"/>
        <rFont val="Arial"/>
        <charset val="0"/>
      </rPr>
      <t xml:space="preserve">5/17 </t>
    </r>
    <r>
      <rPr>
        <sz val="11"/>
        <color rgb="FF0000FF"/>
        <rFont val="宋体"/>
        <charset val="0"/>
      </rPr>
      <t>出货</t>
    </r>
  </si>
  <si>
    <t>4/8 UPC贴纸</t>
  </si>
  <si>
    <t>日期码格式：ZURU INC(BVI) 标准格式 日期：按实际生产日期
Packaging Info: 77515GQ2:MA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</si>
  <si>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r>
      <rPr>
        <sz val="11"/>
        <color rgb="FF0000FF"/>
        <rFont val="Arial"/>
        <charset val="0"/>
      </rPr>
      <t xml:space="preserve">8/22 </t>
    </r>
    <r>
      <rPr>
        <sz val="11"/>
        <color rgb="FF0000FF"/>
        <rFont val="宋体"/>
        <charset val="0"/>
      </rPr>
      <t>截</t>
    </r>
    <r>
      <rPr>
        <sz val="11"/>
        <color rgb="FF0000FF"/>
        <rFont val="Arial"/>
        <charset val="0"/>
      </rPr>
      <t>SI</t>
    </r>
  </si>
  <si>
    <t>1/22 客供价格贴纸+空白贴纸</t>
  </si>
  <si>
    <t>4500163403-10</t>
  </si>
  <si>
    <t>4/16 北欧六语通用带电池出货黑白电池说明书</t>
  </si>
  <si>
    <t>4/22警语贴纸</t>
  </si>
  <si>
    <t>日期码格式：ZURU INC(BVI) 标准格式 日期：按实际生产日期
Packaging Info: 1.77515GQ1：MA 3L A版PDQ + 3L+5L警语 EAN B版收缩膜 + 4L(DK+NO+SE+FI)警语贴纸(翻#4500131147) +MA 23L B版说明书 + MA 5L 收藏指南 + MA 5L B版配件袋
+ 北欧六语通用带电池出货黑白电池说明书 EAN#4894680032255；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</si>
  <si>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4500163438-40</t>
  </si>
  <si>
    <t>5/19第三方</t>
  </si>
  <si>
    <t>4/17 UPC贴纸</t>
  </si>
  <si>
    <t>日期码格式：ZURU INC(BVI) 标准格式 日期：按实际生产日期
Packaging Info: 1. 出口加拿大市场，MA UPC版本包装。
#77515GQ6: MA 3L EAN版本 + UPC贴纸；UPC#193052061034
2. 产品、包装、外箱上面tracking code的时间格式需要一致
Remark: 3. 需要第三方SGS验货，验货时间2025/05/19，每款每色请备1PC完整带包装样品供验货人员参考。用完后若无损坏可以放回大货里。</t>
  </si>
  <si>
    <t>Abby Mai,Lluvia Zeng</t>
  </si>
  <si>
    <t>4500163696-20</t>
  </si>
  <si>
    <t>77515SK1用1L A版的展示架</t>
  </si>
  <si>
    <t>日期码格式：ZURU INC(BVI) 标准格式 日期：按实际生产日期
Packaging Info: 
1.MA EAN包装(语言包含英语就行)+1张进口商贴纸,球跟展示架都要加贴纸
进口商贴纸的AW、位置图都翻单4500160287(进口商贴纸上的logo要替换成黑色的那个，贴纸内容不变。黑色logo图稿见PO#4500160287邮件主题下 2025/4/14 Emma
发的邮件）
2.77515SK1用1L A版的展示架
Remark: 77515SK1-3PCS AG13 BATTERIES(INCLUDED)</t>
  </si>
  <si>
    <t>BINGO GLOBAL GROUP FOR TRADING SUPP</t>
  </si>
  <si>
    <t>埃及</t>
  </si>
  <si>
    <t>4500159286-50</t>
  </si>
  <si>
    <t>6/22 截si</t>
  </si>
  <si>
    <t>4/23进口商贴纸</t>
  </si>
  <si>
    <t>日期码格式：ZURU INC(BVI) 标准格式 日期：按实际生产日期
Packaging Info: 
77515GQ2: MA 3L EAN 收缩膜+ 进口商贴纸 + MA收藏指南+MA说明书; MA PDQ
Remark: 
77515GQ2: With 4 Demo</t>
  </si>
  <si>
    <t>ZMPO250351</t>
  </si>
  <si>
    <t>Remark：只需77515的空球，只需用外面透明收缩膜压缩就好，不需要彩色收缩膜；备注： 收到样品订单后尽快安排 ，注意样板品质质量要求要高于大货品质要求 ，送货时必须要附带送货单(没有送货单和QC检验合格报告的仓库一律拒绝收货)，请知悉，谢谢！</t>
  </si>
  <si>
    <t>95868-7.31</t>
  </si>
  <si>
    <t>7JJ2TM1Z</t>
  </si>
  <si>
    <t>4500164006-10</t>
  </si>
  <si>
    <t>6/3 交仓</t>
  </si>
  <si>
    <t>4/25客供防伪贴纸+纽扣电池警告语贴纸翻单+4/23 SSCC</t>
  </si>
  <si>
    <t>2QUDM18G</t>
  </si>
  <si>
    <t>4500163897-100</t>
  </si>
  <si>
    <t>5/28 交仓</t>
  </si>
  <si>
    <t>5/17客供防伪贴纸+5/13 SSCC+UPC贴纸翻单132623</t>
  </si>
  <si>
    <t>日期码格式：ZURU INC(BVI) 标准格式 日期：按实际生产日期
Packaging Info: 
#77515：MA 3L 加UPC贴纸覆盖原EAN条码，UPC贴纸跟返单4500132623。 加客供防伪贴纸，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</si>
  <si>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</si>
  <si>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545DPTWE</t>
  </si>
  <si>
    <t>4500163897-110</t>
  </si>
  <si>
    <t>2DAI4OBZ</t>
  </si>
  <si>
    <t>4500163897-120</t>
  </si>
  <si>
    <t>65JFMX8D</t>
  </si>
  <si>
    <t>4500163897-130</t>
  </si>
  <si>
    <t>2GTKUSQD</t>
  </si>
  <si>
    <t>4500163897-140</t>
  </si>
  <si>
    <t>7BTLQCGO</t>
  </si>
  <si>
    <t>4500163897-150</t>
  </si>
  <si>
    <t>JUGUETES PASTOR S.L.</t>
  </si>
  <si>
    <t>4500163040-40</t>
  </si>
  <si>
    <t>6/8 截SI</t>
  </si>
  <si>
    <t>贴纸翻单4500155934</t>
  </si>
  <si>
    <t>日期码格式：ZURU INC(BVI) 标准格式 日期：按实际生产日期
Packaging Info:
3.77515GQ2:最新MA 3L EAN版本包装+一张西班牙环保标贴纸；（贴纸翻单4500155934）；
Remark:</t>
  </si>
  <si>
    <t>4500160445-60</t>
  </si>
  <si>
    <r>
      <rPr>
        <sz val="11"/>
        <color rgb="FF1506E0"/>
        <rFont val="Arial"/>
        <charset val="0"/>
      </rPr>
      <t xml:space="preserve">6/9 </t>
    </r>
    <r>
      <rPr>
        <sz val="11"/>
        <color rgb="FF1506E0"/>
        <rFont val="宋体"/>
        <charset val="0"/>
      </rPr>
      <t>截</t>
    </r>
    <r>
      <rPr>
        <sz val="11"/>
        <color rgb="FF1506E0"/>
        <rFont val="Arial"/>
        <charset val="0"/>
      </rPr>
      <t>SI</t>
    </r>
  </si>
  <si>
    <t>5/15进口商/瑞典语警语贴纸+收藏指南贴纸（翻单4500125111）</t>
  </si>
  <si>
    <t>日期码格式：ZURU INC(BVI) 标准格式 日期：按实际生产日期
Packaging Info:
77515GQ2-S002-NS_3L EAN B版收缩膜+其它MA包装+带纽扣电池走货北欧六语通用黑白电池说明书+收藏指南贴纸（翻单4500125111）+进口商/瑞典语警语贴纸
北欧五语通用Slime黑白说明书
带纽扣电池走货北欧六语通用黑白电池说明书
上述贴纸翻单4500162375，之前已经安排MA 采购，请不要重复采购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77515GQ2-S002-NS-4894680032255</t>
  </si>
  <si>
    <t xml:space="preserve"> AMIC TRADING (PTY) LTD</t>
  </si>
  <si>
    <t xml:space="preserve"> 6006-007111</t>
  </si>
  <si>
    <t>4500165851-70</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</si>
  <si>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</si>
  <si>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</si>
  <si>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ALDI UK</t>
  </si>
  <si>
    <t>MPO03267</t>
  </si>
  <si>
    <t>母件4500155303</t>
  </si>
  <si>
    <t>77515-S001-MEC332</t>
  </si>
  <si>
    <t>预计6/25号送货到库有</t>
  </si>
  <si>
    <t>周转箱  备注上:客供子件给# MEC332-S001 for Aldi UK 新单PO# 4500155303</t>
  </si>
  <si>
    <t>Remark:1.如下子件由兴信客供带包装成品给库有组装,由ZURU DCP下单给兴信,预计6/25 号送货到库有
兴信子件:77515 MASTER CHEF
MA1L B版收缩膜+MA5L-B版纸袋+MA23L-B版说明书+MA 5L-A收藏指南UPC#193052061034
2.每座展示架一共需要4个价格牌贴在展示架上，价格牌大小55mmx110mm;3.第三方100% 验货时间:预计在7月2号，第三方验货会拆货,拆货后不会不会带走,请多备料4.请寄3套带包装的产前样板+1套完整assorment的散配件装在袋子里面,给客人审批了才能做大货,包装版本需要同大货一致,请按时寄出;5.请提供各5套带包装的样板+5整套所有assortmeni的散配件,每一套assorment的散配件装在一个袋子中,给客人审批了才能安排验货;客户需要一套展示架样品寄国外，请额外备料
6.所有样板需要同大货一致,否则第三方验货会不合格,请务必按时寄出所有样板;7.上下工字型封箱
8.整柜需要加白色安全网,具体数量以船务通知为准,一般会提前一个月通知,需要一并提供装柜图片给客人参考:.Stick a completed "container Loading Plan fom" at the container door(船务需要提醒装柜人员需要在柜门出贴一张container loading plan form)10.产品及包装需要印UKCA图标,包装需要有ZURU UK LTD/ZURU France地址信息,QC同事请核查,如有问题与跟单确认。11.需要符合欧洲标准不能含有闪粉和微塑料，否则不符合法规会有客诉产生
每15个球按照标准版配比装好周转箱或框，当一个箱/框是15的倍数的时候，需要把球按15个分隔开</t>
  </si>
  <si>
    <t>Winie</t>
  </si>
  <si>
    <t>95846-7.31</t>
  </si>
  <si>
    <t>每15个球按照标准版配比装好周转箱或框，当一个箱/框是15的倍数的时候，需要把球按15个分隔开</t>
  </si>
  <si>
    <t>CONTINENTE S.A.</t>
  </si>
  <si>
    <t>COL66-25-FALL</t>
  </si>
  <si>
    <t>4500163691-220</t>
  </si>
  <si>
    <t>6/5进口商贴纸+UPC贴纸</t>
  </si>
  <si>
    <t>日期码格式：DG20250520 日期：
Packaging Info: 77515GQ2:MA 3L EAN 包装+进口商贴纸+UPC贴纸+箱唛
Remark:</t>
  </si>
  <si>
    <t>95523-7.1</t>
  </si>
  <si>
    <t xml:space="preserve"> TOYS "R" US (CANADA) LTD.</t>
  </si>
  <si>
    <t>4500166007-40</t>
  </si>
  <si>
    <t xml:space="preserve">6/23客验  </t>
  </si>
  <si>
    <t>7/2 交仓</t>
  </si>
  <si>
    <t>5/16 UPC贴纸</t>
  </si>
  <si>
    <t>日期码格式：ZURU INC(BVI) 标准格式 日期：按实际生产日期
Packaging Info: 1. 出口加拿大市场。
#77515GQ6：MA 3L EAN_C版本收缩膜 + UPC贴纸, MA 3L A版本PDQ + 英法双语贴纸；UPC#193052061034;
2. 产品、包装、外箱上面tracking code的时间格式需要一致。
Remark: 3. 需要第三方SGS验货，验货时间2025/06/23，每款每色请备1PC完整带包装样品供验货人员参考。用完后若无损坏可以放回大货里。</t>
  </si>
  <si>
    <t xml:space="preserve"> Abby Mai,Lluvia Zeng</t>
  </si>
  <si>
    <t>95578-7.7</t>
  </si>
  <si>
    <t xml:space="preserve"> GP TURKEY</t>
  </si>
  <si>
    <t>4500165516-60</t>
  </si>
  <si>
    <t>贴纸翻单4500127539</t>
  </si>
  <si>
    <t>日期码格式：ZUR5171 日期：
Packaging Info: 1.77515GQ5: 1L MA收缩膜+MA说明书/收藏指南+进口商贴纸（含客户条码）(翻单4500127539);MA PD
2.客户日期码：ZUR5171，产品/包装/外箱请保持一致。产品蛋壳需要印日期ZUR5171和对应的item号码77515GQ5/77685GQ2
3.77515GQ5:需要两套完整大货样（不带PDQ);
Remark: 77515GQ5:3PCS AG13 Batteries (included)</t>
  </si>
  <si>
    <t xml:space="preserve"> Lena Huang</t>
  </si>
  <si>
    <t>95766-7.24</t>
  </si>
  <si>
    <t>PT. STAKOM TRIJAYA ANDALA</t>
  </si>
  <si>
    <t>AW24</t>
  </si>
  <si>
    <t>4500167410-10</t>
  </si>
  <si>
    <t>6/21 入仓</t>
  </si>
  <si>
    <t>日期码格式：ZURU INC(BVI) 标准格式 日期：按实际生产日期 Tracking Code:
Packaging Info: MA UPC(优先1L) package,带电产品77515, 此单无需贴纸
可能会需样板做测试, 也有可能有第三方验货,请等我们进一步通知;</t>
  </si>
  <si>
    <t>95615-7.11</t>
  </si>
  <si>
    <t>8RYL9NBR</t>
  </si>
  <si>
    <t>4500167378-210</t>
  </si>
  <si>
    <t>C版收缩膜+B版收藏指南+新铜版纸和贴纸</t>
  </si>
  <si>
    <t>7/7 截SI</t>
  </si>
  <si>
    <t>6/11 SSCC LABEL（客供贴纸)+空白贴纸</t>
  </si>
  <si>
    <t>日期码格式：ZURU INC(BVI) 标准格式 日期：按实际生产日期
Packaging Info: 出口加拿大，包装需要至少2/3L UPC版，无硼版本。
#77516: 2PK #77515 入PVC圆筒。MA 3L-C版本收缩膜，纸袋C版本，收藏指南B版本,3L 2PK铜版纸图稿使用B版本。 （两个球的配比不能重复）。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</si>
  <si>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95588-7.8</t>
  </si>
  <si>
    <r>
      <rPr>
        <sz val="11"/>
        <color rgb="FF0000FF"/>
        <rFont val="Arial"/>
        <charset val="0"/>
      </rPr>
      <t>B</t>
    </r>
    <r>
      <rPr>
        <sz val="11"/>
        <color rgb="FF0000FF"/>
        <rFont val="宋体"/>
        <charset val="0"/>
      </rPr>
      <t>版铜版纸采购了</t>
    </r>
    <r>
      <rPr>
        <sz val="11"/>
        <color rgb="FF0000FF"/>
        <rFont val="Arial"/>
        <charset val="0"/>
      </rPr>
      <t>3000PCS</t>
    </r>
    <r>
      <rPr>
        <sz val="11"/>
        <color rgb="FF0000FF"/>
        <rFont val="宋体"/>
        <charset val="0"/>
      </rPr>
      <t>，供应商印刷问题，增加条码贴纸</t>
    </r>
  </si>
  <si>
    <t>31O4LHOJ</t>
  </si>
  <si>
    <t>4500167378-220</t>
  </si>
  <si>
    <t>日期码格式：ZURU INC(BVI) 标准格式 日期：按实际生产日期
Packaging Info: 出口加拿大，包装需要至少2/3L UPC版，无硼版本。
#77516: 2PK #77515 入PVC圆筒。MA 3L-C版本收缩膜+空白贴纸，纸袋B版本，收藏指南B版本, 3L 2PK铜版纸图稿使用B版本。 （两个球的配比不能重复），空白
贴纸跟翻单4500139232。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</si>
  <si>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24VIHAKD</t>
  </si>
  <si>
    <t>4500167378-230</t>
  </si>
  <si>
    <t>3P9RU23T</t>
  </si>
  <si>
    <t>4500167378-240</t>
  </si>
  <si>
    <t>152FU3OS</t>
  </si>
  <si>
    <t>4500167378-250</t>
  </si>
  <si>
    <t>1K6ASQZL</t>
  </si>
  <si>
    <t>4500167378-260</t>
  </si>
  <si>
    <t>5PHK2OPA</t>
  </si>
  <si>
    <t>4500167378-270</t>
  </si>
  <si>
    <t>4500162040-10</t>
  </si>
  <si>
    <t>第三方监柜，至少多备一套完整的物料用于监柜</t>
  </si>
  <si>
    <t>7/2装柜</t>
  </si>
  <si>
    <t>6/6 UPC条码贴纸+进口商贴纸</t>
  </si>
  <si>
    <t>日期码格式：LOTDGYYYYMMDD 日期：按实际生产日期
Packaging Info: 77515GQ2：MA 3L EAN包装+UPC条码贴纸+MA 3L PDQ包装+MA 多语收藏指南+进口商贴纸+箱唛+保证书，产品/包装/说明书上各贴1张进口商贴纸
Remark: 1. 客版日期码要求：LOT+ZURU标准日期码格式。东莞生产的格式：LOTDGYYYYMMDD, DG是东莞拼音首字母，
YYYYMMDD是实际的年月日，例如(LOTDG20240920)
2. 77515GQ2:3PCS AG13 Batteries(Include)
3. 此单有第三方监柜，至少多备一套完整的物料用于监柜，请多备料。
4. WM墨西哥防霉的新要求:货物必须在出货主箱和集装箱中按要求放置干燥剂，干燥剂指定品牌干霸
77515GQ2: 需要在每箱放入6小包干燥剂，每包干燥剂重量2g
如走柜货等loading plan 确认后再通知集装箱干燥剂数量</t>
  </si>
  <si>
    <t>95541-7.3</t>
  </si>
  <si>
    <t>47843028 SYD</t>
  </si>
  <si>
    <t>4500169702-10</t>
  </si>
  <si>
    <t>7/5 交仓</t>
  </si>
  <si>
    <t>警告语贴纸翻单4500122443</t>
  </si>
  <si>
    <t>日期码格式：ZURU INC(BVI) 标准格式 日期：按实际生产日期
Packaging Info: 1. 77515GQ1: 英文MA包装 (UPC版本，首选1L，无1L可用多L含英语) + 2张警告语贴纸带进口商信息（分别贴在包装正面和说明书上）, 贴纸翻单4500122443；3PCS
AG13 Batteries(Include)
2. 产品和包装上的日期码一致，请按要求在包装上打日期码（进口商贴纸不覆盖日期码）
3. 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</si>
  <si>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95620-7.12</t>
  </si>
  <si>
    <t>47843029 BNE</t>
  </si>
  <si>
    <t>4500169702-20</t>
  </si>
  <si>
    <t>95593-7.9</t>
  </si>
  <si>
    <t>47843030 MEL</t>
  </si>
  <si>
    <t>4500169702-30</t>
  </si>
  <si>
    <t>95605-7.10</t>
  </si>
  <si>
    <t>47843031 FRE</t>
  </si>
  <si>
    <t>4500169702-40</t>
  </si>
  <si>
    <t>95558-7.5</t>
  </si>
  <si>
    <t>Hobby Lobby Stores, Inc.</t>
  </si>
  <si>
    <t>W0720644</t>
  </si>
  <si>
    <t>4500167259-20</t>
  </si>
  <si>
    <t>6/3 价格贴纸+外箱条码贴纸+6/12 UPC贴纸</t>
  </si>
  <si>
    <t>日期码格式：ZURU INC(BVI) 标准格式 日期：按实际生产日期
Packaging Info: 1. MA UPC版包装，优先1L，需要加贴价格贴纸,贴纸产品正面右上角(价格贴纸文档跟单提供)，出美国。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5. 77515 用MA 3L EAN版本加UPC贴纸</t>
  </si>
  <si>
    <t>Eleven Zhang/Yvonne</t>
  </si>
  <si>
    <t xml:space="preserve"> Van Cranenbroek ELC bv</t>
  </si>
  <si>
    <t xml:space="preserve"> IO-01000011314</t>
  </si>
  <si>
    <t>4500163986-50</t>
  </si>
  <si>
    <t>增加一张WEEE声明说明书</t>
  </si>
  <si>
    <t>贴纸翻单140409</t>
  </si>
  <si>
    <t>日期码格式：ZURU INC(BVI) 标准格式 日期：按实际生产日期
Packaging Info: 
77515GQ5:MAB版3L(warning 5L) EAN 收缩膜+ 1张NL荷兰语警语贴纸(翻
PO#4500140409)，MA5LA版收藏指南，MA B版 23L说明书+贴纸翻单
PO#4500140409++WEEE_带电池走货 _ 说明书欧洲EN+30L，MA5LB版配件袋+贴纸翻单4500140409，MA3LPDQ
Remark: 1.出口欧洲，所有产品微塑料需符合法规
2. 标准产品，没有特殊配比要求
3. 所有出往欧洲市场订单的电子产品需增加一张WEEE声明说明书，区分带电池和不带电池版本, 如已做客版说明书可忽略此要求。</t>
  </si>
  <si>
    <t xml:space="preserve"> Amber Zhang</t>
  </si>
  <si>
    <t>95640-7.14</t>
  </si>
  <si>
    <t>4500168238-90</t>
  </si>
  <si>
    <t>6/5UPC贴纸</t>
  </si>
  <si>
    <t>日期码格式：ZURU INC(BVI) 标准格式 日期：按实际生产日期
Packaging Info:77515GQ2:MA多语EAN+UPC贴纸+箱唛
Remark: 请确保包装上的条形码是UPC，如有不一致，请及时提出。谢谢！</t>
  </si>
  <si>
    <t>Aimee Huang</t>
  </si>
  <si>
    <t>95677-7.17</t>
  </si>
  <si>
    <t>4500168055-100</t>
  </si>
  <si>
    <t>日期码格式：ZURU INC(BVI) 标准格式 日期：按实际生产日期
Packaging Info:77515GQ2:MA多语EAN+UPC贴纸+箱唛</t>
  </si>
  <si>
    <t>96338-3-9.6</t>
  </si>
  <si>
    <t>4500168463-10</t>
  </si>
  <si>
    <t>日期码格式：ZURU INC(BVI) 标准格式 日期：按实际生产日期
Packaging Info: 77515GQ2:MA多语EAN+UPC贴纸+箱唛
Remark: 请确保包装上的条形码是UPC，如有不一致，请及时提出。谢谢！</t>
  </si>
  <si>
    <t>95581-7.7
95582-7.7</t>
  </si>
  <si>
    <t>Amazon UK:
57KDD8KJ</t>
  </si>
  <si>
    <t>4500168472-80</t>
  </si>
  <si>
    <t>7/21 截SI</t>
  </si>
  <si>
    <t>6/4 UPC贴纸+多语可折叠贴纸+6/6防伪贴纸+6/9 SSCC</t>
  </si>
  <si>
    <t>日期码格式：ZURU INC(BVI) 标准格式 日期：按实际生产日期
Packaging Info: Amazon UK(77555/71126/77515)/DE(15701AB/71126/92104AG/9258G)/FR(15711D)
3. 77515: 24pcs/ctn, no inner; MA 3L(3L warning EAN#) C收缩膜+1张UPC#贴纸(覆盖原条码位置)+1张多语可折叠贴纸(含ES/IT/FR环保标+ZURU邮箱care@zuru.
com+德/意/荷/波兰/葡萄牙/瑞典/丹麦/芬兰/挪威/捷克/匈牙利/斯洛伐克/罗马尼亚/希腊语）+MA 5L B收藏指南+MA23L C警示说明书+其他最新版配套MA包装+1张防伪贴纸(具体位置参考USA同款订单)+Polybag(含防窒息5L警示语+塑料循环标，参考翻单PO#4500154803)+WEEE电子产品说明书30L(带电池走货版)；
8. 验货时间不迟于2025/7/10.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</si>
  <si>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95713-7.21</t>
  </si>
  <si>
    <t>4500168730-40</t>
  </si>
  <si>
    <t>6/18 进口商贴纸</t>
  </si>
  <si>
    <t>日期码格式：ZURU INC(BVI) 标准格式 日期：按实际生产日期
Packaging Info:
77515GQ1：MA UPC收缩膜+进口商贴纸；MA指南；MA PDQ;
Remark: 标准配比</t>
  </si>
  <si>
    <t>Cora Zhou</t>
  </si>
  <si>
    <t>96586-9.30</t>
  </si>
  <si>
    <t>4500166614-10</t>
  </si>
  <si>
    <t>77515-S005-PKC</t>
  </si>
  <si>
    <t>DIY厨艺大师SUPER DRY干燥剂</t>
  </si>
  <si>
    <t>7/17第三方</t>
  </si>
  <si>
    <t>8/4 截SI  已出样板</t>
  </si>
  <si>
    <t>4/11 5层瓦楞纸+上下需加保护卡</t>
  </si>
  <si>
    <t>EAN条码贴纸+德语警告语贴纸翻单#4500135247</t>
  </si>
  <si>
    <t>日期码格式：ZURU INC(BVI) 标准格式 日期：按实际生产日期
Packaging Info: 77515: 最新MA 1L 收缩膜+EAN条码贴纸+德语警语贴纸+MA 5L配件袋+德语警告语贴纸+MA 5L 收藏指南/说明书(所有贴纸资料翻单#4500135247)+欧洲通用30LWEEE
 说明书(带电池), EAN: 4894680032255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所有出往德国订单的电子产品需增加一张客版WEEE声明说明书，区分带电池和不带电池版本, 如已做客版说明书可忽略此要求。</t>
  </si>
  <si>
    <t>Gabriel Brothers, Inc.</t>
  </si>
  <si>
    <t>客人PO:
84006554</t>
  </si>
  <si>
    <t>4500167243-60</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</si>
  <si>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</si>
  <si>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r>
      <rPr>
        <sz val="11"/>
        <color rgb="FF0000FF"/>
        <rFont val="Arial"/>
        <charset val="0"/>
      </rPr>
      <t>5/26</t>
    </r>
    <r>
      <rPr>
        <sz val="11"/>
        <color rgb="FF0000FF"/>
        <rFont val="宋体"/>
        <charset val="0"/>
      </rPr>
      <t>已放</t>
    </r>
    <r>
      <rPr>
        <sz val="11"/>
        <color rgb="FF0000FF"/>
        <rFont val="Arial"/>
        <charset val="0"/>
      </rPr>
      <t>3000</t>
    </r>
  </si>
  <si>
    <t>客人PO:
84006555</t>
  </si>
  <si>
    <t>4500167243-100</t>
  </si>
  <si>
    <t>DD'S DISCOUNT</t>
  </si>
  <si>
    <t>4500161266-10</t>
  </si>
  <si>
    <t>空白贴纸</t>
  </si>
  <si>
    <t>日期码格式：ZURU INC(BVI) 标准格式 日期：按实际生产日期 Tracking Code:
Packaging Info: 1.ZURU MA UPC 现有版本包装 ，出口美国 , 优先使用MA 1L 最新版本 。无需价格贴纸
Remark: 1.ZURU MA UPC 现有版本包装 ，出口美国 , 优先使用MA 1L 最新版本 。
 2.标准日期码格式，产品和包装必须有日期码 。
 3.同个产品同个货期不可出现不同的包装。
 4. 跟单提供ROSS箱唛模版，工厂提供箱唛排版来确认。
 5. PVC 桶中球不能出现完全相同的ASSORTMENT ， 即同一个PVC 中球里的ASSORTMENT 需要不同。 以免消费者失望。
 6.球的收缩膜条码请使用空白贴纸覆盖</t>
  </si>
  <si>
    <t>Auchan q4 2025</t>
  </si>
  <si>
    <t>4500167404-10</t>
  </si>
  <si>
    <t>进口商贴纸(贴纸翻单4500139234)+6/23 WEE说明书资料</t>
  </si>
  <si>
    <t>日期码格式：ZURU INC(BVI) 标准格式 日期：按实际生产日期
Packaging Info: 77515GQ2:MA C 版1L MA 收缩膜+进口商贴纸(贴纸翻单4500139234)；B 版 23L MA 说明书/A 版 5L MA 收藏指南/A 版 1L MA PDQ
Remark: 此单出欧洲需满足EU测试标准要求
77515GQ2: 3PCS AG13 BATTERIES(INCLUDED)：加WEEE带电池走货欧洲30语通用黑白说明书 B版</t>
  </si>
  <si>
    <t>Sharon</t>
  </si>
  <si>
    <t>4500168449-50</t>
  </si>
  <si>
    <t>6/18 UPC贴纸+进口商贴纸</t>
  </si>
  <si>
    <t>日期码格式：ZURU INC(BVI) 标准格式 日期：按实际生产日期
Packaging Info:77515GQ2:MA 多语EAN包装+UPC贴纸+进口商贴纸+箱唛
Remark:</t>
  </si>
  <si>
    <t>95765-7.24</t>
  </si>
  <si>
    <t>AMAZON CA (VENDOR CENTER)</t>
  </si>
  <si>
    <t>1S1OSBDK</t>
  </si>
  <si>
    <t>4500170160-120</t>
  </si>
  <si>
    <t>7/11 SSCC LABEL（客供贴纸)+空白贴纸翻单4500139232</t>
  </si>
  <si>
    <t>日期码格式：ZURU INC(BVI) 标准格式 日期：按实际生产日期
Packaging Info:
#77516: 2PK #77515 入PVC圆筒。MA 3L-C版本收缩膜+空白贴纸，纸袋B版本，收藏指南B版本, 3L 2PK铜版纸图稿使用B版本。 （两个球的配比不能重复），空白
贴纸跟翻单4500139232。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</si>
  <si>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747PNB5D</t>
  </si>
  <si>
    <t>4500170160-130</t>
  </si>
  <si>
    <t>7PMU5Y8V</t>
  </si>
  <si>
    <t>4500170160-140</t>
  </si>
  <si>
    <t>7/ 11SSCC LABEL（客供贴纸)+空白贴纸翻单4500139232</t>
  </si>
  <si>
    <t>14G1JQYA</t>
  </si>
  <si>
    <t>4500170160-150</t>
  </si>
  <si>
    <t>7YA3VXLM</t>
  </si>
  <si>
    <t>4500170160-160</t>
  </si>
  <si>
    <t>7/11SSCC LABEL（客供贴纸)+空白贴纸翻单4500139232</t>
  </si>
  <si>
    <t>15TOCE7J</t>
  </si>
  <si>
    <t>4500170160-170</t>
  </si>
  <si>
    <t>77W8UIUH</t>
  </si>
  <si>
    <t>4500170160-180</t>
  </si>
  <si>
    <t>5J5HR8OK</t>
  </si>
  <si>
    <t>4500170160-190</t>
  </si>
  <si>
    <t>4E8GJLHV</t>
  </si>
  <si>
    <t>4500170160-200</t>
  </si>
  <si>
    <t>36NFLNLR</t>
  </si>
  <si>
    <t>4500170160-210</t>
  </si>
  <si>
    <t>462FEHUH</t>
  </si>
  <si>
    <t>4500170160-220</t>
  </si>
  <si>
    <t>21F41LJQ</t>
  </si>
  <si>
    <t>4500170160-230</t>
  </si>
  <si>
    <t>1R9LA92H</t>
  </si>
  <si>
    <t>4500170160-240</t>
  </si>
  <si>
    <t>8KRN96YH</t>
  </si>
  <si>
    <t>4500170160-250</t>
  </si>
  <si>
    <t>78O4SRXQ</t>
  </si>
  <si>
    <t>4500170160-260</t>
  </si>
  <si>
    <t>4500168979-40</t>
  </si>
  <si>
    <t>7/22第三方SGS</t>
  </si>
  <si>
    <t>6/26 UPC贴纸+英法双语贴纸</t>
  </si>
  <si>
    <t>日期码格式：ZURU INC(BVI) 标准格式 日期：按实际生产日期
Packaging Info: 1. 出口加拿大市场。
#77515GQ6: MA 3L EAN_C版本收缩膜 + UPC贴纸, MA 3L A版本PDQ + 英法双语贴纸；UPC#193052061034;
2. 产品、包装、外箱上面tracking code的时间格式需要一致.
Remark: 3. 需要第三方SGS验货，验货时间暂定2025/07/22，每款每色请备1PC完整带包装样品供验货人员参考。用完后若无损坏可以放回大货里。</t>
  </si>
  <si>
    <t>25-1069792JEC</t>
  </si>
  <si>
    <t>4500166796-10</t>
  </si>
  <si>
    <t>指定日期码：2025-07（外箱/产品/包装/进口商贴纸 日期码要一致)</t>
  </si>
  <si>
    <t>5/29进口商贴纸+UPC贴纸</t>
  </si>
  <si>
    <t>日期码格式：2025-07 日期：
Packaging Info: MA 3L EAN包装+进口商贴纸+UPC贴纸+箱唛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2.所有item的包装上的条码必须是UPC，如果后续提供的贴纸资料已将进口商贴纸和UPC条码合并到一张，则不需要额外再订购UPC贴纸资料，仅需要订购一张进口商
贴纸。</t>
  </si>
  <si>
    <t>4500161281-10</t>
  </si>
  <si>
    <t>空白贴纸+7/16价格贴纸</t>
  </si>
  <si>
    <t>日期码格式：ZURU INC(BVI) 标准格式 日期：按实际生产日期
Packaging Info: 1.ZURU MA UPC 现有版本包装+客供价格贴纸 ，出口美国 , 优先使用MA 1L 最新版本 。
Remark: 1.ZURU MA UPC 现有版本包装+客供价格贴纸 ，出口美国 , 优先使用MA 1L 最新版本 。
2.标准日期码格式，产品和包装必须有日期码 。
3.同个产品同个货期不可出现不同的包装。
4. 跟单提供ROSS通用的箱唛模版，工厂 提供箱唛排版来确认。
5. PVC 桶中球不能出现完全相同的ASSORTMENT ， 即同一个PVC 中球里的ASSORTMENT 需要不同。 以免消费者失望。
6.球的收缩膜条码需要用空白贴纸覆盖</t>
  </si>
  <si>
    <t>4500160470-40</t>
  </si>
  <si>
    <t>带纽扣电池走货北欧六语通用黑白电池说明书</t>
  </si>
  <si>
    <t>7/23 出货</t>
  </si>
  <si>
    <t>进口商/瑞典语警语贴纸翻单4500160445+收藏指南贴纸（翻单4500125111）</t>
  </si>
  <si>
    <t>日期码格式：ZURU INC(BVI) 标准格式 日期：按实际生产日期
Packaging Info: 
77515GQ2-S002-NS_3L EAN B版收缩膜+其它MA包装+带纽扣电池走货北欧六语通用黑白电池说明书+收藏指南贴纸（翻单4500125111）+进口商/瑞典语警语贴纸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77515GQ2-S002-NS-4894680032255</t>
  </si>
  <si>
    <t>95851-7.31</t>
  </si>
  <si>
    <t>JUGUESAL S.A. DE C.V.</t>
  </si>
  <si>
    <t>25-1068242JUS</t>
  </si>
  <si>
    <t>4500159848-250</t>
  </si>
  <si>
    <t>指定日期码：2025-07（外箱/产品/包装/进口商贴纸 日期码要一致。</t>
  </si>
  <si>
    <t>7/2UPC贴纸+进口商贴纸</t>
  </si>
  <si>
    <t>日期码格式：2025-07 日期：
Packaging Info: 77515GQ2: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77515GQ2: 3PCS AG13 BATTERIES(INCLUDED)
Hershey's-Chocolate Syrup 24 oz
Hershey's-Mini Chocolate Syrup 24 oz
Hershey's-Strawberry Syrup 22 oz</t>
  </si>
  <si>
    <t>96592-6-9.30</t>
  </si>
  <si>
    <t>4500169604-140</t>
  </si>
  <si>
    <t>8/14 截Si</t>
  </si>
  <si>
    <t>6/24 UPC贴纸</t>
  </si>
  <si>
    <t>日期码格式：ZURU INC(BVI) 标准格式 日期：按实际生产日期
Packaging Info:
77515GQ2: MA 3L EAN PKG+UPC 条码贴纸+MA 3L PDQ+MA 收藏指南+MA 说明书+箱唛
Remark:
77515GQ2: 3PCS AG13 BATTERIES(INCLUDED)</t>
  </si>
  <si>
    <t>96590-4-9.30</t>
  </si>
  <si>
    <t>AMAZON.COM SERVICES LLC</t>
  </si>
  <si>
    <t>4N2FO3RM</t>
  </si>
  <si>
    <t>4500170342-20</t>
  </si>
  <si>
    <t>消耗取消订单4500156588库存</t>
  </si>
  <si>
    <t>8/1 截SI</t>
  </si>
  <si>
    <t>7/11SSCC Label客供贴纸</t>
  </si>
  <si>
    <t>日期码格式：ZURU INC(BVI) 标准格式 日期：按实际生产日期
Packaging Info:
#77516: 2PK #77515 入PVC圆筒。收藏指南用MA 5L. 3L不带UPC版收缩膜,3L 2PK铜版纸图稿跟返单4500156588。 （两个球的配比不能重复）。可消耗取消订单450
0156588库存。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</si>
  <si>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ZB01019-8.1</t>
  </si>
  <si>
    <t>4500169751-160</t>
  </si>
  <si>
    <t>8/11 截SI</t>
  </si>
  <si>
    <t>7/1 进口商+客户条码贴纸</t>
  </si>
  <si>
    <t xml:space="preserve">日期码格式：ZURU INC(BVI) 标准格式 日期：按实际生产日期
Packaging Info:
77515GQ1:MA 3L EAN包装+进口商贴纸+客户条码贴纸+箱唛
Remark: </t>
  </si>
  <si>
    <t>95976-3-8.13</t>
  </si>
  <si>
    <t>394ZG5VT</t>
  </si>
  <si>
    <t>4500168994-130</t>
  </si>
  <si>
    <t>7/25 待SO出货</t>
  </si>
  <si>
    <t>7/11 SSCC LABEL（客供贴纸)</t>
  </si>
  <si>
    <t>AG250097-HK</t>
  </si>
  <si>
    <t>4500170399-10</t>
  </si>
  <si>
    <t xml:space="preserve">7/29 客上柜 </t>
  </si>
  <si>
    <t>7/9客供警语贴纸+客供电池警语贴纸</t>
  </si>
  <si>
    <t>日期码格式：ZURU INC(BVI) 标准格式 日期：按实际生产日期
Packaging Info: 此单出香港
77515GQ2：MA 1L PKG+MA 收藏指南+23L warning instruction+1L PDQ +客供警语贴纸
（一张贴球底部，一张贴收藏指南，一张贴warning instruction）+客供电池警语贴纸(贴顶部）
详情参考HK客供贴纸位置图
Remark:</t>
  </si>
  <si>
    <t>95798-7.28</t>
  </si>
  <si>
    <t>JUGUETIBICI, S.A. DE C.V.</t>
  </si>
  <si>
    <t>4500170311-20</t>
  </si>
  <si>
    <t>有监柜，每款请多备1pc样板用于监装</t>
  </si>
  <si>
    <t>8/8 截SI</t>
  </si>
  <si>
    <t>7/10UPC 条码贴纸+进口商贴纸</t>
  </si>
  <si>
    <t>日期码格式：ZURU INC(BVI) 标准格式 日期：按实际生产日期
Packaging Info:
77515GQ2：MA 3L EAN PKG+UPC 条码贴纸+MA 3L PDQ+MA 收藏指南+MA 多语说明书+进口商贴纸+箱唛+保证书
Remark:
77515GQ2：3PCS AG13 BATTERIES(INCLUDED)
此单有监柜，每款请多备1pc样板用于监装</t>
  </si>
  <si>
    <t>PR􀃉NATAL RETAIL GROUP ASIA PACIFIC</t>
  </si>
  <si>
    <t>4500170062-10</t>
  </si>
  <si>
    <t>6/27 进口商贴纸+产品贴纸+客版说明书（说明书翻4500153302）</t>
  </si>
  <si>
    <t>日期码格式：LOT2529 日期：
Packaging Info: 1.77515：最新MA 3L EAN收缩膜+最新MA PDQ+一张进口商贴纸+一张产品贴纸+一张客版说明书（说明书翻4500153302）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</si>
  <si>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Christine He</t>
  </si>
  <si>
    <t xml:space="preserve"> Distribuidora Liverpool S.A de C.V.</t>
  </si>
  <si>
    <t>61971743</t>
  </si>
  <si>
    <t>4500165982-230</t>
  </si>
  <si>
    <t>第三方监柜</t>
  </si>
  <si>
    <t>7/31 装柜</t>
  </si>
  <si>
    <t>7/9 UPC贴纸+进口商贴纸+7/18价标贴纸</t>
  </si>
  <si>
    <t>日期码格式：ZURU INC(BVI) 标准格式 日期：按实际生产日期
Packaging Info:
 77515GQ2:MA 3L EAN包装+UPC 贴纸+MA 多语说明书+进口商贴纸+价标贴纸+箱唛+保证书，包装和说明书都需要加一张进口商贴纸
Remark: 1. 此单价格贴纸（ZURU定购).
2.此单有第三方监柜，不用额外准备备品，会在大货中每款拆1pc，拆了包装的产品会由监装员用客供胶带封好或在外箱上写上""opened by telescope”</t>
  </si>
  <si>
    <t xml:space="preserve"> Ava Liang</t>
  </si>
  <si>
    <t>TJ MAXX
PO#767791
SKU#135217
DC#891-168pcs
,
DC#894-120pcs
,
DC#896-60pcs,
DC#897-144pcs
,
DC#898-108pcs</t>
  </si>
  <si>
    <t>4500171922-80</t>
  </si>
  <si>
    <r>
      <rPr>
        <sz val="11"/>
        <color rgb="FF0000FF"/>
        <rFont val="Arial"/>
        <charset val="0"/>
      </rPr>
      <t xml:space="preserve">8/6 </t>
    </r>
    <r>
      <rPr>
        <sz val="11"/>
        <color rgb="FF0000FF"/>
        <rFont val="宋体"/>
        <charset val="0"/>
      </rPr>
      <t>截</t>
    </r>
    <r>
      <rPr>
        <sz val="11"/>
        <color rgb="FF0000FF"/>
        <rFont val="Arial"/>
        <charset val="0"/>
      </rPr>
      <t>SI</t>
    </r>
  </si>
  <si>
    <t>7/16客供价格贴纸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</si>
  <si>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</si>
  <si>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ZB01105R1-8.6</t>
  </si>
  <si>
    <t>77516-S001-1</t>
  </si>
  <si>
    <t>TJ MAXX
PO#767798
SKU#135478
DC#891-576pcs
,
DC#894-384pcs
,
DC#896-360pcs
,
DC#897-672pcs
,
DC#898-408pcs</t>
  </si>
  <si>
    <t>4500171921-80</t>
  </si>
  <si>
    <t>8/13 装柜</t>
  </si>
  <si>
    <t>TJ MAXX
PO#767793
SKU#135922
DC#891-288pcs
,
DC#894-216pcs
,
DC#896-156pcs
,
DC#897-324pcs
,
DC#898-216pcs</t>
  </si>
  <si>
    <t>4500171924-80</t>
  </si>
  <si>
    <t>TJ MAXX
PO#767792
SKU#135749
DC#891-300pcs
,
DC#894-216pcs
,
DC#896-156pcs
,
DC#897-324pcs
,
DC#898-204pcs</t>
  </si>
  <si>
    <t>4500171923-70</t>
  </si>
  <si>
    <r>
      <rPr>
        <sz val="11"/>
        <color rgb="FF0000FF"/>
        <rFont val="Arial"/>
        <charset val="0"/>
      </rPr>
      <t xml:space="preserve">8/12 </t>
    </r>
    <r>
      <rPr>
        <sz val="11"/>
        <color rgb="FF0000FF"/>
        <rFont val="宋体"/>
        <charset val="0"/>
      </rPr>
      <t>装柜</t>
    </r>
  </si>
  <si>
    <t>Marshalls
PO#767788
SKU#855954
DC#881-180pcs
,
DC#884-180pcs
,
DC#886-192pcs
,
DC#887-228pcs
,
DC#888-216pcs</t>
  </si>
  <si>
    <t>4500171907-80</t>
  </si>
  <si>
    <t>7/16 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</si>
  <si>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</si>
  <si>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Marshalls
PO#767789
SKU#855186
DC#881-432pcs
,
DC#884-372pcs
,
DC#886-468pcs
,
DC#887-480pcs
,
DC#888-444pcs</t>
  </si>
  <si>
    <t>4500171908-80</t>
  </si>
  <si>
    <t>8/7装柜</t>
  </si>
  <si>
    <t>TJ MAXX
PO#767796
SKU#134946
DC#891-588pcs
,
DC#894-384pcs
,
DC#896-348pcs
,
DC#897-672pcs
,
DC#898-408pcs</t>
  </si>
  <si>
    <t>4500171919-80</t>
  </si>
  <si>
    <t>Marshalls
PO#767787
SKU#855448
DC#881-192pcs
,
DC#884-168pcs
,
DC#886-228pcs
,
DC#887-216pcs
,
DC#888-192pcs</t>
  </si>
  <si>
    <t>4500171916-80</t>
  </si>
  <si>
    <t>Marshalls
PO#767785
SKU#855696
DC#881-120pcs
,
DC#884-96pcs,
DC#886-132pcs
,
DC#887-132pcs
,
DC#888-120pcs</t>
  </si>
  <si>
    <t>4500171914-80</t>
  </si>
  <si>
    <t>8/11 装柜</t>
  </si>
  <si>
    <t>TJ MAXX
PO#767795
SKU#136174
DC#891-312pcs
,
DC#894-132pcs
,
DC#896-192pcs
,
DC#897-360pcs
,
DC#898-204pcs</t>
  </si>
  <si>
    <t>4500171918-80</t>
  </si>
  <si>
    <r>
      <rPr>
        <sz val="11"/>
        <color rgb="FF0000FF"/>
        <rFont val="Arial"/>
        <charset val="0"/>
      </rPr>
      <t>8/8</t>
    </r>
    <r>
      <rPr>
        <sz val="11"/>
        <color rgb="FF0000FF"/>
        <rFont val="宋体"/>
        <charset val="0"/>
      </rPr>
      <t>装柜  8/12 装柜</t>
    </r>
  </si>
  <si>
    <t>Marshalls
PO#767790
SKU#856236
DC#881-432pcs
,
DC#884-372pcs
,
DC#886-468pcs
,
DC#887-480pcs
,
DC#888-444pcs</t>
  </si>
  <si>
    <t>4500171912-80</t>
  </si>
  <si>
    <t>日期码格式：ZURU INC(BVI) 标准格式 日期：按实际生产日期
Packaging Info: MA UPC包装+价格贴纸，价格贴纸客供。
2PK/3PK的球用无条码收缩膜或者用空白贴纸覆盖原条码。
Remark: 产品和包装上印刷tracking code信息，格式为ZURU常规格式。
2. 分5个DC出货，每款产品每个DC的箱唛资料不同。具体分DC数量，请参考后面行项目备注。
3. ZURU QC验货。</t>
  </si>
  <si>
    <t>Marshalls
PO#767786
SKU#855006
DC#881-204pcs
,
DC#884-144pcs
,
DC#886-240pcs
,
DC#887-216pcs
,
DC#888-192pcs</t>
  </si>
  <si>
    <t>4500171915-70</t>
  </si>
  <si>
    <t>ZB01124-8.7</t>
  </si>
  <si>
    <t>60235966</t>
  </si>
  <si>
    <t>4500172213-20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</si>
  <si>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</si>
  <si>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NASA PANAMA</t>
  </si>
  <si>
    <t>4500172103-130</t>
  </si>
  <si>
    <t>8/14 截SI</t>
  </si>
  <si>
    <t>7/18 UPC贴纸</t>
  </si>
  <si>
    <t>日期码格式：ZURU INC(BVI) 标准格式 日期：按实际生产日期
Packaging Info: 请确保包装上的条形码是UPC，如果是babyUPC，需要用mother UPC覆盖，如有不一致，请及时提出。谢谢!
77515GQ2 MA 多语EAN包装+UPC贴纸+MA 多语收藏指南+MA多语PDQ+箱唛
Remark: 
77515GQ2,,3PCS AG13 BATTERIES(INCLUDED),,</t>
  </si>
  <si>
    <t>96595-3-9.30</t>
  </si>
  <si>
    <t>4500171286-100</t>
  </si>
  <si>
    <t>9/8 开仓</t>
  </si>
  <si>
    <t>日期码格式：ZURU INC(BVI) 标准格式 日期：按实际生产日期
Packaging Info:
77515GQ2：MA 多语EAN包装+UPC贴纸+MA 多语收藏指南+MA多语PDQ+箱唛
Remark:
77515GQ2：3PCS AG13 BATTERIES(INCLUDED)
77515GQ2：3pcs AAA batteries( included)</t>
  </si>
  <si>
    <t>96364-2-9.8</t>
  </si>
  <si>
    <t>Marshalls
PO#777702
SKU#857110
DC#881-660pcs
,
DC#884-768pcs
,
DC#886-552pcs
,
DC#887-552pcs
,
DC#888-672pcs</t>
  </si>
  <si>
    <t>4500172365-80</t>
  </si>
  <si>
    <t>8/8装柜</t>
  </si>
  <si>
    <t>7/16价格贴纸客供</t>
  </si>
  <si>
    <t>TJ MAXX
PO#777711
SKU#137000
DC#891-816pcs
,
DC#894-564pcs
,
DC#896-504pcs
,
DC#897-1056pc
s,
DC#898-660pcs</t>
  </si>
  <si>
    <t>4500172370-80</t>
  </si>
  <si>
    <r>
      <rPr>
        <sz val="11"/>
        <color rgb="FF0000FF"/>
        <rFont val="Arial"/>
        <charset val="0"/>
      </rPr>
      <t>8/12</t>
    </r>
    <r>
      <rPr>
        <sz val="11"/>
        <color rgb="FF0000FF"/>
        <rFont val="宋体"/>
        <charset val="0"/>
      </rPr>
      <t>装柜</t>
    </r>
  </si>
  <si>
    <t>GAMESTOP</t>
  </si>
  <si>
    <t>4500170761-10</t>
  </si>
  <si>
    <t>8/11-12装柜</t>
  </si>
  <si>
    <t>7/9警语贴纸</t>
  </si>
  <si>
    <t>日期码格式：ZURU INC(BVI) 标准格式 日期：按实际生产日期
Packaging Info: 1. 77515GQ1:最新MA 3L EAN收缩膜+一张警语贴纸（含意大利环保标）+最新MA 5L 纸袋+最新MA 5L 收藏指南+最新MA 23L说明书+最新MA 3L PDQ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"WEEE说明书欧洲EN+30L-B版"</t>
  </si>
  <si>
    <t>COOP DANMARK A/S</t>
  </si>
  <si>
    <t>4500172291-10</t>
  </si>
  <si>
    <t>7/15警告语贴纸+收藏指南无香贴纸(翻单4500133308)+说明书贴纸</t>
  </si>
  <si>
    <t>日期码格式：ZURU INC(BVI) 标准格式 日期：按实际生产日期
Packaging Info: 77515GQ2-3L EAN C版包装+警告语贴纸+收藏指南无香贴纸(翻单4500133308)+MA 说明书+说明书贴纸（包含丹麦语WEEE,贴纸位置在丹麦语警告语下面)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77515 不要有香味款产品
8. SKU-客户SKU-EAN-GTIN
77515GQ1-100127957-4894680032255-10193052061031</t>
  </si>
  <si>
    <t>77515GQ1-S003-NS-3L</t>
  </si>
  <si>
    <t>LEKIA AB</t>
  </si>
  <si>
    <t>4500172551-30</t>
  </si>
  <si>
    <t>DIY厨艺大师-无香版本</t>
  </si>
  <si>
    <t>8/15 截SI</t>
  </si>
  <si>
    <t>7/16说明书贴纸+警告语/进口商贴纸(翻单4500129688）</t>
  </si>
  <si>
    <t>日期码格式：ZURU INC(BVI) 标准格式 日期：按实际生产日期
Packaging Info:
77515GQ5-S001-NS:MA 3L EAN C版收缩膜+MA 3L PDQ+警告语/进口商贴纸(翻单4500129688）+说明书贴纸++收藏指南贴纸（翻单4500125111)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77515GQ5-S001-NS;100-64109990-4894680032255</t>
  </si>
  <si>
    <t>DD'S DISCOUNTS</t>
  </si>
  <si>
    <t>4500171794-20</t>
  </si>
  <si>
    <r>
      <rPr>
        <sz val="11"/>
        <color rgb="FF0000FF"/>
        <rFont val="Arial"/>
        <charset val="0"/>
      </rPr>
      <t xml:space="preserve">8/29 </t>
    </r>
    <r>
      <rPr>
        <sz val="11"/>
        <color rgb="FF0000FF"/>
        <rFont val="宋体"/>
        <charset val="0"/>
      </rPr>
      <t>截</t>
    </r>
    <r>
      <rPr>
        <sz val="11"/>
        <color rgb="FF0000FF"/>
        <rFont val="Arial"/>
        <charset val="0"/>
      </rPr>
      <t>SI</t>
    </r>
  </si>
  <si>
    <t>8/2客供价格贴纸</t>
  </si>
  <si>
    <t>Marshalls
PO#777708
SKU#856991
DC#881-612pcs,
DC#884-552pcs
,
DC#886-756pcs
,
DC#887-660pcs
,
DC#888-624pcs</t>
  </si>
  <si>
    <t>4500172374-30</t>
  </si>
  <si>
    <t>8/26 装柜</t>
  </si>
  <si>
    <t>8/7价格贴纸客供</t>
  </si>
  <si>
    <t>日期码格式：ZURU INC(BVI) 标准格式 日期：按实际生产日期
Packaging Info: MA UPC包装+价格贴纸，价格贴纸客供。
#77516的球用无条码收缩膜或者用空白贴纸覆盖原条码。
Remark: 1. 产品和包装上印刷tracking code信息，格式为ZURU常规格式。
2. 分5个DC出货，每款产品每个DC的箱唛资料不同。具体分DC数量，请参考后面行项目备注。
3. ZURU QC验货。</t>
  </si>
  <si>
    <t>TJ MAXX
PO#777712
SKU#137153
DC#891-852pcs,
DC#894-528pcs
,
DC#896-504pcs
,
DC#897-1044pc
s,
DC#898-672pcs</t>
  </si>
  <si>
    <t>4500172378-30</t>
  </si>
  <si>
    <t>8、26出货</t>
  </si>
  <si>
    <t>4500166666-10</t>
  </si>
  <si>
    <t>日期码格式：ZURU INC(BVI) 标准格式 日期：按实际生产日期
Packaging Info: 1.ZURU MA UPC 现有版本包装 出口美国 。
Remark: 1.ZURU MA UPC 现有版本包装 出口美国 。
2.标准日期码格式，产品和包装必须有日期码 。
3.同个产品同个货期不可出现不同的包装。</t>
  </si>
  <si>
    <t>ACTION SERVICE &amp; DISTRIBUTIE B.V.</t>
  </si>
  <si>
    <t>4500157855-150</t>
  </si>
  <si>
    <t>此单客人同意 使用A版本收藏指南</t>
  </si>
  <si>
    <t>日期码格式：ZURU INC(BVI) 标准格式 日期：按实际生产日期
Packaging Info: 客版1L收缩膜,客版15L吊牌,客版15L说明书+WEEE_带电池走货 _ 说明书欧洲EN+30L-OL,MA 最新版配件袋,MA 最新版收藏指南
Remark: 客人款号：3210813
 1. 订单总数量267912 pcs, 共分为5个柜子，请按期完货.
 2. 所有产品按符合欧洲标准走货，微塑料需合规。
 3. 所有包装材料都不允许PVC, 请用PET代替
 4. 此单需要4套产前样及4套大货样，样板请寄到罗湖办公室Amber Zhang 收。
 条码信息：
 4894680032255</t>
  </si>
  <si>
    <t>96287-9.1</t>
  </si>
  <si>
    <t>77515-S001-ACTION</t>
  </si>
  <si>
    <t>TJX UK</t>
  </si>
  <si>
    <t>4500175035-20</t>
  </si>
  <si>
    <t>需要额外增加 WEE说明书</t>
  </si>
  <si>
    <t>日期码格式：ZURU INC(BVI) 标准格式 日期：按实际生产日期
Packaging Info: 
SKU#77516: 消耗库存：包装用收藏指南用MA 5L. 3L不带UPC版收缩膜,3L 2PK铜版纸 +ZURU标准格式的30语带电池出货版本WEEE说明书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订单每行对应客人不同的PO（客人PO号请参考PO最后一栏remark）；
6. 涉及到相关款式会有闪粉的或者微塑料的，请统一默认出无闪粉或者不含微塑料版本;
7. 外箱封箱必须是工字型封箱方式；"</t>
  </si>
  <si>
    <t>AaronXia</t>
  </si>
  <si>
    <t>4500157855-140</t>
  </si>
  <si>
    <t>96391-9.11</t>
  </si>
  <si>
    <t>4500175128-10</t>
  </si>
  <si>
    <t>需要额外增加WEE说明书</t>
  </si>
  <si>
    <t>8/27 截SI</t>
  </si>
  <si>
    <t>日期码格式：ZURU INC(BVI) 标准格式 日期：按实际生产日期
Packaging Info: MA 1L UPC版本的收缩膜+A版收藏指南+ZURU标准格式的30语带电池出货版本WEEE说明书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订单每行对应客人不同的PO（客人PO号请参考PO最后一栏remark）；
6. 涉及到相关款式会有闪粉的或者微塑料的，请统一默认出无闪粉或者不含微塑料版本;
7. 外箱封箱必须是工字型封箱方式</t>
  </si>
  <si>
    <t>4500157857-190</t>
  </si>
  <si>
    <t>日期码格式：ZURU INC(BVI) 标准格式 日期：按实际生产日期
Packaging Info: 客版1L收缩膜,客版15L吊牌,客版15L说明书+WEEE_带电池走货 _ 说明书欧洲EN+30L-OL(翻单4500157855）,MA 最新版配件袋,MA 最新版收藏指南
Remark: 客人款号：3210813
 1. 订单总数量349200 pcs, 共分为8个柜子，请按期完货.
 2. 所有产品按符合欧洲标准走货，微塑料需合规。
 3. 所有包装材料都不允许PVC, 请用PET代替
 4. 此单需要4套产前样及4套大货样，样板请寄到罗湖办公室Amber Zhang 收。
 条码信息：
 4894680032255</t>
  </si>
  <si>
    <t>96365-9.9</t>
  </si>
  <si>
    <t>4500157855-110</t>
  </si>
  <si>
    <t>4500172982-130</t>
  </si>
  <si>
    <t>9/12 截SI 已出样板</t>
  </si>
  <si>
    <t>进口商贴纸和客户条码贴纸翻单PO4500169751</t>
  </si>
  <si>
    <t>日期码格式：ZURU INC(BVI) 标准格式 日期：按实际生产日期
Packaging Info:
77515GQ1:MA 多语EAN包装+进口商贴纸+客户条码贴纸+箱唛，进口商贴纸和客户条码贴纸翻单PO4500169751
Remark: 进口商贴纸请多备料5pcs,出货后需要寄给客户</t>
  </si>
  <si>
    <t>96427-3-9.13</t>
  </si>
  <si>
    <t>4500157857-180</t>
  </si>
  <si>
    <t>预计9/3 出货</t>
  </si>
  <si>
    <t>96289-9.2</t>
  </si>
  <si>
    <t>4500157855-120</t>
  </si>
  <si>
    <t>4500172226-20</t>
  </si>
  <si>
    <t>9/15 截SI</t>
  </si>
  <si>
    <t>8/18客供价格贴纸</t>
  </si>
  <si>
    <t>ZB01886-9.13</t>
  </si>
  <si>
    <t>4500157857-210</t>
  </si>
  <si>
    <t>96377-9.10</t>
  </si>
  <si>
    <t>4500173640-10</t>
  </si>
  <si>
    <t>9/10 出货</t>
  </si>
  <si>
    <t>8/7客供价格贴纸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</si>
  <si>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</si>
  <si>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ZB01850-9.11</t>
  </si>
  <si>
    <t>4WWTMYOO</t>
  </si>
  <si>
    <t>4500175043-10</t>
  </si>
  <si>
    <t>C版本收缩膜、纸袋、说明书， B版本收藏指南</t>
  </si>
  <si>
    <t>9/17 截SI</t>
  </si>
  <si>
    <t>8/21客供防伪贴纸+8/18 SSCC贴纸，UPC贴纸跟返单4500132623</t>
  </si>
  <si>
    <t>日期码格式：ZURU INC(BVI) 标准格式 日期：按实际生产日期
Packaging Info: #77515：MA 3L C 版本加UPC贴纸覆盖原EAN条码，C版本收缩膜、纸袋、说明书， B版本收藏指南， UPC贴纸跟返单4500132623。 加客供防伪贴纸，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</si>
  <si>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96449-9.16</t>
  </si>
  <si>
    <t>3Y2BVHKQ</t>
  </si>
  <si>
    <t>4500175043-20</t>
  </si>
  <si>
    <t>5LN7UXXS</t>
  </si>
  <si>
    <t>4500175043-30</t>
  </si>
  <si>
    <t>7VV6AXCD</t>
  </si>
  <si>
    <t>4500175043-40</t>
  </si>
  <si>
    <t>8EFQ2KIA</t>
  </si>
  <si>
    <t>4500175043-50</t>
  </si>
  <si>
    <t>5E3PZF8K</t>
  </si>
  <si>
    <t>4500175043-60</t>
  </si>
  <si>
    <t>4500157855-130</t>
  </si>
  <si>
    <t>6006-008049</t>
  </si>
  <si>
    <t>4500173266-40</t>
  </si>
  <si>
    <t>9/12 截SI</t>
  </si>
  <si>
    <t>进口商贴纸和位置图翻单4500165848</t>
  </si>
  <si>
    <t>日期码格式：ZURU INC(BVI) 标准格式 日期：按实际生产日期
Packaging Info: MA PKG ， 优先1L +1张进口商贴纸（不得遮挡日期码）
进口商贴纸和位置图翻单4500165848</t>
  </si>
  <si>
    <t>96582-9.30</t>
  </si>
  <si>
    <t>4500176023-10</t>
  </si>
  <si>
    <t>9/18 截SI</t>
  </si>
  <si>
    <t>可移价格贴纸（翻单，同4500141817）</t>
  </si>
  <si>
    <t>日期码格式：ZURU INC(BVI) 标准格式 日期：
Packaging Info: 1. MA, UPC版包装，优先1L + 可移价格贴纸（翻单，同4500141817）. 出口美国。
Remark: 1.产品和包装上需要印刷tracking code信息且两者印刷的内容必须一致, 为ZURU常规格式。
2.ZURU QC 验货。</t>
  </si>
  <si>
    <t>ZB01937-9.16</t>
  </si>
  <si>
    <t>450017478030</t>
  </si>
  <si>
    <t>9/20 截SI</t>
  </si>
  <si>
    <t>8/13客供价格贴纸</t>
  </si>
  <si>
    <t>ZB02021-9.20</t>
  </si>
  <si>
    <t>4500157857-230</t>
  </si>
  <si>
    <t>9/21 预计船期</t>
  </si>
  <si>
    <t>96450-9.17</t>
  </si>
  <si>
    <t>ANSALDO CHILE</t>
  </si>
  <si>
    <t>2025-HKC216</t>
  </si>
  <si>
    <t>4500177210-30</t>
  </si>
  <si>
    <t>9/29 截SI</t>
  </si>
  <si>
    <t>8/29进口商贴纸+UPC贴纸</t>
  </si>
  <si>
    <t>日期码格式：ZURU INC(BVI) 标准格式 日期：按实际生产日期
Packaging Info: MA 3L EAN包装+进口商贴纸+UPC贴纸+箱唛
Remark:</t>
  </si>
  <si>
    <t>AMAZON ES</t>
  </si>
  <si>
    <t>Amazon IT:
1XA6CCOQ</t>
  </si>
  <si>
    <t>4500177457-20</t>
  </si>
  <si>
    <t>77515-S006-MB</t>
  </si>
  <si>
    <t>DIY厨艺大师1pcs/邮包盒*24/箱</t>
  </si>
  <si>
    <t>WEEE电子产品说明书30L(带电池走货B版)+C警示说明书</t>
  </si>
  <si>
    <t>空白外箱（加印带Zuru字样的最新logo，除了邮包盒直接做外箱的产品），MADE IN CHINA 外箱只印一正一侧。</t>
  </si>
  <si>
    <t>折叠贴纸+9/2防盗贴纸+SSCC LABEL</t>
  </si>
  <si>
    <t>日期码格式：ZURU INC(BVI) 标准格式 日期：按实际生产日期
Packaging Info: Amazon ES(15701B/15711B/77515/9279G)/IT(77515)
3. 77515：24pcs/ctn, no inner; 客版邮包盒(UPC#+英法西3L警示语+FR/ES/IT环保标+GPSR邮箱care@zuru.com)+1张可折叠贴纸(德意警告语，贴在邮包盒)+MA 3L(
3L warning EAN#) C收缩膜+MA 5L B收藏指南+MA23L C警示说明书+其他最新版配套MA包装+1张防伪贴纸(具体位置参考USA同款订单)+WEEE电子产品说明书30L(带电
池走货B版)；
5. 最迟验货不得晚于2025/9/30;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</si>
  <si>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意大利/西班牙</t>
  </si>
  <si>
    <t>Amazon
ES:1U6FWV3N</t>
  </si>
  <si>
    <t>4500177457-30</t>
  </si>
  <si>
    <t>10/12 入仓</t>
  </si>
  <si>
    <t>4500157857-240</t>
  </si>
  <si>
    <t>10/13 截SI</t>
  </si>
  <si>
    <t>96846-11.3</t>
  </si>
  <si>
    <t>4500157857-220</t>
  </si>
  <si>
    <t>70072712</t>
  </si>
  <si>
    <t>4500176167-20</t>
  </si>
  <si>
    <t>10/18 截SI</t>
  </si>
  <si>
    <t>9/12客供价格贴纸</t>
  </si>
  <si>
    <t>ZB02492-10.17</t>
  </si>
  <si>
    <t>PO# 35384</t>
  </si>
  <si>
    <t>4500177533-20</t>
  </si>
  <si>
    <t>消耗取消单4500155146的成品+PDQ，无法消耗外箱</t>
  </si>
  <si>
    <t>日期码格式：ZURU INC(BVI) 标准格式 日期：按实际生产日期
Packaging Info: 1. 包装方式：MA UPC 优先1L 最新包装，出口美国
Remark: 2. 外箱箱唛红色和黑色双色印刷
3. 产品和包装上印刷tracking code信息，格式为ZURU常规
4. ITEM#77515GQ5消耗取消单4500155146</t>
  </si>
  <si>
    <t>Angel Lin</t>
  </si>
  <si>
    <t>ZB02345-10.11</t>
  </si>
  <si>
    <t>4500157857-170</t>
  </si>
  <si>
    <t>1627461 ALBERTA LTD C/O SHOPVILLE</t>
  </si>
  <si>
    <t>4500178548-20</t>
  </si>
  <si>
    <t>10/28 截SI</t>
  </si>
  <si>
    <t>9/11UPC贴纸</t>
  </si>
  <si>
    <t>日期码格式：ZURU INC(BVI) 标准格式 日期：按实际生产日期
Packaging Info:
77515GQ6： MA 3L B版加UPC贴纸
Remark: 出加拿大
Zuru验货.日期跟踪码：产品外包装及产品本身都必须有日期跟踪码，ZURU标准格式日期码</t>
  </si>
  <si>
    <t>Bella Tan</t>
  </si>
  <si>
    <t>2904236-00</t>
  </si>
  <si>
    <t>4500178714-10</t>
  </si>
  <si>
    <t>9/4 UPC贴纸</t>
  </si>
  <si>
    <t>日期码格式：ZURU INC(BVI) 标准格式 日期：按实际生产日期
Packaging Info: 77515GQ5 MA 3L B 版本包装+UPC 贴纸 193052061034
Remark: 出加拿大
日期跟踪码：产品外包装及产品本身都必须有日期跟踪码，并且确保两者的日期跟踪码要一致；ZURU标准格式日期码(请自行调整具体年月日生产期，但不能为周
末
）</t>
  </si>
  <si>
    <t>4500157857-200</t>
  </si>
  <si>
    <t>11/3 截SI</t>
  </si>
  <si>
    <t>THE HAMLEYS GROUP LTD</t>
  </si>
  <si>
    <t>HLL-PO-000015
760</t>
  </si>
  <si>
    <t>4500178312-30</t>
  </si>
  <si>
    <t>11/3 交仓</t>
  </si>
  <si>
    <t>WEEE带电池走货欧洲30语通用黑白说明书</t>
  </si>
  <si>
    <t>日期码格式：ZURU INC(BVI) 标准格式 日期：按实际生产日期
Packaging Info: 
77515:MA 1L 最新UPC包装，UPC：193052061034；+WEEE带电池走货欧洲30语通用黑白说明书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</si>
  <si>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</si>
  <si>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96916-11.10</t>
  </si>
  <si>
    <t>Amazon FR:
4V381CYW</t>
  </si>
  <si>
    <t>4500178711-10</t>
  </si>
  <si>
    <t>10/30 交仓</t>
  </si>
  <si>
    <t>日期码格式：ZURU INC(BVI) 标准格式 日期：按实际生产日期
Packaging Info: Amazon FR(77515)
1. 77515：24pcs/ctn, no inner; 客版邮包盒(UPC#+英法西3L警示语+FR/ES/IT环保标+GPSR邮箱care@zuru.com，参考翻单PO#4500177457)+1张可折叠贴纸(德意警
告语，贴在邮包盒，参考翻单PO#4500177457)+MA 3L(3L warning EAN#) C收缩膜+MA 5L B收藏指南+MA23L C警示说明书+其他最新版配套MA包装+1张防伪贴纸(具体
位置参考USA同款订单)+WEEE电子产品说明书30L(带电池走货B版)；
2. 最迟验货不得晚于2025/10/20;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</si>
  <si>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96847-11.3</t>
  </si>
  <si>
    <t>4500176175-20</t>
  </si>
  <si>
    <t>9/29客供价格贴纸</t>
  </si>
  <si>
    <t>ZBO2829-11.5</t>
  </si>
  <si>
    <t>4500179668-10</t>
  </si>
  <si>
    <t>11/5 出货</t>
  </si>
  <si>
    <t>警告语贴纸(翻单4500128658）+气味贴纸翻单4500125111</t>
  </si>
  <si>
    <t>日期码格式：ZURU INC(BVI) 标准格式 日期：按实际生产日期
Packaging Info: 77515GQ1: MA EAN 3L + MA PDQ +1张警告语贴纸(翻单4500128658）+1张收藏指南上的气味贴纸 （气味贴纸翻单4500125111）
Remark: 1/产品和包装要求无硼无香，包装不能含有PVC；
2/如有微塑料，必须合规欧洲标准，闪粉也是微塑料的一种，目前仅接受三张方式1.去除，2.用可降解材料，和3.永久封印在固体；
3/此订单有第三方验货，92104签样用于4500162222；9296，77515签样请用4500128658
4/带电池出货的产品所用到的电池需要符合欧洲电池新规(EU)2023-1542；
5/工厂货号-客户货号彩盒条码-外箱条码：
77515GQ1-7223819-4894680032255-10193052061031；
6/配比:
77515GQ1: 去掉香味款 MASCM-S1-007，调整比例出货，10款MINI 尽量平均分配</t>
  </si>
  <si>
    <t>96874-11.5</t>
  </si>
  <si>
    <t>Amazon UK:
17T7EIFU</t>
  </si>
  <si>
    <t>4500179736-30</t>
  </si>
  <si>
    <t>11/17 截SI</t>
  </si>
  <si>
    <t>折叠贴纸翻单PO#4500177457+10/11防伪贴纸+10/22 SSCC LABEL</t>
  </si>
  <si>
    <t>日期码格式：ZURU INC(BVI) 标准格式 日期：按实际生产日期
Packaging Info: Amazon UK(15701B/15710B/15714DKMN/15726ABDEJLM/15728AG/71137/71152/77515/77731/9279EH/9543AE)/DE(15726BJLM/15728AG/15762BD/77731/92119EGH/9543E)
/FR(15728E/15763E/77673/77731)
8. 77515: 24pcs/ctn, no inner; 客版邮包盒(UPC#+英法西3L警示语+FR/ES/IT环保标+GPSR邮箱care@zuru.com，参考翻单PO#4500177457)+1张可折叠贴纸(德意警
告语，贴在邮包盒，参考翻单PO#4500177457)+MA 3L(3L warning EAN#) C收缩膜+MA 5L B收藏指南+MA23L C警示说明书+其他最新版配套MA包装+1张防伪贴纸(具体
位置参考USA同款订单)+WEEE电子产品说明书30L(带电池走货B版)；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</si>
  <si>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ES:1BDHPG3S</t>
  </si>
  <si>
    <t>4500179692-60</t>
  </si>
  <si>
    <t>折叠贴纸翻单PO#4500177457+10/11防伪贴纸+10/15 SSCC LABEL</t>
  </si>
  <si>
    <t>日期码格式：ZURU INC(BVI) 标准格式 日期：按实际生产日期
Packaging Info: Amazon ES(71126/71137/92104A/9279H/9543E/15701A/15710AB/15726E/15728B/15763BD/77515)/IT(77731/92104H/9543E/15711B)
11. 77515：24pcs/ctn, no inner; 客版邮包盒(UPC#+英法西3L警示语+FR/ES/IT环保标+GPSR邮箱care@zuru.com，参考翻单PO#4500177457)+1张可折叠贴纸(德意
警告语，贴在邮包盒，参考翻单PO#4500177457)+MA 3L(3L warning EAN#) C收缩膜+MA 5L B收藏指南+MA23L C警示说明书+其他最新版配套MA包装+1张防伪贴纸(具
体位置参考USA同款订单)+WEEE电子产品说明书30L(带电池走货B版)；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</si>
  <si>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ZMPO250942</t>
  </si>
  <si>
    <t>Remark:只需77515的空球，只需用外面透明收缩膜压缩就好，不需要彩色收缩膜;备注： 收到样品订单后尽快安排 ，注意样板品质质量要求要高于大货品质要求 ，送货时必须要附带送货单(没有送货单和QC检验合格报告的仓库一律拒绝收货)，请知悉，谢谢！</t>
  </si>
  <si>
    <t>97083-11.29</t>
  </si>
  <si>
    <t>是</t>
  </si>
  <si>
    <t>4500176581-30</t>
  </si>
  <si>
    <t>11/26  截SI</t>
  </si>
  <si>
    <t>10/16 客供价格贴纸</t>
  </si>
  <si>
    <t>ZB03147-11.28</t>
  </si>
  <si>
    <t>Amazon UK:
1ZSKG69R</t>
  </si>
  <si>
    <t>4500180750-10</t>
  </si>
  <si>
    <t>12/9 入仓</t>
  </si>
  <si>
    <t>折叠贴纸翻单PO#4500177457+10/29防伪贴纸+11/6 SSCC LABEL</t>
  </si>
  <si>
    <t>日期码格式：ZURU INC(BVI) 标准格式 日期：按实际生产日期
Packaging Info: Amazon UK(71109D/77515/9543AE)/DE(77555/9543E)/FR(92104H/9543AE)
2. 77515: 24pcs/ctn, no inner; 客版邮包盒(UPC#+英法西3L警示语+FR/ES/IT环保标+GPSR邮箱care@zuru.com，参考翻单PO#4500177457)+1张可折叠贴纸(德意警
告语，贴在邮包盒，参考翻单PO#4500177457)+MA 3L(3L warning EAN#) C收缩膜+MA 5L B收藏指南+MA23L C警示说明书+其他最新版配套MA包装+1张防伪贴纸(具体
位置参考USA同款订单)+WEEE电子产品说明书30L(带电池走货B版)；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</si>
  <si>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4500176686-60</t>
  </si>
  <si>
    <t>77515-S007-NS</t>
  </si>
  <si>
    <t>DIY厨艺大师13PCS/箱-无香版本</t>
  </si>
  <si>
    <t>12/9 截SI</t>
  </si>
  <si>
    <t>10/16 瑞典警告语/EAN/care@zuru.com贴纸+内袋瑞典语警告语贴纸</t>
  </si>
  <si>
    <t>日期码格式：ZURU INC(BVI) 标准格式 日期：按实际生产日期
Packaging Info: 
77515-S007-NS:77515-S007-NS:MA C 3L EAN+瑞典警告语/care@zuru.com贴纸+MA C版23L WARNING说明书搭配新增IFUD声明+MA C版 ACCESSORY BAG_5L+内袋瑞典
语警告语贴纸+WE EE 30L B版带电说明书+收藏指南请翻单4500160470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77515-S007-NS-4894680032255</t>
  </si>
  <si>
    <t>TAS IMPORT AS(LEKEKASSEN)</t>
  </si>
  <si>
    <t>4500177965-30</t>
  </si>
  <si>
    <t>12/5 截SI</t>
  </si>
  <si>
    <t>10/16 警告语贴纸+收藏指南无香贴纸+纸袋贴纸</t>
  </si>
  <si>
    <t>日期码格式：ZURU INC(BVI) 标准格式 日期：按实际生产日期
Packaging Info:
3. 77515GQ1: MA C3L EAN版收缩膜+警告语和MADE IN CHINA翻译成丹麦瑞典挪威语言/客人进口商地址全部信息做成一张贴纸+MA B5L收藏指南+收藏指南无香空白
贴纸覆盖有香味的产品以及描述+MA ACCESSORY BAG_C_5L版+丹麦瑞典挪威警告语贴纸贴在袋子上+MA C23L说明书+MA 23L_C_IFUD声明补充说明书+通用WEEE_带电池
走货 _ 说明书欧洲EN+30L-B版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77515GQ1-S003-NS:4894680032255</t>
  </si>
  <si>
    <t>AMAZON EU SARL, NDL DEUTSCHLAND</t>
  </si>
  <si>
    <t>Amazon DE:
5J8U6MCD</t>
  </si>
  <si>
    <t>4500182286-30</t>
  </si>
  <si>
    <t>折叠贴纸翻单PO#4500177457+10/29 防伪贴纸+11/6SSCC LABEL</t>
  </si>
  <si>
    <t>日期码格式：ZURU INC(BVI) 标准格式 日期：按实际生产日期
Packaging Info: Amazon UK(9279E/71137)/DE(71137/77515)/FR(9279E)
3. 77515: 24pcs/ctn, no inner; 客版邮包盒(UPC#+英法西3L警示语+FR/ES/IT环保标+GPSR邮箱care@zuru.com，参考翻单PO#4500177457)+1张可折叠贴纸(德意警
告语，贴在邮包盒，参考翻单PO#4500177457)+MA 3L(3L warning EAN#) C收缩膜+MA 5L B收藏指南+MA23L C警示说明书+其他最新版配套MA包装+1张防伪贴纸(具体
位置参考USA同款订单)+WEEE电子产品说明书30L(带电池走货B版)；
4. 验货时间不迟于2025/12/8.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</si>
  <si>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B&amp;M FRANCE SAS</t>
  </si>
  <si>
    <t>4500182680-10</t>
  </si>
  <si>
    <t>12/2截SI</t>
  </si>
  <si>
    <t>10/31回收logo贴纸</t>
  </si>
  <si>
    <t>日期码格式：ZURU INC(BVI) 标准格式 日期：按实际生产日期
Packaging Info: 77515GQ5: MA3L EAN最新收缩膜+1张客户货号法国回收logo贴纸+MA5L收藏指南+MA23L C版说明书+MA IFUD声明C版补充说明书+法语带电池走货WEEE声明贴纸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</si>
  <si>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97160-9.8</t>
  </si>
  <si>
    <t>25-1071942JUS</t>
  </si>
  <si>
    <t>4500181141-50</t>
  </si>
  <si>
    <t>11/10 进口商贴纸+UPC贴纸</t>
  </si>
  <si>
    <t>日期码格式：ZURU INC(BVI) 标准格式 日期：按实际生产日期
Packaging Info:775151GQ2:MA 多语EAN包装+进口商贴纸+UPC贴纸+箱唛
Remark: 进口商贴纸内容会显示日期码为：2025-12，包装/产品/外箱可按ZURU标准日期码，不需要跟回进口商贴纸上的日期码</t>
  </si>
  <si>
    <t>97180-12.25</t>
  </si>
  <si>
    <t>Marshalls
PO#533156,SKU
#892288
DC#881-204PCS
,
DC#884-156PCS
,
DC#886-240PCS
,
DC#887-192PCS
,
DC#888-204PCS</t>
  </si>
  <si>
    <t>4500183797-60</t>
  </si>
  <si>
    <t>消耗取消单4500156588成品,待客人最终确认</t>
  </si>
  <si>
    <t>11/24 价格贴纸</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</si>
  <si>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</si>
  <si>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TJ MAXX
PO#533249,SKU
#170709
DC#891-264PCS
,
DC#894-180PCS
,
DC#896-288PCS
,
DC#897-228PCS
,
DC#898-240PCS</t>
  </si>
  <si>
    <t>4500183798-60</t>
  </si>
  <si>
    <t>25-1071592JEC</t>
  </si>
  <si>
    <t>4500179365-40</t>
  </si>
  <si>
    <t>12/29 截SI</t>
  </si>
  <si>
    <t>日期码格式：ZURU INC(BVI) 标准格式 日期：按实际生产日期
Packaging Info: MA 多语EAN包装+进口商贴纸+UPC贴纸+箱唛
Remark: 进口商贴纸内容会显示日期码为：2025-12，包装/产品/外箱可按ZURU标准日期码，不需要跟回进口商贴纸上的日期码</t>
  </si>
  <si>
    <t>COOP FAGHANDEL (NON-FOOD)</t>
  </si>
  <si>
    <t>4500185718-10</t>
  </si>
  <si>
    <t>1/21 截SI</t>
  </si>
  <si>
    <t>日期码格式：ZURU INC(BVI) 标准格式 日期：按实际生产日期
Packaging Info: 77515GQ1: MA EAN 3L + MA PDQ +1张警告语贴纸(翻单4500128658）+收藏指南A版本+1张收藏指南上的气味贴纸 （气味贴纸翻单4500125111）+黑白说明书库存 C版
23L + IFUD声明+带电款增加WEEE 30L B 说明书
2/ 配比：
77515GQ1: 去掉香味款 MASCM-S1-007，调整比例出货，10款MINI 尽量平均分配
3/ 产品和包装要求无硼无香，包装不能含有PVC
4/ 如有微塑料，必须符合规欧洲标准+增加IFUD声明
5/ 带电池出货的产品，需要符合欧洲电池新规(EU)2023-1542，+增加对应WEEE 说明书
6/ 此单有第三方验货，签样用于翻单，如大货包装已经跟签样不符，请及时补签样；
77515签样请重新安排两套或两个完整球+两套完整散件，9296签样用于4500128658，9285验货样请用4500158122</t>
  </si>
  <si>
    <t xml:space="preserve"> TJX COMPANIES, INC</t>
  </si>
  <si>
    <t>Marshalls
PO#533219,SKU
#892552
DC#881-216PCS
,
DC#884-168PCS
,
DC#886-216PCS
,
DC#887-204PCS
,
DC#888-192PCS</t>
  </si>
  <si>
    <t>4500183805-40</t>
  </si>
  <si>
    <t>12/15 价格贴纸</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</si>
  <si>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</si>
  <si>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ok</t>
  </si>
  <si>
    <t>TJ MAXX
PO#533283,SKU
#170937
DC#891-264PCS
,
DC#894-180PCS
,
DC#896-288PCS
,
DC#897-228PCS
,
DC#898-240PCS</t>
  </si>
  <si>
    <t>4500183809-40</t>
  </si>
  <si>
    <t>1/8 装柜</t>
  </si>
  <si>
    <t>4500187232-20</t>
  </si>
  <si>
    <t>1/9 装柜</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</si>
  <si>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item#77516: TJ MAXX PO#765820,SKU#178313 DC#891-240PCS, DC#894-204PCS, DC#896-192PCS, DC#897-372PCS, DC#898-192PCS;</t>
  </si>
  <si>
    <t>4500187228-20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</si>
  <si>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item#77516: Marshalls PO#765819,SKU#899662 DC#882-996PCS;</t>
  </si>
  <si>
    <t>TOYZOONA LIMITED</t>
  </si>
  <si>
    <t>肯尼亚</t>
  </si>
  <si>
    <t>4500190681-40</t>
  </si>
  <si>
    <t>日期码格式：ZURU INC(BVI) 标准格式 日期：按实际生产日期
Packaging Info: MA PKG , 优先1L
(需留意此单外箱上无客户名称）
Remark: 此单按EXW +送货运费实报实销，需赶年前出货，请留意船务出货通知。</t>
  </si>
  <si>
    <t>Chelsea Luo</t>
  </si>
  <si>
    <t>4500189850-30</t>
  </si>
  <si>
    <t>欠 价格贴纸</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</si>
  <si>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item#77516: Marshalls PO#951854,SKU#903554 DC#881-216PCS, DC#884-168PCS, DC#886-216PCS, DC#887-192PCS, DC#888-204PCS</t>
  </si>
  <si>
    <t>4500189851-30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</si>
  <si>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item#77516: TJ MAXX PO#951857,SKU#182162 DC#891-264PCS, DC#894-204PCS, DC#896-168PCS, DC#897-336PCS, DC#898-228PCS</t>
  </si>
  <si>
    <t>1OVOU1WR</t>
  </si>
  <si>
    <t>4500190061-210</t>
  </si>
  <si>
    <t>欠客供防伪贴纸+欠 SSCC贴纸，UPC贴纸跟返单4500132623</t>
  </si>
  <si>
    <t>日期码格式：ZURU INC(BVI) 标准格式 日期：按实际生产日期
Packaging Info: 出口加拿大，包装需要至少2/3L UPC版，无硼版本。
#77515：MA 3L C 版本加UPC贴纸覆盖原EAN条码，C版本收缩膜、纸袋、说明书， B版本收藏指南， UPC贴纸跟返单4500132623。 加客供防伪贴纸，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</si>
  <si>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2L2AXI9L</t>
  </si>
  <si>
    <t>4500190061-220</t>
  </si>
  <si>
    <t>43TI58KU</t>
  </si>
  <si>
    <t>4500190061-230</t>
  </si>
  <si>
    <t>4ZFR2SBS</t>
  </si>
  <si>
    <t>4500190061-240</t>
  </si>
  <si>
    <t>4ZL7IVLS</t>
  </si>
  <si>
    <t>4500190061-250</t>
  </si>
  <si>
    <t>3ZRO7B9Y</t>
  </si>
  <si>
    <t>4500190061-260</t>
  </si>
  <si>
    <t>7ADPTYFE</t>
  </si>
  <si>
    <t>4500190061-270</t>
  </si>
  <si>
    <t>6PY2KI7D</t>
  </si>
  <si>
    <t>4500184784-10</t>
  </si>
  <si>
    <t>欠SSCC Label(客供贴纸</t>
  </si>
  <si>
    <r>
      <rPr>
        <sz val="10"/>
        <rFont val="等线"/>
        <charset val="134"/>
      </rPr>
      <t>日期码格式：ZURU INC(BVI) 标准格式 日期：按实际生产日期
Packaging Info: #77516: 2PK #77515 入PVC圆筒。收藏指南用MA 5L. 3L不带UPC版收缩膜,</t>
    </r>
    <r>
      <rPr>
        <sz val="10"/>
        <color rgb="FFFF0000"/>
        <rFont val="等线"/>
        <charset val="134"/>
      </rPr>
      <t>3L 2PK的3L铜版纸B版本</t>
    </r>
    <r>
      <rPr>
        <sz val="10"/>
        <rFont val="等线"/>
        <charset val="134"/>
      </rPr>
      <t>。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</si>
  <si>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7MPWLHHK</t>
  </si>
  <si>
    <t>4500184901-40</t>
  </si>
  <si>
    <r>
      <rPr>
        <sz val="10"/>
        <rFont val="等线"/>
        <charset val="134"/>
      </rPr>
      <t xml:space="preserve">日期码格式：ZURU INC(BVI) 标准格式 日期：按实际生产日期
Packaging Info: 
#77516: 2PK #77515 入PVC圆筒。收藏指南用MA 5L. 3L不带UPC版收缩膜,3L </t>
    </r>
    <r>
      <rPr>
        <sz val="10"/>
        <color rgb="FFFF0000"/>
        <rFont val="等线"/>
        <charset val="134"/>
      </rPr>
      <t>2PK的3L铜版纸B版本</t>
    </r>
    <r>
      <rPr>
        <sz val="10"/>
        <rFont val="等线"/>
        <charset val="134"/>
      </rPr>
      <t>。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</si>
  <si>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验算</t>
  </si>
  <si>
    <r>
      <rPr>
        <sz val="11"/>
        <color rgb="FFFF0000"/>
        <rFont val="Arial"/>
        <charset val="0"/>
      </rPr>
      <t>24</t>
    </r>
    <r>
      <rPr>
        <sz val="11"/>
        <color rgb="FFFF0000"/>
        <rFont val="宋体"/>
        <charset val="0"/>
      </rPr>
      <t>年已删</t>
    </r>
  </si>
  <si>
    <r>
      <rPr>
        <sz val="11"/>
        <rFont val="Arial"/>
        <charset val="0"/>
      </rPr>
      <t>24</t>
    </r>
    <r>
      <rPr>
        <sz val="11"/>
        <rFont val="宋体"/>
        <charset val="0"/>
      </rPr>
      <t>年年存</t>
    </r>
    <r>
      <rPr>
        <sz val="11"/>
        <rFont val="Arial"/>
        <charset val="0"/>
      </rPr>
      <t>+</t>
    </r>
    <r>
      <rPr>
        <sz val="11"/>
        <rFont val="宋体"/>
        <charset val="0"/>
      </rPr>
      <t>实际</t>
    </r>
  </si>
  <si>
    <t>生产报数</t>
  </si>
  <si>
    <t>5CNM85MQ</t>
  </si>
  <si>
    <t>4500156588-10</t>
  </si>
  <si>
    <t>5/6 客人取消</t>
  </si>
  <si>
    <t>SSCC贴纸客人要更新需要返工</t>
  </si>
  <si>
    <t>有新单消耗204</t>
  </si>
  <si>
    <t>3/12SSCC LABEL（客供贴纸)</t>
  </si>
  <si>
    <t>日期码格式：ZURU INC(BVI) 标准格式 日期：按实际生产日期 
Packaging Info: #77516: 2PK #77515 入PVC圆筒。收藏指南用MA 5L. 3L不带UPC版收缩膜,3L 2PK铜版纸图稿跟返单4500134367。 （两个球的配比不能重复）。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</si>
  <si>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711P7B8W</t>
  </si>
  <si>
    <t>4500156588-20</t>
  </si>
  <si>
    <t>39L67D1F</t>
  </si>
  <si>
    <t>4500156588-30</t>
  </si>
  <si>
    <t>23TWSVYR</t>
  </si>
  <si>
    <t>4500156588-40</t>
  </si>
  <si>
    <t>1OPPH5SW</t>
  </si>
  <si>
    <t>4500156588-50</t>
  </si>
  <si>
    <t>2/24 取消成品</t>
  </si>
  <si>
    <t>取消成品</t>
  </si>
  <si>
    <t>1/17 条码箱贴纸</t>
  </si>
  <si>
    <t>生产已完成</t>
  </si>
  <si>
    <t>2/9 自提</t>
  </si>
  <si>
    <t>年底出货</t>
  </si>
  <si>
    <t>1/15 价格贴纸</t>
  </si>
  <si>
    <t>预计2月底或者3月初出货</t>
  </si>
  <si>
    <t>3/2 截SI</t>
  </si>
  <si>
    <t>1/26客供防伪贴纸+1/27 SSCC贴纸，UPC贴纸跟返单4500132623</t>
  </si>
  <si>
    <t>3/5 截SI</t>
  </si>
  <si>
    <t>1/27SSCC Label(客供贴纸</t>
  </si>
  <si>
    <t>日期码格式：ZURU INC(BVI) 标准格式 日期：按实际生产日期
Packaging Info: #77516: 2PK #77515 入PVC圆筒。收藏指南用MA 5L. 3L不带UPC版收缩膜,3L 2PK的3L铜版纸B版本。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</si>
  <si>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1/30 SSCC Label(客供贴纸</t>
  </si>
  <si>
    <t>日期码格式：ZURU INC(BVI) 标准格式 日期：按实际生产日期
Packaging Info: 
#77516: 2PK #77515 入PVC圆筒。收藏指南用MA 5L. 3L不带UPC版收缩膜,3L 2PK的3L铜版纸B版本。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</si>
  <si>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64WOSQNU</t>
  </si>
  <si>
    <t>4500191202-190</t>
  </si>
  <si>
    <t>1/30 客供防伪贴纸+1/30 SSCC贴纸，UPC贴纸跟返单4500132623</t>
  </si>
  <si>
    <t>日期码格式：ZURU INC(BVI) 标准格式 日期：按实际生产日期
Packaging Info:
#77515：MA 3L C 版本加UPC贴纸覆盖原EAN条码，C版本收缩膜、纸袋、说明书， B版本收藏指南， UPC贴纸跟返单4500132623。 加客供防伪贴纸，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</si>
  <si>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2IL3IOKQ</t>
  </si>
  <si>
    <t>4500191202-200</t>
  </si>
  <si>
    <t>8TIQE3ZF</t>
  </si>
  <si>
    <t>4500191202-210</t>
  </si>
  <si>
    <t>8JSTK33C</t>
  </si>
  <si>
    <t>4500191202-220</t>
  </si>
  <si>
    <t>69E7QMKE</t>
  </si>
  <si>
    <t>4500191202-230</t>
  </si>
  <si>
    <t>2TJ7O9FC</t>
  </si>
  <si>
    <t>4500191202-240</t>
  </si>
  <si>
    <t>2UGMUZWI</t>
  </si>
  <si>
    <t>4500191202-250</t>
  </si>
  <si>
    <t xml:space="preserve"> ZMPO260111</t>
  </si>
  <si>
    <t xml:space="preserve"> ZMPO260111-10</t>
  </si>
  <si>
    <t>Remark：只需77515的空球，只需用外面透明收缩膜压缩就好，不需要彩色收缩膜;
备注： 收到样品订单后尽快安排 ，注意样板品质质量要求要高于大货品质要求 ，送货时必须要附带送货单(没有送货单和QC检验合格报告的仓库一律拒绝收货)，请知悉，谢谢！</t>
  </si>
  <si>
    <t xml:space="preserve">sally Li
</t>
  </si>
  <si>
    <t>2PEKU87I</t>
  </si>
  <si>
    <t>4500193318-30</t>
  </si>
  <si>
    <t>折叠贴纸翻单177457+欠防盗贴纸+欠SSCC LABEL</t>
  </si>
  <si>
    <t>日期码格式：ZURU INC(BVI) 标准格式 日期：按实际生产日期
Packaging Info:
Amazon UK: 2PEKU87I
2. 24pcs/ctn, no inner; 客版邮包盒(UPC#+英法西3L警示语+FR/ES/IT环保标+GPSR邮箱care@zuru.com，参考翻单PO#4500177457)+1张可折叠贴纸(德意警告语，贴
在邮包盒，参考翻单PO#4500177457)+MA 3L(3L warning EAN#) C收缩膜+MA 5L B收藏指南+MA23L C警示说明书+其他最新版配套MA包装+1张防伪贴纸(具体位置参考
USA同款订单)+WEEE电子产品说明书30L(带电池走货B版)；
3. 最迟验货不得晚于2026/04/07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
不适用Amazon GPE，Amazon GPE无SSCC label, 但是有对应箱唛，需印刷到外箱 。
2.出往UK的产品+包装务必打上UKCA logo ，否则客人会退货且当地会有罚款。 Amazon GPE也适用此规则。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GPE也适用此规则。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GPE也适用此规则。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 Amazon GPE也适用此规则。
13. Amazon GPE最终出货都是到EU&lt;(&gt;&amp;&lt;)&gt;UK, 此账户是Amazon需要先备库存放到中国保税区，再根据EU&lt;(&gt;&amp;&lt;)&gt;UK市场售卖情况，从保税区配货，我们跟Amazon的
业务截止于保税区，后段保税区发往EU&lt;(&gt;&amp;&lt;)&gt;UK由Amazon自行安排，此段我们不得而知，故此账户下的所有产品都需要加上出EU&lt;(&gt;&amp;&lt;)&gt;UK（英国/法国/西班牙/意
大利/德国）的所有信息。</t>
  </si>
  <si>
    <t>8YA7I83B</t>
  </si>
  <si>
    <t>4500193215-60</t>
  </si>
  <si>
    <t>欠 SSCC LABEL（客供贴纸)</t>
  </si>
  <si>
    <t>日期码格式：ZURU INC(BVI) 标准格式 日期：按实际生产日期
Packaging Info: 出口加拿大，包装需要至少2/3L UPC版，无硼版本。
#77516: 2PK #77515 入PVC圆筒。收藏指南用MA 5L. 3L不带UPC版收缩膜,3L 2PK铜版纸图稿跟返单4500134367。 （两个球的配比不能重复）。消耗PO#4500156588
取消订单成品；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</si>
  <si>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5JIT293G</t>
  </si>
  <si>
    <t>4500193215-70</t>
  </si>
  <si>
    <t>2JBQOPHO</t>
  </si>
  <si>
    <t>4500193215-80</t>
  </si>
  <si>
    <t>7JQ3IF4L</t>
  </si>
  <si>
    <t>4500193215-90</t>
  </si>
  <si>
    <t>738OJIOG</t>
  </si>
  <si>
    <t>4500193215-100</t>
  </si>
  <si>
    <t>5JTL71JJ</t>
  </si>
  <si>
    <t>4500193215-110</t>
  </si>
  <si>
    <t>6VASPN9E</t>
  </si>
  <si>
    <t>4500193215-120</t>
  </si>
  <si>
    <t>4500193583-80</t>
  </si>
  <si>
    <t>MB201-77515-S001</t>
  </si>
  <si>
    <t>日期码格式：ZURU INC(BVI) 标准格式 日期：按实际生产日期
Packaging Info: 
77515: 客版1L收缩膜+客版15L折叠贴纸, 客版15L说明书+WEEE_带电池走货 _ 说明书欧洲EN+30L-OL(翻单4500157855）, 客版15L IFUD声明补充，MA 最新版配件
袋,MA 最新版收藏指南
Remark: 客人款号：3210813
A. 订单总数量998184 共分为14个柜子，请按期完货。
77515子件备注
1.所有产品按符合欧洲标准走货，微塑料需合规。
2.所有包装材料都不允许PVC, 请用PET代替
3. 此单需要4套产前样及4套大货样，请尽快准备产前样，客人确认产前样后才可以生产大货
4. 77515: 客版1L收缩膜+客版15L折叠贴, 客版15L说明书+WEEE_带电池走货 _ 说明书欧洲EN+30L-OL(翻单4500157855）, 客版15L IFUD声明补充，MA 最新版配
件袋,MA 最新版收藏指南
5. 此单跟单是Amber Zhang, 如有疑问请找Amber Zhang 确认
C. baby EAN:
new baby EAN for #77515: 4894680064683</t>
  </si>
  <si>
    <t>4500193583--90</t>
  </si>
  <si>
    <t>4500193583-70</t>
  </si>
  <si>
    <t>4500193583-40</t>
  </si>
  <si>
    <t>4500193583-100</t>
  </si>
  <si>
    <t>4500193583-140</t>
  </si>
  <si>
    <t>4500193583-10</t>
  </si>
  <si>
    <t>4500193583-110</t>
  </si>
  <si>
    <t>4500193583-120</t>
  </si>
  <si>
    <t>4500193583-50</t>
  </si>
  <si>
    <t>4500193583-30</t>
  </si>
  <si>
    <t>4500193583-60</t>
  </si>
  <si>
    <t>4500193583-130</t>
  </si>
  <si>
    <t>4500193583-20</t>
  </si>
  <si>
    <t>.</t>
  </si>
  <si>
    <r>
      <rPr>
        <sz val="11"/>
        <color rgb="FFFF0000"/>
        <rFont val="Arial"/>
        <charset val="0"/>
      </rPr>
      <t>25</t>
    </r>
    <r>
      <rPr>
        <sz val="11"/>
        <color rgb="FFFF0000"/>
        <rFont val="宋体"/>
        <charset val="0"/>
      </rPr>
      <t>年已删</t>
    </r>
  </si>
  <si>
    <r>
      <rPr>
        <sz val="11"/>
        <rFont val="Arial"/>
        <charset val="0"/>
      </rPr>
      <t>25</t>
    </r>
    <r>
      <rPr>
        <sz val="11"/>
        <rFont val="宋体"/>
        <charset val="0"/>
      </rPr>
      <t>年年存</t>
    </r>
    <r>
      <rPr>
        <sz val="11"/>
        <rFont val="Arial"/>
        <charset val="0"/>
      </rPr>
      <t>+</t>
    </r>
    <r>
      <rPr>
        <sz val="11"/>
        <rFont val="宋体"/>
        <charset val="0"/>
      </rPr>
      <t>实际</t>
    </r>
  </si>
  <si>
    <t>2UYSKE9D</t>
  </si>
  <si>
    <t>4500184640-130</t>
  </si>
  <si>
    <t>客人1/15取消</t>
  </si>
  <si>
    <t>1/5 SSCC Label(客供贴纸</t>
  </si>
  <si>
    <t>日期码格式：ZURU INC(BVI) 标准格式 日期：按实际生产日期
Packaging Info: 
#77516: 2PK #77515 入PVC圆筒。收藏指南用MA 5L. 3L不带UPC版收缩膜,3L 2PK铜版纸图稿跟返单4500170342。 （两个球的配比不能重复）。可消耗取消订单450
0156588库存。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</si>
  <si>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2RIENOSH</t>
  </si>
  <si>
    <t>4500186570-10</t>
  </si>
  <si>
    <t>7U1JOTWS</t>
  </si>
  <si>
    <t>4500186572-20</t>
  </si>
  <si>
    <t>日期码格式：ZURU INC(BVI) 标准格式 日期：按实际生产日期
Packaging Info: #71137: MA 1L UPC版本，出口美国.
#77516: 2PK #77515 入PVC圆筒。收藏指南用MA 5L. 3L不带UPC版收缩膜,3L 2PK的3L铜版纸B版本。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</si>
  <si>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3W5ZR3OZ</t>
  </si>
  <si>
    <t>4500186574-30</t>
  </si>
  <si>
    <t>3T8HAJ6B</t>
  </si>
  <si>
    <t>4500186574-40</t>
  </si>
  <si>
    <t>8RD5LURS</t>
  </si>
  <si>
    <t>4500186575-20</t>
  </si>
  <si>
    <t>日期码格式：ZURU INC(BVI) 标准格式 日期：按实际生产日期
Packaging Info:
#77516: 2PK #77515 入PVC圆筒。收藏指南用MA 5L. 3L不带UPC版收缩膜,3L 2PK的3L铜版纸B版本。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</si>
  <si>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MA Order No. :</t>
  </si>
  <si>
    <t>MA-RR-1021</t>
  </si>
  <si>
    <t>MA-RR-1065</t>
  </si>
  <si>
    <t>MA-RR-1131</t>
  </si>
  <si>
    <t>MA-RR-1183</t>
  </si>
  <si>
    <t>MA_RR_1241</t>
  </si>
  <si>
    <t>MA_RR_1306</t>
  </si>
  <si>
    <t>MA-RR-1353</t>
  </si>
  <si>
    <t>MA-RR-1703</t>
  </si>
  <si>
    <t>MA_RR_1834</t>
  </si>
  <si>
    <t>MA-RR-2112</t>
  </si>
  <si>
    <t>MA-RR-2088</t>
  </si>
  <si>
    <t>Grand Total</t>
  </si>
  <si>
    <t>Order Date:</t>
  </si>
  <si>
    <t>Required CRD:</t>
  </si>
  <si>
    <t>实际订单</t>
  </si>
  <si>
    <r>
      <rPr>
        <sz val="10"/>
        <rFont val="Times New Roman"/>
        <charset val="134"/>
      </rPr>
      <t>MA</t>
    </r>
    <r>
      <rPr>
        <sz val="10"/>
        <rFont val="宋体"/>
        <charset val="134"/>
      </rPr>
      <t>剩余数</t>
    </r>
  </si>
  <si>
    <t>Capsule #77515</t>
  </si>
  <si>
    <t>Remark</t>
  </si>
  <si>
    <t>Minis No.</t>
  </si>
  <si>
    <t>Balls SUM</t>
  </si>
  <si>
    <t>MASCM-S1-005</t>
  </si>
  <si>
    <t>Cherry Chocolate Cake</t>
  </si>
  <si>
    <r>
      <rPr>
        <b/>
        <sz val="11"/>
        <rFont val="Times New Roman"/>
        <charset val="134"/>
      </rPr>
      <t xml:space="preserve">Demo Sets  </t>
    </r>
    <r>
      <rPr>
        <b/>
        <sz val="11"/>
        <rFont val="宋体"/>
        <charset val="134"/>
      </rPr>
      <t xml:space="preserve">按套数计
</t>
    </r>
    <r>
      <rPr>
        <b/>
        <sz val="11"/>
        <rFont val="Times New Roman"/>
        <charset val="134"/>
      </rPr>
      <t>(25pcs GQ2/21pcs GQ5)</t>
    </r>
  </si>
  <si>
    <t>Mold No.</t>
  </si>
  <si>
    <t>PDQ Demo SUM</t>
  </si>
  <si>
    <t>MASCM-S1-002</t>
  </si>
  <si>
    <t>Tropical Fruit Parfait</t>
  </si>
  <si>
    <r>
      <rPr>
        <sz val="11"/>
        <rFont val="Times New Roman"/>
        <charset val="134"/>
      </rPr>
      <t>1.Demo Sets</t>
    </r>
    <r>
      <rPr>
        <sz val="11"/>
        <rFont val="宋体"/>
        <charset val="134"/>
      </rPr>
      <t xml:space="preserve">按套数计
</t>
    </r>
    <r>
      <rPr>
        <sz val="11"/>
        <rFont val="Times New Roman"/>
        <charset val="134"/>
      </rPr>
      <t>(60pcs SK /30pcs SK1)</t>
    </r>
    <r>
      <rPr>
        <sz val="11"/>
        <rFont val="宋体"/>
        <charset val="134"/>
      </rPr>
      <t xml:space="preserve">
</t>
    </r>
    <r>
      <rPr>
        <sz val="11"/>
        <rFont val="Times New Roman"/>
        <charset val="134"/>
      </rPr>
      <t>2.</t>
    </r>
    <r>
      <rPr>
        <sz val="11"/>
        <rFont val="宋体"/>
        <charset val="134"/>
      </rPr>
      <t xml:space="preserve">请配套采购相应的外购件，如水果盒等
</t>
    </r>
    <r>
      <rPr>
        <sz val="11"/>
        <rFont val="Times New Roman"/>
        <charset val="134"/>
      </rPr>
      <t xml:space="preserve">3. </t>
    </r>
    <r>
      <rPr>
        <sz val="11"/>
        <rFont val="宋体"/>
        <charset val="134"/>
      </rPr>
      <t>请配套配齐其它小件</t>
    </r>
  </si>
  <si>
    <t>MASCM-S1-003</t>
  </si>
  <si>
    <t>Summer Fruit Tart</t>
  </si>
  <si>
    <t>MASCM-S1-008</t>
  </si>
  <si>
    <t>Almond &amp; 
Apricot Cheesecake</t>
  </si>
  <si>
    <t>MASCM-S1-009</t>
  </si>
  <si>
    <t>Glazed Lamb</t>
  </si>
  <si>
    <t xml:space="preserve"> SK Demo SUM</t>
  </si>
  <si>
    <t>MASCM-S1-001</t>
  </si>
  <si>
    <t>Vegan Chocolate Mousse 
With Raspberries 
&amp; Almond Crumb</t>
  </si>
  <si>
    <t>MASCM-S1-004</t>
  </si>
  <si>
    <t>Profiteroles</t>
  </si>
  <si>
    <t>MASCM-S1-006</t>
  </si>
  <si>
    <t>Strawberry Cake</t>
  </si>
  <si>
    <t>MASCM-S1-007</t>
  </si>
  <si>
    <t>Apple Pie</t>
  </si>
  <si>
    <t>MASCM-S1-010</t>
  </si>
  <si>
    <t>Stuffed Pork Loin 
&amp; Roasted Potatoes</t>
  </si>
  <si>
    <t>MASCM-S1-011</t>
  </si>
  <si>
    <t>Ramen</t>
  </si>
  <si>
    <t>按每套配件拆开</t>
  </si>
  <si>
    <t>MA-RR-1241</t>
  </si>
  <si>
    <t>MA-RR-1834</t>
  </si>
  <si>
    <t>Injection Parts Name</t>
  </si>
  <si>
    <t>Minis</t>
  </si>
  <si>
    <t>Qty</t>
  </si>
  <si>
    <t>MNMC-01M-01</t>
  </si>
  <si>
    <t>蛋糕台顶</t>
  </si>
  <si>
    <t>MASCM-S1-001~011</t>
  </si>
  <si>
    <t>蛋糕台底</t>
  </si>
  <si>
    <t>电池箱上</t>
  </si>
  <si>
    <t>MASCM-S1-001~005/007~011</t>
  </si>
  <si>
    <t>电池箱下</t>
  </si>
  <si>
    <t>厨师帽开关帽</t>
  </si>
  <si>
    <t>厨师帽底左</t>
  </si>
  <si>
    <t>厨师帽底右</t>
  </si>
  <si>
    <t>MNMC-02M-01</t>
  </si>
  <si>
    <t>蛋糕夹</t>
  </si>
  <si>
    <t>叉子</t>
  </si>
  <si>
    <t>MASCM-S1-003~007/008/009/010</t>
  </si>
  <si>
    <t>蛋糕刀</t>
  </si>
  <si>
    <t>MASCM-S1-003~007/008</t>
  </si>
  <si>
    <t>汤勺</t>
  </si>
  <si>
    <t>MASCM-S1-001/004</t>
  </si>
  <si>
    <t>餐刀</t>
  </si>
  <si>
    <t>MASCM-S1-009/010</t>
  </si>
  <si>
    <t>筷子</t>
  </si>
  <si>
    <t>MNMC-03M-01</t>
  </si>
  <si>
    <t>巧克力慕斯杯</t>
  </si>
  <si>
    <t>提米拉苏杯</t>
  </si>
  <si>
    <t>泡芙冰淇淋杯</t>
  </si>
  <si>
    <t>拉面碗</t>
  </si>
  <si>
    <t>罐头盖</t>
  </si>
  <si>
    <t>罐头盒</t>
  </si>
  <si>
    <t>MNMC-04M-01</t>
  </si>
  <si>
    <t>花盘</t>
  </si>
  <si>
    <t>MASCM-S1-005/006</t>
  </si>
  <si>
    <t>30小盘</t>
  </si>
  <si>
    <t>MASCM-S1-003/005/006/007</t>
  </si>
  <si>
    <t>47大盘</t>
  </si>
  <si>
    <t>MASCM-S1-007/004/009/010</t>
  </si>
  <si>
    <t>48盘</t>
  </si>
  <si>
    <t>方盘</t>
  </si>
  <si>
    <t>冰淇淋杯盒</t>
  </si>
  <si>
    <t>MNMC-05M-01</t>
  </si>
  <si>
    <t>杏酱盖</t>
  </si>
  <si>
    <t>MASCM-S1-001/003/008</t>
  </si>
  <si>
    <t>杏酱挤嘴</t>
  </si>
  <si>
    <t>拉面汤瓶盖</t>
  </si>
  <si>
    <t>MNMC-06M-01</t>
  </si>
  <si>
    <t>巧克力酱盖</t>
  </si>
  <si>
    <t>MASCM-S1-005/004/010</t>
  </si>
  <si>
    <t>巧克力酱挤嘴</t>
  </si>
  <si>
    <t>酱油瓶盖</t>
  </si>
  <si>
    <t>酱油瓶挤嘴</t>
  </si>
  <si>
    <t>MNMC-07M-01</t>
  </si>
  <si>
    <t>巧克力瓶盖</t>
  </si>
  <si>
    <t>MASCM-S1-002/005</t>
  </si>
  <si>
    <t>酸奶瓶盖</t>
  </si>
  <si>
    <t>炼乳瓶盖</t>
  </si>
  <si>
    <t>MASCM-S1-007/004</t>
  </si>
  <si>
    <t>炼乳瓶嘴</t>
  </si>
  <si>
    <t>裱花花嘴</t>
  </si>
  <si>
    <t>MASCM-S1-001/003/005/006</t>
  </si>
  <si>
    <t>奶油胶盖</t>
  </si>
  <si>
    <t>MNMC-08M-01</t>
  </si>
  <si>
    <t>厨师帽</t>
  </si>
  <si>
    <t>MNMC-09M-01</t>
  </si>
  <si>
    <t>麦片1</t>
  </si>
  <si>
    <t>麦片2</t>
  </si>
  <si>
    <t>麦片3</t>
  </si>
  <si>
    <t>蛋糕</t>
  </si>
  <si>
    <t>羊排1</t>
  </si>
  <si>
    <t>羊排2</t>
  </si>
  <si>
    <t>羊排3</t>
  </si>
  <si>
    <t>巧克力</t>
  </si>
  <si>
    <t>蓝莓</t>
  </si>
  <si>
    <t>MNMC-10M-01</t>
  </si>
  <si>
    <t>杏片</t>
  </si>
  <si>
    <t>半颗杏子</t>
  </si>
  <si>
    <t>奇异果</t>
  </si>
  <si>
    <t>萝卜条1</t>
  </si>
  <si>
    <t>萝卜条2</t>
  </si>
  <si>
    <t>萝卜条3</t>
  </si>
  <si>
    <t>菠萝片1</t>
  </si>
  <si>
    <t>菠萝片2</t>
  </si>
  <si>
    <t>菠萝片3</t>
  </si>
  <si>
    <t>MNMC-11M-01</t>
  </si>
  <si>
    <t>整颗草莓</t>
  </si>
  <si>
    <t>MASCM-S1-006/004</t>
  </si>
  <si>
    <t>半颗草莓</t>
  </si>
  <si>
    <t>MASCM-S1-003/006/004</t>
  </si>
  <si>
    <t>草莓粒</t>
  </si>
  <si>
    <t>MNMC-12M-01</t>
  </si>
  <si>
    <t>树莓&amp;桑葚</t>
  </si>
  <si>
    <t>MASCM-S1-001/003</t>
  </si>
  <si>
    <t>半颗樱桃</t>
  </si>
  <si>
    <t>樱桃</t>
  </si>
  <si>
    <t>MNMC-13M-01</t>
  </si>
  <si>
    <t>杏仁片1</t>
  </si>
  <si>
    <t>MASCM-S1-008/004</t>
  </si>
  <si>
    <t>杏仁片2</t>
  </si>
  <si>
    <t>杏仁片3</t>
  </si>
  <si>
    <t>五角星糖</t>
  </si>
  <si>
    <t>蛋</t>
  </si>
  <si>
    <t>冰淇淋</t>
  </si>
  <si>
    <t>MNMC-14M-01</t>
  </si>
  <si>
    <t>泡芙1</t>
  </si>
  <si>
    <t>泡芙2</t>
  </si>
  <si>
    <t>泡芙3</t>
  </si>
  <si>
    <t>烤土豆1</t>
  </si>
  <si>
    <t>烤土豆2</t>
  </si>
  <si>
    <t>烤土豆3</t>
  </si>
  <si>
    <t>根菜1</t>
  </si>
  <si>
    <t>根菜2</t>
  </si>
  <si>
    <t>根菜3</t>
  </si>
  <si>
    <t>芒果干1</t>
  </si>
  <si>
    <t>芒果干2</t>
  </si>
  <si>
    <t>芒果干3</t>
  </si>
  <si>
    <t>MNMC-15M-01</t>
  </si>
  <si>
    <t>苹果派底</t>
  </si>
  <si>
    <t>苹果派面</t>
  </si>
  <si>
    <t>里脊肉1</t>
  </si>
  <si>
    <t>里脊肉2</t>
  </si>
  <si>
    <t>叉烧1</t>
  </si>
  <si>
    <t>叉烧2</t>
  </si>
  <si>
    <t>叉烧3</t>
  </si>
  <si>
    <t>MNMC-16M-01</t>
  </si>
  <si>
    <t>蛋糕底</t>
  </si>
  <si>
    <t>挞底</t>
  </si>
  <si>
    <t>拉面</t>
  </si>
  <si>
    <t>苹果片</t>
  </si>
  <si>
    <t>MNMC-17M-01</t>
  </si>
  <si>
    <t>薄荷叶</t>
  </si>
  <si>
    <t>MASCM-S1-001/002/003/010/004</t>
  </si>
  <si>
    <t>葱花</t>
  </si>
  <si>
    <t>MNMC-18M-01</t>
  </si>
  <si>
    <t>奶油胶瓶</t>
  </si>
  <si>
    <t>MNMC-19M-01</t>
  </si>
  <si>
    <t>杏仁酱瓶</t>
  </si>
  <si>
    <t>MNMC-20M-01</t>
  </si>
  <si>
    <t>酱油瓶</t>
  </si>
  <si>
    <t>MNMC-21M-01</t>
  </si>
  <si>
    <t>巧克力酱瓶</t>
  </si>
  <si>
    <t>MNMC-22M-01</t>
  </si>
  <si>
    <t>蜂蜜瓶</t>
  </si>
  <si>
    <t>MNMC-23M-01</t>
  </si>
  <si>
    <t>糖罐</t>
  </si>
  <si>
    <t>MNMC-24M-01</t>
  </si>
  <si>
    <t>酸奶瓶</t>
  </si>
  <si>
    <t>MNMC-25M-01</t>
  </si>
  <si>
    <t>拉面汤瓶</t>
  </si>
  <si>
    <t>Capsule Grand Total</t>
  </si>
  <si>
    <t>PDQ Demo Minis</t>
  </si>
  <si>
    <r>
      <rPr>
        <b/>
        <sz val="11"/>
        <rFont val="Times New Roman"/>
        <charset val="134"/>
      </rPr>
      <t xml:space="preserve">SK Demo - </t>
    </r>
    <r>
      <rPr>
        <b/>
        <sz val="11"/>
        <rFont val="宋体"/>
        <charset val="134"/>
      </rPr>
      <t>共用</t>
    </r>
  </si>
  <si>
    <t>SK Demo - MASCM-S1-002</t>
  </si>
  <si>
    <t>SK Demo - MASCM-S1-003</t>
  </si>
  <si>
    <t>SK Demo - MASCM-S1-008</t>
  </si>
  <si>
    <t>SK Demo - MASCM-S1-009</t>
  </si>
  <si>
    <t>SK Demo SUM</t>
  </si>
  <si>
    <r>
      <rPr>
        <b/>
        <sz val="14"/>
        <rFont val="Arial"/>
        <charset val="0"/>
      </rPr>
      <t>77515 DIY</t>
    </r>
    <r>
      <rPr>
        <b/>
        <sz val="14"/>
        <rFont val="宋体"/>
        <charset val="0"/>
      </rPr>
      <t>厨艺大师）</t>
    </r>
    <r>
      <rPr>
        <b/>
        <sz val="14"/>
        <rFont val="Arial"/>
        <charset val="0"/>
      </rPr>
      <t>MA</t>
    </r>
    <r>
      <rPr>
        <b/>
        <sz val="14"/>
        <rFont val="宋体"/>
        <charset val="0"/>
      </rPr>
      <t>包裝扣數表</t>
    </r>
  </si>
  <si>
    <r>
      <rPr>
        <sz val="10"/>
        <rFont val="宋体"/>
        <charset val="134"/>
      </rPr>
      <t>日期</t>
    </r>
  </si>
  <si>
    <r>
      <rPr>
        <sz val="10"/>
        <rFont val="宋体"/>
        <charset val="134"/>
      </rPr>
      <t>MA PO</t>
    </r>
  </si>
  <si>
    <t>負責</t>
  </si>
  <si>
    <t>货号</t>
  </si>
  <si>
    <t>数量</t>
  </si>
  <si>
    <t>产品名称</t>
  </si>
  <si>
    <t>语言</t>
  </si>
  <si>
    <t>版本</t>
  </si>
  <si>
    <t>收缩膜</t>
  </si>
  <si>
    <t>77515GQ5</t>
  </si>
  <si>
    <t>GQ6-S001</t>
  </si>
  <si>
    <t>GQ1-S001</t>
  </si>
  <si>
    <t>GQ2-S001</t>
  </si>
  <si>
    <t>SK1</t>
  </si>
  <si>
    <t>SK</t>
  </si>
  <si>
    <r>
      <rPr>
        <sz val="10"/>
        <rFont val="Arial"/>
        <charset val="0"/>
      </rPr>
      <t>MA 1</t>
    </r>
    <r>
      <rPr>
        <sz val="10"/>
        <rFont val="宋体"/>
        <charset val="0"/>
      </rPr>
      <t>语</t>
    </r>
  </si>
  <si>
    <r>
      <rPr>
        <sz val="10"/>
        <color rgb="FFFF0000"/>
        <rFont val="Arial"/>
        <charset val="0"/>
      </rPr>
      <t>MA 3</t>
    </r>
    <r>
      <rPr>
        <sz val="10"/>
        <color rgb="FFFF0000"/>
        <rFont val="宋体"/>
        <charset val="0"/>
      </rPr>
      <t>语</t>
    </r>
  </si>
  <si>
    <r>
      <rPr>
        <sz val="10"/>
        <color rgb="FFFF0000"/>
        <rFont val="宋体"/>
        <charset val="0"/>
      </rPr>
      <t>无条码</t>
    </r>
    <r>
      <rPr>
        <sz val="10"/>
        <color rgb="FFFF0000"/>
        <rFont val="Arial"/>
        <charset val="0"/>
      </rPr>
      <t xml:space="preserve"> 3L</t>
    </r>
  </si>
  <si>
    <r>
      <rPr>
        <sz val="10"/>
        <color rgb="FFFF0000"/>
        <rFont val="宋体"/>
        <charset val="0"/>
      </rPr>
      <t>无条码</t>
    </r>
    <r>
      <rPr>
        <sz val="10"/>
        <color rgb="FFFF0000"/>
        <rFont val="Arial"/>
        <charset val="0"/>
      </rPr>
      <t xml:space="preserve"> 3L-C</t>
    </r>
  </si>
  <si>
    <r>
      <rPr>
        <sz val="10"/>
        <color rgb="FFFF0000"/>
        <rFont val="宋体"/>
        <charset val="0"/>
      </rPr>
      <t>客版</t>
    </r>
    <r>
      <rPr>
        <sz val="10"/>
        <color rgb="FFFF0000"/>
        <rFont val="Arial"/>
        <charset val="0"/>
      </rPr>
      <t xml:space="preserve"> 3L</t>
    </r>
  </si>
  <si>
    <r>
      <rPr>
        <sz val="10"/>
        <color rgb="FFFF0000"/>
        <rFont val="Arial"/>
        <charset val="0"/>
      </rPr>
      <t>MA 5</t>
    </r>
    <r>
      <rPr>
        <sz val="10"/>
        <color rgb="FFFF0000"/>
        <rFont val="宋体"/>
        <charset val="0"/>
      </rPr>
      <t>语</t>
    </r>
  </si>
  <si>
    <t>客版</t>
  </si>
  <si>
    <t>MA 1L</t>
  </si>
  <si>
    <t>MA 3L</t>
  </si>
  <si>
    <t>13pcs 1L</t>
  </si>
  <si>
    <t>13pcs 3L</t>
  </si>
  <si>
    <t>25pcs 1L</t>
  </si>
  <si>
    <t>25pcs 3L</t>
  </si>
  <si>
    <t>SK1-S002 30PCS 1L</t>
  </si>
  <si>
    <t>SK1-S001 30PCS 3L</t>
  </si>
  <si>
    <t>底座</t>
  </si>
  <si>
    <t>SK 60PCS</t>
  </si>
  <si>
    <t>SK 60PCS 3L</t>
  </si>
  <si>
    <r>
      <rPr>
        <sz val="11"/>
        <color rgb="FFFF0000"/>
        <rFont val="Arial"/>
        <charset val="0"/>
      </rPr>
      <t xml:space="preserve">SK 60PCS 3L </t>
    </r>
    <r>
      <rPr>
        <sz val="11"/>
        <color rgb="FFFF0000"/>
        <rFont val="宋体"/>
        <charset val="0"/>
      </rPr>
      <t>底座</t>
    </r>
  </si>
  <si>
    <t>圆筒盖贴纸</t>
  </si>
  <si>
    <r>
      <rPr>
        <sz val="10"/>
        <rFont val="Arial"/>
        <charset val="0"/>
      </rPr>
      <t>A/B</t>
    </r>
    <r>
      <rPr>
        <sz val="10"/>
        <rFont val="宋体"/>
        <charset val="0"/>
      </rPr>
      <t>版本</t>
    </r>
  </si>
  <si>
    <r>
      <rPr>
        <sz val="10"/>
        <rFont val="Arial"/>
        <charset val="0"/>
      </rPr>
      <t>A</t>
    </r>
    <r>
      <rPr>
        <sz val="10"/>
        <rFont val="宋体"/>
        <charset val="134"/>
      </rPr>
      <t>版本</t>
    </r>
  </si>
  <si>
    <r>
      <rPr>
        <sz val="10"/>
        <rFont val="Arial"/>
        <charset val="0"/>
      </rPr>
      <t>C</t>
    </r>
    <r>
      <rPr>
        <sz val="10"/>
        <rFont val="宋体"/>
        <charset val="0"/>
      </rPr>
      <t>版本</t>
    </r>
  </si>
  <si>
    <t>A版本</t>
  </si>
  <si>
    <t>B版本</t>
  </si>
  <si>
    <t>WM</t>
  </si>
  <si>
    <r>
      <rPr>
        <sz val="10"/>
        <color rgb="FFFF0000"/>
        <rFont val="Arial"/>
        <charset val="0"/>
      </rPr>
      <t>B</t>
    </r>
    <r>
      <rPr>
        <sz val="10"/>
        <color rgb="FFFF0000"/>
        <rFont val="宋体"/>
        <charset val="0"/>
      </rPr>
      <t>版本</t>
    </r>
  </si>
  <si>
    <r>
      <rPr>
        <sz val="10"/>
        <rFont val="Arial"/>
        <charset val="0"/>
      </rPr>
      <t>A</t>
    </r>
    <r>
      <rPr>
        <sz val="10"/>
        <rFont val="宋体"/>
        <charset val="0"/>
      </rPr>
      <t>版本</t>
    </r>
  </si>
  <si>
    <r>
      <rPr>
        <sz val="10"/>
        <rFont val="Arial"/>
        <charset val="0"/>
      </rPr>
      <t>B</t>
    </r>
    <r>
      <rPr>
        <sz val="10"/>
        <rFont val="宋体"/>
        <charset val="0"/>
      </rPr>
      <t>版本</t>
    </r>
  </si>
  <si>
    <t>Hedy Tian</t>
  </si>
  <si>
    <t>Shrink Wrap</t>
  </si>
  <si>
    <t>1L</t>
  </si>
  <si>
    <t>A</t>
  </si>
  <si>
    <t>1000017712</t>
  </si>
  <si>
    <t>PDQ</t>
  </si>
  <si>
    <t>Collector Guild</t>
  </si>
  <si>
    <t>5L</t>
  </si>
  <si>
    <r>
      <rPr>
        <sz val="11"/>
        <rFont val="宋体"/>
        <charset val="134"/>
      </rPr>
      <t>请根据11款</t>
    </r>
    <r>
      <rPr>
        <sz val="11"/>
        <rFont val="Calibri"/>
        <charset val="0"/>
      </rPr>
      <t xml:space="preserve">Minis </t>
    </r>
    <r>
      <rPr>
        <sz val="11"/>
        <rFont val="宋体"/>
        <charset val="134"/>
      </rPr>
      <t>比例购买</t>
    </r>
  </si>
  <si>
    <t>3L</t>
  </si>
  <si>
    <t>B</t>
  </si>
  <si>
    <t>待我司设计放稿后再采购</t>
  </si>
  <si>
    <t>77515GQ1</t>
  </si>
  <si>
    <t>77515GQ2</t>
  </si>
  <si>
    <t>77515GQ6</t>
  </si>
  <si>
    <t>77515SK</t>
  </si>
  <si>
    <t>Sidekick</t>
  </si>
  <si>
    <t>77515SK1</t>
  </si>
  <si>
    <t>Base</t>
  </si>
  <si>
    <t>Jenny</t>
  </si>
  <si>
    <t>PVC  Tube(2PK)</t>
  </si>
  <si>
    <t>N/A</t>
  </si>
  <si>
    <t>Lilly用于# 4500126389；Yvonne用于#4500125102；Taylor的订单</t>
  </si>
  <si>
    <t>Art Paper</t>
  </si>
  <si>
    <t>Daisy</t>
  </si>
  <si>
    <r>
      <rPr>
        <sz val="11"/>
        <rFont val="宋体"/>
        <charset val="0"/>
      </rPr>
      <t>客版</t>
    </r>
    <r>
      <rPr>
        <sz val="11"/>
        <rFont val="Calibri"/>
        <charset val="0"/>
      </rPr>
      <t>3L</t>
    </r>
  </si>
  <si>
    <r>
      <rPr>
        <sz val="10"/>
        <color indexed="8"/>
        <rFont val="宋体"/>
        <charset val="134"/>
      </rPr>
      <t>用于</t>
    </r>
    <r>
      <rPr>
        <sz val="10"/>
        <color indexed="8"/>
        <rFont val="Times New Roman"/>
        <charset val="0"/>
      </rPr>
      <t>Willow</t>
    </r>
    <r>
      <rPr>
        <sz val="10"/>
        <color indexed="8"/>
        <rFont val="宋体"/>
        <charset val="134"/>
      </rPr>
      <t xml:space="preserve">订单 </t>
    </r>
    <r>
      <rPr>
        <sz val="10"/>
        <color indexed="8"/>
        <rFont val="Times New Roman"/>
        <charset val="0"/>
      </rPr>
      <t>4500126515</t>
    </r>
    <r>
      <rPr>
        <sz val="10"/>
        <color indexed="8"/>
        <rFont val="Times New Roman"/>
        <charset val="0"/>
      </rPr>
      <t xml:space="preserve"> 4500127148 4500127149 4500127150 4500127223 4500127224</t>
    </r>
  </si>
  <si>
    <t>Maggie 用于订单 4500129040 4500129028 4500129036 4500129031 4500129038 4500129028 4500129013 4500129014 4500129012   4500129422 4500129421</t>
  </si>
  <si>
    <t>Collector Guide</t>
  </si>
  <si>
    <t>此单按单订购不另建MA PO</t>
  </si>
  <si>
    <t>Peggy Wu</t>
  </si>
  <si>
    <t>1/3L共用</t>
  </si>
  <si>
    <t>Agnes用于#4500127813</t>
  </si>
  <si>
    <t>Lid sticker(2PK)</t>
  </si>
  <si>
    <t>Shrink Wrap(without UPC)</t>
  </si>
  <si>
    <t>Agnes用于#4500125102/4500127813</t>
  </si>
  <si>
    <t>1L &amp; 3L</t>
  </si>
  <si>
    <t>请根据11款Minis 比例购买</t>
  </si>
  <si>
    <t>Daisy.Li</t>
  </si>
  <si>
    <t>Maggie 用于订单 4500131242;4500131244;4500131236;4500131249;4500131248;4500131246;</t>
  </si>
  <si>
    <t>用于 ROSS 4500129515 &amp; 下周即将下单的订单 ，Amazon 订单4500132157 4500132179</t>
  </si>
  <si>
    <t>Art Paper（2PK)</t>
  </si>
  <si>
    <t>Violet Chen</t>
  </si>
  <si>
    <t>Anges用于4500133171/4500133139以及后续订单</t>
  </si>
  <si>
    <t>差48</t>
  </si>
  <si>
    <t>/</t>
  </si>
  <si>
    <t>Maggie 用于订单 4500135055 4500135044 4500135039</t>
  </si>
  <si>
    <t>Maggie 用于订单 4500136067 4500136069</t>
  </si>
  <si>
    <t>Maggie 用于订单MPO02783 /84/85/86/87/88/89</t>
  </si>
  <si>
    <t>无阶梯价，不用创建MA#</t>
  </si>
  <si>
    <t>Mia用于4500137269/4500137299/4500137817</t>
  </si>
  <si>
    <t>Maggie 用于订单 4500138373 4500138385</t>
  </si>
  <si>
    <t>Emily用于4500136506, 4500136522,  4500136539, 4500136556</t>
  </si>
  <si>
    <t>Taylor用于ROSS订单4500139689</t>
  </si>
  <si>
    <t>用于Willow订单4500139856</t>
  </si>
  <si>
    <t>Mia用于4500139220 CA/4500139232 CA/4500138945/4500139201</t>
  </si>
  <si>
    <t>Tayor用于ROSS订单4500141673以及后续未放单订单</t>
  </si>
  <si>
    <t>Emily用于订单4500144054, 4500144055, 4500144056, 4500144057</t>
  </si>
  <si>
    <t>1000024617</t>
  </si>
  <si>
    <t>Ariel Peng</t>
  </si>
  <si>
    <t>中文版。11款，每款数量2K</t>
  </si>
  <si>
    <t xml:space="preserve">Dona用于订单4500150993 </t>
  </si>
  <si>
    <t>1000024618</t>
  </si>
  <si>
    <t>Hang Tag</t>
  </si>
  <si>
    <t>中文版</t>
  </si>
  <si>
    <t>1000024619</t>
  </si>
  <si>
    <t>Warning Instruction</t>
  </si>
  <si>
    <t>1000024687</t>
  </si>
  <si>
    <t>Maggie 用于订单4500152220及后续订单</t>
  </si>
  <si>
    <t>剩余350pcs后续消耗</t>
  </si>
  <si>
    <t>剩余16850后续消耗</t>
  </si>
  <si>
    <t>1000025679</t>
  </si>
  <si>
    <t>Taylor用于DD'S订单4500156877 以及后续未放单的订单</t>
  </si>
  <si>
    <t>1000025680</t>
  </si>
  <si>
    <t>1000025681</t>
  </si>
  <si>
    <t>C</t>
  </si>
  <si>
    <t>1000028369</t>
  </si>
  <si>
    <t>Mina Pan</t>
  </si>
  <si>
    <t>Elaine Yan用于订单4500167243</t>
  </si>
  <si>
    <t>1000028370</t>
  </si>
  <si>
    <t>余数396</t>
  </si>
  <si>
    <t>1000028371</t>
  </si>
  <si>
    <t>Emily用于TJX PO#4500171907~4500172378 共16张订单</t>
  </si>
  <si>
    <t>Jasmine Hunag</t>
  </si>
  <si>
    <t>实单采购</t>
  </si>
  <si>
    <r>
      <rPr>
        <sz val="10"/>
        <rFont val="宋体"/>
        <charset val="134"/>
      </rPr>
      <t>合计MA数量</t>
    </r>
  </si>
  <si>
    <r>
      <rPr>
        <sz val="10"/>
        <rFont val="宋体"/>
        <charset val="134"/>
      </rPr>
      <t>訂單需求數</t>
    </r>
  </si>
  <si>
    <t>樣板需求</t>
  </si>
  <si>
    <r>
      <rPr>
        <sz val="10"/>
        <rFont val="Arial"/>
        <charset val="0"/>
      </rPr>
      <t>MA</t>
    </r>
    <r>
      <rPr>
        <sz val="10"/>
        <rFont val="宋体"/>
        <charset val="134"/>
      </rPr>
      <t>庫存數</t>
    </r>
  </si>
  <si>
    <t>实际订购</t>
  </si>
  <si>
    <t>巧克力慕斯</t>
  </si>
  <si>
    <t>水果挞</t>
  </si>
  <si>
    <t>夹心巧克力酥球</t>
  </si>
  <si>
    <t>樱桃巧克力蛋糕</t>
  </si>
  <si>
    <t>草莓蛋糕</t>
  </si>
  <si>
    <t>苹果派</t>
  </si>
  <si>
    <t>杏仁芝士蛋糕</t>
  </si>
  <si>
    <t>生产工厂：兴信</t>
  </si>
  <si>
    <t>模号                          Mold No.</t>
  </si>
  <si>
    <t>产品名称                                         Product Name</t>
  </si>
  <si>
    <t>产品ID</t>
  </si>
  <si>
    <t>配件名称                 
Part Name</t>
  </si>
  <si>
    <t>总用量</t>
  </si>
  <si>
    <t>Minis 1</t>
  </si>
  <si>
    <t>Minis1用量</t>
  </si>
  <si>
    <t>Minis2</t>
  </si>
  <si>
    <t>Minis2用量</t>
  </si>
  <si>
    <t>Minis3</t>
  </si>
  <si>
    <t>Minis3用量</t>
  </si>
  <si>
    <t>Minis4</t>
  </si>
  <si>
    <t>Minis4用量</t>
  </si>
  <si>
    <t>Minis5</t>
  </si>
  <si>
    <t>Minis5用量</t>
  </si>
  <si>
    <t>Minis6</t>
  </si>
  <si>
    <t>Minis6用量</t>
  </si>
  <si>
    <t>Minis7</t>
  </si>
  <si>
    <t>Minis7用量</t>
  </si>
  <si>
    <t>Minis8</t>
  </si>
  <si>
    <t>Minis8用量</t>
  </si>
  <si>
    <t>Minis9</t>
  </si>
  <si>
    <t>Minis9用量</t>
  </si>
  <si>
    <t>Minis10</t>
  </si>
  <si>
    <t>Minis10用量</t>
  </si>
  <si>
    <t>Minis11</t>
  </si>
  <si>
    <t>Minis11用量</t>
  </si>
  <si>
    <t>球</t>
  </si>
  <si>
    <t>Capacity</t>
  </si>
  <si>
    <t>蛋糕台模</t>
  </si>
  <si>
    <t>餐具模</t>
  </si>
  <si>
    <t>透明模</t>
  </si>
  <si>
    <t>盘子模</t>
  </si>
  <si>
    <t>瓶嘴模1</t>
  </si>
  <si>
    <t>瓶嘴模2</t>
  </si>
  <si>
    <t>瓶盖模</t>
  </si>
  <si>
    <t>水果1</t>
  </si>
  <si>
    <t>水果2</t>
  </si>
  <si>
    <t>草莓</t>
  </si>
  <si>
    <t>树莓</t>
  </si>
  <si>
    <t>果干</t>
  </si>
  <si>
    <t>泡芙</t>
  </si>
  <si>
    <t>肉</t>
  </si>
  <si>
    <t>薄荷</t>
  </si>
  <si>
    <r>
      <rPr>
        <b/>
        <sz val="10"/>
        <color theme="1"/>
        <rFont val="Times New Roman"/>
        <charset val="134"/>
      </rPr>
      <t xml:space="preserve">PDQ Demo </t>
    </r>
    <r>
      <rPr>
        <b/>
        <sz val="10"/>
        <color theme="1"/>
        <rFont val="宋体"/>
        <charset val="134"/>
      </rPr>
      <t>数量</t>
    </r>
  </si>
  <si>
    <t>请外购相同数量的餐垫</t>
  </si>
  <si>
    <r>
      <rPr>
        <sz val="10"/>
        <color theme="1"/>
        <rFont val="宋体"/>
        <charset val="134"/>
      </rPr>
      <t>用量</t>
    </r>
    <r>
      <rPr>
        <sz val="10"/>
        <color theme="1"/>
        <rFont val="Times New Roman"/>
        <charset val="134"/>
      </rPr>
      <t>Double,</t>
    </r>
    <r>
      <rPr>
        <sz val="10"/>
        <color theme="1"/>
        <rFont val="宋体"/>
        <charset val="134"/>
      </rPr>
      <t>一部分用来做蛋糕，一部分用作展示</t>
    </r>
  </si>
  <si>
    <t>Number</t>
  </si>
  <si>
    <t>Product Description</t>
  </si>
  <si>
    <t>中文名称</t>
  </si>
  <si>
    <t>Product Image</t>
  </si>
  <si>
    <t>MA Ratio</t>
  </si>
  <si>
    <t>生产MA</t>
  </si>
  <si>
    <t>接单数量</t>
  </si>
  <si>
    <r>
      <rPr>
        <b/>
        <sz val="10"/>
        <color theme="1"/>
        <rFont val="Arial"/>
        <charset val="134"/>
      </rPr>
      <t xml:space="preserve">GQ5-S004 SK-S003 </t>
    </r>
    <r>
      <rPr>
        <b/>
        <sz val="10"/>
        <color theme="1"/>
        <rFont val="宋体"/>
        <charset val="134"/>
      </rPr>
      <t>删除组合</t>
    </r>
    <r>
      <rPr>
        <b/>
        <sz val="10"/>
        <color theme="1"/>
        <rFont val="Arial"/>
        <charset val="134"/>
      </rPr>
      <t>10</t>
    </r>
  </si>
  <si>
    <t>特殊配比总接单数量</t>
  </si>
  <si>
    <r>
      <rPr>
        <b/>
        <sz val="14"/>
        <rFont val="宋体"/>
        <charset val="134"/>
      </rPr>
      <t>剩余</t>
    </r>
    <r>
      <rPr>
        <b/>
        <sz val="14"/>
        <rFont val="Times New Roman"/>
        <charset val="134"/>
      </rPr>
      <t>MA</t>
    </r>
    <r>
      <rPr>
        <b/>
        <sz val="14"/>
        <rFont val="宋体"/>
        <charset val="134"/>
      </rPr>
      <t>数量</t>
    </r>
  </si>
  <si>
    <t>24 Pack</t>
  </si>
  <si>
    <t>13 PDQ</t>
  </si>
  <si>
    <t>25 PDQ</t>
  </si>
  <si>
    <t>30SK</t>
  </si>
  <si>
    <t>60SK</t>
  </si>
  <si>
    <t>21SK</t>
  </si>
  <si>
    <t>包装要求</t>
  </si>
  <si>
    <t>1.此项目为固定搭配比例出货</t>
  </si>
  <si>
    <t>热带水果糕</t>
  </si>
  <si>
    <t>2.每张订单必须所有款式都包含，出货比例参考右边Ratio List</t>
  </si>
  <si>
    <t>夏日水果挞</t>
  </si>
  <si>
    <t>3.24pcs/ctn，每箱10款Common 款必须全部包含，且每款数量不能超过4只，Rare 款需要保证每2箱至少有1只。</t>
  </si>
  <si>
    <t>巧克力泡芙</t>
  </si>
  <si>
    <r>
      <rPr>
        <sz val="12"/>
        <color theme="1"/>
        <rFont val="宋体"/>
        <charset val="134"/>
        <scheme val="minor"/>
      </rPr>
      <t>4.25pcs/PDQ,2PDQ/CTN, 每个PDQ需要10款Common 款必须全部包含，且每款数量不能超过4只，Rare 款需要保证每1箱至少有1只</t>
    </r>
    <r>
      <rPr>
        <sz val="12"/>
        <color rgb="FFFF0000"/>
        <rFont val="宋体"/>
        <charset val="134"/>
        <scheme val="minor"/>
      </rPr>
      <t>（即每2PDQ内至少有1只Rare 款）</t>
    </r>
    <r>
      <rPr>
        <sz val="12"/>
        <color theme="1"/>
        <rFont val="宋体"/>
        <charset val="134"/>
        <scheme val="minor"/>
      </rPr>
      <t>。</t>
    </r>
  </si>
  <si>
    <t>Demo</t>
  </si>
  <si>
    <r>
      <rPr>
        <sz val="12"/>
        <color theme="1"/>
        <rFont val="宋体"/>
        <charset val="134"/>
        <scheme val="minor"/>
      </rPr>
      <t>5.13pcs/PDQ,4PDQ/CTN,每个PDQ需要10款Common 款必须全部包含，且每款数量不能超过2只，Rare 款需要保证每1箱至少有1只。</t>
    </r>
    <r>
      <rPr>
        <sz val="12"/>
        <color rgb="FFFF0000"/>
        <rFont val="宋体"/>
        <charset val="134"/>
        <scheme val="minor"/>
      </rPr>
      <t>（即每4PDQ内至少有1只Rare 款）</t>
    </r>
  </si>
  <si>
    <r>
      <rPr>
        <sz val="12"/>
        <color theme="1"/>
        <rFont val="宋体"/>
        <charset val="134"/>
        <scheme val="minor"/>
      </rPr>
      <t>6.30pcs/Sidekick/CTN，每箱10款Common 款必须全部包含，且每款数量不能超过4只，Rare 款需要保证</t>
    </r>
    <r>
      <rPr>
        <sz val="12"/>
        <color rgb="FFFF0000"/>
        <rFont val="宋体"/>
        <charset val="134"/>
        <scheme val="minor"/>
      </rPr>
      <t>每2箱</t>
    </r>
    <r>
      <rPr>
        <sz val="12"/>
        <color theme="1"/>
        <rFont val="宋体"/>
        <charset val="134"/>
        <scheme val="minor"/>
      </rPr>
      <t>至少有1只。</t>
    </r>
  </si>
  <si>
    <t>7. 60pcs/Sidekick/CTN，每箱10款Common 款必须全部包含，且每款数量不能超过7只，Rare 款需要保证每1箱至少有1只。</t>
  </si>
  <si>
    <r>
      <rPr>
        <b/>
        <sz val="11"/>
        <color theme="1"/>
        <rFont val="宋体"/>
        <charset val="134"/>
      </rPr>
      <t>杏仁</t>
    </r>
    <r>
      <rPr>
        <b/>
        <sz val="11"/>
        <color theme="1"/>
        <rFont val="Times New Roman"/>
        <charset val="134"/>
      </rPr>
      <t xml:space="preserve">&amp;
</t>
    </r>
    <r>
      <rPr>
        <b/>
        <sz val="11"/>
        <color theme="1"/>
        <rFont val="宋体"/>
        <charset val="134"/>
      </rPr>
      <t>杏芝士蛋糕</t>
    </r>
  </si>
  <si>
    <t>8.21pcs/PDQ,1PDQ/CTN,每个PDQ需要10款Common 款必须全部包含，且每款数量不能超过4只，Rare 款需要保证每2箱至少有1只（即每2PDQ内至少有1只Rare 款）。</t>
  </si>
  <si>
    <t>釉面羊肉</t>
  </si>
  <si>
    <r>
      <rPr>
        <sz val="12"/>
        <color theme="1"/>
        <rFont val="宋体"/>
        <charset val="134"/>
        <scheme val="minor"/>
      </rPr>
      <t>9.由于不能保证100%装箱不重</t>
    </r>
    <r>
      <rPr>
        <sz val="12"/>
        <rFont val="宋体"/>
        <charset val="134"/>
        <scheme val="minor"/>
      </rPr>
      <t>复，故装箱种类不作要求。</t>
    </r>
    <r>
      <rPr>
        <sz val="12"/>
        <color rgb="FFFF0000"/>
        <rFont val="宋体"/>
        <charset val="134"/>
        <scheme val="minor"/>
      </rPr>
      <t>Rare款为MASCM-S1-007，用量约1/34</t>
    </r>
  </si>
  <si>
    <r>
      <rPr>
        <b/>
        <sz val="11"/>
        <color theme="1"/>
        <rFont val="宋体"/>
        <charset val="134"/>
      </rPr>
      <t>酿猪里脊肉</t>
    </r>
    <r>
      <rPr>
        <b/>
        <sz val="11"/>
        <color theme="1"/>
        <rFont val="Times New Roman"/>
        <charset val="134"/>
      </rPr>
      <t xml:space="preserve">
</t>
    </r>
    <r>
      <rPr>
        <b/>
        <sz val="11"/>
        <color theme="1"/>
        <rFont val="宋体"/>
        <charset val="134"/>
      </rPr>
      <t>烤土豆</t>
    </r>
  </si>
  <si>
    <t>ZURU  （77773 Mini Brands 迷你球DIY厨艺系列）生产排期表</t>
  </si>
  <si>
    <r>
      <rPr>
        <sz val="11"/>
        <color rgb="FFFF0000"/>
        <rFont val="宋体"/>
        <charset val="0"/>
      </rPr>
      <t>由于欧洲微塑料法规更新，</t>
    </r>
    <r>
      <rPr>
        <sz val="11"/>
        <color rgb="FFFF0000"/>
        <rFont val="Arial"/>
        <charset val="0"/>
      </rPr>
      <t>77773-MINI BRANDS-MasterChef-S2-</t>
    </r>
    <r>
      <rPr>
        <sz val="11"/>
        <color rgb="FFFF0000"/>
        <rFont val="宋体"/>
        <charset val="0"/>
      </rPr>
      <t>黑白说明书更新</t>
    </r>
    <r>
      <rPr>
        <sz val="11"/>
        <color rgb="FFFF0000"/>
        <rFont val="Arial"/>
        <charset val="0"/>
      </rPr>
      <t>B</t>
    </r>
    <r>
      <rPr>
        <sz val="11"/>
        <color rgb="FFFF0000"/>
        <rFont val="宋体"/>
        <charset val="0"/>
      </rPr>
      <t>版，出欧盟的订单即日起立刻切换B版，非欧盟地区继续消耗A版库存。分别是：法国、意大利、德国、希腊、瑞典、荷兰、丹麦、西班牙、比利时、克罗地亚、匈牙利、斯洛伐克、葡萄牙、奥地利、卢森堡、斯洛文尼亚、保加利亚、爱沙尼亚、马耳他、罗马尼亚、塞浦路斯、波兰、捷克、拉脱维亚、芬兰。</t>
    </r>
  </si>
  <si>
    <t>UV灯黑白说明</t>
  </si>
  <si>
    <t>MA 版本</t>
  </si>
  <si>
    <t>GQ2</t>
  </si>
  <si>
    <t>GQ3</t>
  </si>
  <si>
    <t>GQ4</t>
  </si>
  <si>
    <r>
      <rPr>
        <b/>
        <sz val="11"/>
        <rFont val="Arial"/>
        <charset val="0"/>
      </rPr>
      <t xml:space="preserve">SK/SK1-S001 60PCS </t>
    </r>
    <r>
      <rPr>
        <b/>
        <sz val="11"/>
        <rFont val="宋体"/>
        <charset val="0"/>
      </rPr>
      <t>不含底座</t>
    </r>
    <r>
      <rPr>
        <b/>
        <sz val="11"/>
        <rFont val="Arial"/>
        <charset val="0"/>
      </rPr>
      <t xml:space="preserve"> </t>
    </r>
    <r>
      <rPr>
        <b/>
        <sz val="11"/>
        <rFont val="宋体"/>
        <charset val="0"/>
      </rPr>
      <t>配挂钩</t>
    </r>
    <r>
      <rPr>
        <b/>
        <sz val="11"/>
        <rFont val="Arial"/>
        <charset val="0"/>
      </rPr>
      <t xml:space="preserve">
SK/SK1-S002 60PCS </t>
    </r>
    <r>
      <rPr>
        <b/>
        <sz val="11"/>
        <rFont val="宋体"/>
        <charset val="0"/>
      </rPr>
      <t>含底座</t>
    </r>
  </si>
  <si>
    <t>2PK</t>
  </si>
  <si>
    <t>其他</t>
  </si>
  <si>
    <t>样板</t>
  </si>
  <si>
    <t>日期码</t>
  </si>
  <si>
    <t>系统出单</t>
  </si>
  <si>
    <t>回货情况</t>
  </si>
  <si>
    <t>散件/样板/空球壳</t>
  </si>
  <si>
    <t>中文配比</t>
  </si>
  <si>
    <r>
      <rPr>
        <b/>
        <sz val="11"/>
        <rFont val="Arial"/>
        <charset val="0"/>
      </rPr>
      <t>MA  1</t>
    </r>
    <r>
      <rPr>
        <b/>
        <sz val="11"/>
        <rFont val="宋体"/>
        <charset val="0"/>
      </rPr>
      <t>语</t>
    </r>
  </si>
  <si>
    <r>
      <rPr>
        <b/>
        <sz val="11"/>
        <color rgb="FFFF0000"/>
        <rFont val="Arial"/>
        <charset val="0"/>
      </rPr>
      <t>MA  3</t>
    </r>
    <r>
      <rPr>
        <b/>
        <sz val="11"/>
        <color rgb="FFFF0000"/>
        <rFont val="宋体"/>
        <charset val="0"/>
      </rPr>
      <t>语</t>
    </r>
  </si>
  <si>
    <r>
      <rPr>
        <b/>
        <sz val="11"/>
        <color rgb="FF0000FF"/>
        <rFont val="Arial"/>
        <charset val="0"/>
      </rPr>
      <t>3L</t>
    </r>
    <r>
      <rPr>
        <b/>
        <sz val="11"/>
        <color rgb="FF0000FF"/>
        <rFont val="宋体"/>
        <charset val="0"/>
      </rPr>
      <t>无</t>
    </r>
    <r>
      <rPr>
        <b/>
        <sz val="11"/>
        <color rgb="FF0000FF"/>
        <rFont val="Arial"/>
        <charset val="0"/>
      </rPr>
      <t>UPC</t>
    </r>
    <r>
      <rPr>
        <b/>
        <sz val="11"/>
        <color rgb="FF0000FF"/>
        <rFont val="宋体"/>
        <charset val="0"/>
      </rPr>
      <t>版收缩膜</t>
    </r>
  </si>
  <si>
    <t>中文版收缩膜</t>
  </si>
  <si>
    <t>MA  5L</t>
  </si>
  <si>
    <r>
      <rPr>
        <b/>
        <sz val="11"/>
        <rFont val="宋体"/>
        <charset val="0"/>
      </rPr>
      <t>中文收藏指南</t>
    </r>
    <r>
      <rPr>
        <b/>
        <sz val="11"/>
        <rFont val="Arial"/>
        <charset val="0"/>
      </rPr>
      <t>+</t>
    </r>
    <r>
      <rPr>
        <b/>
        <sz val="11"/>
        <rFont val="宋体"/>
        <charset val="0"/>
      </rPr>
      <t>吊牌</t>
    </r>
    <r>
      <rPr>
        <b/>
        <sz val="11"/>
        <rFont val="Arial"/>
        <charset val="0"/>
      </rPr>
      <t>+</t>
    </r>
    <r>
      <rPr>
        <b/>
        <sz val="11"/>
        <rFont val="宋体"/>
        <charset val="0"/>
      </rPr>
      <t>说明书</t>
    </r>
  </si>
  <si>
    <r>
      <rPr>
        <b/>
        <sz val="11"/>
        <rFont val="Arial"/>
        <charset val="0"/>
      </rPr>
      <t>A</t>
    </r>
    <r>
      <rPr>
        <b/>
        <sz val="11"/>
        <rFont val="宋体"/>
        <charset val="0"/>
      </rPr>
      <t>版本</t>
    </r>
    <r>
      <rPr>
        <b/>
        <sz val="11"/>
        <rFont val="Arial"/>
        <charset val="0"/>
      </rPr>
      <t>-31W</t>
    </r>
    <r>
      <rPr>
        <b/>
        <sz val="11"/>
        <rFont val="宋体"/>
        <charset val="0"/>
      </rPr>
      <t>库存</t>
    </r>
  </si>
  <si>
    <r>
      <rPr>
        <b/>
        <sz val="11"/>
        <color rgb="FF7030A0"/>
        <rFont val="Arial"/>
        <charset val="0"/>
      </rPr>
      <t>B</t>
    </r>
    <r>
      <rPr>
        <b/>
        <sz val="11"/>
        <color rgb="FF7030A0"/>
        <rFont val="宋体"/>
        <charset val="0"/>
      </rPr>
      <t>版本</t>
    </r>
  </si>
  <si>
    <t>寿司款专用黑白说明书</t>
  </si>
  <si>
    <r>
      <rPr>
        <b/>
        <sz val="11"/>
        <color rgb="FF1C05ED"/>
        <rFont val="Arial"/>
        <charset val="0"/>
      </rPr>
      <t>WEE</t>
    </r>
    <r>
      <rPr>
        <b/>
        <sz val="11"/>
        <color rgb="FF1C05ED"/>
        <rFont val="宋体"/>
        <charset val="0"/>
      </rPr>
      <t>黑白说明书</t>
    </r>
  </si>
  <si>
    <r>
      <rPr>
        <b/>
        <sz val="11"/>
        <color rgb="FF1C05ED"/>
        <rFont val="宋体"/>
        <charset val="0"/>
      </rPr>
      <t>通用</t>
    </r>
    <r>
      <rPr>
        <b/>
        <sz val="11"/>
        <color rgb="FF1C05ED"/>
        <rFont val="Arial"/>
        <charset val="0"/>
      </rPr>
      <t>IFUD</t>
    </r>
    <r>
      <rPr>
        <b/>
        <sz val="11"/>
        <color rgb="FF1C05ED"/>
        <rFont val="宋体"/>
        <charset val="0"/>
      </rPr>
      <t>的说明书</t>
    </r>
  </si>
  <si>
    <t>客版保证书</t>
  </si>
  <si>
    <t>GQ1 13pcs 1L</t>
  </si>
  <si>
    <t>GQ1 13pcs 3L</t>
  </si>
  <si>
    <t>中文版本</t>
  </si>
  <si>
    <t>GQ2 25pcs 1L</t>
  </si>
  <si>
    <t>GQ2 25pcs 3L</t>
  </si>
  <si>
    <r>
      <rPr>
        <sz val="11"/>
        <color rgb="FF0000FF"/>
        <rFont val="Arial"/>
        <charset val="0"/>
      </rPr>
      <t xml:space="preserve">WM </t>
    </r>
    <r>
      <rPr>
        <sz val="11"/>
        <color rgb="FF0000FF"/>
        <rFont val="宋体"/>
        <charset val="0"/>
      </rPr>
      <t>客版</t>
    </r>
  </si>
  <si>
    <r>
      <rPr>
        <sz val="11"/>
        <color rgb="FF0000FF"/>
        <rFont val="Arial"/>
        <charset val="0"/>
      </rPr>
      <t xml:space="preserve">Walgreens </t>
    </r>
    <r>
      <rPr>
        <sz val="11"/>
        <color rgb="FF0000FF"/>
        <rFont val="宋体"/>
        <charset val="0"/>
      </rPr>
      <t>客版</t>
    </r>
  </si>
  <si>
    <t>SK 1L底座</t>
  </si>
  <si>
    <t>SK 1L</t>
  </si>
  <si>
    <r>
      <rPr>
        <sz val="11"/>
        <color rgb="FFFF0000"/>
        <rFont val="Arial"/>
        <charset val="0"/>
      </rPr>
      <t>SK 3L</t>
    </r>
    <r>
      <rPr>
        <sz val="11"/>
        <color rgb="FFFF0000"/>
        <rFont val="宋体"/>
        <charset val="0"/>
      </rPr>
      <t>底座</t>
    </r>
  </si>
  <si>
    <t>SK 3L</t>
  </si>
  <si>
    <r>
      <rPr>
        <sz val="11"/>
        <color rgb="FF000000"/>
        <rFont val="Arial"/>
        <charset val="0"/>
      </rPr>
      <t>SK1 1L</t>
    </r>
    <r>
      <rPr>
        <sz val="11"/>
        <color rgb="FF000000"/>
        <rFont val="宋体"/>
        <charset val="0"/>
      </rPr>
      <t>底座</t>
    </r>
  </si>
  <si>
    <t>SK1 1L</t>
  </si>
  <si>
    <r>
      <rPr>
        <sz val="11"/>
        <color rgb="FFFF0000"/>
        <rFont val="Arial"/>
        <charset val="0"/>
      </rPr>
      <t>SK1 3L</t>
    </r>
    <r>
      <rPr>
        <sz val="11"/>
        <color rgb="FFFF0000"/>
        <rFont val="宋体"/>
        <charset val="0"/>
      </rPr>
      <t>底座</t>
    </r>
  </si>
  <si>
    <t>SK1 3L</t>
  </si>
  <si>
    <t>3L 彩纸 179751</t>
  </si>
  <si>
    <t>PP</t>
  </si>
  <si>
    <t>77773-S001</t>
  </si>
  <si>
    <t>2-DIY 24PCS/CTN</t>
  </si>
  <si>
    <t>ZMPO250529</t>
  </si>
  <si>
    <t>Remark:跟PP订单一起安排/大货标准箱装箱/箱唛请参照邮件附件;备注：收到样品订单后尽快安排 ，注意样板品质质量要求要高于大货品质要求 ，送货时必须要附带送货单(没有送货单和QC检验合格报告的仓库一律拒绝收货)，请知悉，谢谢！</t>
  </si>
  <si>
    <t>97093-11.29</t>
  </si>
  <si>
    <t>10套散件</t>
  </si>
  <si>
    <t>Remark:跟PP订单一起安排/只需要齐全套三散件/麻烦用胶袋分装好一套为一袋/箱唛请参照邮件附件;备注：收到样品订单后尽快安排 ，注意样板品质质量要求要高于大货品质要求 ，送货时必须要附带送货单(没有送货单和QC检验合格报告的仓库一律拒绝收货)，请知悉，谢谢！</t>
  </si>
  <si>
    <t>77773GQ1-S001</t>
  </si>
  <si>
    <t>20个空GQ1</t>
  </si>
  <si>
    <t>已送</t>
  </si>
  <si>
    <t>Remark:跟PP订单一起安排/请配齐PDQ上原有的Demo+吸塑;备注：收到样品订单后尽快安排 ，注意样板品质质量要求要高于大货品质要求 ，送货时必须要附带送货单(没有送货单和QC检验合格报告的仓库一律拒绝收货)，请知悉，谢谢！</t>
  </si>
  <si>
    <t>77773GQ2-S001</t>
  </si>
  <si>
    <t>20个空GQ2</t>
  </si>
  <si>
    <t>WALMART INC.</t>
  </si>
  <si>
    <t>0938210495</t>
  </si>
  <si>
    <t>4500177106-10</t>
  </si>
  <si>
    <t>77773GQ3-S001</t>
  </si>
  <si>
    <t>2-DIY 16PCS/GQ3/CTN</t>
  </si>
  <si>
    <t>9/24抽办 10/9 BV</t>
  </si>
  <si>
    <t>9/2 RFID</t>
  </si>
  <si>
    <t>REP</t>
  </si>
  <si>
    <t>日期码格式：ZURU DGYYYYMMDD CHINA(日期避开周末和法定节假日即可） 日期：按实际生产日期
Packaging Info: 77773GQ3-S001
1. 包装要求：
77773：MA 1L A版收缩膜+MA 5L A版收藏指南+MA 23L A版说明书+MA A版纸袋+客版 1L A版PDQ
每pcs产品要贴一张RFID贴纸，RFID贴纸由ZURU提供，贴纸位置要严格按照客人签板
Remark: 77773GQ3-S001
1. 包装要求：
77773：MA 1L A版收缩膜+MA 5L A版收藏指南+MA 23L A版说明书+MA A版纸袋+客版 1L A版PDQ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此单需要抽板和验货，抽板时间预计9/22，请多备料
6. 此单以loose carton出货，16pcs/PDQ/CTN</t>
  </si>
  <si>
    <t>ZB02971-11.19</t>
  </si>
  <si>
    <t>10001444618-3891</t>
  </si>
  <si>
    <t>4500177334-20</t>
  </si>
  <si>
    <t>77773GQ2-S002</t>
  </si>
  <si>
    <t>2-DIY 25PCS/GQ2/CTN</t>
  </si>
  <si>
    <t>10/9 客上柜</t>
  </si>
  <si>
    <t>9/5条码箱贴纸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</si>
  <si>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4. 外箱正唛信息右侧空白位置粘贴一张Event label贴纸，贴纸内容显示：Toys Set Date：1/11/2026；由工厂自己订购；
5. 产品和包装上印刷 tracking code信息，格式为ZURU常规格式;
6. 出货方式：货代自提</t>
  </si>
  <si>
    <t>ZB02960-11.19</t>
  </si>
  <si>
    <t>0936942321</t>
  </si>
  <si>
    <t>4500177107-10</t>
  </si>
  <si>
    <t>10/13 BV</t>
  </si>
  <si>
    <t>10/29 截Si</t>
  </si>
  <si>
    <t>9/2RFID+粉色艾利贴纸</t>
  </si>
  <si>
    <t>MOD</t>
  </si>
  <si>
    <t>日期码格式：ZURU DGYYYYMMDD CHINA(日期避开周末和法定节假日即可） 日期：按实际生产日期
Packaging Info: 77773GQ3-S001
1. 包装要求：
77773：MA 1L A版收缩膜+MA 5L A版收藏指南+MA 23L A版说明书+MA A版纸袋+客版 1L A版PDQ
每pcs产品要贴一张RFID贴纸，RFID贴纸由ZURU提供，贴纸位置要严格按照客人签板
Remark: 77773GQ3-S001
1. 包装要求：
77773：MA 1L A版收缩膜+MA 5L A版收藏指南+MA 23L A版说明书+MA A版纸袋+客版 1L A版PDQ
每pcs产品要贴一张RFID贴纸，RFID贴纸由ZURU提供，贴纸位置要严格按照客人签板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carton出货，16pcs/PDQ/CTN</t>
  </si>
  <si>
    <t>ZB02968-11.19</t>
  </si>
  <si>
    <t>0938210476</t>
  </si>
  <si>
    <t>4500177643-40</t>
  </si>
  <si>
    <t>10/24 截SI</t>
  </si>
  <si>
    <t>日期码格式：ZURU DGYYYYMMDD CHINA(日期避开周末和法定节假日即可） 日期：按实际生产日期
Packaging Info: 77773
1. 包装要求：
77773：MA 1L A版收缩膜+MA 5L A版收藏指南+MA 23L A版说明书+MA A版纸袋+客版 1L A版PDQ，翻单：4500177106
每pcs产品要贴一张RFID贴纸，RFID贴纸由ZURU提供，贴纸位置要严格按照客人签板
Remark: 77773
1. 包装要求：
77773：MA 1L A版收缩膜+MA 5L A版收藏指南+MA 23L A版说明书+MA A版纸袋+客版 1L A版PDQ，翻单：4500177106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</si>
  <si>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ZB02983-11.19</t>
  </si>
  <si>
    <t>0938210505</t>
  </si>
  <si>
    <t>4500177643-50</t>
  </si>
  <si>
    <t>ZB02984-11.19</t>
  </si>
  <si>
    <t>0938210540</t>
  </si>
  <si>
    <t>4500177643-60</t>
  </si>
  <si>
    <t>10001444616-3890</t>
  </si>
  <si>
    <t>4500177333-20</t>
  </si>
  <si>
    <t>10/20 截SI</t>
  </si>
  <si>
    <t>9/12 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</si>
  <si>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4. 外箱正唛信息右侧空白位置粘贴一张Event label贴纸，贴纸内容显示：Toys Set Date：1/11/2026；由工厂自己订购；
5. 产品和包装上印刷 tracking code信息，格式为ZURU常规格式;
6. 出货方式：货代自提</t>
  </si>
  <si>
    <t>ZB02961-11.19</t>
  </si>
  <si>
    <t>0936942268</t>
  </si>
  <si>
    <t>4500177108-10</t>
  </si>
  <si>
    <t>10/16 BV</t>
  </si>
  <si>
    <t>ZB02967-11.19</t>
  </si>
  <si>
    <t>0936942329</t>
  </si>
  <si>
    <t>4500177108-20</t>
  </si>
  <si>
    <t>ZB02966-11.19</t>
  </si>
  <si>
    <t>0938210477</t>
  </si>
  <si>
    <t>4500177644-20</t>
  </si>
  <si>
    <t>10/28截SI</t>
  </si>
  <si>
    <t>9/2RFID</t>
  </si>
  <si>
    <t>日期码格式：ZURU DGYYYYMMDD CHINA(日期避开周末和法定节假日即可） 日期：按实际生产日期
Packaging Info:77773
1. 包装要求：
77773：MA 1L A版收缩膜+MA 5L A版收藏指南+MA 23L A版说明书+MA A版纸袋+客版 1L A版PDQ，翻单：4500177106
每pcs产品要贴一张RFID贴纸，RFID贴纸由ZURU提供，贴纸位置要严格按照客人签板
Remark:77773
1. 包装要求：
77773：MA 1L A版收缩膜+MA 5L A版收藏指南+MA 23L A版说明书+MA A版纸袋+客版 1L A版PDQ，翻单：4500177106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</si>
  <si>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ZB02995-11.19</t>
  </si>
  <si>
    <t>10001493622-3891</t>
  </si>
  <si>
    <t>4500177938-40</t>
  </si>
  <si>
    <t>10/22 客上柜</t>
  </si>
  <si>
    <t>9/22条码箱贴纸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</si>
  <si>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以上所以item均：
1. 产品和包装上均要印刷tracking code信息，格式为ZURU常规格式;
2. 出货方式：货代自提</t>
  </si>
  <si>
    <t>ZB02957-11.19</t>
  </si>
  <si>
    <t>SMYTHS TOYS EU HQ UC</t>
  </si>
  <si>
    <t>4400499613</t>
  </si>
  <si>
    <t>4500176500-10</t>
  </si>
  <si>
    <t>9/10德意荷警语贴纸+8/22 地址贴纸</t>
  </si>
  <si>
    <t>日期码格式：ZURU INC(BVI) 标准格式 日期：按实际生产日期
Packaging Info: 77773GQ2:MA-3L-EAN收缩膜+德语call out/德意荷警语贴纸+MA 23L 说明书+MA-5L 收藏指南/纸袋+MA -3L- PDQ+B版带电池走货欧洲通用30L说明书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</si>
  <si>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77773GQ2-S002-3L</t>
  </si>
  <si>
    <t>4500176504-10</t>
  </si>
  <si>
    <t>日期码格式：ZURU INC(BVI) 标准格式 日期：按实际生产日期
Packaging Info: 77773GQ2:MA 3L-EAN收缩膜+德语call out/德意荷警语贴纸（翻4500176500）+MA 23L 说明书+MA 5L 收藏指南/纸袋+MA-3L- PDQ+B版带电池走货欧洲通用30L说明
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</si>
  <si>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ZURU FRANCE</t>
  </si>
  <si>
    <t>4500176669-10</t>
  </si>
  <si>
    <t>77773GQ1-S002-MTS</t>
  </si>
  <si>
    <t>2-DIY 13PCS/GQ1/CTN</t>
  </si>
  <si>
    <t>9/2多语警语折叠贴纸</t>
  </si>
  <si>
    <t>外箱/产品/包装尽量保持一致</t>
  </si>
  <si>
    <t>日期码格式：ZURU INC(BVI) 标准格式 日期：按实际生产日期
Packaging Info: 1. 77773GQ1:最新MA 3L收缩膜+最新MA 5L收藏指南+最新MA 5L BAG+最新MA23L说明书+最新MA PDQ+一张多语警语折叠贴纸（含缺失的意/法/西环保标）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 MTS所有订单，SMASHERS 或含Slime产品，所有化合物使用无硼版本出；如有香味产品，出无香版本; BOB系列要符合欧洲要求不含亚硝酸版本; XShot Hyper系列
，统一出EN71版本；Slime Mart统一用EUR版本的包装。</t>
  </si>
  <si>
    <t>77773GQ1-S002-3L</t>
  </si>
  <si>
    <t>4500176669-70</t>
  </si>
  <si>
    <t>77773SK1-S002-MTS</t>
  </si>
  <si>
    <t>2-DIY 30PCS/SK1/CTN-带底座</t>
  </si>
  <si>
    <t>日期码格式：ZURU INC(BVI) 标准格式 日期：按实际生产日期
Packaging Info:
2. 77773SK1:最新MA 3L收缩膜+最新MA 5L收藏指南+最新MA 5L BAG+最新MA23L说明书+最新MA 展示架+一张多语警语折叠贴纸（含缺失的意/法/西环保标）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 MTS所有订单，SMASHERS 或含Slime产品，所有化合物使用无硼版本出；如有香味产品，出无香版本; BOB系列要符合欧洲要求不含亚硝酸版本; XShot Hyper系列
，统一出EN71版本；Slime Mart统一用EUR版本的包装。</t>
  </si>
  <si>
    <t>77773SK1-S002-3L</t>
  </si>
  <si>
    <t>0936942241</t>
  </si>
  <si>
    <t>4500177109-10</t>
  </si>
  <si>
    <t>10/21 BV</t>
  </si>
  <si>
    <t>ZB02970-11.19</t>
  </si>
  <si>
    <t>0936942315</t>
  </si>
  <si>
    <t>4500177109-20</t>
  </si>
  <si>
    <t>ZB02969-11.19</t>
  </si>
  <si>
    <t>4500177481-10</t>
  </si>
  <si>
    <t>77773GQ1-S002</t>
  </si>
  <si>
    <t>10/23 截仓</t>
  </si>
  <si>
    <t>ZBO2872-11.10</t>
  </si>
  <si>
    <t>4500177483-10</t>
  </si>
  <si>
    <t>ZBO2871-11.10</t>
  </si>
  <si>
    <t>4500178134-30</t>
  </si>
  <si>
    <t>10/22 BV</t>
  </si>
  <si>
    <t>9/8RFID</t>
  </si>
  <si>
    <t>日期码格式：ZURU DGYYYYMMDD CHINA(日期避开周末和法定节假日即可） 日期：按实际生产日期
Packaging Info: 77773
1. 包装要求：
77773：MA 1L A版收缩膜+MA 5L A版收藏指南+MA 23L A版说明书+MA A版纸袋+客版 1L A版PDQ，翻单：4500177106
每pcs产品要贴一张RFID贴纸，RFID贴纸由ZURU提供，贴纸位置要严格按照客人签板
Remark:77773
1. 包装要求：
77773：MA 1L A版收缩膜+MA 5L A版收藏指南+MA 23L A版说明书+MA A版纸袋+客版 1L A版PDQ，翻单：4500177106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</si>
  <si>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ZB02975-11.19</t>
  </si>
  <si>
    <t>0938210515</t>
  </si>
  <si>
    <t>4500178134-40</t>
  </si>
  <si>
    <t>ZB02976-11.19</t>
  </si>
  <si>
    <t>0938210519</t>
  </si>
  <si>
    <t>4500178134-50</t>
  </si>
  <si>
    <t>11/1 截SI</t>
  </si>
  <si>
    <t>ZB02978-11.19</t>
  </si>
  <si>
    <t>0938210538</t>
  </si>
  <si>
    <t>4500178134-60</t>
  </si>
  <si>
    <t>10/31 截SI</t>
  </si>
  <si>
    <t>ZB02979-11.19</t>
  </si>
  <si>
    <t>0938210543</t>
  </si>
  <si>
    <t>4500178134-70</t>
  </si>
  <si>
    <t>ZB02981-11.19</t>
  </si>
  <si>
    <t>5SKAZNZU</t>
  </si>
  <si>
    <t>4500179751-20</t>
  </si>
  <si>
    <t>77809-S001</t>
  </si>
  <si>
    <t>2-DIY 2PK 12PCS/CTN</t>
  </si>
  <si>
    <t>原domestic PO4500177327转FOB单</t>
  </si>
  <si>
    <t>9/30SSCC</t>
  </si>
  <si>
    <t>日期码格式：ZURU INC(BVI) 标准格式 日期：按实际生产日期
Packaging Info: 
#77809: 2PK STD #77773入PVC筒,客版3L无UPC版收缩膜，客版3L铜版纸，客版收缩膜和铜版纸翻单4500177327。收藏指南和说明书为MA版本。（两个球的配比不能
重复）。
（原domestic PO4500177327转FOB单）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</si>
  <si>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ZB02994-11.19</t>
  </si>
  <si>
    <t>77809-S001-MTS</t>
  </si>
  <si>
    <t>ZURU NEW ZEALAND LIMITED</t>
  </si>
  <si>
    <t>New UPC :
193052104038</t>
  </si>
  <si>
    <t>4500179471-10</t>
  </si>
  <si>
    <t>9/16 UPC条码+外箱黄色A4贴纸自行打印'test order"字样即可</t>
  </si>
  <si>
    <t>日期码格式：ZURU INC(BVI) 标准格式 日期：按实际生产日期
Packaging Info:
Remark: 空运AKL，MA 1L UPC 包装，但需要更换为试销特定的UPC条码，外箱除常规箱唛外，还需要加贴一张黄色A4贴纸，印'test order"字样。</t>
  </si>
  <si>
    <t>SD92</t>
  </si>
  <si>
    <t>96917-11.10</t>
  </si>
  <si>
    <t>10001493620-3890</t>
  </si>
  <si>
    <t>4500177942-40</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</si>
  <si>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以上所以item均：
1. 产品和包装上均要印刷tracking code信息，格式为ZURU常规格式;
2. 出货方式：货代自提</t>
  </si>
  <si>
    <t>ZB02956-11.19</t>
  </si>
  <si>
    <t>已下单</t>
  </si>
  <si>
    <t>10001493848-3891</t>
  </si>
  <si>
    <t>4500179008-30</t>
  </si>
  <si>
    <t>11/5 客自提</t>
  </si>
  <si>
    <t>10/7条码箱贴纸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</si>
  <si>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以上所有item均：
1. 产品和包装上均要印刷tracking code信息，格式为ZURU常规格式;
2. 出货方式：货代自提</t>
  </si>
  <si>
    <t>ZB02958-11.19</t>
  </si>
  <si>
    <t>0936942319</t>
  </si>
  <si>
    <t>4500177110-10</t>
  </si>
  <si>
    <t>10/30 BV</t>
  </si>
  <si>
    <t>ZB02965-11.19</t>
  </si>
  <si>
    <t>0936942324</t>
  </si>
  <si>
    <t>4500177110-20</t>
  </si>
  <si>
    <t>ZB02964-11.19</t>
  </si>
  <si>
    <t>0938210507</t>
  </si>
  <si>
    <t>4500178135-20</t>
  </si>
  <si>
    <t>11/10 截SI</t>
  </si>
  <si>
    <t>ZB02972-11.19</t>
  </si>
  <si>
    <t>ZURU GERMANY GMBH</t>
  </si>
  <si>
    <t>4500179091-10</t>
  </si>
  <si>
    <t>11/21 开仓</t>
  </si>
  <si>
    <t>9/23多语警语折叠贴纸+地址贴纸</t>
  </si>
  <si>
    <t>日期码格式：ZURU INC(BVI) 标准格式 日期：按实际生产日期
Packaging Info: 77773GQ1：最新MA 1L PDQ+最新MA 3L EAN收缩膜+1*多语警语折叠贴纸+最新23L警语说明书+最新5L收藏指南+最新配件包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</si>
  <si>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Niki Chen</t>
  </si>
  <si>
    <t>96990-11.21</t>
  </si>
  <si>
    <t>ZMPO250932</t>
  </si>
  <si>
    <t>12套成品球</t>
  </si>
  <si>
    <t>已ok</t>
  </si>
  <si>
    <t>Remark:大货最新版本/麻烦用胶袋分装好一套为一袋;备注：收到样品订单后尽快安排 ，注意样板品质质量要求要高于大货品质要求 ，送货时必须要附带送货单(没有送货单和QC检验合格报告的仓库一律拒绝收货)，请知悉，谢谢！</t>
  </si>
  <si>
    <t>Angus</t>
  </si>
  <si>
    <t>97086-11.29</t>
  </si>
  <si>
    <t>HOBBY LOBBY STORES, INC.</t>
  </si>
  <si>
    <t>W0738938</t>
  </si>
  <si>
    <t>4500179747-50</t>
  </si>
  <si>
    <t>2-DIY 52PCS/4PDQ/CTN</t>
  </si>
  <si>
    <t>9/28 价格贴纸+外箱条码贴纸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</si>
  <si>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</si>
  <si>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Yvonne Feng</t>
  </si>
  <si>
    <t>ZB03096-11.25</t>
  </si>
  <si>
    <t>4500179003-10</t>
  </si>
  <si>
    <t>11.6截SI</t>
  </si>
  <si>
    <t>9/29多语警语折叠贴纸+地址贴纸</t>
  </si>
  <si>
    <t>日期码格式：ZURU INC(BVI) 标准格式 日期：按实际生产日期
Packaging Info: 77773GQ1：最新MA 1L PDQ+最新MA 3L EAN收缩膜+1*多语警语贴纸+最新 MA 23L警语说明书+最新MA 5L警语内袋+1*5语警语贴纸(PL+HU+CZ+SK+RO)+最新MA 收藏指南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</si>
  <si>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SD04</t>
  </si>
  <si>
    <t>96918-11.10</t>
  </si>
  <si>
    <t>0938210487</t>
  </si>
  <si>
    <t>4500180994-10</t>
  </si>
  <si>
    <t>11/7 BV</t>
  </si>
  <si>
    <t>11/8 交仓</t>
  </si>
  <si>
    <t>10/16RFID</t>
  </si>
  <si>
    <t>日期码格式：ZURU DGYYYYMMDD CHINA(日期避开周末和法定节假日即可） 日期：按实际生产日期
Packaging Info: 77773GQ3-S001
1. 包装要求：
77773：MA 1L A版收缩膜+MA 5L A版收藏指南+MA 23L A版说明书+MA A版纸袋+客版 1L A版PDQ，翻单：4500177106
每pcs产品要贴一张RFID贴纸，RFID贴纸由ZURU提供，贴纸位置要严格按照客人签板
Remark: 77773GQ3-S001
1. 包装要求：
77773：MA 1L A版收缩膜+MA 5L A版收藏指南+MA 23L A版说明书+MA A版纸袋+客版 1L A版PDQ，翻单：4500177106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</si>
  <si>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ZB02973-11.19</t>
  </si>
  <si>
    <t>0938210514</t>
  </si>
  <si>
    <t>4500180994-20</t>
  </si>
  <si>
    <t>11/15 交仓</t>
  </si>
  <si>
    <t>ZB02974-11.19</t>
  </si>
  <si>
    <t>0938210517</t>
  </si>
  <si>
    <t>4500180994-30</t>
  </si>
  <si>
    <t>11/22 截SI</t>
  </si>
  <si>
    <t>ZB03013-11.21</t>
  </si>
  <si>
    <t>4500180284-20</t>
  </si>
  <si>
    <t>77773SK1-S002</t>
  </si>
  <si>
    <t>10/15 西班牙环保标+客户进口商贴纸</t>
  </si>
  <si>
    <t>日期码格式：ZURU INC(BVI) 标准格式 日期：按实际生产日期
Packaging Info: 
2.77773SK1:最新MA 3L EAN 版本包装+一张西班牙环保标和客户进口商贴纸+MA 5L 收藏指南+MA 3L 展示架+WEEE带电池走货欧洲30语通用黑白说明书 ；
Remark: 1, 此货出西班牙，需满足EU测试标准要求和微塑料需符合法规。另外请确保所有包装都有西班牙环保标。
2,出货前两周需寄2-3套大货样品，请多备料
3, 需要ZURU OQC 验货，出货前要客户格式的验货报告给客人确认OK后才出货
4. 产品上面确保含有CE logo &lt;(&gt;&amp;&lt;)&gt; ZURU logo,如没有的话请提前告知</t>
  </si>
  <si>
    <t>Mary Zhong</t>
  </si>
  <si>
    <t>10001493846-3890</t>
  </si>
  <si>
    <t>4500180027-30</t>
  </si>
  <si>
    <t>11/17 客上柜</t>
  </si>
  <si>
    <t>10/16 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</si>
  <si>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以上所有item均：
1. 产品和包装上均要印刷tracking code信息，格式为ZURU常规格式;
2. 出货方式：货代自提</t>
  </si>
  <si>
    <t>ZB02959-11.19</t>
  </si>
  <si>
    <t>ZMPO250904</t>
  </si>
  <si>
    <t>Remark:大货最新版本/款号平均/请按款号装箱/并在外箱上注明款号/大货标准箱装箱/箱唛请参照邮件附件;备注：收到样品订单后尽快安排 ，注意样板品质质量要求要高于大货品质要求 ，送货时必须要附带送货单(没有送货单和QC检验合格报告的仓库一律拒绝收货)，请知悉，谢谢！</t>
  </si>
  <si>
    <t>97092-11.29</t>
  </si>
  <si>
    <t>ZMPO250891</t>
  </si>
  <si>
    <t>5套PDQ的Demo+吸塑</t>
  </si>
  <si>
    <t>Remark：大货最新版本/只需要PDQ的Demo+吸塑；备注： 收到样品订单后尽快安排 ，此订单麻烦在外箱上备注是海运订单/注意样板品质质量要求要高于大货品质质量 ，送货时必须要附带送货单(没有送货单和QC检验合格报告的仓库一律拒绝收货)，请知悉，谢谢！</t>
  </si>
  <si>
    <t>77773GQ2</t>
  </si>
  <si>
    <t>ZURU SPAIN S.L.</t>
  </si>
  <si>
    <t>4500179447-10</t>
  </si>
  <si>
    <t>多语警语折叠贴纸翻单176669</t>
  </si>
  <si>
    <t>日期码要求一致</t>
  </si>
  <si>
    <t>日期码格式：ZURU INC(BVI) 标准格式 日期：按实际生产日期
Packaging Info: 77773GQ1:最新MA 3L EAN收缩膜+最新MA 5L收藏指南+最新MA 5L bag+最新MA23L说明书+最新MA PDQ+一张多语警语折叠贴纸（含缺失的意/法/西环保标），翻450017
6669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</si>
  <si>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96938-11.13</t>
  </si>
  <si>
    <t>0938210526</t>
  </si>
  <si>
    <t>4500180996-10</t>
  </si>
  <si>
    <t>11/10 BV</t>
  </si>
  <si>
    <t>10/16 RFID</t>
  </si>
  <si>
    <t>ZB03033-11.22</t>
  </si>
  <si>
    <t>ZMPO250921</t>
  </si>
  <si>
    <t>50套散件</t>
  </si>
  <si>
    <t>Remark:大货最新版本/只需要齐全套散件/麻烦用胶袋分装好一套为一袋/箱唛请参照邮件附件;备注：收到样品订单后尽快安排 ，注意样板品质质量要求要高于大货品质要求 ，送货时必须要附带送货单(没有送货单和QC检验合格报告的仓库一律拒绝收货)，请知悉，谢谢！</t>
  </si>
  <si>
    <t>97078-11.29</t>
  </si>
  <si>
    <t>77773-散件</t>
  </si>
  <si>
    <t>Remark:大货最新版本/PDQ里面的产品可按大货比例/大货标准箱装箱/箱唛参照邮件附件;备注：收到样品订单后尽快安排 ，注意样板品质质量要求要高于大货品质要求 ，送货时必须要附带送货单(没有送货单和QC检验合格报告的仓库一律拒绝收货)，请知悉，谢谢！</t>
  </si>
  <si>
    <t>2-DIY 25PCS/GQ2*2/CTN</t>
  </si>
  <si>
    <t>PO# 33033</t>
  </si>
  <si>
    <t>4500181097-10</t>
  </si>
  <si>
    <t>11/14 截SI</t>
  </si>
  <si>
    <t>日期码格式：ZURU INC(BVI) 标准格式 日期：按实际生产日期
Packaging Info: 1. ZURU 标准日期码格式，
2. 无第三方测试和验货，ZURU 内部QC验货即可出货
Remark: 3. 优先 MA 1L UPC包装;
4. 纸箱印ZURU LOGO，出口美国；</t>
  </si>
  <si>
    <t>ZB02962-11.19</t>
  </si>
  <si>
    <t>DIRECT SOURCE INTERNATIONAL</t>
  </si>
  <si>
    <t>DSIEA26-004</t>
  </si>
  <si>
    <t>4500181032-30</t>
  </si>
  <si>
    <t>日期码格式：ZURU INC(BVI) 标准格式 日期：按实际生产日期
Packaging Info: 1. 包装方式：MA UPC 优先1L 最新包装，出口美国;
Remark: 2. 产品和包装上印刷tracking code信息，格式为ZURU常规;
3. ZURU QC 验货合格后方可出货.</t>
  </si>
  <si>
    <t>ZB03003-11.20</t>
  </si>
  <si>
    <t>AB GEE OF RIPLEY LTD.</t>
  </si>
  <si>
    <t>777 3JAN26</t>
  </si>
  <si>
    <t>4500180232-40</t>
  </si>
  <si>
    <t>77773GQ2-S003</t>
  </si>
  <si>
    <t>2-DIY 25pcs/GQ2/Inner CTN*2/CTN</t>
  </si>
  <si>
    <t>日期码格式：ZURU INC(BVI) 标准格式 日期：按实际生产日期
Packaging Info: MA 最新UPC包装，各款的条码如下，请先检查条码是否正确再安排做货，如有问题请告知,配比跟MA
4.77773GQ2：193052090089+WEEE B版30语带电池说明书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</si>
  <si>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</si>
  <si>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10001493518-3891</t>
  </si>
  <si>
    <t>4500180023-40</t>
  </si>
  <si>
    <t>11/18 客上柜</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</si>
  <si>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以上所有item均：
1. 产品和包装上均要印刷tracking code信息，格式为ZURU常规格式;
2. 出货方式：货代自提</t>
  </si>
  <si>
    <t>ZB02992-11.19</t>
  </si>
  <si>
    <t>218139616 DC
086</t>
  </si>
  <si>
    <t>4500179587-110</t>
  </si>
  <si>
    <t>11/25 截SI</t>
  </si>
  <si>
    <t>ZB03145-11.28</t>
  </si>
  <si>
    <t>218139618
DC 802</t>
  </si>
  <si>
    <t>4500179587-120</t>
  </si>
  <si>
    <t>H-E-B, LP</t>
  </si>
  <si>
    <t>PO#60X454091</t>
  </si>
  <si>
    <t>4500180967-90</t>
  </si>
  <si>
    <t>12/13 截SI</t>
  </si>
  <si>
    <t>日期码一致</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</si>
  <si>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;#77773GQ1需10月29日前需寄出以下数量的样板(含PDQ)，样板须跟大货一模一样（含日期码）。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*#77773GQ1: 4pcs成品球+1个空PDQ 样板
寄到以下地址
深圳雨禾伟业实业有限公司
地址：广东省深圳市罗湖区东门南路1006号文锦渡口岸大厦B栋7楼
收件人：Elsa
电话：0755 6688 1988 Ext3337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</si>
  <si>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0938210506</t>
  </si>
  <si>
    <t>4500182120-30</t>
  </si>
  <si>
    <t>11/20 BV</t>
  </si>
  <si>
    <t>11/27 截SI</t>
  </si>
  <si>
    <t>10/31 RFID</t>
  </si>
  <si>
    <t>ZB03090-11.25</t>
  </si>
  <si>
    <t>0938210533</t>
  </si>
  <si>
    <t>4500182120-40</t>
  </si>
  <si>
    <t>WALGREENS CO.</t>
  </si>
  <si>
    <t>4500179669-20</t>
  </si>
  <si>
    <t>77773GQ4-S001</t>
  </si>
  <si>
    <t>2-DIY 6pcs/GQ4/CTN</t>
  </si>
  <si>
    <t>10/27抽板</t>
  </si>
  <si>
    <t>9/25 WIC 贴纸+ PDQ折页翻单PO 4500099653</t>
  </si>
  <si>
    <t>DG20251104</t>
  </si>
  <si>
    <t>日期码格式： 日期：11-04-2025
Packaging Info: MA 1L 收缩膜 + WIC 贴纸（WIC # 625191 ） + MA说明书 + MA收藏指南 + 客版PDQ + PDQ折页 （翻单PO 4500099653，PDQ折页放在PDQ的正上方，开箱即可看到
）
Remark: 产品和包装上面要有zuru标准格式的tracking code DG20251104
需要在11/04完成8706PCS球，11/5抽板测试，测试通过后才可以出货。请确保所来来料测试符合美国联邦和各州法规后才可以做大货。
抽板只抽完整的球，无需入PDQ
收到单后请寄出1PC球和全套散件给实验室，11/17前寄出2套满PDQ大货样</t>
  </si>
  <si>
    <t>ZB03060-11.24</t>
  </si>
  <si>
    <t>4500179669-30</t>
  </si>
  <si>
    <t>ZB03061-11.24</t>
  </si>
  <si>
    <t>4500179669-40</t>
  </si>
  <si>
    <t>ZB03062-11.24</t>
  </si>
  <si>
    <t>4500179669-50</t>
  </si>
  <si>
    <t>ZB03063-11.24</t>
  </si>
  <si>
    <t>4500179669-60</t>
  </si>
  <si>
    <t>ZB03064-11.24</t>
  </si>
  <si>
    <t>4500179669-70</t>
  </si>
  <si>
    <t>ZB03065-11.24</t>
  </si>
  <si>
    <t>4500179669-90</t>
  </si>
  <si>
    <t>ZB03066-11.24</t>
  </si>
  <si>
    <t>4500179669-100</t>
  </si>
  <si>
    <t>ZB03067-11.24</t>
  </si>
  <si>
    <t>4500179669-110</t>
  </si>
  <si>
    <t>ZB03068-11.24</t>
  </si>
  <si>
    <t>ZURU DENMARK APS</t>
  </si>
  <si>
    <t>4500181278-140</t>
  </si>
  <si>
    <t>11/26 截SI</t>
  </si>
  <si>
    <t>10/24多语警语折叠贴纸+地址贴纸</t>
  </si>
  <si>
    <t>日期码格式：ZURU INC(BVI) 标准格式 日期：按实际生产日期
Packaging Info:
77773GQ1：最新MA 1L PDQ+最新MA 3L EAN收缩膜+1*多语警语折叠贴纸+最新23L警语说明书+最新5L收藏指南+最新配件包+通用IFUD的说明书+1*WEEE B 30L 通用带
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</si>
  <si>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97026-11.26</t>
  </si>
  <si>
    <t>Amazon UK:
8SM5GNLX</t>
  </si>
  <si>
    <t>4500181154-10</t>
  </si>
  <si>
    <t>12/1 截SI</t>
  </si>
  <si>
    <t>空白外箱（加印带Zuru字样的最新logo，除了邮包盒直接做外箱的产品） MADE IN CHINA 外箱只印一正一侧</t>
  </si>
  <si>
    <t>10/22 SSCC+IT环保标+DE/IT警告语贴纸</t>
  </si>
  <si>
    <t>日期码格式：ZURU INC(BVI) 标准格式 日期：按实际生产日期
Packaging Info: Amazon UK(15754BDEGH/77806/77809)/DE(15754DEH)/FR(15754BDGH/92129ABEGHJ)
3. 77809: 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US翻单PO#4500179751)+1张贴纸(IT环保标+DE/IT警告语)+WEEE带电池
走货说明书欧洲EN 30L-B版；
5.验货时间不迟于2025/11/24.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</si>
  <si>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97125-10.2</t>
  </si>
  <si>
    <t>10001493517-3890</t>
  </si>
  <si>
    <t>4500181503-40</t>
  </si>
  <si>
    <t>日期码格式：ZURU INC(BVI) 标准格式 日期：按实际生产日期
Packaging Info: 
77773GQ2 产品包装(UPC 版) MA 1L收缩膜 + MA 1L PDQ；
77773GQ2
1. 77773GQ2-S002-MINI BRANDS-MASTER CHEF MINI BRANDS-SERIES 2-CAPSULE,WITH DEMO,25PCS/Gravity PDQ,25PCS/PDQ/CTN
2. 产品包装(UPC 版) MA 1L收缩膜 + MA 1L PDQ；收缩膜上的UPC显示193052090089；</t>
  </si>
  <si>
    <t>0938210542</t>
  </si>
  <si>
    <t>4500182123-20</t>
  </si>
  <si>
    <t>11/25 BV</t>
  </si>
  <si>
    <t>12/8 交仓</t>
  </si>
  <si>
    <t>MTA TRADE - UNITY</t>
  </si>
  <si>
    <t>4500181627-10</t>
  </si>
  <si>
    <t>11/4进口商贴纸+10/21 QR code 贴纸+11/4 EAC贴纸</t>
  </si>
  <si>
    <t>日期码格式：ZURU INC(BVI) 标准格式 日期：按实际生产日期
Packaging Info: 77773：MA UPC收缩膜+进口商贴纸+QR code 贴纸;MA 说明书+EAC贴纸（说明书上需要额外贴一个EAC logo)
Remark:</t>
  </si>
  <si>
    <t>97144-10.5</t>
  </si>
  <si>
    <t>ZU25090502SG</t>
  </si>
  <si>
    <t>4500181542-30</t>
  </si>
  <si>
    <t>10/16 进口商贴纸</t>
  </si>
  <si>
    <t>日期码格式：ZURU INC(BVI) 标准格式 日期：按实际生产日期
Packaging Info: MA UPC包装(优先1L)+1张固定图稿的进口商贴纸,贴纸资料待提供;
Remark:</t>
  </si>
  <si>
    <t>97050-11.28</t>
  </si>
  <si>
    <t>5200007779 5200007784</t>
  </si>
  <si>
    <t>4500180519-40</t>
  </si>
  <si>
    <t>日期码格式：ZURU INC(BVI) 标准格式 日期：按实际生产日期
Packaging Info: 
4. 77773GQ1:最新MA 3L收缩膜+最新MA 5L收藏指南+最新MA 5L bag+最新MA23L说明书+最新MA PDQ+一张多语警语折叠贴纸（含缺失的意/法/西环保标），翻450017
6669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</si>
  <si>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4500180519-90</t>
  </si>
  <si>
    <t>日期码格式：ZURU INC(BVI) 标准格式 日期：按实际生产日期
Packaging Info: 
7. 77773SK1:最新MA 3L收缩膜+最新MA 5L收藏指南+最新MA 5L bag+最新MA23L说明书+最新MA 展示架+一张多语警语折叠贴纸（含缺失的意/法/西环保标），翻450
0176669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</si>
  <si>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Amazon ES:
6ZEGNFNV</t>
  </si>
  <si>
    <t>4500181123-10</t>
  </si>
  <si>
    <t>10/28 SSCC+IT环保标+DE/IT警告语贴纸参考翻单PO#4500181154</t>
  </si>
  <si>
    <t>日期码格式：ZURU INC(BVI) 标准格式 日期：按实际生产日期
Packaging Info: Amazon ES(77806/77809)/IT(77806/77809)
2. 77809：2PK#77773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 参考翻单PO
#4500181154)+WEEE带电池走货说明书欧洲EN 30L-B版；
3. 最迟验货不得晚于2025/11/27;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</si>
  <si>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97171-12.9</t>
  </si>
  <si>
    <t>Amazon IT:
27KF1ZOX</t>
  </si>
  <si>
    <t>4500181123-30</t>
  </si>
  <si>
    <t>12/7 入仓</t>
  </si>
  <si>
    <t>4500182163-190</t>
  </si>
  <si>
    <t>10/29进口商贴纸</t>
  </si>
  <si>
    <t>日期码格式：ZURU INC(BVI) 标准格式 日期：按实际生产日期
Packaging Info: 
77773GQ1-S002:3L EAN A版包装+进口商贴纸+23L B版黑白说明书（不可用A版）+其它MA 包装/PDQ+WEEE_带电池走货 _ 说明书欧洲EN+30L-B版+一张 MA Sushi Boa
t专用黑白说明书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t>
  </si>
  <si>
    <t>4500182163-200</t>
  </si>
  <si>
    <t>日期码格式：ZURU INC(BVI) 标准格式 日期：按实际生产日期
Packaging Info: 
77773SK1-S002:3L EAN A版包装+进口商贴纸+23L B版黑白说明书（不可用A版）+其它MA 包装+3L 展示架
+WEEE_带电池走货 _ 说明书欧洲EN+30L-B版 +一张 MA Sushi Boat专用黑白说明书
Remark: 1. 产品和包装要求无硼无香，包装不能含有PVC; 此客户NTI不能出14+的产品
2. 如有微塑料，必须合规欧洲标准，闪粉也是微塑料的一种，目前仅接受三张方式1.去除，2.用可降解材料，和3. 永久封印在固体。
3. 带电池出货的产品,电池需要符合欧洲电池新规(EU) 2023-1542.
4. 同一个SKU, 如果客户同时下Bulk/PDQ/SK/EC, 进口商贴纸可以只显示Bulk 的客户客户款号。产品包装上必须有客户进口商信息。</t>
  </si>
  <si>
    <t>ZURU ITALY SRL</t>
  </si>
  <si>
    <t>4500182169-10</t>
  </si>
  <si>
    <t>77773GQ2-S002-MTS</t>
  </si>
  <si>
    <t>多语警语折叠贴纸翻4500176669</t>
  </si>
  <si>
    <t>日期码格式：ZURU INC(BVI) 标准格式 日期：按实际生产日期
Packaging Info: 1. 77773GQ2:最新MA 3L收缩膜+最新MA 5L收藏指南+最新MA 5L bag+最新MA23L说明书+最新MA PDQ+一张多语警语折叠贴纸（含缺失的意/法/西环保标），翻450017
6669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</si>
  <si>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4500182169-20</t>
  </si>
  <si>
    <t>77773SK-S002-MTS</t>
  </si>
  <si>
    <t>2-DIY 60PCS/SK/CTN-带底座</t>
  </si>
  <si>
    <t>日期码格式：ZURU INC(BVI) 标准格式 日期：按实际生产日期
Packaging Info: 
2. 77773SK1:最新MA 3L收缩膜+最新MA 5L收藏指南+最新MA 5L bag+最新MA23L说明书+最新MA 展示架+一张多语警语折叠贴纸（含缺失的意/法/西环保标），翻450
0176669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</si>
  <si>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77773SK-S002-3L</t>
  </si>
  <si>
    <t>4500183281-10</t>
  </si>
  <si>
    <t>12/10 截SI</t>
  </si>
  <si>
    <t>11/10进口商贴纸</t>
  </si>
  <si>
    <t>日期码格式：ZURU INC(BVI) 标准格式 日期：按实际生产日期
Packaging Info: 1. 77773GQ1: MA A3L EAN版收缩膜+进口商贴纸+MA 5L收藏指南+MA A5L ACCESSORY BAG+MA B23L说明书+MA 3L PDQ+通用WEEE_带电池走货 _ 说明书欧洲EN+30L-B版
Remark: 1/配比跟MA
2/产品和包装要求无硼无香，包装不能含有PVC
3/出欧洲，微塑料需合规
4/带电池出货的产品，所用到的电池需要符合欧洲电池新规(EU)2023-1542</t>
  </si>
  <si>
    <t>SS26</t>
  </si>
  <si>
    <t>4500177396-20</t>
  </si>
  <si>
    <t>12/4 交仓</t>
  </si>
  <si>
    <t>日期码格式：ZURU INC(BVI) 标准格式 日期：按实际生产日期
Packaging Info: 1.MA UPC(优先1L,所有包装仅需英文语言即可;) package, 无需任何贴纸;
2.可能会有测试样品需求,待确认被抽中的款, 请多备料;
3.玩具订单一般都是第三方视频验货,实际不会有第三方的人到厂验货;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照片标准待提供,做完货请帮忙同步提供照片;
Remark:</t>
  </si>
  <si>
    <t>97140-10.4</t>
  </si>
  <si>
    <t>4500177965-40</t>
  </si>
  <si>
    <t>10/16 进口商+警告语贴纸</t>
  </si>
  <si>
    <t>日期码格式：ZURU INC(BVI) 标准格式 日期：按实际生产日期
Packaging Info: 
4. 77773GQ1: MA A3L EAN版收缩膜+警告语和MADE IN CHINA翻译成丹麦瑞典挪威语言/客人进口商地址全部信息做成一张贴纸+MA 5L收藏指南+MA A5L ACCESSORY B
AG+丹麦瑞典芬兰挪威爱沙尼亚警告语贴纸贴在袋子上+MA B 23L说明书+MA 3L PDQ+通用WEEE_带电池走货 _ 说明书欧洲EN+30L-B版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77773GQ1-S002:4894680051157</t>
  </si>
  <si>
    <t>4500182442-10</t>
  </si>
  <si>
    <t>12/3 交仓</t>
  </si>
  <si>
    <t>11/11外箱贴纸SSCC Label+10/20 纽扣电池警告语贴纸+防盗贴纸</t>
  </si>
  <si>
    <r>
      <rPr>
        <sz val="10"/>
        <color rgb="FF0000FF"/>
        <rFont val="等线"/>
        <charset val="134"/>
      </rPr>
      <t xml:space="preserve">日期码格式：ZURU INC(BVI) 标准格式 日期：按实际生产日期
Packaging Info: 77773GQ1: MA 1L UPC英语包装（MA收缩膜和说明书） + 1张说明书纽扣电池警告语贴纸+ 1张收缩膜纽扣电池警告语贴纸+ 防盗贴纸（贴纸以及防盗贴纸位置图翻
单PO#4500182434）+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0"/>
        <color rgb="FFFF0000"/>
        <rFont val="等线"/>
        <charset val="134"/>
      </rPr>
      <t>请注意此订单与AU PO#4500182434一起合并计算</t>
    </r>
  </si>
  <si>
    <t>97139-10.4</t>
  </si>
  <si>
    <t>4500182434-10</t>
  </si>
  <si>
    <r>
      <rPr>
        <sz val="10"/>
        <color rgb="FF0000FF"/>
        <rFont val="等线"/>
        <charset val="134"/>
      </rPr>
      <t xml:space="preserve">日期码格式：ZURU INC(BVI) 标准格式 日期：按实际生产日期
Packaging Info: 77773GQ1: MA 1L UPC英语包装（MA收缩膜和说明书）+ 1张说明书纽扣电池警告语贴纸+ 1张收缩膜纽扣电池警告语贴纸+ 防盗贴纸+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0"/>
        <color rgb="FFFF0000"/>
        <rFont val="等线"/>
        <charset val="134"/>
      </rPr>
      <t>请注意此订单与NZ PO#4500182442一起合并计算</t>
    </r>
  </si>
  <si>
    <t>0938210207</t>
  </si>
  <si>
    <t>4500183837-10</t>
  </si>
  <si>
    <t>12/4 BV</t>
  </si>
  <si>
    <t>11/20 RFID</t>
  </si>
  <si>
    <t>0938210209</t>
  </si>
  <si>
    <t>4500183837-20</t>
  </si>
  <si>
    <t>12/11 BV</t>
  </si>
  <si>
    <t>0938210210</t>
  </si>
  <si>
    <t>4500183837-30</t>
  </si>
  <si>
    <t>12/13 交仓</t>
  </si>
  <si>
    <t>0938210245</t>
  </si>
  <si>
    <t>4500183837-40</t>
  </si>
  <si>
    <t>0938210522</t>
  </si>
  <si>
    <t>4500183837-50</t>
  </si>
  <si>
    <t>26-111155</t>
  </si>
  <si>
    <t>4500183595-10</t>
  </si>
  <si>
    <t>12/5交仓</t>
  </si>
  <si>
    <t>11/7 进口商贴纸+空白贴纸</t>
  </si>
  <si>
    <t>日期码格式：ZURU INC(BVI) 标准格式 日期：按实际生产日期
Packaging Info: MA UPC(优先1L)+1张固定进口商贴纸+1张空白贴纸遮住G mark彩盒条码/纸箱不接受任何贴纸,待提供贴纸资料
Remark:</t>
  </si>
  <si>
    <t>97148-10.5</t>
  </si>
  <si>
    <t>Amazon UK:
1ISO444L</t>
  </si>
  <si>
    <t>4500181165-10</t>
  </si>
  <si>
    <t>11/6SSCC+10/16 IT环保标+DE/IT警告语贴纸翻单181154</t>
  </si>
  <si>
    <t>日期码格式：ZURU INC(BVI) 标准格式 日期：按实际生产日期
Packaging Info: Amazon UK(77806/77809)/FR(92129ABEGHJ)
2. 77809: 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 参考翻单PO
#4500181154)+WEEE带电池走货说明书欧洲EN 30L-B版；
4.验货时间不迟于2025/12/5.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</si>
  <si>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SARL SOREDIM</t>
  </si>
  <si>
    <t>2025-114</t>
  </si>
  <si>
    <t>4500182782-30</t>
  </si>
  <si>
    <t>12/10  截SI</t>
  </si>
  <si>
    <t>10/28法国回收logo贴纸</t>
  </si>
  <si>
    <t>日期码格式：ZURU INC(BVI) 标准格式 日期：按实际生产日期
Packaging Info:
3.77773GQ1：MA3L EAN收缩膜+1张法国回收logo贴纸(翻4500166179-77708的法国回收logo贴纸)+MA3L PDQ+MA5L收藏指南+MA23L说明书+WEEE_带电池走货欧洲30L通
用说明书
Remark: 1. 此票无需第三方验货，通过ZURU OQC验货即可；
2. 此票出法国，包装需含有两个法国回收logo，产品符合EU标准；
3. 此票全部用EAN条码, assortment产品需用mother EAN条码</t>
  </si>
  <si>
    <t>97169-12.9</t>
  </si>
  <si>
    <t>77773GQ1-S001-3L</t>
  </si>
  <si>
    <t>FB13931</t>
  </si>
  <si>
    <t>4500183275-120</t>
  </si>
  <si>
    <t>11/5EAN条码贴纸+11/3数量贴纸</t>
  </si>
  <si>
    <t>日期码格式：ZURU INC(BVI) 标准格式 日期：按实际生产日期
Packaging Info:
77773GQ1:MA+客户EAN条码贴纸, 条码请核对：5056296056981，PDQ右上角需要加上数量贴纸+30L带电池出货版本WEEE说明书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</si>
  <si>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Meyya Liu</t>
  </si>
  <si>
    <t>4500181141-20</t>
  </si>
  <si>
    <t>包装/产品/外箱可按ZURU标准日期码</t>
  </si>
  <si>
    <t>日期码格式：ZURU INC(BVI) 标准格式 日期：按实际生产日期
Packaging Info: 77773GQ2:MA 多语EAN包装+进口商贴纸+UPC贴纸+箱唛
Remark: 进口商贴纸内容会显示日期码为：2025-12，包装/产品/外箱可按ZURU标准日期码，不需要跟回进口商贴纸上的日期码</t>
  </si>
  <si>
    <t>A97180-12.10</t>
  </si>
  <si>
    <t>77773GQ2-S001-3L</t>
  </si>
  <si>
    <t>10001493630-3891</t>
  </si>
  <si>
    <t>4500182969-30</t>
  </si>
  <si>
    <t>12/15 自提</t>
  </si>
  <si>
    <t>11/6 条码箱贴纸</t>
  </si>
  <si>
    <t>0938210225</t>
  </si>
  <si>
    <t>4500183838-10</t>
  </si>
  <si>
    <t>12/15 BV</t>
  </si>
  <si>
    <t>12/27 交仓</t>
  </si>
  <si>
    <t>ARMY &amp; AIR FORCE EXCHANGE SERVICE</t>
  </si>
  <si>
    <t>0092461721</t>
  </si>
  <si>
    <t>4500183696-360</t>
  </si>
  <si>
    <t>12/15 交仓</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</si>
  <si>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</si>
  <si>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</si>
  <si>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4500183696-370</t>
  </si>
  <si>
    <t>11/20 UCC 贴纸</t>
  </si>
  <si>
    <t>0092461723</t>
  </si>
  <si>
    <t>4500183696-380</t>
  </si>
  <si>
    <t>0092461724</t>
  </si>
  <si>
    <t>4500183696-390</t>
  </si>
  <si>
    <t>0092461725</t>
  </si>
  <si>
    <t>4500183696-400</t>
  </si>
  <si>
    <t>12/15交仓</t>
  </si>
  <si>
    <t>ROFU KINDERLAND SPIELWARENHANDELSGE</t>
  </si>
  <si>
    <t>4500181904-20</t>
  </si>
  <si>
    <t>12/16 截SI</t>
  </si>
  <si>
    <t>11/24 价格贴纸+11/13德语警语贴纸</t>
  </si>
  <si>
    <t>日期码格式：ZURU INC(BVI) 标准格式 日期：按实际生产日期
Packaging Info:
77773： MA 3L EAN收缩膜+德语警语贴纸+1*价格贴纸+ MA 5L 收藏指南 + MA 23L 产品拼装说明书+MA5L纸袋 +MA B版警语说明书+WEEE 带电池走货 B版通用30L 说
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</si>
  <si>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Winnie Zhong</t>
  </si>
  <si>
    <t>77773-S001-3L</t>
  </si>
  <si>
    <t>MIGROS-GENOSSENSCHAFTS-BUND</t>
  </si>
  <si>
    <t>4500185407-80</t>
  </si>
  <si>
    <t>11/18 德意警告语贴纸</t>
  </si>
  <si>
    <t>日期码格式：ZURU INC(BVI) 标准格式 日期：按实际生产日期
Packaging Info: 
77773： MA 3L EAN收缩膜+德意警告语贴纸+ MA 5L 收藏指南 + MA 23L 黑白警语说明书+MA5L纸袋 +WEEE 带电池走货 B版通用30L 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</si>
  <si>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4500183825-80</t>
  </si>
  <si>
    <t>12/15  截SI</t>
  </si>
  <si>
    <t>11/14 可折叠贴纸+警告语贴纸翻单4500177965</t>
  </si>
  <si>
    <t>日期码格式：ZURU INC(BVI) 标准格式 日期：按实际生产日期
Packaging Info: 
77773GQ1-S002//MA A3L EAN版收缩膜4894680051157+可折叠贴纸+MA 5L收藏指南+MA A5L ACCESSORY BAG+丹麦瑞典芬兰挪威爱沙尼亚警告语贴纸贴在袋子上（翻单T
AS 4500177965)+MA B 23L说明书+B 版-SUSHI BOAT 说明书+通用WEEE_带电池走货 _ 说明书欧洲EN+30L-B版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77773GQ1-S002//3PCS AG13 BATTERIES(INCLUDED)</t>
  </si>
  <si>
    <t>4500183825-90</t>
  </si>
  <si>
    <t>日期码格式：ZURU INC(BVI) 标准格式 日期：按实际生产日期
Packaging Info: 
77773SK1-S002//MA A3L EAN版收缩膜4894680051157+可折叠贴纸+MA 5L收藏指南+MA A5L ACCESSORY BAG+丹麦瑞典芬兰挪威爱沙尼亚警告语贴纸贴在袋子上（翻单T
AS 4500177965)+MA B 23L说明书+B 版-SUSHI BOAT 说明书+通用WEEE_带电池走货 _ 说明书欧洲EN+30L-B版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77773SK1-S002//3PCS AG13 BATTERIES(INCLUDED)</t>
  </si>
  <si>
    <t>4500184105-20</t>
  </si>
  <si>
    <t>12/17 交仓</t>
  </si>
  <si>
    <t>纽扣电池警告语贴纸翻单182442/2434+防盗贴纸翻单182434+11/24 SSCC</t>
  </si>
  <si>
    <r>
      <rPr>
        <sz val="10"/>
        <color rgb="FF1C05ED"/>
        <rFont val="等线"/>
        <charset val="134"/>
      </rPr>
      <t xml:space="preserve">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0"/>
        <color rgb="FFFF0000"/>
        <rFont val="等线"/>
        <charset val="134"/>
      </rPr>
      <t>请注意此订单与AU PO#4500184103一起合并计算</t>
    </r>
  </si>
  <si>
    <t>4500184103-20</t>
  </si>
  <si>
    <r>
      <rPr>
        <sz val="10"/>
        <color rgb="FF1C05ED"/>
        <rFont val="等线"/>
        <charset val="134"/>
      </rPr>
      <t xml:space="preserve">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0"/>
        <color rgb="FFFF0000"/>
        <rFont val="等线"/>
        <charset val="134"/>
      </rPr>
      <t>请注意此订单与NZ PO#4500184105一起合并计算</t>
    </r>
  </si>
  <si>
    <t>4500184103-30</t>
  </si>
  <si>
    <t>4500184105-30</t>
  </si>
  <si>
    <t>0938210300</t>
  </si>
  <si>
    <t>4500185599-10</t>
  </si>
  <si>
    <t>12/25 BV</t>
  </si>
  <si>
    <t>1/2截SI</t>
  </si>
  <si>
    <t>11/26 RFID</t>
  </si>
  <si>
    <t>0938210227</t>
  </si>
  <si>
    <t>4500183840-10</t>
  </si>
  <si>
    <t>12/18 BV</t>
  </si>
  <si>
    <t>12/20 交仓</t>
  </si>
  <si>
    <t>0938210289</t>
  </si>
  <si>
    <t>4500183840-20</t>
  </si>
  <si>
    <t>12/22 BV</t>
  </si>
  <si>
    <t>1/9 截SI</t>
  </si>
  <si>
    <t>4500178856-10</t>
  </si>
  <si>
    <t>11/11 进口商贴纸</t>
  </si>
  <si>
    <t xml:space="preserve">日期码格式：ZURU INC(BVI) 标准格式 日期：按实际生产日期
Packaging Info: 77773GQ2: 包装MA EAN收缩膜+进口商贴纸，MA PDQ，收缩膜EAN条码显示4894680051157，产品年龄8+；
客人箱唛排版，印4面，条码内容4894680051157;
需要增加一张WEEE声明（带电池走货版本的通用30L说明书）
Remark: </t>
  </si>
  <si>
    <t>Nora Pan</t>
  </si>
  <si>
    <t>KOHL'S, INC.</t>
  </si>
  <si>
    <t>4500185778-20</t>
  </si>
  <si>
    <t>12/25 截SI</t>
  </si>
  <si>
    <t>只需要印刷 ZURU LOGO + MADE IN CHINA + 外箱贴定位框即可</t>
  </si>
  <si>
    <t>12/4客供外箱贴纸</t>
  </si>
  <si>
    <t>手工单K117H转实单</t>
  </si>
  <si>
    <t>日期码格式：ZURU INC(BVI) 标准格式 日期：按实际生产日期
Packaging Info: 1. 此为Kohl's ECOM 订单：
77773GQ1 - MA UPC 包装(首选1L) + 客供外箱贴纸
手工单K117H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 外箱四面需要加黄标贴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</si>
  <si>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ZMPO251050</t>
  </si>
  <si>
    <t>ZMPO251050-10</t>
  </si>
  <si>
    <r>
      <rPr>
        <sz val="11"/>
        <rFont val="Arial"/>
        <charset val="0"/>
      </rPr>
      <t>50</t>
    </r>
    <r>
      <rPr>
        <sz val="11"/>
        <rFont val="宋体"/>
        <charset val="0"/>
      </rPr>
      <t>套散件</t>
    </r>
  </si>
  <si>
    <t>Remark:大货最新版本/只需要齐全套散件，. 每款散件不要用纸袋子装，用透明塑胶袋装即可/麻烦用胶袋分装好一套为一袋;
备注：收到样品订单后尽快安排 ，注意样板品质质量要求要高于大货品质要求 ，送货时必须要附带送货单(没有送货单和QC检验合格报告的仓库一律拒绝收货)，请知悉，谢谢！</t>
  </si>
  <si>
    <t>ZMPO251066</t>
  </si>
  <si>
    <t>ZMPO251066-10</t>
  </si>
  <si>
    <r>
      <rPr>
        <sz val="11"/>
        <rFont val="Arial"/>
        <charset val="0"/>
      </rPr>
      <t>20</t>
    </r>
    <r>
      <rPr>
        <sz val="11"/>
        <rFont val="宋体"/>
        <charset val="0"/>
      </rPr>
      <t>套散件</t>
    </r>
  </si>
  <si>
    <t>Remark:大货最新版本/只需要齐全套散件/麻烦用胶袋分装好一套为一袋/箱唛请参照邮件附件
备注：收到样品订单后尽快安排 ，注意样板品质质量要求要高于大货品质要求 ，送货时必须要附带送货单(没有送货单和QC检验合格报告的仓库一律拒绝收货)，请知悉，谢谢！</t>
  </si>
  <si>
    <t>5DFP2VQU</t>
  </si>
  <si>
    <t>4500184839-170</t>
  </si>
  <si>
    <t>12/21 交仓</t>
  </si>
  <si>
    <t>11/26 SSCC</t>
  </si>
  <si>
    <t>日期码格式：ZURU INC(BVI) 标准格式 日期：按实际生产日期
Packaging Info: 出口加拿大，包装需要至少2/3L UPC版，无硼版本。
#77809: 2PK STD #77773入PVC筒,客版3L无UPC版收缩膜，客版3L铜版纸，客版收缩膜和铜版纸翻单4500177327。收藏指南和说明书为MA版本。（两个球的配比不能
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</si>
  <si>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2YNL4J6F</t>
  </si>
  <si>
    <t>4500184839-180</t>
  </si>
  <si>
    <t>8EQTOPDL</t>
  </si>
  <si>
    <t>4500184839-190</t>
  </si>
  <si>
    <t>6JNUDCZJ</t>
  </si>
  <si>
    <t>4500184839-200</t>
  </si>
  <si>
    <t>5UUJ8JNF</t>
  </si>
  <si>
    <t>4500184839-210</t>
  </si>
  <si>
    <t>Amazon UK:
3EP9W6EA</t>
  </si>
  <si>
    <t>4500181167-10</t>
  </si>
  <si>
    <t>12/28 截SI</t>
  </si>
  <si>
    <t>11/24 SSCC+IT环保标+DE/IT警告语贴纸翻单181154</t>
  </si>
  <si>
    <t>日期码格式：ZURU INC(BVI) 标准格式 日期：按实际生产日期
Packaging Info: Amazon UK(77809)
1. 77809: 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 参考翻单PO
#4500181154)+WEEE带电池走货说明书欧洲EN 30L-B版；
2. 验货时间不迟于2025/12/19.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</si>
  <si>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WALMART CENTRAL AMERICA-HN</t>
  </si>
  <si>
    <t>4500184422-100</t>
  </si>
  <si>
    <t>PO4500184399的item数量合并到PO4500184422</t>
  </si>
  <si>
    <t>UPC贴纸+进口商贴纸翻单PO4500184316</t>
  </si>
  <si>
    <t>日期码格式：ZURU INC(BVI) 标准格式 日期：按实际生产日期
Packaging Info: 
9. 77773GQ2：MA 3L EAN包装+UPC贴纸+MA 3L PDQ包装+MA多语收藏指南+进口商贴纸+箱唛，贴纸翻单PO4500184316
Remark: 1.请注意产品包装条形码必须是UPC
2.无第三方验货</t>
  </si>
  <si>
    <t>WALMART CENTRAL AMERICA-CR</t>
  </si>
  <si>
    <t>4500184316-100</t>
  </si>
  <si>
    <t>1/1 截SI</t>
  </si>
  <si>
    <t>日期码格式：ZURU INC(BVI) 标准格式 日期：按实际生产日期
Packaging Info:
9. 77773GQ2：MA 3L EAN包装+UPC贴纸+MA 3L PDQ包装+MA多语收藏指南+进口商贴纸+箱唛\
Remark: 1.请注意产品包装条形码必须是UPC
2.无第三方验货</t>
  </si>
  <si>
    <t>WALMART CENTRAL AMERICA-GT</t>
  </si>
  <si>
    <t>4500184355-100</t>
  </si>
  <si>
    <t>Walgreens</t>
  </si>
  <si>
    <t>MPO03856</t>
  </si>
  <si>
    <t>PO#4500184559</t>
  </si>
  <si>
    <t>MPO03856-10</t>
  </si>
  <si>
    <t>77773-NA</t>
  </si>
  <si>
    <t>2-DIY 6PCS/周转箱</t>
  </si>
  <si>
    <t>12/18库有组装展示架</t>
  </si>
  <si>
    <t>周转箱需标签送库有工厂组装 #MSLD155-S001 for Walgreen 新单PO#4500184559</t>
  </si>
  <si>
    <t>WIC贴纸翻单4500179669</t>
  </si>
  <si>
    <t>DG20251210</t>
  </si>
  <si>
    <t>Product Requirement
Remark: 1. 2% 损耗
2. 送货前必需通知我司安排验货
3. MA 1L包装 + WIC贴纸
77773 WIC # 625191 （同PO 4500179669）
4. 产品和包装上要有ZURU 标准格式标准格式 tracking code DG20251210，产品和包装的日期必须一致。
5. 此单分为20%和80%数量，20%数量完成后用于抽板。77773不需要抽板。12/18送20%数量到库有组装展示架，对应PO号4500184559。80%数量 12/27送货。先
安排20%数量，80%数量等收到客户正式PO后再安排。
6. 所有来料都要测试符合美国联邦法规和州法规后才可以做大货，特别是带液体，粉末，口水胶的产品，抽板需要做测微生物测试，必须保证化学品已经测过并达标
才可用生产。因测试问题延期造成罚款需由工厂承担，请知悉单独一款产品测试有问题都会影响整个展示架交期，罚款金额按整个展示架计算，请做好品质管控。
7. 装箱方式需要另外跟PM确认，展示架每款球装6PCS，需要工厂先分好比例，每款6个球装一起且款式不能重复，方便组装工厂直接入展示架。外箱用周转箱/周转
框，出货前需提供装箱清单。送货时周转箱/周转框带卡板加围好围膜，如未按要求送货需要工厂自行安排人手卸货。
8. 大货样需要每款球12PCS，待通知后再寄出。
9. 订单的所有测试与样品要求以跟单的要求为准，且为了避免QC验货拆货来不及补货，请准备适量的贴纸和产品备品。此订单数量只作为大货生产，不包含样板与备
品。
10. 关于混装展示架，各工厂交子件到最终母件工厂时，务必要 "带卡板出+围好围膜"。
如果没按要求的，请各工厂自行安排人手卸货。
11. 请贵司确保交货数量准确，与收货方交收清楚，如收货方提出任何异常，请立即安排处理解决。</t>
  </si>
  <si>
    <t>W0746341</t>
  </si>
  <si>
    <t>4500184811-40</t>
  </si>
  <si>
    <t>12/30 截SI</t>
  </si>
  <si>
    <t>11/13价格贴纸+外箱条码贴纸</t>
  </si>
  <si>
    <t>10001493627-3890</t>
  </si>
  <si>
    <t>4500184412-20</t>
  </si>
  <si>
    <t>12/29 客自提</t>
  </si>
  <si>
    <t>11/20条码箱贴纸</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</si>
  <si>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此订单所有item：
1. 产品和包装上印刷 tracking code信息，格式为ZURU常规格式;
2. 出货方式：货代自提</t>
  </si>
  <si>
    <t>DISTRIBUIDORA LIVERPOOL S.A DE C.V.</t>
  </si>
  <si>
    <t>4500177857-60</t>
  </si>
  <si>
    <t>1/10 截SI</t>
  </si>
  <si>
    <t>11/28 UPC贴纸+进口商贴纸+12/1价标贴纸</t>
  </si>
  <si>
    <t>4500177857 跟4500182578保证书一样</t>
  </si>
  <si>
    <t>日期码格式：ZURU INC(BVI) 标准格式 日期：按实际生产日期
Packaging Info:
77773GQ2:MA 多语EAN 包装+MA 多语说明书（含西语）+UPC贴纸+进口商贴纸+价标贴纸+保证书+箱唛，包装/说明书都需要贴一张进口商贴纸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</si>
  <si>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62050798</t>
  </si>
  <si>
    <t>4500182578-100</t>
  </si>
  <si>
    <t>日期码格式：ZURU INC(BVI) 标准格式 日期：按实际生产日期
Packaging Info:77773GQ2:MA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</si>
  <si>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10001493888-3891</t>
  </si>
  <si>
    <t>4500184413-30</t>
  </si>
  <si>
    <t>日期码格式：ZURU INC(BVI) 标准格式 日期：按实际生产日期
Packaging Info: 
77773GQ2 产品包装(UPC 版) MA 1L收缩膜 + MA 1L PDQ；
Remark:
77773GQ2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此订单所有item：
1. 产品和包装上印刷 tracking code信息，格式为ZURU常规格式;
2. 出货方式：货代自提</t>
  </si>
  <si>
    <t>FB13918</t>
  </si>
  <si>
    <t>4500184385-50</t>
  </si>
  <si>
    <t>11/25 EAN条码贴纸,+数量贴纸</t>
  </si>
  <si>
    <t>日期码格式：ZURU INC(BVI) 标准格式 日期：按实际生产日期
Packaging Info:
77773GQ1 MA+客户EAN条码贴纸5056296056981，PDQ上加数量贴纸+ZURU标准30L含电池出货版本WEEE说明书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</si>
  <si>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4500181556-10</t>
  </si>
  <si>
    <t>12/27 截SI</t>
  </si>
  <si>
    <t>12/1UPC条码贴纸+进口商贴纸</t>
  </si>
  <si>
    <t>日期码格式：ZURU INC(BVI) 标准格式 日期：按实际生产日期
Packaging Info: 1. 77773GQ2：3L MA EAN 收缩膜+UPC条码贴纸+进口商贴纸+MA 收藏指南+MA 3L PDQ+箱唛+保证书
Remark: 1. 此单有监柜，每款请多备1pc样板用于监装
2. 77773GQ2：3PCS AG13 BATTERIES(INCLUDED)</t>
  </si>
  <si>
    <t>0938210310</t>
  </si>
  <si>
    <t>4500185600-10</t>
  </si>
  <si>
    <t>12/30 BV</t>
  </si>
  <si>
    <t>1/12 截SI</t>
  </si>
  <si>
    <t>KOTRYNA GROUP, UAB</t>
  </si>
  <si>
    <t>立陶宛</t>
  </si>
  <si>
    <t>4500185193-10</t>
  </si>
  <si>
    <t>12/29 截仓</t>
  </si>
  <si>
    <t>11/11进口商贴纸</t>
  </si>
  <si>
    <t>日期码格式：ZURU INC(BVI) 标准格式 日期：按实际生产日期
Packaging Info: 77773GQ1: A 版 1L MA 收缩膜+进口商贴纸; A 版 5L MA 收藏指南/B 版 23L MA 警告语说明书/A 版 1L MA PDQ
Remark: 1、若产品有比例使用ZURU STD 比例
2、所有item 均用MA UPC 条码，若包装不是UPC 条码的请告知
3、此单出欧洲需满足EU测试标准要求</t>
  </si>
  <si>
    <t>Snowy Wu</t>
  </si>
  <si>
    <t>ZMPO251066-20</t>
  </si>
  <si>
    <t>Remark:大货最新版本/PDQ里面的产品可按大货比例/大货标准箱装箱/箱唛参照邮件附件
备注：收到样品订单后尽快安排 ，注意样板品质质量要求要高于大货品质要求 ，送货时必须要附带送货单(没有送货单和QC检验合格报告的仓库一律拒绝收货)，请知悉，谢谢！</t>
  </si>
  <si>
    <t>ZMPO251066-30</t>
  </si>
  <si>
    <t>BOL.COM</t>
  </si>
  <si>
    <t>BOL.COM:
P2516799A</t>
  </si>
  <si>
    <t>4500186266-80</t>
  </si>
  <si>
    <t>11/27 EAN贴纸+NL警告语</t>
  </si>
  <si>
    <t>日期码格式：ZURU INC(BVI) 标准格式 日期：按实际生产日期
Packaging Info: BOL.COM(15754BDEGH/15757/77806/77809/92129ABDEGHJ/157126/157127/157125A/77731/15728EG/71152/15762AB/15763AB)
4. 77809: 2PK#77773 in PVC TUBE,12tubes/ctn;3PCS AG13 BATTERIES(INCLUDED); 客版 3L(3L warning no barcode)A收缩膜(参考Amazon US翻单PO#4500179751)
+MA 23L warning A 说明书+MA其他最新配套包装+客版3L(3L warning)A PVC彩卡(参考Amazon US翻单PO#4500179751)+2张贴纸(1张EAN贴纸+1张NL警告语)+WEEE带电
池走货说明书欧洲EN 30L-B版；
14. 验货时间不迟于2025/12/24.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</si>
  <si>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50212600121</t>
  </si>
  <si>
    <t>4500184791-170</t>
  </si>
  <si>
    <t>有第三方监柜，需要每款多备1套完整物料</t>
  </si>
  <si>
    <t>12/26 截SI</t>
  </si>
  <si>
    <t>12/3进口商贴纸+UPC贴纸+12/2外箱贴纸</t>
  </si>
  <si>
    <t>日期码格式：ZURU INC(BVI) 标准格式 日期：按实际生产日期
Packaging Info: 
77773GQ2:MA 多语包装+MA 多语说明书+外箱贴纸+保证书+进口商贴纸+UPC贴纸，产品/包装/说明书都要贴1张进口商贴纸
Remark: 此单有第三方监柜，需要每款多备1套完整物料</t>
  </si>
  <si>
    <t>MPO03856-20</t>
  </si>
  <si>
    <t>大货可用24个装一个周转箱</t>
  </si>
  <si>
    <t>12/27送库有</t>
  </si>
  <si>
    <t>MPO03912</t>
  </si>
  <si>
    <t>2-DIY 24PCS/周转箱</t>
  </si>
  <si>
    <t>12/26送库有</t>
  </si>
  <si>
    <t>周转箱需标签送库有工厂组装混装展架 MSLD161-S001</t>
  </si>
  <si>
    <t>日期打12月17日</t>
  </si>
  <si>
    <t>Remark: 1. 包装：ZURU MA UPC版本最新包装；出口美国；
2. 日期码：产品包装及产品本身都必须有日期跟踪码，ZURU标准格式日期码，因该单是多工厂混装，为了统一，日期可以统一打12月17日
出货配比：
#MSLD161-S001-MIX BRAND-TOYS-MIXED-SERIES 1-MINI BRANDS/MY MINI BABY/SNACKLES/BUNCH O BALLOONS/XSHOT WATER/XSHOT
MIXED IN DISPLAY,74PCS/DISPLAY/
SLIP SHEET
子件成品于12月26送子件成品到koyo组装
First layer:
77773 Master Chef S2 - 6pcs
3. 订单的所有测试与样品要求以跟单的要求为准，且为了避免QC验货拆货来不及补货，请准备适量的贴纸和产品备品。此订单数量只作为大货生产，不包含
样板与备品。
4. 关于混装展示架，各工厂交子件到最终母件工厂时，务必要 "带卡板出+围好围膜"。
如果没按要求的，请各工厂自行安排人手卸货。
5. 请贵司确保交货数量准确，与收货方交收清楚，如收货方提出任何异常，请立即安排处理解决。</t>
  </si>
  <si>
    <t>Elsa Zheng/Mila Yao</t>
  </si>
  <si>
    <t>4500185775-20</t>
  </si>
  <si>
    <t>外箱有一张黄色贴纸，特别注意下是后面增加的</t>
  </si>
  <si>
    <t>11/17 价格贴纸+ 12/4客供外箱贴纸+12/3黄色贴纸</t>
  </si>
  <si>
    <t>日期码格式：ZURU INC(BVI) 标准格式 日期：按实际生产日期
Packaging Info: 1. 此为Kohl's store 订单, MA UPC包装(首选1L) + 价格贴纸 （不能覆盖mad in China 字样）+ 客供外箱贴纸 + 黄色贴 （尺寸 4*6inch, 贴其中一面正唛上）
手工单K117H,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</si>
  <si>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PO# 35486</t>
  </si>
  <si>
    <t>4500181566-20</t>
  </si>
  <si>
    <t>0938210297</t>
  </si>
  <si>
    <t>4500185601-10</t>
  </si>
  <si>
    <t>0938210303</t>
  </si>
  <si>
    <t>4500185601-20</t>
  </si>
  <si>
    <t>1/6 BV</t>
  </si>
  <si>
    <t>0938210326</t>
  </si>
  <si>
    <t>4500185601-30</t>
  </si>
  <si>
    <t>0938210273</t>
  </si>
  <si>
    <t>4500185602-10</t>
  </si>
  <si>
    <t>0938210294</t>
  </si>
  <si>
    <t>4500185602-20</t>
  </si>
  <si>
    <t>0938210312</t>
  </si>
  <si>
    <t>4500185602-30</t>
  </si>
  <si>
    <t>0938210570</t>
  </si>
  <si>
    <t>4500185602-40</t>
  </si>
  <si>
    <t>25-1071591JEC</t>
  </si>
  <si>
    <t>4500179359-10</t>
  </si>
  <si>
    <t>11/10进口商贴纸+UPC贴纸</t>
  </si>
  <si>
    <t>Amazon FR:
8YMBINKC</t>
  </si>
  <si>
    <t>4500181168-10</t>
  </si>
  <si>
    <t>11/27SSCC+IT环保标+DE/IT警告语贴纸翻单181154</t>
  </si>
  <si>
    <t>日期码格式：ZURU INC(BVI) 标准格式 日期：按实际生产日期
Packaging Info: Amazon FR(77809)
1. 77809: 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 参考翻单PO
#4500181154)+WEEE带电池走货说明书欧洲EN 30L-B版；
2. 验货时间不迟于2025/12/26.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</si>
  <si>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ES:
2RLZJFND</t>
  </si>
  <si>
    <t>4500181126-10</t>
  </si>
  <si>
    <t>11/25SSCC+IT环保标+DE/IT警告语贴纸翻单181123</t>
  </si>
  <si>
    <t>日期码格式：ZURU INC(BVI) 标准格式 日期：按实际生产日期
Packaging Info: Amazon ES(77809)
1. 77809：2PK#77773 in PVC TUBE,12tubes/ctn;3PCS AG13 BATTERIES(INCLUDED); 客版 3L(3L warning no barcode)A收缩膜(参考Amazon US翻单PO#4500179751)
+MA 23L warning A 说明书+MA其他最新配套包装+客版3L(3L warning)A PVC彩卡(参考Amazon US翻单PO#4500179751)+1张贴纸(IT环保标+DE/IT警告语, 参考翻单PO
#4500181123)+WEEE带电池走货说明书欧洲EN 30L-B版；
2. 最迟验货不得晚于2025/12/25;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</si>
  <si>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PL HANDELSGESELLSCHAFT MBH</t>
  </si>
  <si>
    <t>奥地利</t>
  </si>
  <si>
    <t>PL 301909-01-26 EVD+EAS</t>
  </si>
  <si>
    <t>4500182689-40</t>
  </si>
  <si>
    <t>德语警语贴纸(翻单: 4500181904)</t>
  </si>
  <si>
    <t>日期码格式：ZURU INC(BVI) 标准格式 日期：按实际生产日期
Packaging Info: 
77773： MA 3L EAN收缩膜+德语警语贴纸(翻单: 4500181904)+ MA 5L 收藏指南 + MA 23L 黑白警语说明书+MA5L纸袋 +WEEE 带电池走货 B版通用30L 说明书
说明书+MA纸袋+MA收藏指南5L-A版本+WEEE 带电池走货 通用 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</si>
  <si>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4500184256-50</t>
  </si>
  <si>
    <t>11/17进口商贴纸+PDQ贴纸</t>
  </si>
  <si>
    <t>日期码格式：ZURU INC(BVI) 标准格式 日期：按实际生产日期
Packaging Info: 
5.77773GQ2：最新【MA 3L EAN版本包装+一张客户进口商贴纸含西班牙环保标】+MA 23说明书+MA 收藏指南 +【MA 3L PDQ+一张PDQ贴纸含EAN条码】+WEEE带电池走
货欧洲30语通用黑白说明书；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</si>
  <si>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4500184256-60</t>
  </si>
  <si>
    <t>日期码格式：ZURU INC(BVI) 标准格式 日期：按实际生产日期
Packaging Info: 
6.77773SK1：最新【MA 3L EAN 版本包装+一张西班牙环保标和客户进口商贴纸】+MA 5L 收藏指南+【MA 3L 展示架+一张展示架贴纸含EAN条码+WEEE带电池走货欧洲
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</si>
  <si>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4500185863-20</t>
  </si>
  <si>
    <t>12/29 交仓</t>
  </si>
  <si>
    <t>警告语贴纸+ 防盗贴纸翻单+ 12/8 外箱贴纸SSCC Label</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</si>
  <si>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PO#4500185865一起合并计算</t>
  </si>
  <si>
    <t>ZMPO251168</t>
  </si>
  <si>
    <t>ZMPO251168-10</t>
  </si>
  <si>
    <t>2-DIY 空球壳只需收缩内外膜</t>
  </si>
  <si>
    <t>Remark:大货版本/只需要空球，里面不需要放公仔/空球/要用大货收缩膜收缩好
备注：收到样品订单后尽快安排 ，注意样板品质质量要求要高于大货品质要求 ，送货时必须要附带送货单(没有送货单和QC检验合格报告的仓库一律拒绝收货)，请知悉，谢谢！</t>
  </si>
  <si>
    <t>4500184934-30</t>
  </si>
  <si>
    <t>11/28 进口商贴纸</t>
  </si>
  <si>
    <t>日期码格式：ZURU INC(BVI) 标准格式 日期：按实际生产日期
Packaging Info: 1.
77773GQ2: MA 1L收缩膜+进口商贴纸（含客户条码）; MA PDQ；MA 5L收藏指南/袋子；
需要增加一张WEEE声明（带电池走货版本的通用30L说明书）
2. 日期码：外箱上需要印客户日期码和ZURU STD日期码，其中客户日期码为ZUR5353；产品/布标/包装印zuru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Remark:</t>
  </si>
  <si>
    <t>4500184256-40</t>
  </si>
  <si>
    <t>未出 样板</t>
  </si>
  <si>
    <r>
      <rPr>
        <sz val="10"/>
        <color theme="1"/>
        <rFont val="等线"/>
        <charset val="134"/>
      </rPr>
      <t>日期码格式：ZURU INC(BVI) 标准格式 日期：按实际生产日期
Packaging Info: 
4.77773GQ1：最新【MA 3L EAN版本包装+一张客户进口商贴纸含西班牙环保标】+MA 23说明书+MA 收藏指南 +【MA 3L PDQ+一张PDQ贴纸含EAN条码】</t>
    </r>
    <r>
      <rPr>
        <sz val="10"/>
        <color rgb="FFFF0000"/>
        <rFont val="等线"/>
        <charset val="134"/>
      </rPr>
      <t>+WEEE带电池走
货欧洲30语通用黑白说明书；</t>
    </r>
    <r>
      <rPr>
        <sz val="10"/>
        <color theme="1"/>
        <rFont val="等线"/>
        <charset val="134"/>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</si>
  <si>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4500183087-30</t>
  </si>
  <si>
    <t>2-DIY 25PCS/GQ2/CTN-干燥剂</t>
  </si>
  <si>
    <t>12/9 UPC贴纸+进口商贴纸+产品贴纸</t>
  </si>
  <si>
    <t>保证书翻单PO4500160573</t>
  </si>
  <si>
    <t>日期码格式：LOTDGYYYYMMDD 日期：按实际生产日期
Packaging Info: 1.
3. 77773GQ2：MA 3L EAN包装+UPC贴纸+MA 3L PDQ包装+进口商贴纸+产品贴纸+保证书+箱唛，包装和说明书上都要贴1张进口商贴纸，保证书翻单PO4500160573
Remark: 1. 客版日期码要求：LOT+ZURU标准日期码格式。东莞生产的格式：LOTDGYYYYMMDD, DG是东莞拼音首字母，
YYYYMMDD是实际的年月日，例如(LOTDG20240920)
77773GQ2：3PCS AG13 BATTERIES(INCLUDED)
4. 此单有第三方监柜，至少多备一套完整的物料用于监柜，请多备料。
5. WM墨西哥防霉的新要求:货物必须在出货主箱和集装箱中按要求放置干燥剂，干燥剂指定品牌干霸
77773GQ2： 需要在每箱放入4小包干燥剂，每包干燥剂重量2g
7127：需要在每箱放入6小包干燥剂，每包干燥剂重量2g
7132: 需要在每箱放入10小包干燥剂，每包干燥剂重量2g
92119: 需要在每箱放入14小包干燥剂，每包干燥剂重量2g
如走柜货等loading plan 确认后再通知集装箱干燥剂数量</t>
  </si>
  <si>
    <t>SUCKOT SAC</t>
  </si>
  <si>
    <t>秘鲁</t>
  </si>
  <si>
    <t>4500183983-10</t>
  </si>
  <si>
    <t>12/8进口商贴纸+UPC贴纸</t>
  </si>
  <si>
    <t>日期码格式：ZURU INC(BVI) 标准格式 日期：按实际生产日期
Packaging Info: 77773GQ2:MA 多语 EAN包装+进口商贴纸+UPC贴纸+箱唛
mother UPC:
Remark:</t>
  </si>
  <si>
    <t>4500187690-30</t>
  </si>
  <si>
    <t>1/12 交仓</t>
  </si>
  <si>
    <t>12/4电池警告语贴纸</t>
  </si>
  <si>
    <t>日期码格式：ZURU INC(BVI) 标准格式 日期：按实际生产日期
Packaging Info: 􏁬 MA UPC 英语包装（优先1L英语版本，或者3L/5L含英语都可）
􏁬 产品有纽扣电池，包装正面和说明书都需要加电池警告语贴纸（法规要求），如包装正面位置不够，则在正面贴一张小的，再在其背面加上大的警语贴纸，详细
参考贴纸位置图。
Remark: 1.此客人不接受易掉落或者剥落或者可直接触碰的闪粉，可降解也不行，但可以接受符合欧洲微塑料标准的珠光粉或者闪片。
3.#77773:"Rare: 1/48 Common: Equal ratio"
3PCS AG13 BATTERIES(INCLUDED)</t>
  </si>
  <si>
    <t>Ivy Li</t>
  </si>
  <si>
    <t>4500187690-40</t>
  </si>
  <si>
    <t>INTERTOYS B.V.</t>
  </si>
  <si>
    <t>4500185039-10</t>
  </si>
  <si>
    <t>11/20 可折叠贴纸+款号条码贴纸</t>
  </si>
  <si>
    <t>日期码格式：ZURU INC(BVI) 标准格式 日期：按实际生产日期
Packaging Info: 77773GQ2:3L MA EAN包装+可折叠贴纸+款号条码贴纸; MA 最新说明书（含IFUD声明）+B版WEEE带电池走货说明书; MA PDQ
Remark: 1. STD配比
2. 出欧洲，微塑料需合规（如item本身不含微塑料 则忽略此要求）</t>
  </si>
  <si>
    <t>4500186877-30</t>
  </si>
  <si>
    <t>11/25 进口商贴纸</t>
  </si>
  <si>
    <t>日期码格式：ZURU INC(BVI) 标准格式 日期：按实际生产日期
Packaging Info: 
77773GQ1: MA A版 1L UPC 收缩膜+进口商贴纸;MA A版 5L收藏指南; MA B版23L说明书; MA A版1L PDQ
Remark: 此单出欧洲斯洛文尼亚， 需满足EU测试标准要求，不能含微塑料，需出无闪粉版本
-77773GQ1: Rare: 1/48 Common: Equal ratio
3PCS AG13 BATTERIES(INCLUDED): 加WEEE带电池走货欧洲30语通用黑白说明书 B版</t>
  </si>
  <si>
    <t>Sharon Zhao</t>
  </si>
  <si>
    <t>FB13921</t>
  </si>
  <si>
    <t>4500186899-60</t>
  </si>
  <si>
    <t>条码贴纸翻单4500183275</t>
  </si>
  <si>
    <t>日期码格式：ZURU INC(BVI) 标准格式 日期：按实际生产日期
Packaging Info: 
77773GQ1:MA+客户EAN条码贴纸5056296056981，PDQ上加数量贴纸, 条码贴纸翻单4500183275
加带30L电池出货版本WEEE说明书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</si>
  <si>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4500186234-40</t>
  </si>
  <si>
    <t>有第三方监柜，至少备1pcs用于监柜</t>
  </si>
  <si>
    <t>12/12 UPC贴纸+进口商贴纸</t>
  </si>
  <si>
    <r>
      <rPr>
        <sz val="10"/>
        <rFont val="等线"/>
        <charset val="134"/>
      </rPr>
      <t xml:space="preserve">日期码格式：ZURU INC(BVI) 标准格式 日期：按实际生产日期
Packaging Info:
4. 77773GQ2：MA 3L EAN包装+UPC贴纸+MA 3L PDQ包装+进口商贴纸+箱唛
Remark:
4. 77773GQ2：3PCS AG13 BATTERIES(INCLUDED)
</t>
    </r>
    <r>
      <rPr>
        <sz val="10"/>
        <color rgb="FFFF0000"/>
        <rFont val="等线"/>
        <charset val="134"/>
      </rPr>
      <t>10. 客户有监装要求，每款需要备1pc监装样板</t>
    </r>
  </si>
  <si>
    <t>ZU02-26</t>
  </si>
  <si>
    <t>4500183616-160</t>
  </si>
  <si>
    <t>12/12 进口商贴纸+UPC贴纸</t>
  </si>
  <si>
    <t xml:space="preserve">日期码格式：ZURU INC(BVI) 标准格式 日期：按实际生产日期
Packaging Info:
其余item：MA 多语EAN包装+进口商贴纸+UPC贴纸+箱唛
Remark: </t>
  </si>
  <si>
    <t>4500187838-60</t>
  </si>
  <si>
    <t>12/10 环保标贴纸</t>
  </si>
  <si>
    <t>日期码格式：ZURU INC(BVI) 标准格式 日期：按实际生产日期
Packaging Info:
6.77773GQ2：最新MA 3L EAN包装+一张客户进口商内容和西班牙环保标贴纸+MA 3L PDQ+MA 5L 收藏指南+MA 23L 说明书+WEEE带电池走货欧洲30语通用黑白说明书
；
Remark: 1.此单出西班牙市场，需满足EU测试标准要求，微塑料需符合EU法规。
2.包装必须要含西班牙环保标和 care@zuru.com 邮箱地址以及CE LOGO；
3.毛绒玩具需要西班牙语言的洗涤说明；
4.电子产品需要WEEE说明书；</t>
  </si>
  <si>
    <t>0938210278</t>
  </si>
  <si>
    <t>4500187253-10</t>
  </si>
  <si>
    <t>1/14 bv</t>
  </si>
  <si>
    <t>12/15 RFID</t>
  </si>
  <si>
    <t>日期码格式：ZURU DGYYYYMMDD CHINA(日期避开周末和法定节假日即可） 日期：按实际生产日期
Packaging Info: 77773GQ3-S001
1. 包装要求：
77773：MA 1L A版收缩膜+MA 5L A版收藏指南+MA 23L B版说明书/MA 23L B版Sushi Boat专用说明书+MA A版纸袋+客版 1L A版PDQ，翻单：4500183837
每pcs产品要贴一张RFID贴纸，RFID贴纸由ZURU提供，贴纸位置要严格按照客人签板
Remark: 77773GQ3-S001
1. 包装要求：
77773：MA 1L A版收缩膜+MA 5L A版收藏指南+MA 23L B版说明书/MA 23L B版Sushi Boat专用说明书+MA A版纸袋+客版 1L A版PDQ，翻单：4500183837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</si>
  <si>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0938210304</t>
  </si>
  <si>
    <t>4500187253-20</t>
  </si>
  <si>
    <t>1/21 bv</t>
  </si>
  <si>
    <t>0938210308</t>
  </si>
  <si>
    <t>4500187253-30</t>
  </si>
  <si>
    <t>0938210324</t>
  </si>
  <si>
    <t>4500187253-40</t>
  </si>
  <si>
    <t>0938210336</t>
  </si>
  <si>
    <t>4500187253-50</t>
  </si>
  <si>
    <t>4500188101-20</t>
  </si>
  <si>
    <t>警告语贴纸+防盜贴纸(贴纸以及防盜贴纸位置图翻单PO#4500182434)+12/22 外箱贴纸SSCC Label</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</si>
  <si>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PO#4500188102一起合并计算</t>
  </si>
  <si>
    <t>4500188102-10</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</si>
  <si>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PO#4500188101一起合并计算</t>
  </si>
  <si>
    <t>THE NORTH WEST COMPANY LP</t>
  </si>
  <si>
    <t>4500182548-110</t>
  </si>
  <si>
    <t>10/22UPC贴纸</t>
  </si>
  <si>
    <t>日期码格式： 标准格式 日期：按实际生产日期
Packaging Info:
77773GQ2 MA 多语EAN+UPC贴纸193052090089
Remark: 出加拿大
Zuru验货.日期跟踪码：产品外包装及产品本身都必须有日期跟踪码，ZURU标准格式日期码</t>
  </si>
  <si>
    <t>PO#60X483307</t>
  </si>
  <si>
    <t>4500184978-20</t>
  </si>
  <si>
    <t>1月15日第三方</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</si>
  <si>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#77773GQ1需1月5日前需寄出3套大货样板(含PDQ;带日期码)，样板须跟大货一模一样。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</si>
  <si>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ZMPO260015</t>
  </si>
  <si>
    <t>ZMPO260015-10</t>
  </si>
  <si>
    <t>77773SK-S002</t>
  </si>
  <si>
    <r>
      <rPr>
        <sz val="11"/>
        <rFont val="Arial"/>
        <charset val="0"/>
      </rPr>
      <t>8</t>
    </r>
    <r>
      <rPr>
        <sz val="11"/>
        <rFont val="宋体"/>
        <charset val="0"/>
      </rPr>
      <t>套空展示架</t>
    </r>
  </si>
  <si>
    <t>Remark:大货最新版本/只需要空展示架/请配齐展示架Demo+吸塑盒
备注：收到样品订单后尽快安排 ，注意样板品质质量要求要高于大货品质要求 ，送货时必须要附带送货单(没有送货单和QC检验合格报告的仓库一律拒绝收货)，请知悉，谢谢！</t>
  </si>
  <si>
    <t>4500185120-80</t>
  </si>
  <si>
    <t>12/3 UPC贴纸</t>
  </si>
  <si>
    <t xml:space="preserve">日期码格式：ZURU INC(BVI) 标准格式 日期：按实际生产日期
Packaging Info: 
其余item：MA 多语包装+ UPC贴纸+箱唛，无客户贴纸
Remark: </t>
  </si>
  <si>
    <t>4500187623-70</t>
  </si>
  <si>
    <t>12/18  UPC贴纸</t>
  </si>
  <si>
    <t>日期码格式：ZURU INC(BVI) 标准格式 日期：按实际生产日期
Packaging Info: 
77773GQ2:MA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</si>
  <si>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ZMPO260003</t>
  </si>
  <si>
    <r>
      <rPr>
        <sz val="11"/>
        <rFont val="Arial"/>
        <charset val="0"/>
      </rPr>
      <t>24</t>
    </r>
    <r>
      <rPr>
        <sz val="11"/>
        <rFont val="宋体"/>
        <charset val="0"/>
      </rPr>
      <t>套散件</t>
    </r>
  </si>
  <si>
    <t>Remark：大货最新版本/只需要左图中款散件，每款各24PCS
备注：收到样品订单后尽快安排 ，注意样板品质质量要求要高于大货品质要求 ，送货时必须要附带送货单(没有送货单和QC检验合格报告的仓库一律拒绝收货)，请知悉，谢谢！</t>
  </si>
  <si>
    <t>4500186008-30</t>
  </si>
  <si>
    <t>1/24 截SI</t>
  </si>
  <si>
    <t>11/21西班牙环保标贴纸</t>
  </si>
  <si>
    <t>日期码格式：ZURU INC(BVI) 标准格式 日期：按实际生产日期
Packaging Info: 
3.77773GQ2：最新MA 3L EAN包装+一张西班牙环保标贴纸+MA 3L PDQ+MA 5L 收藏指南+MA 23L 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</si>
  <si>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FB13945</t>
  </si>
  <si>
    <t>4500187663-100</t>
  </si>
  <si>
    <t>EAN条码贴纸+数量贴纸翻单183275</t>
  </si>
  <si>
    <r>
      <rPr>
        <sz val="10"/>
        <rFont val="等线"/>
        <charset val="134"/>
      </rPr>
      <t>日期码格式：ZURU INC(BVI) 标准格式 日期：按实际生产日期
Packaging Info:
77773GQ1:MA+客户EAN条码贴纸</t>
    </r>
    <r>
      <rPr>
        <sz val="10"/>
        <color rgb="FFFF0000"/>
        <rFont val="等线"/>
        <charset val="134"/>
      </rPr>
      <t>翻单45001832775，条码请核对5056296043936，PDQ上加数量贴纸，数量贴纸为5S MINI BRAND通用13PCS贴纸</t>
    </r>
    <r>
      <rPr>
        <sz val="10"/>
        <rFont val="等线"/>
        <charset val="134"/>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r>
  </si>
  <si>
    <t>82L5W19Y</t>
  </si>
  <si>
    <t>4500187446-120</t>
  </si>
  <si>
    <t>12/22 SSCC</t>
  </si>
  <si>
    <t>日期码格式：ZURU INC(BVI) 标准格式 日期：按实际生产日期
Packaging Info:
#77809: 2PK STD #77773入PVC筒,客版3L无UPC版收缩膜，客版3L铜版纸，客版收缩膜和铜版纸翻单4500177327。收藏指南和说明书为MA版本。（两个球的配比不能
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</si>
  <si>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0938210275</t>
  </si>
  <si>
    <t>4500187256-10</t>
  </si>
  <si>
    <t>1/26bv</t>
  </si>
  <si>
    <t>1/15 RFID</t>
  </si>
  <si>
    <t>4500188650-20</t>
  </si>
  <si>
    <t>警告语贴纸+防盜贴纸(贴纸以及防盜贴纸位置图翻单PO#4500182434)+12/29 外箱贴纸SSCC Label</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</si>
  <si>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</si>
  <si>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4500188651-20</t>
  </si>
  <si>
    <t>警告语贴纸+防盜贴纸(贴纸以及防盜贴纸位置图翻单PO#4500182434)+12/29外箱贴纸SSCC Label</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</si>
  <si>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</si>
  <si>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COL-15-26-SPR</t>
  </si>
  <si>
    <t>4500187640-110</t>
  </si>
  <si>
    <t>12/19 进口商贴纸+UPC贴纸</t>
  </si>
  <si>
    <t>指定日期码：DG20260120</t>
  </si>
  <si>
    <t>日期码格式：DG20260120 日期：按实际生产日期
Packaging Info: 其余item：MA 多语包装+进口商贴纸+UPC贴纸+箱唛
Remark: 外箱/产品/包装-指定日期码：DG20260120</t>
  </si>
  <si>
    <t>MULTIHEXA SDN BHD</t>
  </si>
  <si>
    <t>马来西亚</t>
  </si>
  <si>
    <t>4500188846-130</t>
  </si>
  <si>
    <t>12/22进口商贴纸</t>
  </si>
  <si>
    <t>日期码格式：ZURU INC(BVI) 标准格式 日期：按实际生产日期
Packaging Info: MA UPC包装(优先1L)+进口商贴纸,Fuggler的items需mother UPC barcode 信息,会跟进口商贴纸做在一起
贴纸图稿及位置图翻单如下,其他items待提供
Remark:
77773GQ2-"Rare: 1/48
Common: Equal ratio"</t>
  </si>
  <si>
    <t>MINISO DEPOT CA INC.</t>
  </si>
  <si>
    <t>4500188208-30</t>
  </si>
  <si>
    <t>12/18UPC 条码贴纸</t>
  </si>
  <si>
    <t>日期码格式：ZURU INC(BVI) 标准格式 日期：按实际生产日期
Packaging Info: 1. 包装方式：MA UPC优先1L最新包装，出口美国；
2. 产品和包装上印刷tracking code信息，格式为ZURU常规；
3. ZURU QC 验货合格后即可出货.
Remark:
6. 77773GQ2-S002 PDQ上需要贴一张UPC 条码贴纸,UPC显示：193052090089，贴纸AW跟单提供，工厂自行采购;</t>
  </si>
  <si>
    <t>4500187984-30</t>
  </si>
  <si>
    <t>W0750693</t>
  </si>
  <si>
    <t>4500188454-50</t>
  </si>
  <si>
    <t>12/17价格贴纸+外箱贴纸</t>
  </si>
  <si>
    <t>6XNHKJOX</t>
  </si>
  <si>
    <t>4500186739-110</t>
  </si>
  <si>
    <t>12/17 SSCC+IT环保标+DE/IT警告语参考翻单PO#4500181154</t>
  </si>
  <si>
    <t>日期码格式：ZURU INC(BVI) 标准格式 日期：按实际生产日期
Packaging Info: Amazon UK(9565ABDE/15752B/15754B/15755ABDE/77731/77785/77809)/DE(9565ABDE/77673/15728ABG)/ES(77785/92119D/15710A/15728ABE)/IT(71152/15710B/15728
AG/15763E)
5. 77809：2PK#77773 in PVC TUBE,12tubes/ctn;3PCS AG13 BATTERIES(INCLUDED); 客版 3L(3L warning no barcode)A收缩膜(参考Amazon US翻单PO#4500179751)
+MA 23L warning A 说明书+MA其他最新配套包装+客版3L(3L warning)A PVC彩卡(新FR&lt;(&gt;&amp;&lt;)&gt;DK地址，参考Amazon US翻单PO#4500179751)+1张贴纸(IT环保标+DE/I
T警告语, 参考翻单PO#4500181154)+WEEE带电池走货说明书欧洲EN 30L-B版；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</si>
  <si>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Mia Xing</t>
  </si>
  <si>
    <t>0938210268</t>
  </si>
  <si>
    <t>4500187260-10</t>
  </si>
  <si>
    <t>1/30 bv</t>
  </si>
  <si>
    <t>0938210314</t>
  </si>
  <si>
    <t>4500187260-20</t>
  </si>
  <si>
    <t>2/2 bv</t>
  </si>
  <si>
    <t>0938210327</t>
  </si>
  <si>
    <t>4500187260-30</t>
  </si>
  <si>
    <t>MPO03961</t>
  </si>
  <si>
    <r>
      <rPr>
        <sz val="11"/>
        <rFont val="宋体"/>
        <charset val="0"/>
      </rPr>
      <t>母件</t>
    </r>
    <r>
      <rPr>
        <sz val="11"/>
        <rFont val="Arial"/>
        <charset val="0"/>
      </rPr>
      <t>4500187321</t>
    </r>
  </si>
  <si>
    <t>MSLD168-S001-77773</t>
  </si>
  <si>
    <t>2-DIY 44PCS/周转箱+demo-440PCS</t>
  </si>
  <si>
    <t>送丹尼工厂组装混装展架 #MSLD168-S001</t>
  </si>
  <si>
    <t>周转箱送货并在外箱上备注与丹尼-PO- 4500187321-#MSLD168 组装</t>
  </si>
  <si>
    <t>防盜贴纸+纽扣电池警语贴纸翻单182434</t>
  </si>
  <si>
    <t>Remark: 1. 77773: MA 1L UPC英语包装(MA收缩膜)+防盜贴纸(贴纸以及防盜贴纸位置图翻单PO#4500182434)+箱唛+外箱贴纸SSCC Label
77773-sushi boat：MA sushi boat专用黑白说明书
其他款：MA说明书+1张说明书纽扣电池警告语贴纸+ 1张收缩膜纽扣电池警告语贴纸
2. 日期码格式为 ZURU 标准格式, 无指定要求的日期时间。
3. 送货到丹尼，可用周转箱送货并在外箱上备注与丹尼-PO- 4500187321-#MSLD168 组装
4. 此单出口澳大利亚，请按相应的澳新标准生产
5. 订单的所有测试与样品要求以跟单的要求为准，且为了避免QC验货拆货来不及补货，请准备适量的贴纸和产品备品。此订单数量只作为大货生产，不包含
样板与备品。
6. 关于混装展示架，各工厂交子件到最终母件工厂时，务必要 "带卡板出+围好围膜"。
如果没按要求的，请各工厂自行安排人手卸货。
7. 请贵司确保交货数量准确，与收货方交收清楚，如收货方提出任何异常，请立即安排处理解决。</t>
  </si>
  <si>
    <t>Alex Huo/Louise Lu</t>
  </si>
  <si>
    <t>4500188871-80</t>
  </si>
  <si>
    <t>警告语贴纸+防盜贴纸(贴纸以及防盜贴纸位置图翻单PO#4500182434)+1/5外箱贴纸SSCC Label</t>
  </si>
  <si>
    <t>日期码格式：ZURU INC(BVI) 标准格式 日期：按实际生产日期
Packaging Info:
77773GQ1:MA 1L UPC英语包装(MA收缩膜)+防盜贴纸(贴纸以及防盜贴纸位置图翻单PO#4500182434)+箱唛+外箱贴纸SSCC Label
77773-sushi boat：MA sushi boat专用黑白说明书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</si>
  <si>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4500188871-110</t>
  </si>
  <si>
    <t>4500188871-120</t>
  </si>
  <si>
    <t>4500188875-60</t>
  </si>
  <si>
    <t>日期码格式：ZURU INC(BVI) 标准格式 日期：按实际生产日期
Packaging Info:
77773GQ1:MA 1L UPC英语包装(MA收缩膜)+防盜贴纸(贴纸以及防盜贴纸位置图翻单PO#4500182434)+箱唛+外箱贴纸SSCC Label
77773-sushi boat：MA sushi boat专用黑白说明书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</si>
  <si>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Louise Lu</t>
  </si>
  <si>
    <t>4500189146-10</t>
  </si>
  <si>
    <t>12/16警告语贴纸+欠外箱贴纸SSCC Label</t>
  </si>
  <si>
    <t>日期码格式：ZURU INC(BVI) 标准格式 日期：按实际生产日期
Packaging Info: 77773GQ1: MA 1L UPC英语包装(MA收缩膜)+箱唛+外箱贴纸SSCC Label
77773-sushi boat：MA sushi boat专用黑白说明书
其他款：MA说明书+1张说明书纽扣电池警告语贴纸+ 1张收缩膜纽扣电池警告语贴纸
Rare: 1/48
Common: Equal ratio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</si>
  <si>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4500188302-50</t>
  </si>
  <si>
    <t>1/6UPC贴纸</t>
  </si>
  <si>
    <r>
      <rPr>
        <sz val="10"/>
        <rFont val="等线"/>
        <charset val="134"/>
      </rPr>
      <t xml:space="preserve">日期码格式：ZURU INC(BVI) 标准格式 日期：按实际生产日期
Packaging Info: 请确保包装上的条形码是UPC，如果是babyUPC，需要用mother UPC覆盖，如有不一致，请及时提出。谢谢!
</t>
    </r>
    <r>
      <rPr>
        <sz val="10"/>
        <color rgb="FFFF0000"/>
        <rFont val="等线"/>
        <charset val="134"/>
      </rPr>
      <t>77773GQ2,,MA 多语EAN包装+UPC贴纸+MA多语收藏指南+MA PDQ+箱唛,,</t>
    </r>
    <r>
      <rPr>
        <sz val="10"/>
        <rFont val="等线"/>
        <charset val="134"/>
      </rPr>
      <t xml:space="preserve">
Remark:
</t>
    </r>
    <r>
      <rPr>
        <sz val="10"/>
        <color rgb="FFFF0000"/>
        <rFont val="等线"/>
        <charset val="134"/>
      </rPr>
      <t>77773GQ2,,Rare: 1/48
Common: Equal ratio,,</t>
    </r>
  </si>
  <si>
    <t>4500188248-130</t>
  </si>
  <si>
    <t>UPC贴纸翻单188302</t>
  </si>
  <si>
    <r>
      <rPr>
        <sz val="10"/>
        <rFont val="等线"/>
        <charset val="134"/>
      </rPr>
      <t xml:space="preserve">日期码格式：ZURU INC(BVI) 标准格式 日期：按实际生产日期
Packaging Info: 请确保包装上的条形码是UPC，如果是babyUPC，需要用mother UPC覆盖，如有不一致，请及时提出。谢谢!
</t>
    </r>
    <r>
      <rPr>
        <sz val="10"/>
        <color rgb="FFFF0000"/>
        <rFont val="等线"/>
        <charset val="134"/>
      </rPr>
      <t>77773GQ2,,MA 多语EAN包装+UPC贴纸+MA多语收藏指南+MA PDQ+箱唛,,</t>
    </r>
    <r>
      <rPr>
        <sz val="10"/>
        <rFont val="等线"/>
        <charset val="134"/>
      </rPr>
      <t xml:space="preserve">
Remark:
</t>
    </r>
    <r>
      <rPr>
        <sz val="10"/>
        <color rgb="FFFF0000"/>
        <rFont val="等线"/>
        <charset val="134"/>
      </rPr>
      <t>77773GQ2： Rare: 1/48 Common: Equal ratio</t>
    </r>
  </si>
  <si>
    <t>4500189203-20</t>
  </si>
  <si>
    <t>日期码格式：ZURU INC(BVI) 标准格式 日期：按实际生产日期
Packaging Info: 请确保包装上的条形码是UPC，如果是babyUPC，需要用mother UPC覆盖，如有不一致，请及时提出。谢谢!
77773GQ2,,MA 多语EAN包装+UPC贴纸+MA多语收藏指南+MA PDQ+箱唛,,
Remark: 77773GQ2： Rare: 1/48
Common: Equal ratio</t>
  </si>
  <si>
    <t>4500189691-50</t>
  </si>
  <si>
    <t>日期码格式：ZURU INC(BVI) 标准格式 日期：按实际生产日期
Packaging Info: 请确保包装上的条形码是UPC，如果是babyUPC，需要用mother UPC覆盖，如有不一致，请及时提出。谢谢!
77773GQ2,,MA 多语EAN包装+UPC贴纸+MA多语收藏指南+MA PDQ+箱唛,,
Remark: 
77773GQ2,,Rare: 1/48
Common: Equal ratio,,</t>
  </si>
  <si>
    <t>4500188307-60</t>
  </si>
  <si>
    <t>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77773GQ2 ：Rare: 1/48
Common: Equal ratio</t>
  </si>
  <si>
    <t>0938210264</t>
  </si>
  <si>
    <t>4500187261-10</t>
  </si>
  <si>
    <t>0938210364</t>
  </si>
  <si>
    <t>4500187261-20</t>
  </si>
  <si>
    <t>4500188881-70</t>
  </si>
  <si>
    <t>1/6 进口商贴纸+条码贴纸</t>
  </si>
  <si>
    <t>日期码格式：ZURU INC(BVI) 标准格式 日期：按实际生产日期
Packaging Info:
其余item：MA 多语包装+进口商贴纸+条码贴纸+箱唛
Remark: 进口商贴纸请多备料5pcs,出货后需要寄给客户</t>
  </si>
  <si>
    <t>DOLGENCORP, LLC</t>
  </si>
  <si>
    <t>4500189455-120</t>
  </si>
  <si>
    <t>77773SLB-S001</t>
  </si>
  <si>
    <t>2-DIY 25PCS/GQ2/CTN*48/卡板</t>
  </si>
  <si>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2024&lt;(&gt;,&lt;)&gt; to
ys must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#77773SLB-S001-MINI BRANDS-MASTER CHEF-SERIES 2-CAPSULE,WITH DEMO,25PCS/GRAVITY PDQ/CTN,1200PCS/48CTN/SLIP SHEET
具体的产品item#77773GQ2-S002
客户SKU#43981601
客户描述：PSZ26 MB MASTERCHEF
ZURU MA UPC# 193052090089&lt;(&gt;,&lt;)&gt; 此款无需加UPC贴纸。</t>
  </si>
  <si>
    <t>4500190234-40</t>
  </si>
  <si>
    <t>日期码格式：ZURU INC(BVI) 标准格式 日期：按实际生产日期
Packaging Info: 1.优先多语 MA UPC或者3L/5L MA EAN 包装
2.请确保包装上的条形码是UPC，如果是babyUPC、需要用mother UPC覆盖，如有不一致，请及时提出。谢谢!
Remark: 
77773GQ2：Rare: 1/48
Common: Equal ratio</t>
  </si>
  <si>
    <t>4500184293-10</t>
  </si>
  <si>
    <t>有监柜要求，每款需要准备1pc监柜样板用于监装</t>
  </si>
  <si>
    <t>12/17 UPC贴纸+红色logo贴纸+进口商贴纸</t>
  </si>
  <si>
    <t>日期码格式：ZURU INC(BVI) 标准格式 日期：按实际生产日期
Packaging Info: 1. 77773GQ2：MA 3L EAN包装+UPC贴纸+MA 3L PDQ包装+1个小的红色logo贴纸+保证书+进口商贴纸+箱唛，3张不同的进口商贴纸分别是贴在彩卡/产品/说明书上
Remark: 1. 集装箱及装柜要求：集装箱不能有破洞；不能太脏
2. 每个item需要放1整箱在每个集装箱门口
3. 装柜的时候要前、中、后拍照
4. 此单有监柜要求，每款需要准备1pc监柜样板用于监装
5. 77773GQ2：3PCS AG13 BATTERIES(INCLUDED)</t>
  </si>
  <si>
    <t>ARCHIBRAND, S.A. DE C.V.</t>
  </si>
  <si>
    <t>4500190045-140</t>
  </si>
  <si>
    <t>1/6 UPC贴纸+进口商贴纸</t>
  </si>
  <si>
    <t>日期码格式：ZURU INC(BVI) 标准格式 日期：按实际生产日期
Packaging Info:
14. 77773GQ2：MA 3L EAN包装+UPC贴纸+MA 3L PDQ包装+进口商贴纸+保证书+箱唛
所有带电产品的保证书是通用的
Remark:
12. 77773GQ2：3PCS AG13 BATTERIES(INCLUDED)</t>
  </si>
  <si>
    <t>PO0001591</t>
  </si>
  <si>
    <t>4500189941-110</t>
  </si>
  <si>
    <t>1/5UPC贴纸+12/26进口商贴纸</t>
  </si>
  <si>
    <t>日期码格式：ZURU INC(BVI) 标准格式 日期：按实际生产日期
Packaging Info: 出加拿大
每款产品都需要加进口商贴纸
Zuru验货.日期跟踪码：产品外包装及产品本身都必须有日期跟踪码，ZURU标准格式日期码
Remark:
77773GQ1：MA 3L 加UPC贴纸</t>
  </si>
  <si>
    <t>2026-HKC066</t>
  </si>
  <si>
    <t>4500189773-70</t>
  </si>
  <si>
    <t>欠UPC贴纸+进口商贴纸</t>
  </si>
  <si>
    <t>日期码格式：ZURU INC(BVI) 标准格式 日期：按实际生产日期
Packaging Info: MA 多语包装+进口商贴纸+UPC贴纸+箱唛
Remark:</t>
  </si>
  <si>
    <t>0938210305</t>
  </si>
  <si>
    <t>4500189982-10</t>
  </si>
  <si>
    <t>1/5 RFID</t>
  </si>
  <si>
    <t>0938210315</t>
  </si>
  <si>
    <t>4500189982-20</t>
  </si>
  <si>
    <t>0938210317</t>
  </si>
  <si>
    <t>4500189982-30</t>
  </si>
  <si>
    <t>0938210333</t>
  </si>
  <si>
    <t>4500189982-40</t>
  </si>
  <si>
    <t>0938210335</t>
  </si>
  <si>
    <t>4500189982-50</t>
  </si>
  <si>
    <t>0938210316</t>
  </si>
  <si>
    <t>4500189983-10</t>
  </si>
  <si>
    <t>日期码格式：ZURU DGYYYYMMDD CHINA(日期避开周末和法定节假日即可） 日期：按实际生产日期
Packaging Info:77773
1. 包装要求：
77773：MA 1L A版收缩膜+MA 5L A版收藏指南+MA 23L A版说明书+MA A版纸袋+客版 1L A版PDQ，翻单：4500177106
每pcs产品要贴一张RFID贴纸，RFID贴纸由ZURU提供，贴纸位置要严格按照客人签板
Remark: 77770/77773
1. 包装要求：
77773：MA 1L A版收缩膜+MA 5L A版收藏指南+MA 23L A版说明书+MA A版纸袋+客版 1L A版PDQ，翻单：4500177106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carton出货，16pcs/PDQ/CTN</t>
  </si>
  <si>
    <t>0938210323</t>
  </si>
  <si>
    <t>4500189983-20</t>
  </si>
  <si>
    <t>0938210287</t>
  </si>
  <si>
    <t>4500189985-10</t>
  </si>
  <si>
    <t>0938210346</t>
  </si>
  <si>
    <t>4500189985-20</t>
  </si>
  <si>
    <t>0938210365</t>
  </si>
  <si>
    <t>4500189985-30</t>
  </si>
  <si>
    <t>4500190678-40</t>
  </si>
  <si>
    <t>日期码格式：ZURU INC(BVI) 标准格式 日期：按实际生产日期
Packaging Info: 
4. 77773GQ1：最新【MA 3L EAN版本包装+一张客户进口商贴纸含西班牙环保标】+MA 23说明书+MA 收藏指南 +【MA 3L PDQ+一张PDQ贴纸含EAN条码】+WEEE带电池走
货欧洲30语通用黑白说明书；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</si>
  <si>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4500190678-50</t>
  </si>
  <si>
    <t>日期码格式：ZURU INC(BVI) 标准格式 日期：按实际生产日期
Packaging Info:
5. 77773SK1：最新【MA 3L EAN 版本包装+一张西班牙环保标和客户进口商贴纸】+MA 5L 收藏指南+【MA 3L 展示架+一张展示架贴纸含EAN条码+WEEE带电池走货欧
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</si>
  <si>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4500186204-40</t>
  </si>
  <si>
    <t>有监柜要求，需要每款多准备一套完整物料，用于监柜</t>
  </si>
  <si>
    <t>待客人提供资料后重新复期</t>
  </si>
  <si>
    <t>外箱只需四面印Zurulogo</t>
  </si>
  <si>
    <t>欠进口商贴纸+价标贴纸+HU MU贴纸和ASN贴纸客供</t>
  </si>
  <si>
    <r>
      <rPr>
        <sz val="10"/>
        <rFont val="等线"/>
        <charset val="134"/>
      </rPr>
      <t>日期码格式：ZURU INC(BVI) 标准格式 日期：按实际生产日期
Packaging Info: 
77770GQ2 MA 3L</t>
    </r>
    <r>
      <rPr>
        <sz val="10"/>
        <color rgb="FFFF0000"/>
        <rFont val="等线"/>
        <charset val="134"/>
      </rPr>
      <t xml:space="preserve"> EAN 包装+UPC贴纸</t>
    </r>
    <r>
      <rPr>
        <sz val="10"/>
        <rFont val="等线"/>
        <charset val="134"/>
      </rPr>
      <t>+MA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r>
  </si>
  <si>
    <t>W0754362</t>
  </si>
  <si>
    <t>4500190546-20</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</si>
  <si>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</si>
  <si>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PO 777 1MAR26</t>
  </si>
  <si>
    <t>4500187028-20</t>
  </si>
  <si>
    <t>日期码格式：ZURU INC(BVI) 标准格式 日期：按实际生产日期
Packaging Info: MA 1L UPC最新包装+ MA PDQ（如果有的话)+其他MA 包装，MA 指南/说明书（如果有的话），请先核对条码无误后安排，配比按MA
77773GQ2-S003：193052090089+WEEE带电池走货欧洲30语通用黑白说明书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</si>
  <si>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ZHUYU(SHENZHEN)TRADING CO.,LTD.</t>
  </si>
  <si>
    <t>4500190102-10</t>
  </si>
  <si>
    <t>77909GQ1-S002</t>
  </si>
  <si>
    <t>2-DIY 13PCS/GQ1/CTN-中</t>
  </si>
  <si>
    <t>欠防窜码贴纸+年龄贴纸</t>
  </si>
  <si>
    <t>特殊配比，去掉寿司款</t>
  </si>
  <si>
    <t>日期码格式：ZURU INC(BVI) 标准格式 日期：按实际生产日期
Packaging Info: 物料要求 SKU
4 77909GQ1 MA PDQ +外挂中文收藏指南+中文说明书+ 收缩膜年龄贴（8+） 首单 提供6套大货样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</si>
  <si>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Dona Tang</t>
  </si>
  <si>
    <t>4500190102-20</t>
  </si>
  <si>
    <t>4500190102-80</t>
  </si>
  <si>
    <t>4500190102-90</t>
  </si>
  <si>
    <t>+</t>
  </si>
  <si>
    <t>库存清数</t>
  </si>
  <si>
    <t>·</t>
  </si>
  <si>
    <t xml:space="preserve">计划出货期  </t>
  </si>
  <si>
    <t>1/15 截SI</t>
  </si>
  <si>
    <t>1/27 交仓</t>
  </si>
  <si>
    <t>2/10 截SI</t>
  </si>
  <si>
    <t>2/2 截SI</t>
  </si>
  <si>
    <t>1/24 交仓</t>
  </si>
  <si>
    <t>2/2 交仓</t>
  </si>
  <si>
    <t>77773-空球壳</t>
  </si>
  <si>
    <t>无bom</t>
  </si>
  <si>
    <t>1/29 截SI</t>
  </si>
  <si>
    <t>日期码格式：ZURU INC(BVI) 标准格式 日期：按实际生产日期
Packaging Info: 
4.77773GQ1：最新【MA 3L EAN版本包装+一张客户进口商贴纸含西班牙环保标】+MA 23说明书+MA 收藏指南 +【MA 3L PDQ+一张PDQ贴纸含EAN条码】+WEEE带电池走
货欧洲30语通用黑白说明书；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</si>
  <si>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r>
      <rPr>
        <sz val="10"/>
        <color rgb="FF1C05ED"/>
        <rFont val="等线"/>
        <charset val="134"/>
      </rPr>
      <t>日期码格式：ZURU INC(BVI) 标准格式 日期：按实际生产日期
Packaging Info: 77773GQ2:3L MA EAN包装+可折叠贴纸+款号条码贴纸; MA 最新说明书（含IFUD声明）+B版WEEE带电池走货说明书</t>
    </r>
    <r>
      <rPr>
        <sz val="10"/>
        <color rgb="FFFF0000"/>
        <rFont val="等线"/>
        <charset val="134"/>
      </rPr>
      <t>(寿司款不带电不需要放WEEE说明书)</t>
    </r>
    <r>
      <rPr>
        <sz val="10"/>
        <color rgb="FF1C05ED"/>
        <rFont val="等线"/>
        <charset val="134"/>
      </rPr>
      <t>; MA PDQ
Remark: 1. STD配比
2. 出欧洲，微塑料需合规（如item本身不含微塑料 则忽略此要求）</t>
    </r>
  </si>
  <si>
    <t>日期码格式：ZURU INC(BVI) 标准格式 日期：按实际生产日期
Packaging Info:
4. 77773GQ2：MA 3L EAN包装+UPC贴纸+MA 3L PDQ包装+进口商贴纸+箱唛
Remark:
4. 77773GQ2：3PCS AG13 BATTERIES(INCLUDED)
10. 客户有监装要求，每款需要备1pc监装样板</t>
  </si>
  <si>
    <t>2/5 截SI</t>
  </si>
  <si>
    <t>1/14 交仓</t>
  </si>
  <si>
    <t>8套空展示架+配齐展示架Demo+吸塑盒</t>
  </si>
  <si>
    <t>已回</t>
  </si>
  <si>
    <t>77773SK-S002-1</t>
  </si>
  <si>
    <t>ZMPO260035</t>
  </si>
  <si>
    <t>ZMPO260035-10</t>
  </si>
  <si>
    <r>
      <rPr>
        <sz val="11"/>
        <rFont val="Arial"/>
        <charset val="0"/>
      </rPr>
      <t>10</t>
    </r>
    <r>
      <rPr>
        <sz val="11"/>
        <rFont val="宋体"/>
        <charset val="0"/>
      </rPr>
      <t>套散件</t>
    </r>
  </si>
  <si>
    <t>Remark:大货版本/只需要齐全套散件/麻烦用胶袋分装好一套为一袋
备注：收到样品订单后尽快安排 ，注意样板品质质量要求要高于大货品质要求 ，送货时必须要附带送货单(没有送货单和QC检验合格报告的仓库一律拒绝收货)，请知悉，谢谢！</t>
  </si>
  <si>
    <t>24套散件</t>
  </si>
  <si>
    <t>1/20 截SI</t>
  </si>
  <si>
    <t>日期码格式：ZURU INC(BVI) 标准格式 日期：按实际生产日期
Packaging Info:77773GQ1:MA+客户EAN条码贴纸翻单4500183275，条码请核对5056296056981，PDQ上加数量贴纸，数量贴纸为5S MINI BRAND通用13PCS贴纸，加带电池出货版本WEE
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</si>
  <si>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1/18 入仓</t>
  </si>
  <si>
    <t>1/21 交仓</t>
  </si>
  <si>
    <t>1/23 截SI</t>
  </si>
  <si>
    <t>2/5 交仓</t>
  </si>
  <si>
    <t>1/29 bv</t>
  </si>
  <si>
    <t>2/10 交仓</t>
  </si>
  <si>
    <r>
      <rPr>
        <sz val="11"/>
        <color rgb="FF1C05ED"/>
        <rFont val="宋体"/>
        <charset val="0"/>
      </rPr>
      <t>母件</t>
    </r>
    <r>
      <rPr>
        <sz val="11"/>
        <color rgb="FF1C05ED"/>
        <rFont val="Arial"/>
        <charset val="0"/>
      </rPr>
      <t>4500187321</t>
    </r>
  </si>
  <si>
    <t>2-DIY 44PCS/周转箱+demo-220PCS</t>
  </si>
  <si>
    <t>1/24 送丹尼工厂组装混装展架 #MSLD168-S001</t>
  </si>
  <si>
    <r>
      <rPr>
        <sz val="10"/>
        <color rgb="FF1C05ED"/>
        <rFont val="等线"/>
        <charset val="134"/>
      </rPr>
      <t xml:space="preserve">Remark: 1. 77773: MA 1L UPC英语包装(MA收缩膜)+防盜贴纸(贴纸以及防盜贴纸位置图翻单PO#4500182434)+箱唛+外箱贴纸SSCC Label
77773-sushi boat：MA sushi boat专用黑白说明书
其他款：MA说明书+1张说明书纽扣电池警告语贴纸+ 1张收缩膜纽扣电池警告语贴纸
2. 日期码格式为 ZURU 标准格式, 无指定要求的日期时间。
3. 送货到丹尼，可用周转箱送货并在外箱上备注与丹尼-PO- 4500187321-#MSLD168 组装
4. 此单出口澳大利亚，请按相应的澳新标准生产
</t>
    </r>
    <r>
      <rPr>
        <sz val="10"/>
        <color rgb="FFFF0000"/>
        <rFont val="等线"/>
        <charset val="134"/>
      </rPr>
      <t>5. 需要DEMO 220套，具体需要的小产品以跟单&amp;客制PM邮件确认的为准</t>
    </r>
    <r>
      <rPr>
        <sz val="10"/>
        <color rgb="FF1C05ED"/>
        <rFont val="等线"/>
        <charset val="134"/>
      </rPr>
      <t xml:space="preserve">
6. 订单的所有测试与样品要求以跟单的要求为准，且为了避免QC验货拆货来不及补货，请准备适量的贴纸和产品备品。此订单数量只作为大货生产，不包含
样板与备品。
7. 关于混装展示架，各工厂交子件到最终母件工厂时，务必要 "带卡板出+围好围膜"。
如果没按要求的，请各工厂自行安排人手卸货。
8. 请贵司确保交货数量准确，与收货方交收清楚，如收货方提出任何异常，请立即安排处理解决。</t>
    </r>
  </si>
  <si>
    <t>2/3 截SI</t>
  </si>
  <si>
    <t>日期码格式：ZURU INC(BVI) 标准格式 日期：按实际生产日期
Packaging Info: 请确保包装上的条形码是UPC，如果是babyUPC，需要用mother UPC覆盖，如有不一致，请及时提出。谢谢!
77773GQ2,,MA 多语EAN包装+UPC贴纸+MA多语收藏指南+MA PDQ+箱唛,,
Remark:
77773GQ2,,Rare: 1/48
Common: Equal ratio,,</t>
  </si>
  <si>
    <t>日期码格式：ZURU INC(BVI) 标准格式 日期：按实际生产日期
Packaging Info: 请确保包装上的条形码是UPC，如果是babyUPC，需要用mother UPC覆盖，如有不一致，请及时提出。谢谢!
77773GQ2,,MA 多语EAN包装+UPC贴纸+MA多语收藏指南+MA PDQ+箱唛,,
Remark:
77773GQ2： Rare: 1/48 Common: Equal ratio</t>
  </si>
  <si>
    <t>2/2 出货</t>
  </si>
  <si>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#77773SLB-S001-MINI BRANDS-MASTER CHEF-SERIES 2-CAPSULE,WITH DEMO,25PCS/GRAVITY PDQ/CTN&lt;(&gt;,&lt;)&gt; 750PCS/30CTN/SLIP SHEET
具体的产品item#77773GQ2-S002
客户SKU#43981601
客户描述：PSZ26 MB MASTERCHEF
ZURU MA UPC# 193052090089, 此款无需加UPC贴纸。</t>
  </si>
  <si>
    <t>1/28 交仓</t>
  </si>
  <si>
    <t>12/16警告语贴纸+1/14外箱贴纸SSCC Label</t>
  </si>
  <si>
    <t>2/4 截SI</t>
  </si>
  <si>
    <t>2/6 出货</t>
  </si>
  <si>
    <t>1/13 UPC贴纸+进口商贴纸</t>
  </si>
  <si>
    <t>2/4 自检</t>
  </si>
  <si>
    <t>2/24 截SI</t>
  </si>
  <si>
    <t>2/5 BV</t>
  </si>
  <si>
    <t>2/24 交仓</t>
  </si>
  <si>
    <t>2/25 交仓</t>
  </si>
  <si>
    <t>2/9 截SI</t>
  </si>
  <si>
    <t>2/24交仓</t>
  </si>
  <si>
    <t>2/26交仓</t>
  </si>
  <si>
    <t>2/25交仓</t>
  </si>
  <si>
    <t>0938210296</t>
  </si>
  <si>
    <t>4500191083-10</t>
  </si>
  <si>
    <t>2/25 BV</t>
  </si>
  <si>
    <t>3/7 开仓</t>
  </si>
  <si>
    <t>1/21 RFID</t>
  </si>
  <si>
    <t>0938210313</t>
  </si>
  <si>
    <t>4500191083-20</t>
  </si>
  <si>
    <t>3/3 开仓</t>
  </si>
  <si>
    <t>0938210342</t>
  </si>
  <si>
    <t>4500191083-30</t>
  </si>
  <si>
    <t>0938210276</t>
  </si>
  <si>
    <t>0938210280</t>
  </si>
  <si>
    <t>0938210320</t>
  </si>
  <si>
    <t>12/29 进口商贴纸+价标贴纸+2/2HU MU贴纸和ASN贴纸客供</t>
  </si>
  <si>
    <t>日期码格式：ZURU INC(BVI) 标准格式 日期：按实际生产日期
Packaging Info: 
77770GQ2 MA 3L EAN 包装+UPC贴纸+MA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</si>
  <si>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进口商贴纸+EAN贴纸翻单184256</t>
  </si>
  <si>
    <t>日期码格式：ZURU INC(BVI) 标准格式 日期：按实际生产日期
Packaging Info: 
4. 77773GQ1：最新【MA 3L EAN版本包装+一张客户进口商贴纸含西班牙环保标】+MA 23说明书+MA 收藏指南 +【MA 3L PDQ+一张PDQ贴纸含EAN条码】+WEEE带电池走
货欧洲30语通用黑白说明书；
此单资料都翻4500184256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</si>
  <si>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日期码格式：ZURU INC(BVI) 标准格式 日期：按实际生产日期
Packaging Info:
5. 77773SK1：最新【MA 3L EAN 版本包装+一张西班牙环保标和客户进口商贴纸】+MA 5L 收藏指南+【MA 3L 展示架+一张展示架贴纸含EAN条码+WEEE带电池走货欧
洲30语通用黑白说明书 ；
此单资料都翻4500184256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</si>
  <si>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4500191213-80</t>
  </si>
  <si>
    <t>1/8价格贴纸+外箱条码贴纸</t>
  </si>
  <si>
    <t>3/9  截SI</t>
  </si>
  <si>
    <t>4500191055-20</t>
  </si>
  <si>
    <t>1/22UPC贴纸</t>
  </si>
  <si>
    <t>日期码格式：ZURU INC(BVI) 标准格式 日期：按实际生产日期
Packaging Info: 1. 包装方式：MA UPC优先1L最新包装，出口美国；
2. 产品和包装上印刷tracking code信息，格式为ZURU常规；
3. ZURU QC 验货合格后即可出货.
Remark: 
5. 77773GQ2-S002 PDQ上需要贴一张UPC 条码贴纸,UPC显示：193052090089，贴纸AW跟单提供，工厂自行采购;</t>
  </si>
  <si>
    <t>4500191202-310</t>
  </si>
  <si>
    <t>1/30 SSCC贴纸</t>
  </si>
  <si>
    <t>4500191202-320</t>
  </si>
  <si>
    <t>4500191234-530</t>
  </si>
  <si>
    <t>1/20UPC贴纸+进口商贴纸+保证书</t>
  </si>
  <si>
    <t>日期码格式：ZURU INC(BVI) 标准格式 日期：按实际生产日期
Packaging Info:
28. 77773：MA 3L EAN包装+UPC贴纸+进口商贴纸+保证书+箱唛
Remark:
77773：3PCS AG13 BATTERIES(INCLUDED)</t>
  </si>
  <si>
    <t>CARLOS FEDERSPIEL &amp; CIA. - UNIVERSA</t>
  </si>
  <si>
    <t>4500191577-100</t>
  </si>
  <si>
    <t>1/30 进口商贴纸+UPC贴纸</t>
  </si>
  <si>
    <t>日期码格式：ZURU INC(BVI) 标准格式 日期：按实际生产日期
Packaging Info:
其余item：MA 多语 包装+进口商贴纸+UPC贴纸+箱唛
Remark:</t>
  </si>
  <si>
    <t>56FDKGHU</t>
  </si>
  <si>
    <t>4500191855-20</t>
  </si>
  <si>
    <t>4/1 入仓</t>
  </si>
  <si>
    <t>空白外箱（加印带Zuru字样的最新logo，除了邮包盒直接做外箱的产品）  无箱唛，MADE IN CHINA 外箱只印一正一侧</t>
  </si>
  <si>
    <t>1/29 SSCC贴纸+IT环保标+DE/IT警告语翻单181154</t>
  </si>
  <si>
    <t>日期码格式：ZURU INC(BVI) 标准格式 日期：按实际生产日期
Packaging Info: 
Amazon DE: 56FDKGHU
Amazon DE(77809)
7. 77809:2PK#77773 in PVC TUBE,12tubes/ctn;3PCS AG13 BATTERIES(INCLUDED); 客版 3L(3L warning no barcode)A收缩膜(参考Amazon US翻单PO#4500179751)+
MA 23L warning A 说明书+MA其他最新配套包装+客版3L(3L warning)A PVC彩卡(新FR&lt;(&gt;&amp;&lt;)&gt;DK地址，参考Amazon US翻单PO#4500179751)+1张贴纸(IT环保标+DE/I
T警告语, 参考翻单PO#4500181154)+WEEE带电池走货说明书欧洲EN 30L-B版；
12. 验货时间不迟于2026/3/23.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</si>
  <si>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客版资料客人尚未最终确认 ，待确认红会重新沟通货期</t>
  </si>
  <si>
    <t>1/15 防窜码贴纸+欠年龄贴纸</t>
  </si>
  <si>
    <t>0938210282</t>
  </si>
  <si>
    <t>4500191086-10</t>
  </si>
  <si>
    <t>3/27 BV</t>
  </si>
  <si>
    <t>0938210311</t>
  </si>
  <si>
    <t>4500191086-20</t>
  </si>
  <si>
    <t>4/3 BV</t>
  </si>
  <si>
    <t>0938210350</t>
  </si>
  <si>
    <t>4500191086-30</t>
  </si>
  <si>
    <t>3/30 BV</t>
  </si>
  <si>
    <t>0938210329</t>
  </si>
  <si>
    <t>4500191088-10</t>
  </si>
  <si>
    <t>0938210330</t>
  </si>
  <si>
    <t>4500191088-20</t>
  </si>
  <si>
    <t>0938210351</t>
  </si>
  <si>
    <t>4500191088-30</t>
  </si>
  <si>
    <t>0938210357</t>
  </si>
  <si>
    <t>4500191088-40</t>
  </si>
  <si>
    <t>MINISO TRADING CANADA INC.</t>
  </si>
  <si>
    <t>4500191753-30</t>
  </si>
  <si>
    <t>欠UPC贴纸</t>
  </si>
  <si>
    <t>日期码格式：ZURU INC(BVI) 标准格式 日期：按实际生产日期
Packaging Info: 1. 包装方式：MA UPC 3L 最新包装，出口加拿大；
2. 产品和包装上印刷tracking code信息，格式为ZURU常规；
3. ZURU QC
6. 77773GQ2-S002 PDQ上需要贴一张UPC 条码贴纸,UPC显示：193052090089，贴纸AW跟单提供，工厂自行采购；</t>
  </si>
  <si>
    <t>LONDON SUPPLY GROUP SA</t>
  </si>
  <si>
    <t>4500191880-110</t>
  </si>
  <si>
    <t>1/28UPC贴纸</t>
  </si>
  <si>
    <t>日期码格式：ZURU INC(BVI) 标准格式 日期：按实际生产日期
Packaging Info: 77773GQ2:MA 多语包装+UPC贴纸+箱唛
Remark:</t>
  </si>
  <si>
    <t>0938210301</t>
  </si>
  <si>
    <t>4500192878-10</t>
  </si>
  <si>
    <t>4/2 BV</t>
  </si>
  <si>
    <t>2/25 RFID</t>
  </si>
  <si>
    <t>4500192878-20</t>
  </si>
  <si>
    <t>0938210354</t>
  </si>
  <si>
    <t>4500192878-30</t>
  </si>
  <si>
    <t>0938210374</t>
  </si>
  <si>
    <t>4500192878-40</t>
  </si>
  <si>
    <t>0938210417</t>
  </si>
  <si>
    <t>4500192878-50</t>
  </si>
  <si>
    <t>draft PO
77773GQ2</t>
  </si>
  <si>
    <t>4500194132-10</t>
  </si>
  <si>
    <t>日期码格式：ZURU INC(BVI) 标准格式 日期：按实际生产日期
Packaging Info: 产品包装(UPC 版) MA 1L收缩膜 + MA 1L PDQ
Remark: 1. 77773GQ2-S002-MINI BRANDS-MASTER CHEF MINI BRANDS-SERIES 2-CAPSULE,WITH DEMO,25PCS/Gravity PDQ,25PCS/PDQ/CTN
2. 产品包装(UPC 版) MA 1L收缩膜 + MA 1L PDQ；收缩膜上的UPC显示193052090089；
3. 外箱正唛左上角位置粘贴条码箱贴纸，每箱只贴一张，由ZURU订购。来料贴纸上显示的客户DPCI# 086-02-2012, UPC显示10193052090086;
4. 产品和包装上印刷 tracking code信息，格式为ZURU常规格式;
5. 出货方式：货代自提</t>
  </si>
  <si>
    <t>W0758454</t>
  </si>
  <si>
    <t>4500192693-40</t>
  </si>
  <si>
    <t>2/6价格贴纸+外箱条码贴纸</t>
  </si>
  <si>
    <t>BR26093</t>
  </si>
  <si>
    <t>4500193066-50</t>
  </si>
  <si>
    <t>欠进口商贴纸+空白贴纸</t>
  </si>
  <si>
    <t>日期码格式：ZURU INC(BVI) 标准格式 日期：按实际生产日期
Packaging Info:77773GQ2:MA 1L包装+进口商贴纸+空白贴纸+箱唛（空白贴纸覆盖原条码）
Remark: 封箱胶带要用客版CANDIDE版本</t>
  </si>
  <si>
    <t>draft PO
77773GQ2-S002</t>
  </si>
  <si>
    <t>4500194133-10</t>
  </si>
  <si>
    <t>DISTRUIBUCIONES UNIVERSALES, SA - D</t>
  </si>
  <si>
    <t>4500194168-50</t>
  </si>
  <si>
    <t>日期码格式：ZURU INC(BVI) 标准格式 日期：按实际生产日期
Packaging Info: 
其余item：MA 多语包装+UPC贴纸+箱唛
Remark:</t>
  </si>
  <si>
    <t>6CC3V32E</t>
  </si>
  <si>
    <t>4500193215-190</t>
  </si>
  <si>
    <t>6JA1H1UG</t>
  </si>
  <si>
    <t>4500193215-200</t>
  </si>
  <si>
    <t>3N5QBEGT</t>
  </si>
  <si>
    <t>4500193215-210</t>
  </si>
  <si>
    <t>7MSXNNSM</t>
  </si>
  <si>
    <t>4500193215-220</t>
  </si>
  <si>
    <r>
      <rPr>
        <sz val="11"/>
        <rFont val="Arial"/>
        <charset val="0"/>
      </rPr>
      <t>25</t>
    </r>
    <r>
      <rPr>
        <sz val="11"/>
        <rFont val="宋体"/>
        <charset val="0"/>
      </rPr>
      <t>年已删</t>
    </r>
  </si>
  <si>
    <t>10001552452-3
891</t>
  </si>
  <si>
    <t>4500190566-10</t>
  </si>
  <si>
    <t>1/21 客人 取消</t>
  </si>
  <si>
    <t>纸箱呆滞</t>
  </si>
  <si>
    <t>10001552451-3
890</t>
  </si>
  <si>
    <t>4500190568-10</t>
  </si>
  <si>
    <t>MA-RR-1842</t>
  </si>
  <si>
    <t>MA_RR_1921</t>
  </si>
  <si>
    <t>MA_RR_2110</t>
  </si>
  <si>
    <t>MA-RR-</t>
  </si>
  <si>
    <t>实际接单总数量</t>
  </si>
  <si>
    <t>总MA剩余</t>
  </si>
  <si>
    <t>Capsule #77773</t>
  </si>
  <si>
    <t>MASCM-S2-004</t>
  </si>
  <si>
    <t>Butter Chicken &amp; Naan</t>
  </si>
  <si>
    <r>
      <rPr>
        <b/>
        <sz val="11"/>
        <rFont val="Times New Roman"/>
        <charset val="134"/>
      </rPr>
      <t xml:space="preserve">Demo Sets  </t>
    </r>
    <r>
      <rPr>
        <b/>
        <sz val="11"/>
        <rFont val="宋体"/>
        <charset val="134"/>
      </rPr>
      <t xml:space="preserve">按套数计
</t>
    </r>
    <r>
      <rPr>
        <b/>
        <sz val="11"/>
        <rFont val="Times New Roman"/>
        <charset val="134"/>
      </rPr>
      <t>(25pcs GQ2/16pcs GQ3)</t>
    </r>
  </si>
  <si>
    <t>MASCM-S2-001</t>
  </si>
  <si>
    <t>Sushi Boat</t>
  </si>
  <si>
    <t>MASCM-S2-003</t>
  </si>
  <si>
    <t>Beef Tacos</t>
  </si>
  <si>
    <t>MASCM-S2-008</t>
  </si>
  <si>
    <t>Blueberry Pancakes</t>
  </si>
  <si>
    <t>MASCM-S2-002</t>
  </si>
  <si>
    <t>Peking Duck</t>
  </si>
  <si>
    <t>MASCM-S2-005</t>
  </si>
  <si>
    <t>Tom Yum Kung Soup-Rare Gold</t>
  </si>
  <si>
    <t>MASCM-S2-006</t>
  </si>
  <si>
    <t>Potjiekos</t>
  </si>
  <si>
    <t>MASCM-S2-007</t>
  </si>
  <si>
    <t>Pavlova</t>
  </si>
  <si>
    <t>MASCM-S2-009</t>
  </si>
  <si>
    <t>Churros</t>
  </si>
  <si>
    <t>MASCM-S2-010</t>
  </si>
  <si>
    <t>Cannolo</t>
  </si>
  <si>
    <t>MASCM-S2-011</t>
  </si>
  <si>
    <t>Açaí Bowl</t>
  </si>
  <si>
    <t>球按每套配件拆开</t>
  </si>
  <si>
    <t>MA-RR-1306</t>
  </si>
  <si>
    <r>
      <rPr>
        <b/>
        <sz val="14"/>
        <rFont val="Arial"/>
        <charset val="0"/>
      </rPr>
      <t>77773 DIY</t>
    </r>
    <r>
      <rPr>
        <b/>
        <sz val="14"/>
        <rFont val="宋体"/>
        <charset val="0"/>
      </rPr>
      <t>厨艺大师）</t>
    </r>
    <r>
      <rPr>
        <b/>
        <sz val="14"/>
        <rFont val="Arial"/>
        <charset val="0"/>
      </rPr>
      <t>MA</t>
    </r>
    <r>
      <rPr>
        <b/>
        <sz val="14"/>
        <rFont val="宋体"/>
        <charset val="0"/>
      </rPr>
      <t>包裝扣數表</t>
    </r>
  </si>
  <si>
    <r>
      <rPr>
        <sz val="10"/>
        <color rgb="FF0000FF"/>
        <rFont val="Arial"/>
        <charset val="0"/>
      </rPr>
      <t>MA 3</t>
    </r>
    <r>
      <rPr>
        <sz val="10"/>
        <color rgb="FF0000FF"/>
        <rFont val="宋体"/>
        <charset val="0"/>
      </rPr>
      <t>语</t>
    </r>
  </si>
  <si>
    <r>
      <rPr>
        <sz val="10"/>
        <color rgb="FFFF0000"/>
        <rFont val="Arial"/>
        <charset val="0"/>
      </rPr>
      <t>3L</t>
    </r>
    <r>
      <rPr>
        <sz val="10"/>
        <color rgb="FFFF0000"/>
        <rFont val="宋体"/>
        <charset val="0"/>
      </rPr>
      <t>无条码</t>
    </r>
  </si>
  <si>
    <r>
      <rPr>
        <sz val="10"/>
        <rFont val="Arial"/>
        <charset val="0"/>
      </rPr>
      <t>MA 5</t>
    </r>
    <r>
      <rPr>
        <sz val="10"/>
        <rFont val="宋体"/>
        <charset val="0"/>
      </rPr>
      <t>语</t>
    </r>
  </si>
  <si>
    <t>WM客版</t>
  </si>
  <si>
    <t>1L 底座</t>
  </si>
  <si>
    <t>3L 底座</t>
  </si>
  <si>
    <r>
      <rPr>
        <sz val="11"/>
        <rFont val="Arial"/>
        <charset val="0"/>
      </rPr>
      <t>SK 60PCS</t>
    </r>
    <r>
      <rPr>
        <sz val="11"/>
        <rFont val="宋体"/>
        <charset val="0"/>
      </rPr>
      <t>底座</t>
    </r>
  </si>
  <si>
    <r>
      <rPr>
        <sz val="11"/>
        <color rgb="FF0000FF"/>
        <rFont val="Arial"/>
        <charset val="0"/>
      </rPr>
      <t xml:space="preserve">SK 60PCS 3L </t>
    </r>
    <r>
      <rPr>
        <sz val="11"/>
        <color rgb="FF0000FF"/>
        <rFont val="宋体"/>
        <charset val="0"/>
      </rPr>
      <t>底座</t>
    </r>
  </si>
  <si>
    <t>1000031109</t>
  </si>
  <si>
    <t>Fiona Huang</t>
  </si>
  <si>
    <t>77773GQ3</t>
  </si>
  <si>
    <t>1000031382</t>
  </si>
  <si>
    <t>PVC  Tube</t>
  </si>
  <si>
    <t>Peggy用于订单4500177327</t>
  </si>
  <si>
    <t>1000031383</t>
  </si>
  <si>
    <t>Sticker</t>
  </si>
  <si>
    <t>1000031384</t>
  </si>
  <si>
    <t>1000031385</t>
  </si>
  <si>
    <t>Shrink Wrap（无UPC）</t>
  </si>
  <si>
    <t>jasmine huang</t>
  </si>
  <si>
    <t>77773GQ1</t>
  </si>
  <si>
    <t>77773SK1</t>
  </si>
  <si>
    <t>BASE</t>
  </si>
  <si>
    <t>1000031227</t>
  </si>
  <si>
    <t xml:space="preserve">Maggie用于订单4500177643 ; 4500177644；剩 260 pcs待后续订单消耗
</t>
  </si>
  <si>
    <t>1000031530</t>
  </si>
  <si>
    <t xml:space="preserve">Maggie用于订单4500178134；4500178135； 4500180994；4500180996（4500182120 ；4500182123消耗160PCS）
</t>
  </si>
  <si>
    <t>1000032884</t>
  </si>
  <si>
    <t>Babbit Zhong</t>
  </si>
  <si>
    <t xml:space="preserve">Crystal用于PO#4500181162 </t>
  </si>
  <si>
    <t>1000032897</t>
  </si>
  <si>
    <t>1000032912</t>
  </si>
  <si>
    <t>1000032914</t>
  </si>
  <si>
    <t>1000033096</t>
  </si>
  <si>
    <t xml:space="preserve">Maggie用于订单4500182120 ；4500182123 （剩480PCS待后续订单消耗）
</t>
  </si>
  <si>
    <t>77773SK</t>
  </si>
  <si>
    <t>1000034071</t>
  </si>
  <si>
    <t xml:space="preserve">Maggie用于订单4500185599 ；4500185600；4500185601；4500185602
</t>
  </si>
  <si>
    <t>1000034265</t>
  </si>
  <si>
    <t>Kristin Li</t>
  </si>
  <si>
    <t>Peggy用于订单4500179751，剩余数量可用于后续订单</t>
  </si>
  <si>
    <t>1000034266</t>
  </si>
  <si>
    <t>1000034267</t>
  </si>
  <si>
    <t>1000034495</t>
  </si>
  <si>
    <t xml:space="preserve">Maggie用于订单4500187253；4500187256；4500187260；4500187261
</t>
  </si>
  <si>
    <t>1000034529</t>
  </si>
  <si>
    <t>Babbit.zhong</t>
  </si>
  <si>
    <t xml:space="preserve">Crystal用于PO#4500186739  </t>
  </si>
  <si>
    <t>1000034530</t>
  </si>
  <si>
    <t>1000034531</t>
  </si>
  <si>
    <t>1000034650</t>
  </si>
  <si>
    <t>Crystal用于PO#4500186739 、4500186266</t>
  </si>
  <si>
    <t>1000035300</t>
  </si>
  <si>
    <t xml:space="preserve">Maggie用于订单4500189982
；4500189983；4500189985
</t>
  </si>
  <si>
    <t>1000035833</t>
  </si>
  <si>
    <t xml:space="preserve">Maggie用于订单4500191083；4500191085；4500191086；4500191088
</t>
  </si>
  <si>
    <t>1000036243</t>
  </si>
  <si>
    <t>Luna-4500191855</t>
  </si>
  <si>
    <t>1000036244</t>
  </si>
  <si>
    <t>1000036245</t>
  </si>
  <si>
    <t>1000036404</t>
  </si>
  <si>
    <t xml:space="preserve">Maggie用于订单
4500192878，（剩200PCS待后续订单消耗
</t>
  </si>
  <si>
    <t>訂單需求數</t>
  </si>
  <si>
    <t>MA庫存數</t>
  </si>
  <si>
    <t>Packing Ratio</t>
  </si>
  <si>
    <t>Group No.</t>
  </si>
  <si>
    <t>Group Name</t>
  </si>
  <si>
    <t>Ratio</t>
  </si>
  <si>
    <t>系统出单收白膜</t>
  </si>
  <si>
    <t>完货情况</t>
  </si>
  <si>
    <r>
      <rPr>
        <b/>
        <sz val="11"/>
        <rFont val="Arial"/>
        <charset val="0"/>
      </rPr>
      <t>MA  1</t>
    </r>
    <r>
      <rPr>
        <b/>
        <sz val="11"/>
        <rFont val="宋体"/>
        <charset val="0"/>
      </rPr>
      <t>语</t>
    </r>
    <r>
      <rPr>
        <b/>
        <sz val="11"/>
        <rFont val="Arial"/>
        <charset val="0"/>
      </rPr>
      <t xml:space="preserve"> </t>
    </r>
    <r>
      <rPr>
        <b/>
        <sz val="11"/>
        <rFont val="宋体"/>
        <charset val="0"/>
      </rPr>
      <t>收缩膜</t>
    </r>
    <r>
      <rPr>
        <b/>
        <sz val="11"/>
        <rFont val="Arial"/>
        <charset val="0"/>
      </rPr>
      <t xml:space="preserve"> </t>
    </r>
    <r>
      <rPr>
        <b/>
        <sz val="11"/>
        <rFont val="宋体"/>
        <charset val="0"/>
      </rPr>
      <t>无条码</t>
    </r>
  </si>
  <si>
    <r>
      <rPr>
        <sz val="11"/>
        <color rgb="FFFF0000"/>
        <rFont val="Arial"/>
        <charset val="0"/>
      </rPr>
      <t xml:space="preserve">77515SK1-S001 30pcs 3L </t>
    </r>
    <r>
      <rPr>
        <sz val="11"/>
        <color rgb="FFFF0000"/>
        <rFont val="宋体"/>
        <charset val="0"/>
      </rPr>
      <t>无底座</t>
    </r>
  </si>
  <si>
    <t>彩纸</t>
  </si>
  <si>
    <t>累计数量</t>
  </si>
  <si>
    <t>4Y45GDAB</t>
  </si>
  <si>
    <t>4500120504-10</t>
  </si>
  <si>
    <t>12/8 取消订单</t>
  </si>
  <si>
    <t>日期码格式：ZURU INC(BVI) 标准格式 日期：按实际生产日期
Packaging Info: Amazon UK/DE:
1. 77515: 24pcs/ctn, no inner; MA 1L 收缩膜包装+1张贴纸(含FR/DE/IT/ES警告语+IT/FR sorting label)+MA 5L A配件袋+MA 5L A收藏指南+MA23L A警示说明书;参考翻单PO#4500116490
7. 验货时间不迟于2024/2/6；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t>
  </si>
  <si>
    <t>8HE6DGNC</t>
  </si>
  <si>
    <t>4500120504-20</t>
  </si>
  <si>
    <t>4500120804-10</t>
  </si>
  <si>
    <t>12/22 取消订单</t>
  </si>
  <si>
    <t>日期码格式：ZURU INC(BVI) 标准格式 日期：按实际生产日期
Packaging Info: Amazon DE/UK:
1.77515: 24pcs/ctn, no inner; MA 1L 收缩膜包装+1张贴纸(含FR/DE/IT/ES警告语+IT/FR sorting label)+MA 5L A配件袋+MA 5L A收藏指南+MA23L A警示说明书;
参考翻单PO#4500116490
2. 验货时间不迟于2024/3/6;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t>
  </si>
  <si>
    <t>4500120804-20</t>
  </si>
  <si>
    <t>TESCO UK</t>
  </si>
  <si>
    <t>4500121868-10</t>
  </si>
  <si>
    <t>77515GQ6-S003</t>
  </si>
  <si>
    <t>1/12 取消订单</t>
  </si>
  <si>
    <t>日期码格式：ZURU INC(BVI) 标准格式 日期：按实际生产日期
Packaging Info: 1. 77515GQ6: MA 1L收缩膜+1张防盗标贴纸贴在球的顶部（工厂自行订购此贴纸，此防盗贴纸产品款号:10111896/产品名称: 40R ECON YBL DE 8.2 1kr）+MA PDQ+M
A 23L收藏指南/说明书+MA 5L ACCESSORY BAG
UPC#193052061034，请先检查条码是否正确再安排做货
11 assortment have the same ratio
Remark: 1.订单出英国，产品及包装需要印UKCA图标，包装需要有ZURU UK LTD/ZURU France地址信息，QC同事请核查，如有问题与跟单确认。
2.裝櫃必須按TPND順序 (條形碼貼紙或正嘜必須要朝外向車門外)
3.外箱上有条码要求，排版时请留意并请确保条码清晰可扫描（封箱胶不要黏到条码上), 否则客人会有罚款；
4.外箱箱唛直接印刷的BD条码格式是GS128 (EAN-128) sub-set C; ITF 条码格式是ITF-14格式</t>
  </si>
  <si>
    <t>4500123153-10</t>
  </si>
  <si>
    <t>2/23取消订单</t>
  </si>
  <si>
    <t>WM 手工单</t>
  </si>
  <si>
    <t>MO20240201</t>
  </si>
  <si>
    <t>外箱RFID箱唛（四面右下角需印Zuru Logo)+ ITF-14条码+印刷黄色贴纸；ITF-14条码印刷在外箱主唛左下角</t>
  </si>
  <si>
    <t>1. 包装要求：
77515SK1：MA 1L B版收缩膜+MA 纸袋+MA 23L说明书+MA 5L C版收藏指南+MA 1L sidekick包装
每pcs产品要贴一张RFID贴纸，RFID贴纸由ZURU提供，贴纸位置要严格按照客人签板
2.外箱RFID箱唛（四面右下角需印Zuru Logo)+ ITF-14条码+印刷黄色贴纸；ITF-14条码印刷在外箱主唛左下角，外箱任一侧面角落备注："MADE IN CHINA" 字样，
印刷黄色贴纸使用Yellow U色号，外箱箱唛资料待提供。
3. 在产品上和包装上要有日期码、以及要有MADE IN CHINA和ZURU字样；
4. 产品如有扎带口要剪平，不能刮手。
5. 此单需要抽板和验货，抽板日期预计2024/4/6，请自行多备包装物料。
6.Contain UV Glue and Cream Glue；3PCS AG13 Batteries(Included)
6. 30pcs/Sidekick/CTN</t>
  </si>
  <si>
    <t>60X584634</t>
  </si>
  <si>
    <t>4500128621-20</t>
  </si>
  <si>
    <t>数量待客人确认</t>
  </si>
  <si>
    <t>日期码格式：ZURU INC(BVI) 标准格式 日期：按实际生产日期
Packaging Info: 1.都是ZURU MA UPC版包装，优先1L, 出美国。
Remark: 2. 
#77515GQ1:需要提供大货样5个球+3pcs PDQ+3套光身办， 签样用于第三方验货
3.要求大货完成时间2024年5月15日，预定2024年5月16日-利丰100%大货验货加抽板，需准备6套测试样品。除抽板之外，如果产品有油漆的需要额外准备5G的油漆
涂在同 材质的胶件上，面积类似A4纸大小。
4. 产品和包装上需要印刷tracking code信息且两者印刷的内容必须一致,格式为ZURU常规。
#77515GQ1:13PCS/Gravity PDQ, 13PCS/PDQ/CTN, 3PCS AG13 Batteries(Included).</t>
  </si>
  <si>
    <t>4500129576-10</t>
  </si>
  <si>
    <t>4.19取消</t>
  </si>
  <si>
    <t>产品/销售包装/外箱日期码要一致</t>
  </si>
  <si>
    <t>日期码格式：ZURU INC(BVI) 标准格式 日期：按实际生产日期
Packaging Info: 1.物料要求
77515GQ1: MA PDQ +外挂中文收藏指南+中文收藏指南+警告语+收缩膜年龄贴（8+）
所有款号务必使用带有CCC 标识的AW
77515GQ1 需各4套大货样供签板
Remark: 2.外箱材质如下：
1）毛重小于5kg 外箱纸质 K=B 爆破:1000Kpa 边压:4400N/M;
2）毛重大于5kg 外箱纸质 K636K 爆破:1400Kpa 边压:6300N/M;
3. 产品/销售包装/外箱日期码要一致，
4. 防窜贴贴在侧唛LOGO 右侧 ，注意9296、9297，9298 ，77515，77618去掉防窜贴
5.此产品务必满足国内6P 测试标准，因为可能会被市场监督局抽查，如有问题产生，工厂要负全责
6. 防伪码标签，请严格按照使用指引和预留出的位置标准操作，防伪标签不可覆盖CCC标志、防伪标贴位置框外CCC贴纸上的文字
7. 芯片码横向平贴在上半部分蛋壳/彩盒内侧立面处，注意事项请见跟单提供文档资料。
8. 这张订单做出厂价，我司自行安排车辆去贵司提货，贵司需要配合提供出口报关</t>
  </si>
  <si>
    <t xml:space="preserve"> 
0829160170</t>
  </si>
  <si>
    <t>4500131236-40</t>
  </si>
  <si>
    <t>0829160140</t>
  </si>
  <si>
    <t>4500131236-50</t>
  </si>
  <si>
    <t>0829160205</t>
  </si>
  <si>
    <t>4500131242-50</t>
  </si>
  <si>
    <t xml:space="preserve"> 
0829160145</t>
  </si>
  <si>
    <t>4500131242-60</t>
  </si>
  <si>
    <t>0829160157</t>
  </si>
  <si>
    <t>4500131242-70</t>
  </si>
  <si>
    <t>0829160189</t>
  </si>
  <si>
    <t>4500131242-80</t>
  </si>
  <si>
    <t>0829160141</t>
  </si>
  <si>
    <t>4500131244-30</t>
  </si>
  <si>
    <t>0829160162</t>
  </si>
  <si>
    <t>4500131244-40</t>
  </si>
  <si>
    <t>0829160194</t>
  </si>
  <si>
    <t>4500131246-30</t>
  </si>
  <si>
    <t>0829160169</t>
  </si>
  <si>
    <t>4500131246-40</t>
  </si>
  <si>
    <t>0829160172</t>
  </si>
  <si>
    <t>4500131248-40</t>
  </si>
  <si>
    <t>0829160185</t>
  </si>
  <si>
    <t>4500131248-50</t>
  </si>
  <si>
    <t>0829160193</t>
  </si>
  <si>
    <t>4500131248-60</t>
  </si>
  <si>
    <t>0829160163</t>
  </si>
  <si>
    <t>4500131249-30</t>
  </si>
  <si>
    <t>0829160180</t>
  </si>
  <si>
    <t>4500131249-40</t>
  </si>
  <si>
    <t>4500131403-10</t>
  </si>
  <si>
    <t>日期码格式：ZURU INC(BVI) 标准格式 日期：按实际生产日期
Packaging Info: 实际此单走20GP，待系统维护后会改单过来
MA UPC包装（1L)+1张进口商贴纸
贴纸AW、位置图待提供
Remark: 77515、GQ1、GQ2-3PCS AG13 Batteries(Included);Contain UV Glue and Cream Glue</t>
  </si>
  <si>
    <t>4500131403-20</t>
  </si>
  <si>
    <t>6UK8V27T</t>
  </si>
  <si>
    <t>4500130192-20</t>
  </si>
  <si>
    <t>5/23通知 取消</t>
  </si>
  <si>
    <t>4/30 SSCC LABEL+防伪贴纸</t>
  </si>
  <si>
    <t>日期码格式：ZURU INC(BVI) 标准格式 日期：按实际生产日期
Packaging Info: Amazon FR (77486)/UK(77515):
2. 77515 : 24pcs/ctn, no inner; MA 3L 收缩膜包装+2张贴纸(1张含UPC#贴纸+1张IT/FR sorting label贴纸，参考翻单PO#4500116490)+MA 5L A配件袋+MA 5L A
收藏指南+MA23L A警示说明书+其他最新版MA包装+防伪贴纸（具体位置参考Amazon US同款订单);参考翻单PO#4500116490
3. 验货日期不迟于 2024/06/05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每一批次出货只能有一个生产日期，不可多个生产日期混在同一批次出货；
6. 涉及到相关款式会有闪粉的或者微塑料的，请统一默认出无闪粉或者不含微塑料版本;"</t>
  </si>
  <si>
    <t>3R6IKAZM</t>
  </si>
  <si>
    <t>4500132045-50</t>
  </si>
  <si>
    <t>欠SSCC</t>
  </si>
  <si>
    <t>日期码格式：ZURU INC(BVI) 标准格式 日期：按实际生产日期
Packaging Info: Amazon DE(77621)/ ES(9543B,7150B)/ UK(77621,77515,9543A,7150B,9543B)
4. 77515: 24pcs/ctn, no inner; MA 3L B EAN 收缩膜包装+2张贴纸(1张含UPC#贴纸+1张IT/FR sorting label贴纸，参考翻单PO#4500116490)+MA 5L A配件袋+MA
5L A收藏指南+MA23L A警示说明书+其他最新版MA包装;参考翻单PO#4500116490
5. 验货时间不迟于2024/6/19；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</si>
  <si>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4500133178-20</t>
  </si>
  <si>
    <t>客人取消</t>
  </si>
  <si>
    <t>日期码格式：ZURU INC(BVI) 标准格式 日期：按实际生产日期
Packaging Info: 1. UPC英语包装（优先1L英语版本,或者3L/L含英语即可）+可移动材质的价格贴纸+纽扣电池警告语贴纸翻PO#4500123510（一张贴在包装上，一张贴在说明书上）
Remark:</t>
  </si>
  <si>
    <t>4500133178-10</t>
  </si>
  <si>
    <t>欠价格贴纸</t>
  </si>
  <si>
    <t>4500134335-10</t>
  </si>
  <si>
    <t>6/20取消</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</si>
  <si>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</si>
  <si>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4500135946-10</t>
  </si>
  <si>
    <t>6/13客人通知取消</t>
  </si>
  <si>
    <t>欠 SSCC，其余翻单121356</t>
  </si>
  <si>
    <t>5GCHXLXW</t>
  </si>
  <si>
    <t>4500128257-20</t>
  </si>
  <si>
    <t>取消单</t>
  </si>
  <si>
    <t>翻单PO#4500116490</t>
  </si>
  <si>
    <t>日期码格式：ZURU INC(BVI) 标准格式 日期：按实际生产日期
Packaging Info: Amazon UK(77515)
2. 77515: 24pcs/ctn, no inner; MA 3L 收缩膜包装+2张贴纸(1张含UPC#贴纸+1张IT/FR sorting label贴纸，参考翻单PO#4500116490)+MA 5L A配件袋+MA 5L A
收藏指南+MA23L A警示说明书+其他最新版MA包装;参考翻单PO#4500116490
6. 验货时间不迟于2024/5/21.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t>
  </si>
  <si>
    <t>4500135760-10</t>
  </si>
  <si>
    <t>7/3 客人取消</t>
  </si>
  <si>
    <t>生产前要提供贴纸位置确认</t>
  </si>
  <si>
    <t>Wal-mart US</t>
  </si>
  <si>
    <t>MO20240725</t>
  </si>
  <si>
    <t>手工单</t>
  </si>
  <si>
    <t>77515SLB-S002：
1.包装要求：
MA B版 1L收缩膜+客版 A版 5L收藏指南+MA A版 5L纸袋+MA A版 23L说明书+客版 1L PDQ，翻单：4500129013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sheet出货，77515：1152pcs/96CTN/Slip Sheet</t>
  </si>
  <si>
    <t>Amazon DE:
8M5ZOH3V</t>
  </si>
  <si>
    <t>4500142632-20</t>
  </si>
  <si>
    <t>8/21客人取消</t>
  </si>
  <si>
    <t>日期码格式：ZURU INC(BVI) 标准格式 日期：按实际生产日期
Packaging Info: Amazon DE 92104D/77515
2. 77515: 24pcs/ctn, no inner; MA 3L 收缩膜+2张贴纸(含UPC#；IT/FR sorting label）+MA 5L A配件袋+MA 5L A收藏指南+MA23L A警示说明书+其他最新版MA包
装+1张防伪贴纸(具体位置参考USA同款订单);参考翻单PO#4500136617；
3. ZURU验货最晚不得迟于2024/9/16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</si>
  <si>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Amazon DE:
4HVHS1TL</t>
  </si>
  <si>
    <t>4500142632-40</t>
  </si>
  <si>
    <t>4500144899-40</t>
  </si>
  <si>
    <t>客人意向取消</t>
  </si>
  <si>
    <t>纸箱和贴纸已订回</t>
  </si>
  <si>
    <t>9/30 SSCC LABEL（客供贴纸)+纽扣电池警告语贴纸/防盗贴纸翻单121356</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</si>
  <si>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</si>
  <si>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4500144900-40</t>
  </si>
  <si>
    <t>日期码格式：ZURU INC(BVI) 标准格式 日期：按实际生产日期
Packaging Info:
77515GQ1:MA英语UPC版本包装（收缩膜和说明书, MA首选1L，如无1L可用多语且含英语的配套多语包装) + 1张说明书纽扣电池警告语贴纸（贴纸以及位置图翻单PO#
4500121356）+ 1张收缩膜纽扣电池警告语贴纸（贴纸以及位置图翻单PO#4500121356）+ 1张防盗贴纸 (贴纸以及位置图翻单PO#4500121356）+ 箱唛 + 外箱SSCC La
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</si>
  <si>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4500145062-10</t>
  </si>
  <si>
    <t>纸箱已订回</t>
  </si>
  <si>
    <t>欠SSCC LABEL（客供贴纸)+纽扣电池警告语贴纸/防盗贴纸翻单121356</t>
  </si>
  <si>
    <t>4500145063-20</t>
  </si>
  <si>
    <t>5MWMCDMA</t>
  </si>
  <si>
    <t>4500146118-70</t>
  </si>
  <si>
    <t>无客制物料产生</t>
  </si>
  <si>
    <t>UPC贴纸？</t>
  </si>
  <si>
    <t>欠SSCC Label+防伪帖纸</t>
  </si>
  <si>
    <t>日期码格式：ZURU INC(BVI) 标准格式 日期：按实际生产日期
Packaging Info: 
#77515 MA 3L UPC版本，需要贴一张客供防伪帖纸，防伪贴纸跟单提供;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</si>
  <si>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t>
  </si>
  <si>
    <t>4500146118</t>
  </si>
  <si>
    <t>3HZ4DF7H</t>
  </si>
  <si>
    <t>4500146118-80</t>
  </si>
  <si>
    <t>1KJX33ZL</t>
  </si>
  <si>
    <t>4500146154-30</t>
  </si>
  <si>
    <t>3KLYHLDZ</t>
  </si>
  <si>
    <t>4500146155-40</t>
  </si>
  <si>
    <t>MPOWAL034</t>
  </si>
  <si>
    <t>MPO03150实单代替手工单</t>
  </si>
  <si>
    <t>Remark:
1. 2% 损耗
2. 送货前必需通知我司安排验货
3. 77515: MA 3L包装 + WIC贴纸（WIC # 795892） 77555:MA 1L包装+ WIC贴纸（WIC # 795595） 77485：MA 1L包装 + WIC贴纸（WIC # 795592）
4.产品和包装上要有ZURU 标准格式 tracking code DG20241122
4.先安排CRD 11/22的数量和CRD 12/10的数量， CRD 12/30的数量等通知后再安排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</si>
  <si>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r>
      <rPr>
        <sz val="11"/>
        <color rgb="FFFF0000"/>
        <rFont val="Arial"/>
        <charset val="0"/>
      </rPr>
      <t>MPO03150</t>
    </r>
    <r>
      <rPr>
        <sz val="11"/>
        <color rgb="FFFF0000"/>
        <rFont val="宋体"/>
        <charset val="0"/>
      </rPr>
      <t>实单代替手工单</t>
    </r>
  </si>
  <si>
    <t>11/29送库有</t>
  </si>
  <si>
    <t>Remark:
1. 2% 损耗
2. 送货前必需通知我司安排验货
3. 77515: MA 3L包装 + WIC贴纸（WIC # 795892） 
4.产品和包装上要有ZURU 标准格式 tracking code DG20241122
4.先安排CRD 11/22的数量，CRD 12/10的数量等通知后再安排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</si>
  <si>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t xml:space="preserve">展示架未有单消耗 </t>
  </si>
  <si>
    <t>2/12 客人取消</t>
  </si>
  <si>
    <t>纸箱和PDQ已订回</t>
  </si>
  <si>
    <t>2/20客人取消  纸箱已订购</t>
  </si>
  <si>
    <t>4500160284-10</t>
  </si>
  <si>
    <t>4/2客人取消</t>
  </si>
  <si>
    <t>澳洲的电池警语贴纸都是一样的，可以用在其他澳洲客户或者Kmart后续带纽扣电池订单上的，不是只有标题订单可以使用</t>
  </si>
  <si>
    <t>欠 SSCC LABEL（客供贴纸)+纽扣电池警告语贴纸/防盗贴纸翻单121356</t>
  </si>
  <si>
    <t>4500160289-10</t>
  </si>
  <si>
    <t>4500161020-20</t>
  </si>
  <si>
    <t>4500161007-30</t>
  </si>
  <si>
    <t>4500162968-90</t>
  </si>
  <si>
    <t>4/14 客人取消</t>
  </si>
  <si>
    <t xml:space="preserve"> Amazon CA (Vendor Center)</t>
  </si>
  <si>
    <t>6SES997O</t>
  </si>
  <si>
    <t>4500166334-80</t>
  </si>
  <si>
    <t>5/21取消</t>
  </si>
  <si>
    <t>C版本？？</t>
  </si>
  <si>
    <t>日期码格式：ZURU INC(BVI) 标准格式 日期：按实际生产日期
Packaging Info:
 #77516: 2PK #77515 入PVC圆筒。MA 3L-C版本收缩膜，纸袋C版本，收藏指南B版本,3L 2PK铜版纸图稿使用B版本。 （两个球的配比不能重复）。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</si>
  <si>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Kelly Shen</t>
  </si>
  <si>
    <t>2YC84GJA</t>
  </si>
  <si>
    <t>4500166334-90</t>
  </si>
  <si>
    <t>8QGCPN9B</t>
  </si>
  <si>
    <t>4500166334-100</t>
  </si>
  <si>
    <t>7X3VOQAY</t>
  </si>
  <si>
    <t>4500166334-110</t>
  </si>
  <si>
    <t>8V8MSBMO</t>
  </si>
  <si>
    <t>4500166334-120</t>
  </si>
  <si>
    <t>8RT5SK1R</t>
  </si>
  <si>
    <t>4500167361-410</t>
  </si>
  <si>
    <t>5/23取消</t>
  </si>
  <si>
    <t>日期码格式：ZURU INC(BVI) 标准格式 日期：按实际生产日期
Packaging Info: 出口加拿大，包装需要至少2/3L UPC版，无硼版本。
#77515：MA 3L C 版本加UPC贴纸覆盖原EAN条码，UPC贴纸跟返单4500132623。 加客供防伪贴纸， 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</si>
  <si>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3CRO85TV</t>
  </si>
  <si>
    <t>4500167361-420</t>
  </si>
  <si>
    <t>24QAKZIX</t>
  </si>
  <si>
    <t>4500167361-430</t>
  </si>
  <si>
    <t>B0FJJPJ5DZ</t>
  </si>
  <si>
    <t>4500177327-170</t>
  </si>
  <si>
    <t>日期码格式：ZURU INC(BVI) 标准格式 日期：按实际生产日期
Packaging Info: 
#77809: 2PK STD #77773入PVC筒,3L无UPC版收缩膜，3L铜版纸跟单提供。收藏指南和说明书为MA版本。（两个球的配比不能重复）。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</si>
  <si>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7RV495QR</t>
  </si>
  <si>
    <t>4500181601-70</t>
  </si>
  <si>
    <t>客人23号取消</t>
  </si>
  <si>
    <t>欠客供防伪贴纸+欠SSCC+UPC贴纸翻单132623</t>
  </si>
  <si>
    <t>33W76BGR</t>
  </si>
  <si>
    <t>4500181601-80</t>
  </si>
  <si>
    <t>5MVM6RVC</t>
  </si>
  <si>
    <t>4500181601-90</t>
  </si>
  <si>
    <t>4500179669-80</t>
  </si>
  <si>
    <r>
      <rPr>
        <sz val="10"/>
        <rFont val="等线"/>
        <charset val="134"/>
      </rPr>
      <t xml:space="preserve">日期码格式： 日期：11-04-2025
Packaging Info: MA 1L 收缩膜 + WIC 贴纸（WIC # </t>
    </r>
    <r>
      <rPr>
        <sz val="10"/>
        <color rgb="FFFF0000"/>
        <rFont val="等线"/>
        <charset val="134"/>
      </rPr>
      <t xml:space="preserve">625191 </t>
    </r>
    <r>
      <rPr>
        <sz val="10"/>
        <rFont val="等线"/>
        <charset val="134"/>
      </rPr>
      <t>） + MA说明书 + MA收藏指南 + 客版PDQ + PDQ折页 （翻单PO 4500099653，PDQ折页放在PDQ的正上方，开箱即可看到
）
Remark: 产品和包装上面要有zuru标准格式的tracking code DG20251104
需要在11/04完成8706PCS球，11/5抽板测试，测试通过后才可以出货。请确保所来来料测试符合美国联邦和各州法规后才可以做大货。
抽板只抽完整的球，无需入PDQ
收到单后请寄出1PC球和全套散件给实验室，11/17前寄出2套满PDQ大货样</t>
    </r>
  </si>
  <si>
    <t>4500184399-100</t>
  </si>
  <si>
    <t>日期码格式：ZURU INC(BVI) 标准格式 日期：按实际生产日期
Packaging Info:
9. 77773GQ2：MA 3L EAN包装+UPC贴纸+MA 3L PDQ包装+MA多语收藏指南+进口商贴纸+箱唛，贴纸翻单PO4500184316
Remark: 1.请注意产品包装条形码必须是UPC
2.无第三方验货</t>
  </si>
  <si>
    <t>K117H</t>
  </si>
  <si>
    <t>TBD</t>
  </si>
  <si>
    <t>K117H-30</t>
  </si>
  <si>
    <t>手工单待实单扣减</t>
  </si>
  <si>
    <t>欠价格贴纸+ 客供外箱贴纸</t>
  </si>
  <si>
    <t>PRODUCT REQUERIMENTS
Tracking Code:Date code format: Standard format                  Date：Manufactory Date
Packaging Info:
 1. 此为Kohl's store 订单, MA UPC包装(首选1L) + 价格贴纸 （不能覆盖mad in China 字样）+ 客供外箱贴纸
15756 - 216PC 需要加胶袋+UPC 贴纸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</si>
  <si>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jessi@zuru.com</t>
  </si>
  <si>
    <t>K117H-40</t>
  </si>
  <si>
    <t>4500188895-10</t>
  </si>
  <si>
    <t>日期码格式：ZURU INC(BVI) 标准格式 日期：按实际生产日期
Packaging Info: 物料要求 SKU
4 77773GQ1 MA PDQ +外挂中文收藏指南+ 中文说明书+收缩膜年龄贴（8+） 77773 首单请提供6套大货样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</si>
  <si>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r>
      <rPr>
        <sz val="11"/>
        <color rgb="FFFF0000"/>
        <rFont val="Arial"/>
        <charset val="0"/>
      </rPr>
      <t>77773GQ1-S002-</t>
    </r>
    <r>
      <rPr>
        <sz val="11"/>
        <color rgb="FFFF0000"/>
        <rFont val="宋体"/>
        <charset val="0"/>
      </rPr>
      <t>中</t>
    </r>
  </si>
  <si>
    <t>4500188895-20</t>
  </si>
  <si>
    <r>
      <rPr>
        <sz val="10"/>
        <rFont val="等线"/>
        <charset val="134"/>
      </rPr>
      <t>日期码格式：ZURU INC(BVI) 标准格式 日期：按实际生产日期
Packaging Info:
#77516: 2PK #77515 入PVC圆筒。收藏指南用MA 5L. 3L不带UPC版收缩膜,3L</t>
    </r>
    <r>
      <rPr>
        <sz val="10"/>
        <color rgb="FFFF0000"/>
        <rFont val="等线"/>
        <charset val="134"/>
      </rPr>
      <t xml:space="preserve"> 2PK的3L铜版纸B版本</t>
    </r>
    <r>
      <rPr>
        <sz val="10"/>
        <rFont val="等线"/>
        <charset val="134"/>
      </rPr>
      <t>。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</si>
  <si>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r>
      <rPr>
        <sz val="10"/>
        <rFont val="等线"/>
        <charset val="134"/>
      </rPr>
      <t>日期码格式：ZURU INC(BVI) 标准格式 日期：按实际生产日期
Packaging Info: 
#77516: 2PK #77515 入PVC圆筒。收藏指南用MA 5L. 3L不带UPC版收缩膜,3L</t>
    </r>
    <r>
      <rPr>
        <sz val="10"/>
        <color rgb="FFFF0000"/>
        <rFont val="等线"/>
        <charset val="134"/>
      </rPr>
      <t xml:space="preserve"> 2PK的3L铜版纸B版本</t>
    </r>
    <r>
      <rPr>
        <sz val="10"/>
        <rFont val="等线"/>
        <charset val="134"/>
      </rPr>
      <t>。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</si>
  <si>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r>
      <rPr>
        <sz val="10"/>
        <rFont val="等线"/>
        <charset val="134"/>
      </rPr>
      <t>日期码格式：ZURU INC(BVI) 标准格式 日期：按实际生产日期
Packaging Info: #71137: MA 1L UPC版本，出口美国.
#77516: 2PK #77515 入PVC圆筒。收藏指南用MA 5L. 3L不带UPC版收缩膜,3L</t>
    </r>
    <r>
      <rPr>
        <sz val="10"/>
        <color rgb="FFFF0000"/>
        <rFont val="等线"/>
        <charset val="134"/>
      </rPr>
      <t xml:space="preserve"> 2PK的3L铜版纸B版本</t>
    </r>
    <r>
      <rPr>
        <sz val="10"/>
        <rFont val="等线"/>
        <charset val="134"/>
      </rPr>
      <t>。 （两个球的配比不能重复）。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</si>
</sst>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
    <numFmt numFmtId="179" formatCode="yyyy/m/d&quot;周&quot;aaa"/>
    <numFmt numFmtId="180" formatCode="m/d;@"/>
    <numFmt numFmtId="181" formatCode="&quot;US$&quot;#,##0_);[Red]\(&quot;US$&quot;#,##0\)"/>
    <numFmt numFmtId="182" formatCode="0.00_ "/>
    <numFmt numFmtId="183" formatCode="m&quot;月&quot;d&quot;日&quot;;@"/>
    <numFmt numFmtId="184" formatCode="0_);[Red]\(0\)"/>
    <numFmt numFmtId="185" formatCode="0_ ;[Red]\-0\ "/>
    <numFmt numFmtId="186" formatCode="0_ "/>
    <numFmt numFmtId="187" formatCode="&quot;$&quot;#,##0.00_);[Red]\(&quot;$&quot;#,##0.00\)"/>
    <numFmt numFmtId="188" formatCode="#,##0_);[Red]\(#,##0\)"/>
    <numFmt numFmtId="189" formatCode="#,##0_ "/>
    <numFmt numFmtId="190" formatCode="&quot;US$&quot;#,##0.00;\-&quot;US$&quot;#,##0.00"/>
    <numFmt numFmtId="191" formatCode="[$HK$-C04]#,##0;\-[$HK$-C04]#,##0"/>
    <numFmt numFmtId="192" formatCode="0.00_);[Red]\(0.00\)"/>
    <numFmt numFmtId="193" formatCode="#,##0.000_);[Red]\(#,##0.000\)"/>
  </numFmts>
  <fonts count="222">
    <font>
      <sz val="12"/>
      <name val="宋体"/>
      <charset val="134"/>
    </font>
    <font>
      <sz val="11"/>
      <name val="Arial"/>
      <charset val="0"/>
    </font>
    <font>
      <sz val="11"/>
      <color rgb="FFFF0000"/>
      <name val="Arial"/>
      <charset val="0"/>
    </font>
    <font>
      <b/>
      <sz val="11"/>
      <name val="宋体"/>
      <charset val="0"/>
    </font>
    <font>
      <b/>
      <sz val="11"/>
      <name val="Arial"/>
      <charset val="0"/>
    </font>
    <font>
      <b/>
      <sz val="10"/>
      <name val="Arial"/>
      <charset val="0"/>
    </font>
    <font>
      <sz val="11"/>
      <color rgb="FFFF0000"/>
      <name val="等线"/>
      <charset val="134"/>
    </font>
    <font>
      <sz val="11"/>
      <color rgb="FFFF0000"/>
      <name val="宋体"/>
      <charset val="134"/>
      <scheme val="minor"/>
    </font>
    <font>
      <sz val="10"/>
      <color rgb="FFFF0000"/>
      <name val="等线"/>
      <charset val="134"/>
    </font>
    <font>
      <sz val="11"/>
      <color rgb="FFFF0000"/>
      <name val="宋体"/>
      <charset val="134"/>
    </font>
    <font>
      <sz val="11"/>
      <name val="等线"/>
      <charset val="134"/>
    </font>
    <font>
      <sz val="11"/>
      <name val="宋体"/>
      <charset val="134"/>
      <scheme val="minor"/>
    </font>
    <font>
      <sz val="10"/>
      <name val="等线"/>
      <charset val="134"/>
    </font>
    <font>
      <sz val="11"/>
      <name val="宋体"/>
      <charset val="134"/>
    </font>
    <font>
      <sz val="12"/>
      <color rgb="FFFF0000"/>
      <name val="Arial"/>
      <charset val="0"/>
    </font>
    <font>
      <sz val="10"/>
      <color rgb="FFFF0000"/>
      <name val="宋体"/>
      <charset val="134"/>
      <scheme val="minor"/>
    </font>
    <font>
      <sz val="10"/>
      <color rgb="FFFF0000"/>
      <name val="宋体"/>
      <charset val="0"/>
      <scheme val="minor"/>
    </font>
    <font>
      <sz val="11"/>
      <color rgb="FFFF0000"/>
      <name val="Arial"/>
      <charset val="134"/>
    </font>
    <font>
      <sz val="10"/>
      <color rgb="FFFF0000"/>
      <name val="Arial"/>
      <charset val="134"/>
    </font>
    <font>
      <sz val="9"/>
      <color rgb="FFFF0000"/>
      <name val="Arial"/>
      <charset val="0"/>
    </font>
    <font>
      <sz val="12"/>
      <color rgb="FFFF0000"/>
      <name val="宋体"/>
      <charset val="0"/>
    </font>
    <font>
      <sz val="12"/>
      <color rgb="FFFF0000"/>
      <name val="宋体"/>
      <charset val="134"/>
    </font>
    <font>
      <b/>
      <sz val="9"/>
      <name val="宋体"/>
      <charset val="134"/>
      <scheme val="minor"/>
    </font>
    <font>
      <sz val="10"/>
      <color rgb="FFFF0000"/>
      <name val="Arial"/>
      <charset val="0"/>
    </font>
    <font>
      <sz val="10"/>
      <name val="Arial"/>
      <charset val="0"/>
    </font>
    <font>
      <b/>
      <sz val="11"/>
      <name val="宋体"/>
      <charset val="134"/>
    </font>
    <font>
      <sz val="12"/>
      <color rgb="FFFF0000"/>
      <name val="宋体"/>
      <charset val="134"/>
      <scheme val="minor"/>
    </font>
    <font>
      <sz val="12"/>
      <name val="宋体"/>
      <charset val="134"/>
      <scheme val="minor"/>
    </font>
    <font>
      <sz val="10"/>
      <color rgb="FFFF0000"/>
      <name val="宋体"/>
      <charset val="134"/>
    </font>
    <font>
      <sz val="11"/>
      <color rgb="FFFF0000"/>
      <name val="宋体"/>
      <charset val="0"/>
    </font>
    <font>
      <b/>
      <sz val="11"/>
      <color rgb="FF7030A0"/>
      <name val="宋体"/>
      <charset val="0"/>
    </font>
    <font>
      <sz val="11"/>
      <name val="宋体"/>
      <charset val="0"/>
    </font>
    <font>
      <b/>
      <sz val="11"/>
      <color rgb="FFFF0000"/>
      <name val="Arial"/>
      <charset val="0"/>
    </font>
    <font>
      <b/>
      <sz val="11"/>
      <color rgb="FFFF0000"/>
      <name val="宋体"/>
      <charset val="0"/>
    </font>
    <font>
      <sz val="11"/>
      <color rgb="FF000000"/>
      <name val="Arial"/>
      <charset val="0"/>
    </font>
    <font>
      <sz val="11"/>
      <color rgb="FF2727F0"/>
      <name val="Arial"/>
      <charset val="0"/>
    </font>
    <font>
      <sz val="11"/>
      <color rgb="FF0000FF"/>
      <name val="Arial"/>
      <charset val="0"/>
    </font>
    <font>
      <sz val="8"/>
      <color rgb="FFFF0000"/>
      <name val="宋体"/>
      <charset val="134"/>
    </font>
    <font>
      <u/>
      <sz val="11"/>
      <color rgb="FFFF0000"/>
      <name val="宋体"/>
      <charset val="134"/>
      <scheme val="minor"/>
    </font>
    <font>
      <sz val="12"/>
      <color theme="1"/>
      <name val="Arial"/>
      <charset val="134"/>
    </font>
    <font>
      <b/>
      <sz val="12"/>
      <color theme="1"/>
      <name val="Arial"/>
      <charset val="134"/>
    </font>
    <font>
      <sz val="12"/>
      <color theme="1"/>
      <name val="宋体"/>
      <charset val="134"/>
      <scheme val="minor"/>
    </font>
    <font>
      <sz val="12"/>
      <color theme="1"/>
      <name val="宋体"/>
      <charset val="134"/>
    </font>
    <font>
      <sz val="12"/>
      <color theme="1"/>
      <name val="Arial Unicode MS"/>
      <charset val="134"/>
    </font>
    <font>
      <b/>
      <sz val="14"/>
      <name val="Arial"/>
      <charset val="0"/>
    </font>
    <font>
      <sz val="10"/>
      <name val="宋体"/>
      <charset val="134"/>
    </font>
    <font>
      <sz val="8"/>
      <color theme="1"/>
      <name val="Arial"/>
      <charset val="134"/>
    </font>
    <font>
      <sz val="11"/>
      <name val="Calibri"/>
      <charset val="0"/>
    </font>
    <font>
      <sz val="10"/>
      <name val="宋体"/>
      <charset val="0"/>
    </font>
    <font>
      <sz val="10"/>
      <color rgb="FF0000FF"/>
      <name val="Arial"/>
      <charset val="0"/>
    </font>
    <font>
      <sz val="10"/>
      <color rgb="FFFF0000"/>
      <name val="宋体"/>
      <charset val="0"/>
    </font>
    <font>
      <b/>
      <sz val="11"/>
      <color rgb="FFFF0000"/>
      <name val="宋体"/>
      <charset val="134"/>
    </font>
    <font>
      <sz val="11"/>
      <color rgb="FF0000FF"/>
      <name val="宋体"/>
      <charset val="0"/>
    </font>
    <font>
      <b/>
      <sz val="11"/>
      <color rgb="FF0000FF"/>
      <name val="Arial"/>
      <charset val="0"/>
    </font>
    <font>
      <sz val="10"/>
      <name val="Times New Roman"/>
      <charset val="134"/>
    </font>
    <font>
      <sz val="10"/>
      <color theme="0" tint="-0.499984740745262"/>
      <name val="Times New Roman"/>
      <charset val="134"/>
    </font>
    <font>
      <b/>
      <sz val="10"/>
      <name val="Times New Roman"/>
      <charset val="134"/>
    </font>
    <font>
      <sz val="11"/>
      <color theme="0" tint="-0.499984740745262"/>
      <name val="Times New Roman"/>
      <charset val="134"/>
    </font>
    <font>
      <b/>
      <sz val="11"/>
      <name val="Times New Roman"/>
      <charset val="134"/>
    </font>
    <font>
      <b/>
      <sz val="11"/>
      <color rgb="FFFFFF00"/>
      <name val="Times New Roman"/>
      <charset val="134"/>
    </font>
    <font>
      <b/>
      <sz val="11"/>
      <color theme="0"/>
      <name val="Times New Roman"/>
      <charset val="134"/>
    </font>
    <font>
      <sz val="11"/>
      <name val="Times New Roman"/>
      <charset val="134"/>
    </font>
    <font>
      <sz val="11"/>
      <color theme="1"/>
      <name val="Arial Unicode MS"/>
      <charset val="134"/>
    </font>
    <font>
      <b/>
      <sz val="10"/>
      <name val="微软雅黑"/>
      <charset val="134"/>
    </font>
    <font>
      <b/>
      <sz val="11"/>
      <color theme="1"/>
      <name val="Times New Roman"/>
      <charset val="134"/>
    </font>
    <font>
      <b/>
      <sz val="10"/>
      <color theme="0" tint="-0.499984740745262"/>
      <name val="微软雅黑"/>
      <charset val="134"/>
    </font>
    <font>
      <sz val="11"/>
      <color rgb="FF1C05ED"/>
      <name val="Arial"/>
      <charset val="0"/>
    </font>
    <font>
      <sz val="11"/>
      <color rgb="FF7030A0"/>
      <name val="Arial"/>
      <charset val="0"/>
    </font>
    <font>
      <b/>
      <sz val="16"/>
      <name val="宋体"/>
      <charset val="134"/>
    </font>
    <font>
      <b/>
      <sz val="12"/>
      <color rgb="FFFF0000"/>
      <name val="宋体"/>
      <charset val="134"/>
    </font>
    <font>
      <b/>
      <sz val="12"/>
      <name val="宋体"/>
      <charset val="134"/>
    </font>
    <font>
      <b/>
      <sz val="12"/>
      <color indexed="10"/>
      <name val="宋体"/>
      <charset val="134"/>
    </font>
    <font>
      <b/>
      <sz val="16"/>
      <color rgb="FFFF0000"/>
      <name val="宋体"/>
      <charset val="0"/>
    </font>
    <font>
      <sz val="11"/>
      <color rgb="FF1C05ED"/>
      <name val="等线"/>
      <charset val="134"/>
    </font>
    <font>
      <sz val="11"/>
      <color rgb="FF1C05ED"/>
      <name val="宋体"/>
      <charset val="134"/>
      <scheme val="minor"/>
    </font>
    <font>
      <sz val="10"/>
      <color rgb="FF1C05ED"/>
      <name val="等线"/>
      <charset val="134"/>
    </font>
    <font>
      <sz val="11"/>
      <color rgb="FF1C05ED"/>
      <name val="宋体"/>
      <charset val="134"/>
    </font>
    <font>
      <sz val="10"/>
      <color rgb="FF1C05ED"/>
      <name val="Arial"/>
      <charset val="0"/>
    </font>
    <font>
      <b/>
      <sz val="8"/>
      <color rgb="FFFF0000"/>
      <name val="Arial"/>
      <charset val="0"/>
    </font>
    <font>
      <sz val="10"/>
      <color rgb="FF1C05ED"/>
      <name val="宋体"/>
      <charset val="134"/>
      <scheme val="minor"/>
    </font>
    <font>
      <sz val="10"/>
      <name val="宋体"/>
      <charset val="134"/>
      <scheme val="minor"/>
    </font>
    <font>
      <sz val="10"/>
      <color rgb="FF1C05ED"/>
      <name val="宋体"/>
      <charset val="134"/>
    </font>
    <font>
      <b/>
      <sz val="11"/>
      <color rgb="FF7030A0"/>
      <name val="Arial"/>
      <charset val="0"/>
    </font>
    <font>
      <sz val="11"/>
      <color rgb="FF7030A0"/>
      <name val="宋体"/>
      <charset val="0"/>
    </font>
    <font>
      <sz val="12"/>
      <color theme="1"/>
      <name val="宋体"/>
      <charset val="0"/>
    </font>
    <font>
      <sz val="12"/>
      <color rgb="FF1C05ED"/>
      <name val="宋体"/>
      <charset val="134"/>
      <scheme val="minor"/>
    </font>
    <font>
      <sz val="11"/>
      <color rgb="FF1C05ED"/>
      <name val="宋体"/>
      <charset val="0"/>
    </font>
    <font>
      <sz val="11"/>
      <color rgb="FF1028E0"/>
      <name val="Arial"/>
      <charset val="0"/>
    </font>
    <font>
      <b/>
      <sz val="14"/>
      <color rgb="FF00B0F0"/>
      <name val="宋体"/>
      <charset val="0"/>
    </font>
    <font>
      <sz val="11"/>
      <color theme="1"/>
      <name val="Arial"/>
      <charset val="0"/>
    </font>
    <font>
      <b/>
      <sz val="11"/>
      <color rgb="FF0000FF"/>
      <name val="宋体"/>
      <charset val="0"/>
    </font>
    <font>
      <b/>
      <sz val="11"/>
      <color rgb="FF1C05ED"/>
      <name val="Arial"/>
      <charset val="0"/>
    </font>
    <font>
      <b/>
      <sz val="11"/>
      <color rgb="FF1C05ED"/>
      <name val="宋体"/>
      <charset val="0"/>
    </font>
    <font>
      <sz val="11"/>
      <color rgb="FF0000FF"/>
      <name val="等线"/>
      <charset val="134"/>
    </font>
    <font>
      <sz val="11"/>
      <color rgb="FF0000FF"/>
      <name val="宋体"/>
      <charset val="134"/>
      <scheme val="minor"/>
    </font>
    <font>
      <sz val="10"/>
      <color rgb="FF0000FF"/>
      <name val="等线"/>
      <charset val="134"/>
    </font>
    <font>
      <sz val="11"/>
      <color rgb="FF0000FF"/>
      <name val="宋体"/>
      <charset val="134"/>
    </font>
    <font>
      <sz val="10"/>
      <color rgb="FF0000FF"/>
      <name val="宋体"/>
      <charset val="134"/>
      <scheme val="minor"/>
    </font>
    <font>
      <sz val="10"/>
      <color rgb="FF0000FF"/>
      <name val="宋体"/>
      <charset val="134"/>
    </font>
    <font>
      <sz val="12"/>
      <color rgb="FF0000FF"/>
      <name val="宋体"/>
      <charset val="134"/>
      <scheme val="minor"/>
    </font>
    <font>
      <sz val="12"/>
      <color rgb="FF1C05ED"/>
      <name val="宋体"/>
      <charset val="0"/>
    </font>
    <font>
      <sz val="12"/>
      <color rgb="FF0000FF"/>
      <name val="宋体"/>
      <charset val="0"/>
    </font>
    <font>
      <sz val="12"/>
      <color rgb="FF010CDD"/>
      <name val="宋体"/>
      <charset val="134"/>
      <scheme val="minor"/>
    </font>
    <font>
      <sz val="10"/>
      <color rgb="FF010CDD"/>
      <name val="等线"/>
      <charset val="134"/>
    </font>
    <font>
      <sz val="11"/>
      <color theme="1"/>
      <name val="等线"/>
      <charset val="134"/>
    </font>
    <font>
      <sz val="11"/>
      <color theme="1"/>
      <name val="宋体"/>
      <charset val="134"/>
      <scheme val="minor"/>
    </font>
    <font>
      <sz val="10"/>
      <color theme="1"/>
      <name val="等线"/>
      <charset val="134"/>
    </font>
    <font>
      <sz val="11"/>
      <color theme="1"/>
      <name val="宋体"/>
      <charset val="134"/>
    </font>
    <font>
      <sz val="10"/>
      <color theme="1"/>
      <name val="Arial"/>
      <charset val="0"/>
    </font>
    <font>
      <sz val="10"/>
      <color theme="1"/>
      <name val="宋体"/>
      <charset val="134"/>
      <scheme val="minor"/>
    </font>
    <font>
      <sz val="11"/>
      <color theme="1"/>
      <name val="宋体"/>
      <charset val="0"/>
    </font>
    <font>
      <b/>
      <sz val="11"/>
      <color theme="1"/>
      <name val="Arial"/>
      <charset val="0"/>
    </font>
    <font>
      <b/>
      <sz val="14"/>
      <name val="Times New Roman"/>
      <charset val="134"/>
    </font>
    <font>
      <b/>
      <sz val="14"/>
      <name val="宋体"/>
      <charset val="134"/>
    </font>
    <font>
      <b/>
      <sz val="10"/>
      <color theme="1"/>
      <name val="宋体"/>
      <charset val="134"/>
    </font>
    <font>
      <b/>
      <sz val="11"/>
      <color theme="1"/>
      <name val="宋体"/>
      <charset val="134"/>
    </font>
    <font>
      <b/>
      <sz val="10"/>
      <color theme="1"/>
      <name val="Arial"/>
      <charset val="134"/>
    </font>
    <font>
      <b/>
      <sz val="11"/>
      <color rgb="FFFF0000"/>
      <name val="Times New Roman"/>
      <charset val="134"/>
    </font>
    <font>
      <b/>
      <sz val="10"/>
      <color theme="1"/>
      <name val="Times New Roman"/>
      <charset val="134"/>
    </font>
    <font>
      <sz val="10"/>
      <color theme="1"/>
      <name val="Times New Roman"/>
      <charset val="134"/>
    </font>
    <font>
      <sz val="10"/>
      <color theme="1"/>
      <name val="宋体"/>
      <charset val="134"/>
    </font>
    <font>
      <b/>
      <sz val="16"/>
      <color theme="1"/>
      <name val="Times New Roman"/>
      <charset val="134"/>
    </font>
    <font>
      <b/>
      <sz val="10"/>
      <name val="宋体"/>
      <charset val="134"/>
    </font>
    <font>
      <sz val="10"/>
      <color rgb="FF000000"/>
      <name val="Times New Roman"/>
      <charset val="134"/>
    </font>
    <font>
      <sz val="10"/>
      <color indexed="8"/>
      <name val="Times New Roman"/>
      <charset val="134"/>
    </font>
    <font>
      <b/>
      <sz val="10"/>
      <color rgb="FFC00000"/>
      <name val="Times New Roman"/>
      <charset val="134"/>
    </font>
    <font>
      <sz val="8"/>
      <name val="Arial"/>
      <charset val="134"/>
    </font>
    <font>
      <sz val="8"/>
      <name val="宋体"/>
      <charset val="134"/>
    </font>
    <font>
      <b/>
      <sz val="10"/>
      <name val="宋体"/>
      <charset val="0"/>
    </font>
    <font>
      <sz val="10"/>
      <name val="微软雅黑"/>
      <charset val="134"/>
    </font>
    <font>
      <sz val="10"/>
      <color rgb="FF000000"/>
      <name val="微软雅黑"/>
      <charset val="134"/>
    </font>
    <font>
      <sz val="8"/>
      <color rgb="FFFF0000"/>
      <name val="Arial"/>
      <charset val="134"/>
    </font>
    <font>
      <sz val="12"/>
      <color rgb="FF0000FF"/>
      <name val="Arial"/>
      <charset val="0"/>
    </font>
    <font>
      <sz val="10"/>
      <color rgb="FF2029DE"/>
      <name val="宋体"/>
      <charset val="134"/>
    </font>
    <font>
      <b/>
      <sz val="11"/>
      <color rgb="FF00B0F0"/>
      <name val="Arial"/>
      <charset val="0"/>
    </font>
    <font>
      <sz val="11"/>
      <color rgb="FF00B0F0"/>
      <name val="Arial"/>
      <charset val="0"/>
    </font>
    <font>
      <sz val="11"/>
      <color rgb="FF1506E0"/>
      <name val="Arial"/>
      <charset val="0"/>
    </font>
    <font>
      <sz val="10"/>
      <color rgb="FF1506E0"/>
      <name val="等线"/>
      <charset val="134"/>
    </font>
    <font>
      <sz val="11"/>
      <color rgb="FF1506E0"/>
      <name val="宋体"/>
      <charset val="134"/>
      <scheme val="minor"/>
    </font>
    <font>
      <sz val="11"/>
      <color rgb="FF1506E0"/>
      <name val="宋体"/>
      <charset val="134"/>
    </font>
    <font>
      <sz val="11"/>
      <color rgb="FF1506E0"/>
      <name val="等线"/>
      <charset val="134"/>
    </font>
    <font>
      <sz val="9"/>
      <color rgb="FF0000FF"/>
      <name val="等线"/>
      <charset val="134"/>
    </font>
    <font>
      <sz val="12"/>
      <color rgb="FF0000FF"/>
      <name val="宋体"/>
      <charset val="0"/>
      <scheme val="minor"/>
    </font>
    <font>
      <sz val="9"/>
      <color rgb="FF0000FF"/>
      <name val="Arial"/>
      <charset val="0"/>
    </font>
    <font>
      <sz val="10"/>
      <color rgb="FF1506E0"/>
      <name val="Arial"/>
      <charset val="0"/>
    </font>
    <font>
      <sz val="10"/>
      <color rgb="FF1506E0"/>
      <name val="宋体"/>
      <charset val="134"/>
    </font>
    <font>
      <sz val="12"/>
      <color rgb="FF1506E0"/>
      <name val="宋体"/>
      <charset val="134"/>
      <scheme val="minor"/>
    </font>
    <font>
      <sz val="11"/>
      <color rgb="FF1506E0"/>
      <name val="宋体"/>
      <charset val="0"/>
    </font>
    <font>
      <sz val="10"/>
      <color rgb="FF1506E0"/>
      <name val="宋体"/>
      <charset val="134"/>
      <scheme val="minor"/>
    </font>
    <font>
      <b/>
      <sz val="11"/>
      <color rgb="FF1506E0"/>
      <name val="Arial"/>
      <charset val="0"/>
    </font>
    <font>
      <sz val="12"/>
      <color rgb="FF1506E0"/>
      <name val="宋体"/>
      <charset val="134"/>
    </font>
    <font>
      <sz val="12"/>
      <color rgb="FF1506E0"/>
      <name val="Arial"/>
      <charset val="0"/>
    </font>
    <font>
      <sz val="12"/>
      <color rgb="FF0000FF"/>
      <name val="宋体"/>
      <charset val="134"/>
    </font>
    <font>
      <sz val="14"/>
      <color rgb="FF1506E0"/>
      <name val="宋体"/>
      <charset val="0"/>
    </font>
    <font>
      <sz val="11"/>
      <color rgb="FF0E2EF0"/>
      <name val="Arial"/>
      <charset val="0"/>
    </font>
    <font>
      <sz val="12"/>
      <color rgb="FF0E2EF0"/>
      <name val="宋体"/>
      <charset val="0"/>
      <scheme val="minor"/>
    </font>
    <font>
      <sz val="8"/>
      <color rgb="FF0000FF"/>
      <name val="宋体"/>
      <charset val="134"/>
    </font>
    <font>
      <sz val="8"/>
      <color rgb="FF1C05ED"/>
      <name val="宋体"/>
      <charset val="134"/>
    </font>
    <font>
      <sz val="12"/>
      <color rgb="FF0E2EF0"/>
      <name val="宋体"/>
      <charset val="134"/>
      <scheme val="minor"/>
    </font>
    <font>
      <b/>
      <sz val="16"/>
      <name val="Arial"/>
      <charset val="0"/>
    </font>
    <font>
      <sz val="11"/>
      <color rgb="FF2727F0"/>
      <name val="宋体"/>
      <charset val="134"/>
    </font>
    <font>
      <b/>
      <sz val="16"/>
      <color rgb="FFFF0000"/>
      <name val="Arial"/>
      <charset val="0"/>
    </font>
    <font>
      <b/>
      <sz val="16"/>
      <color indexed="39"/>
      <name val="Arial"/>
      <charset val="0"/>
    </font>
    <font>
      <sz val="14"/>
      <color rgb="FF0000FF"/>
      <name val="宋体"/>
      <charset val="0"/>
    </font>
    <font>
      <sz val="9"/>
      <color rgb="FF0000FF"/>
      <name val="Arial"/>
      <charset val="134"/>
    </font>
    <font>
      <sz val="9"/>
      <color rgb="FF000000"/>
      <name val="Arial"/>
      <charset val="134"/>
    </font>
    <font>
      <sz val="10"/>
      <color rgb="FF0000FF"/>
      <name val="Calibri"/>
      <charset val="134"/>
    </font>
    <font>
      <sz val="10"/>
      <color rgb="FF0000FF"/>
      <name val="宋体"/>
      <charset val="0"/>
      <scheme val="major"/>
    </font>
    <font>
      <sz val="9"/>
      <color rgb="FF0000FF"/>
      <name val="宋体"/>
      <charset val="0"/>
      <scheme val="major"/>
    </font>
    <font>
      <sz val="10"/>
      <color rgb="FF0000FF"/>
      <name val="Arial"/>
      <charset val="134"/>
    </font>
    <font>
      <sz val="10"/>
      <color rgb="FF0000FF"/>
      <name val="宋体"/>
      <charset val="0"/>
      <scheme val="minor"/>
    </font>
    <font>
      <sz val="11"/>
      <color rgb="FF0000FF"/>
      <name val="Arial"/>
      <charset val="134"/>
    </font>
    <font>
      <sz val="10"/>
      <color rgb="FF0000FF"/>
      <name val="Calibri"/>
      <charset val="0"/>
    </font>
    <font>
      <sz val="11"/>
      <color rgb="FF2727F0"/>
      <name val="宋体"/>
      <charset val="0"/>
    </font>
    <font>
      <sz val="11"/>
      <color rgb="FF0000FF"/>
      <name val="Calibri"/>
      <charset val="134"/>
    </font>
    <font>
      <sz val="10"/>
      <name val="宋体"/>
      <charset val="0"/>
      <scheme val="minor"/>
    </font>
    <font>
      <sz val="11"/>
      <color rgb="FF000000"/>
      <name val="宋体"/>
      <charset val="134"/>
    </font>
    <font>
      <sz val="9"/>
      <color theme="1"/>
      <name val="等线"/>
      <charset val="134"/>
    </font>
    <font>
      <sz val="12"/>
      <color theme="1"/>
      <name val="Arial"/>
      <charset val="0"/>
    </font>
    <font>
      <sz val="12"/>
      <name val="Arial"/>
      <charset val="0"/>
    </font>
    <font>
      <sz val="12"/>
      <name val="宋体"/>
      <charset val="0"/>
      <scheme val="minor"/>
    </font>
    <font>
      <sz val="9"/>
      <name val="Arial"/>
      <charset val="0"/>
    </font>
    <font>
      <u/>
      <sz val="11"/>
      <color rgb="FF0000FF"/>
      <name val="宋体"/>
      <charset val="134"/>
      <scheme val="minor"/>
    </font>
    <font>
      <u/>
      <sz val="11"/>
      <color rgb="FF800080"/>
      <name val="宋体"/>
      <charset val="134"/>
      <scheme val="minor"/>
    </font>
    <font>
      <sz val="11"/>
      <color indexed="8"/>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2"/>
      <name val="新細明體"/>
      <charset val="134"/>
    </font>
    <font>
      <sz val="12"/>
      <name val="新細明體"/>
      <charset val="136"/>
    </font>
    <font>
      <sz val="10"/>
      <name val="Arial"/>
      <charset val="134"/>
    </font>
    <font>
      <sz val="11"/>
      <color indexed="8"/>
      <name val="宋体"/>
      <charset val="134"/>
    </font>
    <font>
      <sz val="11"/>
      <color rgb="FF000000"/>
      <name val="宋体"/>
      <charset val="0"/>
    </font>
    <font>
      <b/>
      <sz val="11"/>
      <color rgb="FF00B0F0"/>
      <name val="宋体"/>
      <charset val="0"/>
    </font>
    <font>
      <sz val="10"/>
      <color rgb="FF0000FF"/>
      <name val="宋体"/>
      <charset val="0"/>
    </font>
    <font>
      <b/>
      <sz val="14"/>
      <name val="宋体"/>
      <charset val="0"/>
    </font>
    <font>
      <sz val="11"/>
      <color rgb="FF00B0F0"/>
      <name val="宋体"/>
      <charset val="0"/>
    </font>
    <font>
      <b/>
      <sz val="16"/>
      <name val="宋体"/>
      <charset val="0"/>
    </font>
    <font>
      <b/>
      <sz val="8"/>
      <color rgb="FFFF0000"/>
      <name val="宋体"/>
      <charset val="0"/>
    </font>
    <font>
      <sz val="10"/>
      <color indexed="8"/>
      <name val="宋体"/>
      <charset val="134"/>
    </font>
    <font>
      <sz val="10"/>
      <color indexed="8"/>
      <name val="Times New Roman"/>
      <charset val="0"/>
    </font>
    <font>
      <b/>
      <sz val="9"/>
      <name val="宋体"/>
      <charset val="134"/>
    </font>
    <font>
      <sz val="12"/>
      <name val="宋体"/>
      <charset val="134"/>
    </font>
    <font>
      <sz val="9"/>
      <name val="宋体"/>
      <charset val="134"/>
    </font>
    <font>
      <b/>
      <sz val="16"/>
      <name val="宋体"/>
      <charset val="134"/>
    </font>
    <font>
      <sz val="11"/>
      <name val="宋体"/>
      <charset val="134"/>
    </font>
    <font>
      <b/>
      <sz val="14"/>
      <name val="宋体"/>
      <charset val="134"/>
    </font>
    <font>
      <b/>
      <sz val="12"/>
      <name val="宋体"/>
      <charset val="134"/>
    </font>
    <font>
      <sz val="14"/>
      <name val="宋体"/>
      <charset val="134"/>
    </font>
    <font>
      <sz val="16"/>
      <name val="宋体"/>
      <charset val="134"/>
    </font>
  </fonts>
  <fills count="54">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indexed="50"/>
        <bgColor indexed="64"/>
      </patternFill>
    </fill>
    <fill>
      <patternFill patternType="solid">
        <fgColor theme="0"/>
        <bgColor indexed="64"/>
      </patternFill>
    </fill>
    <fill>
      <patternFill patternType="solid">
        <fgColor theme="6" tint="0.599993896298105"/>
        <bgColor indexed="64"/>
      </patternFill>
    </fill>
    <fill>
      <patternFill patternType="solid">
        <fgColor theme="1" tint="0.499984740745262"/>
        <bgColor indexed="64"/>
      </patternFill>
    </fill>
    <fill>
      <patternFill patternType="solid">
        <fgColor theme="0" tint="-0.0499893185216834"/>
        <bgColor indexed="64"/>
      </patternFill>
    </fill>
    <fill>
      <patternFill patternType="solid">
        <fgColor theme="9" tint="-0.499984740745262"/>
        <bgColor indexed="64"/>
      </patternFill>
    </fill>
    <fill>
      <patternFill patternType="solid">
        <fgColor theme="0" tint="-0.499984740745262"/>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0" tint="-0.149906918546098"/>
        <bgColor indexed="64"/>
      </patternFill>
    </fill>
    <fill>
      <patternFill patternType="lightTrellis">
        <bgColor theme="6" tint="0.799981688894314"/>
      </patternFill>
    </fill>
    <fill>
      <patternFill patternType="lightTrellis"/>
    </fill>
    <fill>
      <patternFill patternType="lightTrellis">
        <bgColor theme="0" tint="-0.149906918546098"/>
      </patternFill>
    </fill>
    <fill>
      <patternFill patternType="solid">
        <fgColor rgb="FF00B0F0"/>
        <bgColor indexed="64"/>
      </patternFill>
    </fill>
    <fill>
      <patternFill patternType="solid">
        <fgColor theme="4" tint="0.599993896298105"/>
        <bgColor indexed="64"/>
      </patternFill>
    </fill>
    <fill>
      <patternFill patternType="solid">
        <fgColor theme="7" tint="0.8"/>
        <bgColor indexed="64"/>
      </patternFill>
    </fill>
    <fill>
      <patternFill patternType="solid">
        <fgColor theme="0" tint="-0.149937437055574"/>
        <bgColor indexed="64"/>
      </patternFill>
    </fill>
    <fill>
      <patternFill patternType="solid">
        <fgColor theme="8" tint="0.799981688894314"/>
        <bgColor indexed="64"/>
      </patternFill>
    </fill>
    <fill>
      <patternFill patternType="solid">
        <fgColor rgb="FF99FFCC"/>
        <bgColor indexed="64"/>
      </patternFill>
    </fill>
    <fill>
      <patternFill patternType="solid">
        <fgColor theme="0" tint="-0.349986266670736"/>
        <bgColor indexed="64"/>
      </patternFill>
    </fill>
    <fill>
      <patternFill patternType="solid">
        <fgColor rgb="FF0FB7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medium">
        <color auto="1"/>
      </right>
      <top/>
      <bottom style="thin">
        <color auto="1"/>
      </bottom>
      <diagonal/>
    </border>
    <border>
      <left/>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style="thin">
        <color auto="1"/>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2" fillId="0" borderId="0" applyNumberFormat="0" applyFill="0" applyBorder="0" applyAlignment="0" applyProtection="0">
      <alignment vertical="center"/>
    </xf>
    <xf numFmtId="0" fontId="183" fillId="0" borderId="0" applyNumberFormat="0" applyFill="0" applyBorder="0" applyAlignment="0" applyProtection="0">
      <alignment vertical="center"/>
    </xf>
    <xf numFmtId="0" fontId="184" fillId="28" borderId="51" applyNumberFormat="0" applyFont="0" applyAlignment="0" applyProtection="0">
      <alignment vertical="center"/>
    </xf>
    <xf numFmtId="0" fontId="7"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52" applyNumberFormat="0" applyFill="0" applyAlignment="0" applyProtection="0">
      <alignment vertical="center"/>
    </xf>
    <xf numFmtId="0" fontId="188" fillId="0" borderId="52" applyNumberFormat="0" applyFill="0" applyAlignment="0" applyProtection="0">
      <alignment vertical="center"/>
    </xf>
    <xf numFmtId="0" fontId="189" fillId="0" borderId="53" applyNumberFormat="0" applyFill="0" applyAlignment="0" applyProtection="0">
      <alignment vertical="center"/>
    </xf>
    <xf numFmtId="0" fontId="189" fillId="0" borderId="0" applyNumberFormat="0" applyFill="0" applyBorder="0" applyAlignment="0" applyProtection="0">
      <alignment vertical="center"/>
    </xf>
    <xf numFmtId="0" fontId="190" fillId="29" borderId="54" applyNumberFormat="0" applyAlignment="0" applyProtection="0">
      <alignment vertical="center"/>
    </xf>
    <xf numFmtId="0" fontId="191" fillId="30" borderId="55" applyNumberFormat="0" applyAlignment="0" applyProtection="0">
      <alignment vertical="center"/>
    </xf>
    <xf numFmtId="0" fontId="192" fillId="30" borderId="54" applyNumberFormat="0" applyAlignment="0" applyProtection="0">
      <alignment vertical="center"/>
    </xf>
    <xf numFmtId="0" fontId="193" fillId="31" borderId="56" applyNumberFormat="0" applyAlignment="0" applyProtection="0">
      <alignment vertical="center"/>
    </xf>
    <xf numFmtId="0" fontId="194" fillId="0" borderId="57" applyNumberFormat="0" applyFill="0" applyAlignment="0" applyProtection="0">
      <alignment vertical="center"/>
    </xf>
    <xf numFmtId="0" fontId="195" fillId="0" borderId="58" applyNumberFormat="0" applyFill="0" applyAlignment="0" applyProtection="0">
      <alignment vertical="center"/>
    </xf>
    <xf numFmtId="0" fontId="196" fillId="32" borderId="0" applyNumberFormat="0" applyBorder="0" applyAlignment="0" applyProtection="0">
      <alignment vertical="center"/>
    </xf>
    <xf numFmtId="0" fontId="197" fillId="33" borderId="0" applyNumberFormat="0" applyBorder="0" applyAlignment="0" applyProtection="0">
      <alignment vertical="center"/>
    </xf>
    <xf numFmtId="0" fontId="198" fillId="34" borderId="0" applyNumberFormat="0" applyBorder="0" applyAlignment="0" applyProtection="0">
      <alignment vertical="center"/>
    </xf>
    <xf numFmtId="0" fontId="199" fillId="35" borderId="0" applyNumberFormat="0" applyBorder="0" applyAlignment="0" applyProtection="0">
      <alignment vertical="center"/>
    </xf>
    <xf numFmtId="0" fontId="105" fillId="36" borderId="0" applyNumberFormat="0" applyBorder="0" applyAlignment="0" applyProtection="0">
      <alignment vertical="center"/>
    </xf>
    <xf numFmtId="0" fontId="105" fillId="21" borderId="0" applyNumberFormat="0" applyBorder="0" applyAlignment="0" applyProtection="0">
      <alignment vertical="center"/>
    </xf>
    <xf numFmtId="0" fontId="199" fillId="37" borderId="0" applyNumberFormat="0" applyBorder="0" applyAlignment="0" applyProtection="0">
      <alignment vertical="center"/>
    </xf>
    <xf numFmtId="0" fontId="199" fillId="38"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pplyNumberFormat="0" applyBorder="0" applyAlignment="0" applyProtection="0">
      <alignment vertical="center"/>
    </xf>
    <xf numFmtId="0" fontId="199" fillId="14" borderId="0" applyNumberFormat="0" applyBorder="0" applyAlignment="0" applyProtection="0">
      <alignment vertical="center"/>
    </xf>
    <xf numFmtId="0" fontId="199" fillId="41" borderId="0" applyNumberFormat="0" applyBorder="0" applyAlignment="0" applyProtection="0">
      <alignment vertical="center"/>
    </xf>
    <xf numFmtId="0" fontId="105" fillId="15" borderId="0" applyNumberFormat="0" applyBorder="0" applyAlignment="0" applyProtection="0">
      <alignment vertical="center"/>
    </xf>
    <xf numFmtId="0" fontId="105" fillId="9" borderId="0" applyNumberFormat="0" applyBorder="0" applyAlignment="0" applyProtection="0">
      <alignment vertical="center"/>
    </xf>
    <xf numFmtId="0" fontId="199" fillId="42" borderId="0" applyNumberFormat="0" applyBorder="0" applyAlignment="0" applyProtection="0">
      <alignment vertical="center"/>
    </xf>
    <xf numFmtId="0" fontId="199" fillId="43" borderId="0" applyNumberFormat="0" applyBorder="0" applyAlignment="0" applyProtection="0">
      <alignment vertical="center"/>
    </xf>
    <xf numFmtId="0" fontId="105" fillId="44" borderId="0" applyNumberFormat="0" applyBorder="0" applyAlignment="0" applyProtection="0">
      <alignment vertical="center"/>
    </xf>
    <xf numFmtId="0" fontId="105" fillId="45" borderId="0" applyNumberFormat="0" applyBorder="0" applyAlignment="0" applyProtection="0">
      <alignment vertical="center"/>
    </xf>
    <xf numFmtId="0" fontId="199" fillId="46" borderId="0" applyNumberFormat="0" applyBorder="0" applyAlignment="0" applyProtection="0">
      <alignment vertical="center"/>
    </xf>
    <xf numFmtId="0" fontId="199" fillId="47" borderId="0" applyNumberFormat="0" applyBorder="0" applyAlignment="0" applyProtection="0">
      <alignment vertical="center"/>
    </xf>
    <xf numFmtId="0" fontId="105" fillId="24" borderId="0" applyNumberFormat="0" applyBorder="0" applyAlignment="0" applyProtection="0">
      <alignment vertical="center"/>
    </xf>
    <xf numFmtId="0" fontId="105" fillId="48" borderId="0" applyNumberFormat="0" applyBorder="0" applyAlignment="0" applyProtection="0">
      <alignment vertical="center"/>
    </xf>
    <xf numFmtId="0" fontId="199" fillId="49" borderId="0" applyNumberFormat="0" applyBorder="0" applyAlignment="0" applyProtection="0">
      <alignment vertical="center"/>
    </xf>
    <xf numFmtId="0" fontId="199" fillId="50" borderId="0" applyNumberFormat="0" applyBorder="0" applyAlignment="0" applyProtection="0">
      <alignment vertical="center"/>
    </xf>
    <xf numFmtId="0" fontId="105" fillId="51" borderId="0" applyNumberFormat="0" applyBorder="0" applyAlignment="0" applyProtection="0">
      <alignment vertical="center"/>
    </xf>
    <xf numFmtId="0" fontId="105" fillId="52" borderId="0" applyNumberFormat="0" applyBorder="0" applyAlignment="0" applyProtection="0">
      <alignment vertical="center"/>
    </xf>
    <xf numFmtId="0" fontId="199" fillId="53" borderId="0" applyNumberFormat="0" applyBorder="0" applyAlignment="0" applyProtection="0">
      <alignment vertical="center"/>
    </xf>
    <xf numFmtId="0" fontId="105" fillId="0" borderId="0">
      <alignment vertical="center"/>
    </xf>
    <xf numFmtId="176" fontId="41" fillId="0" borderId="0"/>
    <xf numFmtId="177" fontId="105" fillId="0" borderId="0">
      <alignment vertical="center"/>
    </xf>
    <xf numFmtId="176" fontId="105" fillId="0" borderId="0"/>
    <xf numFmtId="0" fontId="200" fillId="0" borderId="0">
      <alignment vertical="center"/>
    </xf>
    <xf numFmtId="0" fontId="201" fillId="0" borderId="0">
      <alignment vertical="center"/>
    </xf>
    <xf numFmtId="0" fontId="0" fillId="0" borderId="0"/>
    <xf numFmtId="0" fontId="202" fillId="0" borderId="0"/>
    <xf numFmtId="43" fontId="105" fillId="0" borderId="0" applyFont="0" applyFill="0" applyBorder="0" applyAlignment="0" applyProtection="0">
      <alignment vertical="center"/>
    </xf>
    <xf numFmtId="0" fontId="203" fillId="0" borderId="0">
      <alignment vertical="center"/>
    </xf>
    <xf numFmtId="0" fontId="105" fillId="0" borderId="0"/>
    <xf numFmtId="0" fontId="105" fillId="21" borderId="0" applyNumberFormat="0" applyBorder="0" applyAlignment="0" applyProtection="0">
      <alignment vertical="center"/>
    </xf>
    <xf numFmtId="177" fontId="41" fillId="0" borderId="0"/>
    <xf numFmtId="0" fontId="202" fillId="0" borderId="0"/>
    <xf numFmtId="176" fontId="119" fillId="0" borderId="0">
      <alignment vertical="center"/>
    </xf>
    <xf numFmtId="176" fontId="105" fillId="0" borderId="0">
      <alignment vertical="center"/>
    </xf>
    <xf numFmtId="177" fontId="105" fillId="0" borderId="0">
      <alignment vertical="center"/>
    </xf>
    <xf numFmtId="9" fontId="41" fillId="0" borderId="0" applyFont="0" applyFill="0" applyBorder="0" applyAlignment="0" applyProtection="0">
      <alignment vertical="center"/>
    </xf>
  </cellStyleXfs>
  <cellXfs count="1678">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0" borderId="1" xfId="0" applyFont="1" applyFill="1" applyBorder="1" applyAlignment="1" applyProtection="1">
      <alignment horizontal="center" vertical="center"/>
      <protection locked="0"/>
    </xf>
    <xf numFmtId="178" fontId="3" fillId="0" borderId="2" xfId="0" applyNumberFormat="1" applyFont="1" applyFill="1" applyBorder="1" applyAlignment="1">
      <alignment horizontal="center" vertical="center" wrapText="1" shrinkToFit="1"/>
    </xf>
    <xf numFmtId="0" fontId="4" fillId="0" borderId="2" xfId="0" applyFont="1" applyFill="1" applyBorder="1" applyAlignment="1">
      <alignment horizontal="center" vertical="center" wrapText="1" shrinkToFit="1"/>
    </xf>
    <xf numFmtId="0" fontId="3" fillId="0" borderId="2" xfId="0" applyFont="1" applyFill="1" applyBorder="1" applyAlignment="1">
      <alignment horizontal="center" vertical="center" wrapText="1" shrinkToFit="1"/>
    </xf>
    <xf numFmtId="0" fontId="5" fillId="0" borderId="2" xfId="0" applyFont="1" applyFill="1" applyBorder="1" applyAlignment="1">
      <alignment horizontal="center" vertical="center" wrapText="1" shrinkToFit="1"/>
    </xf>
    <xf numFmtId="179" fontId="6" fillId="0" borderId="3" xfId="0" applyNumberFormat="1" applyFont="1" applyFill="1" applyBorder="1" applyAlignment="1">
      <alignment horizontal="center" vertical="center" shrinkToFit="1"/>
    </xf>
    <xf numFmtId="0" fontId="7" fillId="0" borderId="3" xfId="0" applyFont="1" applyFill="1" applyBorder="1" applyAlignment="1">
      <alignment horizontal="center" vertical="center" wrapText="1"/>
    </xf>
    <xf numFmtId="0" fontId="7" fillId="0" borderId="3" xfId="0" applyFont="1" applyFill="1" applyBorder="1" applyAlignment="1">
      <alignment horizontal="center" vertical="center" wrapText="1" shrinkToFit="1"/>
    </xf>
    <xf numFmtId="0" fontId="2" fillId="0" borderId="3" xfId="0" applyNumberFormat="1" applyFont="1" applyFill="1" applyBorder="1" applyAlignment="1">
      <alignment horizontal="center" vertical="center" shrinkToFit="1"/>
    </xf>
    <xf numFmtId="0" fontId="8" fillId="0" borderId="3"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shrinkToFit="1"/>
    </xf>
    <xf numFmtId="0" fontId="9" fillId="0" borderId="2" xfId="0" applyFont="1" applyFill="1" applyBorder="1" applyAlignment="1">
      <alignment horizontal="center" vertical="center" wrapText="1"/>
    </xf>
    <xf numFmtId="179" fontId="10" fillId="0" borderId="3" xfId="0" applyNumberFormat="1" applyFont="1" applyFill="1" applyBorder="1" applyAlignment="1">
      <alignment horizontal="center" vertical="center" shrinkToFit="1"/>
    </xf>
    <xf numFmtId="0" fontId="11" fillId="0" borderId="3" xfId="0" applyFont="1" applyFill="1" applyBorder="1" applyAlignment="1">
      <alignment horizontal="center" vertical="center" wrapText="1"/>
    </xf>
    <xf numFmtId="0" fontId="11" fillId="0" borderId="3" xfId="0" applyFont="1" applyFill="1" applyBorder="1" applyAlignment="1">
      <alignment horizontal="center" vertical="center" wrapText="1" shrinkToFit="1"/>
    </xf>
    <xf numFmtId="0" fontId="1" fillId="0" borderId="3" xfId="0" applyNumberFormat="1" applyFont="1" applyFill="1" applyBorder="1" applyAlignment="1">
      <alignment horizontal="center" vertical="center" shrinkToFit="1"/>
    </xf>
    <xf numFmtId="0" fontId="12" fillId="0" borderId="3" xfId="0" applyNumberFormat="1" applyFont="1" applyFill="1" applyBorder="1" applyAlignment="1">
      <alignment horizontal="center" vertical="center" wrapText="1"/>
    </xf>
    <xf numFmtId="0" fontId="1" fillId="0" borderId="2" xfId="0" applyFont="1" applyFill="1" applyBorder="1" applyAlignment="1">
      <alignment horizontal="center" vertical="center" wrapText="1" shrinkToFit="1"/>
    </xf>
    <xf numFmtId="0" fontId="13" fillId="0" borderId="2" xfId="0" applyFont="1" applyFill="1" applyBorder="1" applyAlignment="1">
      <alignment horizontal="center" vertical="center" wrapText="1"/>
    </xf>
    <xf numFmtId="179" fontId="6" fillId="0" borderId="2" xfId="0" applyNumberFormat="1" applyFont="1" applyFill="1" applyBorder="1" applyAlignment="1">
      <alignment horizontal="center" vertical="center" shrinkToFit="1"/>
    </xf>
    <xf numFmtId="0" fontId="7" fillId="0" borderId="2" xfId="0" applyFont="1" applyFill="1" applyBorder="1" applyAlignment="1">
      <alignment horizontal="center" vertical="center" wrapText="1"/>
    </xf>
    <xf numFmtId="0" fontId="7" fillId="0" borderId="2" xfId="0" applyFont="1" applyFill="1" applyBorder="1" applyAlignment="1">
      <alignment horizontal="center" vertical="center" wrapText="1" shrinkToFit="1"/>
    </xf>
    <xf numFmtId="0" fontId="2" fillId="0" borderId="2" xfId="0" applyNumberFormat="1" applyFont="1" applyFill="1" applyBorder="1" applyAlignment="1">
      <alignment horizontal="center" vertical="center" shrinkToFit="1"/>
    </xf>
    <xf numFmtId="0" fontId="8" fillId="0" borderId="2" xfId="0" applyNumberFormat="1" applyFont="1" applyFill="1" applyBorder="1" applyAlignment="1">
      <alignment horizontal="center" vertical="center" wrapText="1"/>
    </xf>
    <xf numFmtId="0" fontId="14" fillId="0" borderId="2" xfId="0" applyFont="1" applyFill="1" applyBorder="1" applyAlignment="1">
      <alignment horizontal="center" vertical="center" wrapText="1" shrinkToFit="1"/>
    </xf>
    <xf numFmtId="179" fontId="6" fillId="2" borderId="2" xfId="0" applyNumberFormat="1" applyFont="1" applyFill="1" applyBorder="1" applyAlignment="1">
      <alignment horizontal="center" vertical="center" shrinkToFi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wrapText="1" shrinkToFit="1"/>
    </xf>
    <xf numFmtId="0" fontId="2" fillId="2" borderId="3" xfId="0" applyNumberFormat="1" applyFont="1" applyFill="1" applyBorder="1" applyAlignment="1">
      <alignment horizontal="center" vertical="center" shrinkToFit="1"/>
    </xf>
    <xf numFmtId="0" fontId="8"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shrinkToFit="1"/>
    </xf>
    <xf numFmtId="0" fontId="9" fillId="2" borderId="2" xfId="0" applyFont="1" applyFill="1" applyBorder="1" applyAlignment="1">
      <alignment horizontal="center" vertical="center" wrapText="1"/>
    </xf>
    <xf numFmtId="0" fontId="2" fillId="2" borderId="2" xfId="0" applyNumberFormat="1" applyFont="1" applyFill="1" applyBorder="1" applyAlignment="1">
      <alignment horizontal="center" vertical="center" shrinkToFit="1"/>
    </xf>
    <xf numFmtId="0" fontId="8"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shrinkToFit="1"/>
    </xf>
    <xf numFmtId="178" fontId="15" fillId="2" borderId="3" xfId="0" applyNumberFormat="1" applyFont="1" applyFill="1" applyBorder="1" applyAlignment="1">
      <alignment horizontal="center" vertical="center" shrinkToFit="1"/>
    </xf>
    <xf numFmtId="0" fontId="15" fillId="2" borderId="3" xfId="0" applyNumberFormat="1" applyFont="1" applyFill="1" applyBorder="1" applyAlignment="1">
      <alignment horizontal="center" vertical="center" wrapText="1"/>
    </xf>
    <xf numFmtId="176" fontId="15" fillId="2" borderId="3" xfId="0" applyNumberFormat="1" applyFont="1" applyFill="1" applyBorder="1" applyAlignment="1">
      <alignment horizontal="center" vertical="center" wrapText="1"/>
    </xf>
    <xf numFmtId="0" fontId="16" fillId="2" borderId="3" xfId="0" applyNumberFormat="1" applyFont="1" applyFill="1" applyBorder="1" applyAlignment="1">
      <alignment horizontal="center" vertical="center" shrinkToFit="1"/>
    </xf>
    <xf numFmtId="179" fontId="8" fillId="2" borderId="3" xfId="0" applyNumberFormat="1" applyFont="1" applyFill="1" applyBorder="1" applyAlignment="1">
      <alignment horizontal="center" vertical="center" shrinkToFit="1"/>
    </xf>
    <xf numFmtId="0" fontId="17" fillId="2" borderId="3" xfId="0" applyNumberFormat="1" applyFont="1" applyFill="1" applyBorder="1" applyAlignment="1">
      <alignment horizontal="center" vertical="center"/>
    </xf>
    <xf numFmtId="0" fontId="18" fillId="2" borderId="3" xfId="0" applyNumberFormat="1" applyFont="1" applyFill="1" applyBorder="1" applyAlignment="1">
      <alignment horizontal="center" vertical="center" wrapText="1"/>
    </xf>
    <xf numFmtId="179" fontId="6" fillId="2" borderId="3" xfId="0" applyNumberFormat="1" applyFont="1" applyFill="1" applyBorder="1" applyAlignment="1">
      <alignment horizontal="center" vertical="center" shrinkToFit="1"/>
    </xf>
    <xf numFmtId="0" fontId="7" fillId="2" borderId="3" xfId="0" applyFont="1" applyFill="1" applyBorder="1" applyAlignment="1">
      <alignment horizontal="center" vertical="center" wrapText="1"/>
    </xf>
    <xf numFmtId="176" fontId="8" fillId="2" borderId="2" xfId="0" applyNumberFormat="1" applyFont="1" applyFill="1" applyBorder="1" applyAlignment="1">
      <alignment horizontal="center" vertical="center" wrapText="1"/>
    </xf>
    <xf numFmtId="179" fontId="8" fillId="0" borderId="3" xfId="0" applyNumberFormat="1" applyFont="1" applyFill="1" applyBorder="1" applyAlignment="1">
      <alignment horizontal="center" vertical="center" shrinkToFit="1"/>
    </xf>
    <xf numFmtId="0" fontId="1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shrinkToFit="1"/>
    </xf>
    <xf numFmtId="0" fontId="18" fillId="0" borderId="2" xfId="0" applyFont="1" applyFill="1" applyBorder="1" applyAlignment="1">
      <alignment horizontal="center" vertical="center"/>
    </xf>
    <xf numFmtId="0" fontId="2" fillId="0" borderId="3" xfId="0" applyFont="1" applyFill="1" applyBorder="1" applyAlignment="1">
      <alignment horizontal="center" vertical="center" wrapText="1" shrinkToFit="1"/>
    </xf>
    <xf numFmtId="0" fontId="17" fillId="0" borderId="3" xfId="0" applyNumberFormat="1" applyFont="1" applyFill="1" applyBorder="1" applyAlignment="1">
      <alignment horizontal="center" vertical="center"/>
    </xf>
    <xf numFmtId="0" fontId="18" fillId="0" borderId="3" xfId="0"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0" fontId="14" fillId="0" borderId="3" xfId="0" applyNumberFormat="1" applyFont="1" applyFill="1" applyBorder="1" applyAlignment="1">
      <alignment horizontal="center" vertical="center" shrinkToFit="1"/>
    </xf>
    <xf numFmtId="0" fontId="20" fillId="0" borderId="2" xfId="0" applyFont="1" applyFill="1" applyBorder="1" applyAlignment="1">
      <alignment horizontal="center" vertical="center" wrapText="1"/>
    </xf>
    <xf numFmtId="0" fontId="2" fillId="4" borderId="2" xfId="0" applyNumberFormat="1" applyFont="1" applyFill="1" applyBorder="1" applyAlignment="1">
      <alignment horizontal="center" vertical="center" shrinkToFit="1"/>
    </xf>
    <xf numFmtId="0" fontId="15" fillId="0" borderId="2" xfId="0" applyFont="1" applyFill="1" applyBorder="1" applyAlignment="1">
      <alignment horizontal="center" vertical="center" wrapText="1" shrinkToFit="1"/>
    </xf>
    <xf numFmtId="178" fontId="16" fillId="0" borderId="2" xfId="0" applyNumberFormat="1" applyFont="1" applyFill="1" applyBorder="1" applyAlignment="1">
      <alignment horizontal="center" vertical="center"/>
    </xf>
    <xf numFmtId="0" fontId="16" fillId="0" borderId="2" xfId="0" applyFont="1" applyFill="1" applyBorder="1" applyAlignment="1">
      <alignment horizontal="center" vertical="center" wrapText="1"/>
    </xf>
    <xf numFmtId="0" fontId="16" fillId="0" borderId="2" xfId="0" applyNumberFormat="1" applyFont="1" applyFill="1" applyBorder="1" applyAlignment="1">
      <alignment horizontal="center" vertical="center" shrinkToFit="1"/>
    </xf>
    <xf numFmtId="49" fontId="15" fillId="0" borderId="2" xfId="0" applyNumberFormat="1" applyFont="1" applyFill="1" applyBorder="1" applyAlignment="1">
      <alignment horizontal="center" vertical="center" wrapText="1"/>
    </xf>
    <xf numFmtId="179" fontId="6" fillId="3" borderId="2" xfId="0" applyNumberFormat="1" applyFont="1" applyFill="1" applyBorder="1" applyAlignment="1">
      <alignment horizontal="center" vertical="center" shrinkToFit="1"/>
    </xf>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wrapText="1" shrinkToFit="1"/>
    </xf>
    <xf numFmtId="0" fontId="2" fillId="3" borderId="2" xfId="0" applyNumberFormat="1" applyFont="1" applyFill="1" applyBorder="1" applyAlignment="1">
      <alignment horizontal="center" vertical="center" shrinkToFit="1"/>
    </xf>
    <xf numFmtId="0" fontId="8"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shrinkToFit="1"/>
    </xf>
    <xf numFmtId="0" fontId="9" fillId="3" borderId="2" xfId="0" applyFont="1" applyFill="1" applyBorder="1" applyAlignment="1">
      <alignment horizontal="center" vertical="center" wrapText="1"/>
    </xf>
    <xf numFmtId="179" fontId="10" fillId="0" borderId="2" xfId="0" applyNumberFormat="1" applyFont="1" applyFill="1" applyBorder="1" applyAlignment="1">
      <alignment horizontal="center" vertical="center" shrinkToFit="1"/>
    </xf>
    <xf numFmtId="0" fontId="11" fillId="0" borderId="2" xfId="0" applyFont="1" applyFill="1" applyBorder="1" applyAlignment="1">
      <alignment horizontal="center" vertical="center" wrapText="1"/>
    </xf>
    <xf numFmtId="0" fontId="11" fillId="0" borderId="2" xfId="0" applyFont="1" applyFill="1" applyBorder="1" applyAlignment="1">
      <alignment horizontal="center" vertical="center" wrapText="1" shrinkToFit="1"/>
    </xf>
    <xf numFmtId="0" fontId="1" fillId="0" borderId="2" xfId="0" applyNumberFormat="1" applyFont="1" applyFill="1" applyBorder="1" applyAlignment="1">
      <alignment horizontal="center" vertical="center" shrinkToFit="1"/>
    </xf>
    <xf numFmtId="179" fontId="8" fillId="0" borderId="2" xfId="0" applyNumberFormat="1" applyFont="1" applyFill="1" applyBorder="1" applyAlignment="1">
      <alignment horizontal="center" vertical="center" shrinkToFit="1"/>
    </xf>
    <xf numFmtId="179" fontId="8" fillId="3" borderId="2" xfId="0" applyNumberFormat="1" applyFont="1" applyFill="1" applyBorder="1" applyAlignment="1">
      <alignment horizontal="center" vertical="center" shrinkToFit="1"/>
    </xf>
    <xf numFmtId="0" fontId="21" fillId="0" borderId="2" xfId="0" applyFont="1" applyFill="1" applyBorder="1">
      <alignment vertical="center"/>
    </xf>
    <xf numFmtId="179" fontId="8" fillId="2" borderId="2" xfId="0" applyNumberFormat="1" applyFont="1" applyFill="1" applyBorder="1" applyAlignment="1">
      <alignment horizontal="center" vertical="center" shrinkToFit="1"/>
    </xf>
    <xf numFmtId="179" fontId="22" fillId="0" borderId="2" xfId="0" applyNumberFormat="1" applyFont="1" applyFill="1" applyBorder="1" applyAlignment="1">
      <alignment horizontal="center" vertical="center" wrapText="1" shrinkToFit="1"/>
    </xf>
    <xf numFmtId="180" fontId="4" fillId="0" borderId="2" xfId="0" applyNumberFormat="1" applyFont="1" applyFill="1" applyBorder="1" applyAlignment="1">
      <alignment horizontal="center" vertical="center" wrapText="1" shrinkToFit="1"/>
    </xf>
    <xf numFmtId="0" fontId="2" fillId="0" borderId="2" xfId="0" applyFont="1" applyFill="1" applyBorder="1" applyAlignment="1">
      <alignment horizontal="center" vertical="center"/>
    </xf>
    <xf numFmtId="0" fontId="23" fillId="0" borderId="2" xfId="0" applyFont="1" applyFill="1" applyBorder="1" applyAlignment="1">
      <alignment horizontal="center" vertical="center" wrapText="1" shrinkToFit="1"/>
    </xf>
    <xf numFmtId="179" fontId="9" fillId="0" borderId="2" xfId="0" applyNumberFormat="1" applyFont="1" applyFill="1" applyBorder="1" applyAlignment="1">
      <alignment horizontal="center" vertical="center" wrapText="1" shrinkToFit="1"/>
    </xf>
    <xf numFmtId="180" fontId="9" fillId="0" borderId="2"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0" fontId="24" fillId="0" borderId="2" xfId="0" applyFont="1" applyFill="1" applyBorder="1" applyAlignment="1">
      <alignment horizontal="center" vertical="center" wrapText="1" shrinkToFit="1"/>
    </xf>
    <xf numFmtId="179" fontId="13" fillId="0" borderId="2" xfId="0" applyNumberFormat="1" applyFont="1" applyFill="1" applyBorder="1" applyAlignment="1">
      <alignment horizontal="center" vertical="center" wrapText="1" shrinkToFit="1"/>
    </xf>
    <xf numFmtId="180" fontId="13" fillId="0"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xf>
    <xf numFmtId="0" fontId="23" fillId="2" borderId="2" xfId="0" applyFont="1" applyFill="1" applyBorder="1" applyAlignment="1">
      <alignment horizontal="center" vertical="center" wrapText="1" shrinkToFit="1"/>
    </xf>
    <xf numFmtId="179" fontId="9" fillId="2" borderId="3" xfId="0" applyNumberFormat="1" applyFont="1" applyFill="1" applyBorder="1" applyAlignment="1">
      <alignment horizontal="center" vertical="center" wrapText="1" shrinkToFit="1"/>
    </xf>
    <xf numFmtId="180" fontId="9" fillId="2" borderId="3" xfId="0" applyNumberFormat="1" applyFont="1" applyFill="1" applyBorder="1" applyAlignment="1">
      <alignment horizontal="center" vertical="center" wrapText="1"/>
    </xf>
    <xf numFmtId="179" fontId="9" fillId="2" borderId="2" xfId="0" applyNumberFormat="1" applyFont="1" applyFill="1" applyBorder="1" applyAlignment="1">
      <alignment horizontal="center" vertical="center" wrapText="1" shrinkToFit="1"/>
    </xf>
    <xf numFmtId="180" fontId="9" fillId="2" borderId="2" xfId="0" applyNumberFormat="1" applyFont="1" applyFill="1" applyBorder="1" applyAlignment="1">
      <alignment horizontal="center" vertical="center" wrapText="1"/>
    </xf>
    <xf numFmtId="179" fontId="9" fillId="0" borderId="3" xfId="0" applyNumberFormat="1" applyFont="1" applyFill="1" applyBorder="1" applyAlignment="1">
      <alignment horizontal="center" vertical="center" wrapText="1" shrinkToFit="1"/>
    </xf>
    <xf numFmtId="180" fontId="9" fillId="0" borderId="3"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79" fontId="9" fillId="3" borderId="2" xfId="0" applyNumberFormat="1" applyFont="1" applyFill="1" applyBorder="1" applyAlignment="1">
      <alignment horizontal="center" vertical="center" wrapText="1" shrinkToFit="1"/>
    </xf>
    <xf numFmtId="179" fontId="9" fillId="5" borderId="3" xfId="0" applyNumberFormat="1" applyFont="1" applyFill="1" applyBorder="1" applyAlignment="1">
      <alignment horizontal="center" vertical="center" wrapText="1" shrinkToFit="1"/>
    </xf>
    <xf numFmtId="0" fontId="14" fillId="0" borderId="2" xfId="0" applyFont="1" applyFill="1" applyBorder="1" applyAlignment="1">
      <alignment horizontal="center" vertical="center"/>
    </xf>
    <xf numFmtId="0" fontId="2" fillId="3" borderId="2" xfId="0" applyFont="1" applyFill="1" applyBorder="1" applyAlignment="1">
      <alignment horizontal="center" vertical="center"/>
    </xf>
    <xf numFmtId="0" fontId="23" fillId="3" borderId="2" xfId="0" applyFont="1" applyFill="1" applyBorder="1" applyAlignment="1">
      <alignment horizontal="center" vertical="center" wrapText="1" shrinkToFit="1"/>
    </xf>
    <xf numFmtId="180" fontId="9" fillId="3" borderId="2" xfId="0" applyNumberFormat="1" applyFont="1" applyFill="1" applyBorder="1" applyAlignment="1">
      <alignment horizontal="center" vertical="center" wrapText="1"/>
    </xf>
    <xf numFmtId="0" fontId="25" fillId="0" borderId="2" xfId="0" applyNumberFormat="1" applyFont="1" applyFill="1" applyBorder="1" applyAlignment="1">
      <alignment horizontal="center" vertical="center" wrapText="1" shrinkToFit="1"/>
    </xf>
    <xf numFmtId="181" fontId="4" fillId="0" borderId="2" xfId="0" applyNumberFormat="1" applyFont="1" applyFill="1" applyBorder="1" applyAlignment="1">
      <alignment horizontal="center" vertical="center" wrapText="1" shrinkToFit="1"/>
    </xf>
    <xf numFmtId="180" fontId="9" fillId="0" borderId="4" xfId="0" applyNumberFormat="1" applyFont="1" applyFill="1" applyBorder="1" applyAlignment="1">
      <alignment horizontal="center" vertical="center" wrapText="1"/>
    </xf>
    <xf numFmtId="179" fontId="26" fillId="0" borderId="5" xfId="0" applyNumberFormat="1" applyFont="1" applyFill="1" applyBorder="1" applyAlignment="1">
      <alignment horizontal="center" vertical="center" wrapText="1" shrinkToFit="1"/>
    </xf>
    <xf numFmtId="182" fontId="2" fillId="0" borderId="2" xfId="0" applyNumberFormat="1" applyFont="1" applyFill="1" applyBorder="1" applyAlignment="1">
      <alignment horizontal="center" vertical="center" wrapText="1" shrinkToFit="1"/>
    </xf>
    <xf numFmtId="181" fontId="2" fillId="0" borderId="2" xfId="0" applyNumberFormat="1" applyFont="1" applyFill="1" applyBorder="1" applyAlignment="1">
      <alignment horizontal="center" vertical="center"/>
    </xf>
    <xf numFmtId="180" fontId="13" fillId="0" borderId="4"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179" fontId="27" fillId="0" borderId="5" xfId="0" applyNumberFormat="1" applyFont="1" applyFill="1" applyBorder="1" applyAlignment="1">
      <alignment horizontal="center" vertical="center" wrapText="1" shrinkToFit="1"/>
    </xf>
    <xf numFmtId="182" fontId="1" fillId="0" borderId="2" xfId="0" applyNumberFormat="1" applyFont="1" applyFill="1" applyBorder="1" applyAlignment="1">
      <alignment horizontal="center" vertical="center" wrapText="1" shrinkToFit="1"/>
    </xf>
    <xf numFmtId="181" fontId="1" fillId="0" borderId="2" xfId="0" applyNumberFormat="1" applyFont="1" applyFill="1" applyBorder="1" applyAlignment="1">
      <alignment horizontal="center" vertical="center"/>
    </xf>
    <xf numFmtId="183" fontId="28" fillId="2" borderId="2" xfId="0" applyNumberFormat="1" applyFont="1" applyFill="1" applyBorder="1" applyAlignment="1">
      <alignment horizontal="center" vertical="center" wrapText="1"/>
    </xf>
    <xf numFmtId="183" fontId="15" fillId="2" borderId="2" xfId="0" applyNumberFormat="1" applyFont="1" applyFill="1" applyBorder="1" applyAlignment="1">
      <alignment horizontal="center" vertical="center" wrapText="1"/>
    </xf>
    <xf numFmtId="182" fontId="2" fillId="2" borderId="2" xfId="0" applyNumberFormat="1" applyFont="1" applyFill="1" applyBorder="1" applyAlignment="1">
      <alignment horizontal="center" vertical="center" wrapText="1" shrinkToFit="1"/>
    </xf>
    <xf numFmtId="181" fontId="2" fillId="2" borderId="2" xfId="0" applyNumberFormat="1" applyFont="1" applyFill="1" applyBorder="1" applyAlignment="1">
      <alignment horizontal="center" vertical="center"/>
    </xf>
    <xf numFmtId="0" fontId="29" fillId="2" borderId="2" xfId="0" applyFont="1" applyFill="1" applyBorder="1" applyAlignment="1">
      <alignment horizontal="center" vertical="center" wrapText="1"/>
    </xf>
    <xf numFmtId="183" fontId="15" fillId="2" borderId="4" xfId="0" applyNumberFormat="1" applyFont="1" applyFill="1" applyBorder="1" applyAlignment="1">
      <alignment horizontal="center" vertical="center" wrapText="1"/>
    </xf>
    <xf numFmtId="0" fontId="29" fillId="0" borderId="2" xfId="0" applyFont="1" applyFill="1" applyBorder="1" applyAlignment="1">
      <alignment horizontal="center" vertical="center" wrapText="1"/>
    </xf>
    <xf numFmtId="0" fontId="8" fillId="2" borderId="0" xfId="0" applyNumberFormat="1" applyFont="1" applyFill="1" applyAlignment="1">
      <alignment horizontal="center" vertical="center" wrapText="1"/>
    </xf>
    <xf numFmtId="183" fontId="15" fillId="0" borderId="2" xfId="0" applyNumberFormat="1" applyFont="1" applyFill="1" applyBorder="1" applyAlignment="1">
      <alignment horizontal="center" vertical="center" wrapText="1"/>
    </xf>
    <xf numFmtId="180" fontId="9" fillId="0" borderId="0" xfId="0" applyNumberFormat="1" applyFont="1" applyFill="1" applyAlignment="1">
      <alignment horizontal="center" vertical="center" wrapText="1"/>
    </xf>
    <xf numFmtId="180" fontId="28" fillId="0" borderId="2" xfId="0" applyNumberFormat="1" applyFont="1" applyFill="1" applyBorder="1" applyAlignment="1">
      <alignment horizontal="center" vertical="center" wrapText="1"/>
    </xf>
    <xf numFmtId="180" fontId="28" fillId="3" borderId="2" xfId="0" applyNumberFormat="1" applyFont="1" applyFill="1" applyBorder="1" applyAlignment="1">
      <alignment horizontal="center" vertical="center" wrapText="1"/>
    </xf>
    <xf numFmtId="182" fontId="2" fillId="3" borderId="2" xfId="0" applyNumberFormat="1" applyFont="1" applyFill="1" applyBorder="1" applyAlignment="1">
      <alignment horizontal="center" vertical="center" wrapText="1" shrinkToFit="1"/>
    </xf>
    <xf numFmtId="181" fontId="2" fillId="3" borderId="2" xfId="0" applyNumberFormat="1" applyFont="1" applyFill="1" applyBorder="1" applyAlignment="1">
      <alignment horizontal="center" vertical="center"/>
    </xf>
    <xf numFmtId="58" fontId="28" fillId="3" borderId="2" xfId="0" applyNumberFormat="1" applyFont="1" applyFill="1" applyBorder="1" applyAlignment="1">
      <alignment horizontal="center" vertical="center"/>
    </xf>
    <xf numFmtId="180" fontId="28" fillId="3" borderId="4" xfId="0" applyNumberFormat="1" applyFont="1" applyFill="1" applyBorder="1" applyAlignment="1">
      <alignment horizontal="center" vertical="center" wrapText="1"/>
    </xf>
    <xf numFmtId="0" fontId="29" fillId="3" borderId="2" xfId="0" applyFont="1" applyFill="1" applyBorder="1" applyAlignment="1">
      <alignment horizontal="center" vertical="center" wrapText="1"/>
    </xf>
    <xf numFmtId="179" fontId="26" fillId="3" borderId="2" xfId="0" applyNumberFormat="1" applyFont="1" applyFill="1" applyBorder="1" applyAlignment="1">
      <alignment horizontal="center" vertical="center" wrapText="1" shrinkToFit="1"/>
    </xf>
    <xf numFmtId="58" fontId="28" fillId="0" borderId="2" xfId="0" applyNumberFormat="1" applyFont="1" applyFill="1" applyBorder="1" applyAlignment="1">
      <alignment horizontal="center" vertical="center"/>
    </xf>
    <xf numFmtId="180" fontId="28" fillId="0" borderId="4" xfId="0" applyNumberFormat="1" applyFont="1" applyFill="1" applyBorder="1" applyAlignment="1">
      <alignment horizontal="center" vertical="center" wrapText="1"/>
    </xf>
    <xf numFmtId="179" fontId="26" fillId="0" borderId="2" xfId="0" applyNumberFormat="1" applyFont="1" applyFill="1" applyBorder="1" applyAlignment="1">
      <alignment horizontal="center" vertical="center" wrapText="1" shrinkToFit="1"/>
    </xf>
    <xf numFmtId="179" fontId="27" fillId="0" borderId="2" xfId="0" applyNumberFormat="1" applyFont="1" applyFill="1" applyBorder="1" applyAlignment="1">
      <alignment horizontal="center" vertical="center" wrapText="1" shrinkToFit="1"/>
    </xf>
    <xf numFmtId="180" fontId="15" fillId="0" borderId="2" xfId="0" applyNumberFormat="1" applyFont="1" applyFill="1" applyBorder="1" applyAlignment="1">
      <alignment horizontal="center" vertical="center" wrapText="1"/>
    </xf>
    <xf numFmtId="180" fontId="15" fillId="0" borderId="4" xfId="0" applyNumberFormat="1" applyFont="1" applyFill="1" applyBorder="1" applyAlignment="1">
      <alignment horizontal="center" vertical="center" wrapText="1"/>
    </xf>
    <xf numFmtId="0" fontId="29" fillId="0" borderId="2" xfId="0" applyNumberFormat="1" applyFont="1" applyFill="1" applyBorder="1" applyAlignment="1">
      <alignment horizontal="center" vertical="center" wrapText="1"/>
    </xf>
    <xf numFmtId="180" fontId="15" fillId="3" borderId="2" xfId="0" applyNumberFormat="1" applyFont="1" applyFill="1" applyBorder="1" applyAlignment="1">
      <alignment horizontal="center" vertical="center" wrapText="1"/>
    </xf>
    <xf numFmtId="180" fontId="15" fillId="3" borderId="4" xfId="0" applyNumberFormat="1" applyFont="1" applyFill="1" applyBorder="1" applyAlignment="1">
      <alignment horizontal="center" vertical="center" wrapText="1"/>
    </xf>
    <xf numFmtId="180" fontId="15" fillId="2" borderId="2" xfId="0" applyNumberFormat="1" applyFont="1" applyFill="1" applyBorder="1" applyAlignment="1">
      <alignment horizontal="center" vertical="center" wrapText="1"/>
    </xf>
    <xf numFmtId="180" fontId="15" fillId="2" borderId="4" xfId="0" applyNumberFormat="1" applyFont="1" applyFill="1" applyBorder="1" applyAlignment="1">
      <alignment horizontal="center" vertical="center" wrapText="1"/>
    </xf>
    <xf numFmtId="179" fontId="26" fillId="2" borderId="2" xfId="0" applyNumberFormat="1" applyFont="1" applyFill="1" applyBorder="1" applyAlignment="1">
      <alignment horizontal="center" vertical="center" wrapText="1" shrinkToFit="1"/>
    </xf>
    <xf numFmtId="0" fontId="4" fillId="0" borderId="2" xfId="0" applyNumberFormat="1" applyFont="1" applyFill="1" applyBorder="1" applyAlignment="1">
      <alignment horizontal="center" vertical="center" wrapText="1" shrinkToFit="1"/>
    </xf>
    <xf numFmtId="0" fontId="30" fillId="0" borderId="2" xfId="0" applyNumberFormat="1" applyFont="1" applyFill="1" applyBorder="1" applyAlignment="1">
      <alignment horizontal="center" vertical="center" wrapText="1" shrinkToFit="1"/>
    </xf>
    <xf numFmtId="0" fontId="2" fillId="0" borderId="2" xfId="0" applyFont="1" applyFill="1" applyBorder="1" applyAlignment="1">
      <alignment horizontal="left" vertical="center" wrapText="1" shrinkToFit="1"/>
    </xf>
    <xf numFmtId="0" fontId="29" fillId="0" borderId="2" xfId="0" applyNumberFormat="1" applyFont="1" applyFill="1" applyBorder="1" applyAlignment="1">
      <alignment horizontal="center" vertical="center" wrapText="1" shrinkToFit="1"/>
    </xf>
    <xf numFmtId="0" fontId="9" fillId="0" borderId="2" xfId="0" applyNumberFormat="1" applyFont="1" applyFill="1" applyBorder="1" applyAlignment="1">
      <alignment horizontal="center" vertical="center" wrapText="1" shrinkToFit="1"/>
    </xf>
    <xf numFmtId="0" fontId="31" fillId="0" borderId="2" xfId="0" applyFont="1" applyFill="1" applyBorder="1" applyAlignment="1">
      <alignment horizontal="left" vertical="center" wrapText="1" shrinkToFit="1"/>
    </xf>
    <xf numFmtId="0" fontId="31" fillId="0" borderId="2" xfId="0" applyNumberFormat="1" applyFont="1" applyFill="1" applyBorder="1" applyAlignment="1">
      <alignment horizontal="center" vertical="center" wrapText="1" shrinkToFit="1"/>
    </xf>
    <xf numFmtId="0" fontId="13" fillId="0" borderId="2" xfId="0" applyNumberFormat="1" applyFont="1" applyFill="1" applyBorder="1" applyAlignment="1">
      <alignment horizontal="center" vertical="center" wrapText="1" shrinkToFit="1"/>
    </xf>
    <xf numFmtId="0" fontId="2" fillId="2" borderId="3" xfId="0" applyFont="1" applyFill="1" applyBorder="1" applyAlignment="1">
      <alignment horizontal="center" vertical="center"/>
    </xf>
    <xf numFmtId="0" fontId="2" fillId="2" borderId="2" xfId="0" applyFont="1" applyFill="1" applyBorder="1" applyAlignment="1">
      <alignment horizontal="left" vertical="center" wrapText="1" shrinkToFit="1"/>
    </xf>
    <xf numFmtId="0" fontId="29" fillId="2" borderId="3" xfId="0" applyNumberFormat="1" applyFont="1" applyFill="1" applyBorder="1" applyAlignment="1">
      <alignment horizontal="center" vertical="center" wrapText="1" shrinkToFit="1"/>
    </xf>
    <xf numFmtId="0" fontId="9" fillId="2" borderId="3" xfId="0" applyNumberFormat="1" applyFont="1" applyFill="1" applyBorder="1" applyAlignment="1">
      <alignment horizontal="center" vertical="center" wrapText="1" shrinkToFit="1"/>
    </xf>
    <xf numFmtId="0" fontId="9" fillId="2" borderId="2" xfId="0" applyNumberFormat="1" applyFont="1" applyFill="1" applyBorder="1" applyAlignment="1">
      <alignment horizontal="center" vertical="center" wrapText="1" shrinkToFit="1"/>
    </xf>
    <xf numFmtId="0" fontId="29" fillId="2" borderId="2" xfId="0" applyNumberFormat="1" applyFont="1" applyFill="1" applyBorder="1" applyAlignment="1">
      <alignment horizontal="center" vertical="center" wrapText="1" shrinkToFit="1"/>
    </xf>
    <xf numFmtId="0" fontId="2" fillId="0" borderId="3" xfId="0" applyFont="1" applyFill="1" applyBorder="1" applyAlignment="1">
      <alignment horizontal="center" vertical="center"/>
    </xf>
    <xf numFmtId="0" fontId="29" fillId="0" borderId="3" xfId="0" applyNumberFormat="1" applyFont="1" applyFill="1" applyBorder="1" applyAlignment="1">
      <alignment horizontal="center" vertical="center" wrapText="1" shrinkToFit="1"/>
    </xf>
    <xf numFmtId="0" fontId="9" fillId="0" borderId="3" xfId="0" applyNumberFormat="1" applyFont="1" applyFill="1" applyBorder="1" applyAlignment="1">
      <alignment horizontal="center" vertical="center" wrapText="1" shrinkToFit="1"/>
    </xf>
    <xf numFmtId="0" fontId="9" fillId="3" borderId="2" xfId="0" applyNumberFormat="1" applyFont="1" applyFill="1" applyBorder="1" applyAlignment="1">
      <alignment horizontal="center" vertical="center" wrapText="1" shrinkToFit="1"/>
    </xf>
    <xf numFmtId="0" fontId="2" fillId="3" borderId="2" xfId="0" applyFont="1" applyFill="1" applyBorder="1" applyAlignment="1">
      <alignment horizontal="left" vertical="center" wrapText="1" shrinkToFit="1"/>
    </xf>
    <xf numFmtId="0" fontId="29" fillId="3" borderId="2" xfId="0" applyNumberFormat="1" applyFont="1" applyFill="1" applyBorder="1" applyAlignment="1">
      <alignment horizontal="center" vertical="center" wrapText="1" shrinkToFit="1"/>
    </xf>
    <xf numFmtId="0" fontId="32" fillId="0" borderId="2" xfId="0" applyFont="1" applyFill="1" applyBorder="1" applyAlignment="1">
      <alignment horizontal="center" vertical="center" wrapText="1" shrinkToFit="1"/>
    </xf>
    <xf numFmtId="0" fontId="33" fillId="0" borderId="2" xfId="0" applyFont="1" applyFill="1" applyBorder="1" applyAlignment="1">
      <alignment horizontal="center" vertical="center" wrapText="1" shrinkToFit="1"/>
    </xf>
    <xf numFmtId="0" fontId="1" fillId="0" borderId="2" xfId="0" applyFont="1" applyFill="1" applyBorder="1" applyAlignment="1">
      <alignment horizontal="center" vertical="center" wrapText="1"/>
    </xf>
    <xf numFmtId="0" fontId="2" fillId="0" borderId="4" xfId="0" applyNumberFormat="1" applyFont="1" applyFill="1" applyBorder="1" applyAlignment="1">
      <alignment horizontal="center" vertical="center"/>
    </xf>
    <xf numFmtId="0" fontId="2" fillId="0" borderId="6"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1" fillId="0" borderId="4" xfId="0" applyFont="1" applyFill="1" applyBorder="1" applyAlignment="1">
      <alignment horizontal="center" vertical="center"/>
    </xf>
    <xf numFmtId="0" fontId="1" fillId="0" borderId="2"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3" borderId="2" xfId="0" applyNumberFormat="1" applyFont="1" applyFill="1" applyBorder="1" applyAlignment="1">
      <alignment horizontal="center" vertical="center"/>
    </xf>
    <xf numFmtId="184" fontId="32" fillId="0" borderId="2" xfId="0" applyNumberFormat="1" applyFont="1" applyFill="1" applyBorder="1" applyAlignment="1">
      <alignment horizontal="center" vertical="center" wrapText="1" shrinkToFit="1"/>
    </xf>
    <xf numFmtId="184" fontId="4" fillId="0" borderId="2" xfId="0" applyNumberFormat="1" applyFont="1" applyFill="1" applyBorder="1" applyAlignment="1">
      <alignment horizontal="center" vertical="center" wrapText="1" shrinkToFit="1"/>
    </xf>
    <xf numFmtId="184" fontId="32" fillId="2" borderId="2" xfId="0" applyNumberFormat="1" applyFont="1" applyFill="1" applyBorder="1" applyAlignment="1">
      <alignment horizontal="center" vertical="center" wrapText="1" shrinkToFit="1"/>
    </xf>
    <xf numFmtId="184" fontId="32" fillId="2" borderId="3" xfId="0" applyNumberFormat="1" applyFont="1" applyFill="1" applyBorder="1" applyAlignment="1">
      <alignment horizontal="center" vertical="center" wrapText="1" shrinkToFit="1"/>
    </xf>
    <xf numFmtId="184" fontId="32" fillId="0" borderId="3" xfId="0" applyNumberFormat="1" applyFont="1" applyFill="1" applyBorder="1" applyAlignment="1">
      <alignment horizontal="center" vertical="center" wrapText="1" shrinkToFit="1"/>
    </xf>
    <xf numFmtId="184" fontId="32" fillId="0" borderId="0" xfId="0" applyNumberFormat="1" applyFont="1" applyFill="1" applyAlignment="1">
      <alignment horizontal="center" vertical="center" wrapText="1" shrinkToFit="1"/>
    </xf>
    <xf numFmtId="184" fontId="32" fillId="3" borderId="2" xfId="0" applyNumberFormat="1" applyFont="1" applyFill="1" applyBorder="1" applyAlignment="1">
      <alignment horizontal="center" vertical="center" wrapText="1" shrinkToFit="1"/>
    </xf>
    <xf numFmtId="0" fontId="2" fillId="3" borderId="0" xfId="0" applyNumberFormat="1" applyFont="1" applyFill="1" applyAlignment="1">
      <alignment horizontal="center" vertical="center"/>
    </xf>
    <xf numFmtId="0" fontId="34" fillId="0" borderId="2" xfId="0" applyFont="1" applyFill="1" applyBorder="1" applyAlignment="1">
      <alignment horizontal="center" vertical="center" wrapText="1" shrinkToFit="1"/>
    </xf>
    <xf numFmtId="0" fontId="31" fillId="0" borderId="2" xfId="0" applyFont="1" applyFill="1" applyBorder="1" applyAlignment="1">
      <alignment horizontal="center" vertical="center" wrapText="1"/>
    </xf>
    <xf numFmtId="0" fontId="31" fillId="0" borderId="0" xfId="0" applyFont="1" applyFill="1" applyBorder="1" applyAlignment="1">
      <alignment horizontal="center" vertical="center" wrapText="1"/>
    </xf>
    <xf numFmtId="184" fontId="32" fillId="3" borderId="0" xfId="0" applyNumberFormat="1" applyFont="1" applyFill="1" applyAlignment="1">
      <alignment horizontal="center" vertical="center" wrapText="1" shrinkToFit="1"/>
    </xf>
    <xf numFmtId="185" fontId="1" fillId="0" borderId="0" xfId="0" applyNumberFormat="1" applyFont="1" applyFill="1" applyBorder="1" applyAlignment="1">
      <alignment horizontal="center" vertical="center" wrapText="1"/>
    </xf>
    <xf numFmtId="185" fontId="1" fillId="0" borderId="0" xfId="0" applyNumberFormat="1" applyFont="1" applyFill="1" applyAlignment="1">
      <alignment horizontal="center" vertical="center" wrapText="1"/>
    </xf>
    <xf numFmtId="0" fontId="31" fillId="0" borderId="0" xfId="0" applyFont="1" applyFill="1" applyAlignment="1">
      <alignment horizontal="center" vertical="center" wrapText="1"/>
    </xf>
    <xf numFmtId="185" fontId="2" fillId="0" borderId="0" xfId="0" applyNumberFormat="1" applyFont="1" applyFill="1" applyAlignment="1">
      <alignment horizontal="center" vertical="center"/>
    </xf>
    <xf numFmtId="185" fontId="1" fillId="0" borderId="0" xfId="0" applyNumberFormat="1" applyFont="1" applyFill="1" applyAlignment="1">
      <alignment horizontal="center" vertical="center"/>
    </xf>
    <xf numFmtId="185" fontId="2" fillId="2" borderId="0" xfId="0" applyNumberFormat="1" applyFont="1" applyFill="1" applyAlignment="1">
      <alignment horizontal="center" vertical="center"/>
    </xf>
    <xf numFmtId="185" fontId="35" fillId="0" borderId="0" xfId="0" applyNumberFormat="1" applyFont="1" applyFill="1" applyAlignment="1">
      <alignment horizontal="center" vertical="center"/>
    </xf>
    <xf numFmtId="0" fontId="35" fillId="0" borderId="0" xfId="0" applyFont="1" applyFill="1" applyAlignment="1">
      <alignment horizontal="center" vertical="center"/>
    </xf>
    <xf numFmtId="0" fontId="36" fillId="0" borderId="0" xfId="0" applyFont="1" applyFill="1" applyAlignment="1">
      <alignment horizontal="center" vertical="center"/>
    </xf>
    <xf numFmtId="0" fontId="35" fillId="0" borderId="2" xfId="0" applyFont="1" applyFill="1" applyBorder="1" applyAlignment="1">
      <alignment horizontal="center" vertical="center"/>
    </xf>
    <xf numFmtId="185" fontId="2" fillId="3" borderId="0" xfId="0" applyNumberFormat="1" applyFont="1" applyFill="1" applyAlignment="1">
      <alignment horizontal="center" vertical="center"/>
    </xf>
    <xf numFmtId="179" fontId="8" fillId="0" borderId="1" xfId="0" applyNumberFormat="1" applyFont="1" applyFill="1" applyBorder="1" applyAlignment="1" applyProtection="1">
      <alignment horizontal="center" vertical="center" shrinkToFit="1"/>
    </xf>
    <xf numFmtId="0" fontId="7"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shrinkToFit="1"/>
      <protection locked="0"/>
    </xf>
    <xf numFmtId="0" fontId="2" fillId="0" borderId="1" xfId="0" applyNumberFormat="1" applyFont="1" applyFill="1" applyBorder="1" applyAlignment="1" applyProtection="1">
      <alignment horizontal="center" vertical="center" shrinkToFit="1"/>
      <protection locked="0"/>
    </xf>
    <xf numFmtId="0" fontId="8" fillId="0" borderId="1"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shrinkToFit="1"/>
      <protection locked="0"/>
    </xf>
    <xf numFmtId="0" fontId="9" fillId="0" borderId="1" xfId="0" applyFont="1" applyFill="1" applyBorder="1" applyAlignment="1" applyProtection="1">
      <alignment horizontal="center" vertical="center" wrapText="1"/>
      <protection locked="0"/>
    </xf>
    <xf numFmtId="186" fontId="2" fillId="0" borderId="2" xfId="0" applyNumberFormat="1" applyFont="1" applyFill="1" applyBorder="1" applyAlignment="1">
      <alignment horizontal="center" vertical="center"/>
    </xf>
    <xf numFmtId="0" fontId="23" fillId="0" borderId="1" xfId="0" applyFont="1" applyFill="1" applyBorder="1" applyAlignment="1" applyProtection="1">
      <alignment horizontal="center" vertical="center" wrapText="1" shrinkToFit="1"/>
      <protection locked="0"/>
    </xf>
    <xf numFmtId="0" fontId="2" fillId="0" borderId="2" xfId="0" applyFont="1" applyFill="1" applyBorder="1" applyAlignment="1" applyProtection="1">
      <alignment horizontal="center" vertical="center"/>
      <protection locked="0"/>
    </xf>
    <xf numFmtId="179" fontId="9" fillId="0" borderId="1" xfId="0" applyNumberFormat="1" applyFont="1" applyFill="1" applyBorder="1" applyAlignment="1" applyProtection="1">
      <alignment horizontal="center" vertical="center" wrapText="1" shrinkToFit="1"/>
      <protection locked="0"/>
    </xf>
    <xf numFmtId="180" fontId="9" fillId="0" borderId="1" xfId="0" applyNumberFormat="1" applyFont="1" applyFill="1" applyBorder="1" applyAlignment="1" applyProtection="1">
      <alignment horizontal="center" vertical="center" wrapText="1"/>
      <protection locked="0"/>
    </xf>
    <xf numFmtId="180" fontId="37" fillId="0" borderId="2" xfId="0" applyNumberFormat="1" applyFont="1" applyFill="1" applyBorder="1" applyAlignment="1" applyProtection="1">
      <alignment horizontal="center" vertical="center" wrapText="1"/>
      <protection locked="0"/>
    </xf>
    <xf numFmtId="180" fontId="9" fillId="0" borderId="2" xfId="0" applyNumberFormat="1" applyFont="1" applyFill="1" applyBorder="1" applyAlignment="1" applyProtection="1">
      <alignment horizontal="center" vertical="center" wrapText="1"/>
      <protection locked="0"/>
    </xf>
    <xf numFmtId="180" fontId="28" fillId="0" borderId="2" xfId="0" applyNumberFormat="1" applyFont="1" applyFill="1" applyBorder="1" applyAlignment="1" applyProtection="1">
      <alignment horizontal="center" vertical="center" wrapText="1"/>
      <protection locked="0"/>
    </xf>
    <xf numFmtId="180" fontId="15" fillId="0" borderId="3" xfId="0" applyNumberFormat="1" applyFont="1" applyFill="1" applyBorder="1" applyAlignment="1" applyProtection="1">
      <alignment horizontal="center" vertical="center" wrapText="1"/>
      <protection locked="0"/>
    </xf>
    <xf numFmtId="179" fontId="26" fillId="0" borderId="1" xfId="0" applyNumberFormat="1" applyFont="1" applyFill="1" applyBorder="1" applyAlignment="1" applyProtection="1">
      <alignment horizontal="center" vertical="center" wrapText="1" shrinkToFit="1"/>
      <protection locked="0"/>
    </xf>
    <xf numFmtId="182" fontId="2" fillId="0" borderId="1" xfId="0" applyNumberFormat="1" applyFont="1" applyFill="1" applyBorder="1" applyAlignment="1" applyProtection="1">
      <alignment horizontal="center" vertical="center" wrapText="1" shrinkToFit="1"/>
      <protection locked="0"/>
    </xf>
    <xf numFmtId="181" fontId="2" fillId="0" borderId="2" xfId="0" applyNumberFormat="1" applyFont="1" applyFill="1" applyBorder="1" applyAlignment="1" applyProtection="1">
      <alignment horizontal="center" vertical="center"/>
      <protection locked="0"/>
    </xf>
    <xf numFmtId="180" fontId="15" fillId="0" borderId="2" xfId="0" applyNumberFormat="1" applyFont="1" applyFill="1" applyBorder="1" applyAlignment="1" applyProtection="1">
      <alignment horizontal="center" vertical="center" wrapText="1"/>
      <protection locked="0"/>
    </xf>
    <xf numFmtId="0" fontId="12" fillId="2" borderId="2" xfId="0" applyNumberFormat="1" applyFont="1" applyFill="1" applyBorder="1" applyAlignment="1">
      <alignment horizontal="center" vertical="center" wrapText="1"/>
    </xf>
    <xf numFmtId="0" fontId="29" fillId="0" borderId="2" xfId="0" applyFont="1" applyFill="1" applyBorder="1" applyAlignment="1">
      <alignment horizontal="center" vertical="center" wrapText="1" shrinkToFit="1"/>
    </xf>
    <xf numFmtId="0" fontId="2" fillId="0" borderId="2" xfId="0" applyFont="1" applyFill="1" applyBorder="1" applyAlignment="1" applyProtection="1">
      <alignment horizontal="center" vertical="center" wrapText="1" shrinkToFit="1"/>
      <protection locked="0"/>
    </xf>
    <xf numFmtId="0" fontId="29" fillId="0" borderId="2" xfId="0" applyNumberFormat="1" applyFont="1" applyFill="1" applyBorder="1" applyAlignment="1" applyProtection="1">
      <alignment horizontal="center" vertical="center" wrapText="1" shrinkToFit="1"/>
      <protection locked="0"/>
    </xf>
    <xf numFmtId="0" fontId="9" fillId="0" borderId="1" xfId="0" applyNumberFormat="1" applyFont="1" applyFill="1" applyBorder="1" applyAlignment="1" applyProtection="1">
      <alignment horizontal="center" vertical="center" wrapText="1" shrinkToFit="1"/>
      <protection locked="0"/>
    </xf>
    <xf numFmtId="0" fontId="9" fillId="0" borderId="2" xfId="0" applyNumberFormat="1" applyFont="1" applyFill="1" applyBorder="1" applyAlignment="1" applyProtection="1">
      <alignment horizontal="center" vertical="center" wrapText="1" shrinkToFit="1"/>
      <protection locked="0"/>
    </xf>
    <xf numFmtId="179" fontId="38" fillId="0" borderId="2" xfId="6" applyNumberFormat="1" applyFont="1" applyFill="1" applyBorder="1" applyAlignment="1">
      <alignment horizontal="center" vertical="center" wrapText="1" shrinkToFit="1"/>
    </xf>
    <xf numFmtId="0" fontId="2" fillId="0" borderId="2" xfId="0" applyNumberFormat="1" applyFont="1" applyFill="1" applyBorder="1" applyAlignment="1" applyProtection="1">
      <alignment horizontal="center" vertical="center"/>
      <protection locked="0"/>
    </xf>
    <xf numFmtId="0" fontId="2" fillId="0" borderId="1" xfId="0" applyNumberFormat="1" applyFont="1" applyFill="1" applyBorder="1" applyAlignment="1" applyProtection="1">
      <alignment horizontal="center" vertical="center"/>
      <protection locked="0"/>
    </xf>
    <xf numFmtId="0" fontId="2" fillId="0" borderId="1" xfId="0" applyNumberFormat="1" applyFont="1" applyFill="1" applyBorder="1" applyAlignment="1">
      <alignment horizontal="center" vertical="center"/>
    </xf>
    <xf numFmtId="0" fontId="29" fillId="0" borderId="2" xfId="0" applyFont="1" applyFill="1" applyBorder="1" applyAlignment="1">
      <alignment horizontal="left" vertical="center" wrapText="1" shrinkToFit="1"/>
    </xf>
    <xf numFmtId="184" fontId="2" fillId="0" borderId="2" xfId="0" applyNumberFormat="1" applyFont="1" applyFill="1" applyBorder="1" applyAlignment="1">
      <alignment horizontal="center" vertical="center"/>
    </xf>
    <xf numFmtId="184" fontId="32" fillId="0" borderId="1" xfId="0" applyNumberFormat="1" applyFont="1" applyFill="1" applyBorder="1" applyAlignment="1" applyProtection="1">
      <alignment horizontal="center" vertical="center" wrapText="1" shrinkToFit="1"/>
      <protection locked="0"/>
    </xf>
    <xf numFmtId="184" fontId="32" fillId="0" borderId="2" xfId="0" applyNumberFormat="1" applyFont="1" applyFill="1" applyBorder="1" applyAlignment="1" applyProtection="1">
      <alignment horizontal="center" vertical="center" wrapText="1" shrinkToFit="1"/>
      <protection locked="0"/>
    </xf>
    <xf numFmtId="185" fontId="2" fillId="0" borderId="1" xfId="0" applyNumberFormat="1" applyFont="1" applyFill="1" applyBorder="1" applyAlignment="1" applyProtection="1">
      <alignment horizontal="center" vertical="center"/>
      <protection locked="0"/>
    </xf>
    <xf numFmtId="0" fontId="2" fillId="0" borderId="0" xfId="0" applyFont="1" applyFill="1" applyAlignment="1" applyProtection="1">
      <alignment horizontal="center" vertical="center"/>
      <protection locked="0"/>
    </xf>
    <xf numFmtId="177" fontId="39" fillId="0" borderId="0" xfId="61" applyFont="1" applyAlignment="1">
      <alignment vertical="center"/>
    </xf>
    <xf numFmtId="177" fontId="40" fillId="0" borderId="0" xfId="61" applyFont="1" applyAlignment="1">
      <alignment vertical="center"/>
    </xf>
    <xf numFmtId="177" fontId="39" fillId="0" borderId="0" xfId="61" applyFont="1" applyAlignment="1">
      <alignment vertical="center" wrapText="1"/>
    </xf>
    <xf numFmtId="177" fontId="41" fillId="0" borderId="0" xfId="61" applyAlignment="1">
      <alignment vertical="center"/>
    </xf>
    <xf numFmtId="0" fontId="41" fillId="0" borderId="0" xfId="61" applyNumberFormat="1" applyAlignment="1">
      <alignment horizontal="center" vertical="center"/>
    </xf>
    <xf numFmtId="0" fontId="41" fillId="0" borderId="0" xfId="61" applyNumberFormat="1" applyAlignment="1">
      <alignment horizontal="center" vertical="center" wrapText="1"/>
    </xf>
    <xf numFmtId="177" fontId="41" fillId="0" borderId="0" xfId="61" applyAlignment="1">
      <alignment horizontal="center" vertical="center"/>
    </xf>
    <xf numFmtId="0" fontId="40" fillId="0" borderId="4" xfId="61" applyNumberFormat="1" applyFont="1" applyBorder="1" applyAlignment="1">
      <alignment horizontal="center" vertical="center"/>
    </xf>
    <xf numFmtId="0" fontId="40" fillId="0" borderId="7" xfId="61" applyNumberFormat="1" applyFont="1" applyBorder="1" applyAlignment="1">
      <alignment horizontal="center" vertical="center"/>
    </xf>
    <xf numFmtId="0" fontId="40" fillId="0" borderId="6" xfId="61" applyNumberFormat="1" applyFont="1" applyBorder="1" applyAlignment="1">
      <alignment horizontal="center" vertical="center"/>
    </xf>
    <xf numFmtId="177" fontId="39" fillId="0" borderId="0" xfId="61" applyFont="1" applyAlignment="1">
      <alignment horizontal="center" vertical="center"/>
    </xf>
    <xf numFmtId="177" fontId="42" fillId="0" borderId="0" xfId="61" applyFont="1" applyAlignment="1">
      <alignment vertical="center"/>
    </xf>
    <xf numFmtId="0" fontId="40" fillId="0" borderId="2" xfId="61" applyNumberFormat="1" applyFont="1" applyBorder="1" applyAlignment="1">
      <alignment horizontal="center" vertical="center"/>
    </xf>
    <xf numFmtId="177" fontId="40" fillId="0" borderId="2" xfId="61" applyFont="1" applyBorder="1" applyAlignment="1">
      <alignment horizontal="center" vertical="center" wrapText="1"/>
    </xf>
    <xf numFmtId="184" fontId="40" fillId="0" borderId="0" xfId="61" applyNumberFormat="1" applyFont="1" applyAlignment="1">
      <alignment horizontal="center" vertical="center"/>
    </xf>
    <xf numFmtId="0" fontId="39" fillId="0" borderId="2" xfId="61" applyNumberFormat="1" applyFont="1" applyBorder="1" applyAlignment="1">
      <alignment horizontal="center" vertical="center" wrapText="1"/>
    </xf>
    <xf numFmtId="177" fontId="41" fillId="0" borderId="2" xfId="61" applyBorder="1"/>
    <xf numFmtId="10" fontId="39" fillId="0" borderId="2" xfId="66" applyNumberFormat="1" applyFont="1" applyBorder="1" applyAlignment="1">
      <alignment horizontal="center" vertical="center" wrapText="1"/>
    </xf>
    <xf numFmtId="184" fontId="39" fillId="0" borderId="0" xfId="65" applyNumberFormat="1" applyFont="1" applyAlignment="1">
      <alignment horizontal="center" vertical="center" wrapText="1"/>
    </xf>
    <xf numFmtId="10" fontId="39" fillId="6" borderId="2" xfId="66" applyNumberFormat="1" applyFont="1" applyFill="1" applyBorder="1" applyAlignment="1">
      <alignment horizontal="center" vertical="center" wrapText="1"/>
    </xf>
    <xf numFmtId="10" fontId="43" fillId="0" borderId="0" xfId="61" applyNumberFormat="1" applyFont="1" applyAlignment="1">
      <alignment horizontal="center" vertical="center" wrapText="1"/>
    </xf>
    <xf numFmtId="0" fontId="0" fillId="0" borderId="0" xfId="0" applyAlignment="1">
      <alignment horizontal="center" vertical="center"/>
    </xf>
    <xf numFmtId="0" fontId="0" fillId="0" borderId="0" xfId="0" applyFill="1" applyAlignment="1">
      <alignment horizontal="center" vertical="center"/>
    </xf>
    <xf numFmtId="178" fontId="0" fillId="0" borderId="0" xfId="0" applyNumberFormat="1" applyAlignment="1">
      <alignment horizontal="center" vertical="center"/>
    </xf>
    <xf numFmtId="0" fontId="21" fillId="0" borderId="0" xfId="0" applyFont="1" applyAlignment="1">
      <alignment horizontal="center" vertical="center"/>
    </xf>
    <xf numFmtId="178" fontId="44" fillId="7" borderId="4" xfId="53" applyNumberFormat="1" applyFont="1" applyFill="1" applyBorder="1" applyAlignment="1">
      <alignment horizontal="center" vertical="center" wrapText="1"/>
    </xf>
    <xf numFmtId="178" fontId="44" fillId="7" borderId="7" xfId="53" applyNumberFormat="1" applyFont="1" applyFill="1" applyBorder="1" applyAlignment="1">
      <alignment horizontal="center" vertical="center" wrapText="1"/>
    </xf>
    <xf numFmtId="178" fontId="24" fillId="0" borderId="2" xfId="53" applyNumberFormat="1" applyFont="1" applyFill="1" applyBorder="1" applyAlignment="1">
      <alignment horizontal="center" vertical="center"/>
    </xf>
    <xf numFmtId="184" fontId="45" fillId="0" borderId="2" xfId="53" applyNumberFormat="1" applyFont="1" applyFill="1" applyBorder="1" applyAlignment="1">
      <alignment horizontal="center" vertical="center"/>
    </xf>
    <xf numFmtId="0" fontId="45" fillId="0" borderId="2" xfId="53" applyFont="1" applyFill="1" applyBorder="1" applyAlignment="1">
      <alignment horizontal="center" vertical="center"/>
    </xf>
    <xf numFmtId="0" fontId="45" fillId="0" borderId="1" xfId="53" applyFont="1" applyFill="1" applyBorder="1" applyAlignment="1">
      <alignment horizontal="center" vertical="center"/>
    </xf>
    <xf numFmtId="0" fontId="45" fillId="0" borderId="8" xfId="53" applyFont="1" applyFill="1" applyBorder="1" applyAlignment="1">
      <alignment horizontal="center" vertical="center"/>
    </xf>
    <xf numFmtId="184" fontId="24" fillId="0" borderId="2" xfId="53" applyNumberFormat="1" applyFont="1" applyFill="1" applyBorder="1" applyAlignment="1">
      <alignment horizontal="center" vertical="center"/>
    </xf>
    <xf numFmtId="0" fontId="24" fillId="0" borderId="2" xfId="53" applyFont="1" applyFill="1" applyBorder="1" applyAlignment="1">
      <alignment horizontal="center" vertical="center"/>
    </xf>
    <xf numFmtId="0" fontId="45" fillId="0" borderId="9" xfId="53" applyFont="1" applyFill="1" applyBorder="1" applyAlignment="1">
      <alignment horizontal="center" vertical="center"/>
    </xf>
    <xf numFmtId="0" fontId="45" fillId="0" borderId="10" xfId="53" applyFont="1" applyFill="1" applyBorder="1" applyAlignment="1">
      <alignment horizontal="center" vertical="center"/>
    </xf>
    <xf numFmtId="0" fontId="45" fillId="0" borderId="3" xfId="53" applyFont="1" applyFill="1" applyBorder="1" applyAlignment="1">
      <alignment horizontal="center" vertical="center"/>
    </xf>
    <xf numFmtId="0" fontId="45" fillId="0" borderId="11" xfId="53" applyFont="1" applyFill="1" applyBorder="1" applyAlignment="1">
      <alignment horizontal="center" vertical="center"/>
    </xf>
    <xf numFmtId="178" fontId="0" fillId="0" borderId="2" xfId="0" applyNumberFormat="1" applyFill="1" applyBorder="1" applyAlignment="1">
      <alignment horizontal="center" vertical="center"/>
    </xf>
    <xf numFmtId="49" fontId="46" fillId="0" borderId="2" xfId="62" applyNumberFormat="1" applyFont="1" applyFill="1" applyBorder="1" applyAlignment="1">
      <alignment horizontal="center" vertical="center"/>
    </xf>
    <xf numFmtId="0" fontId="0" fillId="0" borderId="2" xfId="0" applyFill="1" applyBorder="1" applyAlignment="1">
      <alignment horizontal="center" vertical="center"/>
    </xf>
    <xf numFmtId="0" fontId="46" fillId="0" borderId="2" xfId="62" applyFont="1" applyFill="1" applyBorder="1" applyAlignment="1">
      <alignment horizontal="center" vertical="center"/>
    </xf>
    <xf numFmtId="187" fontId="47" fillId="0" borderId="4" xfId="62" applyNumberFormat="1" applyFont="1" applyFill="1" applyBorder="1" applyAlignment="1">
      <alignment horizontal="center" vertical="center"/>
    </xf>
    <xf numFmtId="187" fontId="47" fillId="0" borderId="2" xfId="62" applyNumberFormat="1" applyFont="1" applyFill="1" applyBorder="1" applyAlignment="1">
      <alignment horizontal="center" vertical="center"/>
    </xf>
    <xf numFmtId="178" fontId="44" fillId="7" borderId="7" xfId="53" applyNumberFormat="1" applyFont="1" applyFill="1" applyBorder="1" applyAlignment="1">
      <alignment vertical="center" wrapText="1"/>
    </xf>
    <xf numFmtId="0" fontId="48" fillId="0" borderId="7" xfId="55" applyFont="1" applyBorder="1" applyAlignment="1">
      <alignment horizontal="center" vertical="center"/>
    </xf>
    <xf numFmtId="0" fontId="48" fillId="0" borderId="6" xfId="55" applyFont="1" applyBorder="1" applyAlignment="1">
      <alignment horizontal="center" vertical="center"/>
    </xf>
    <xf numFmtId="0" fontId="24" fillId="0" borderId="4" xfId="55" applyFont="1" applyBorder="1" applyAlignment="1">
      <alignment horizontal="center" vertical="center" wrapText="1"/>
    </xf>
    <xf numFmtId="0" fontId="24" fillId="0" borderId="6" xfId="55" applyFont="1" applyBorder="1" applyAlignment="1">
      <alignment horizontal="center" vertical="center" wrapText="1"/>
    </xf>
    <xf numFmtId="0" fontId="49" fillId="0" borderId="2" xfId="55" applyFont="1" applyFill="1" applyBorder="1" applyAlignment="1">
      <alignment horizontal="center" vertical="center" wrapText="1"/>
    </xf>
    <xf numFmtId="0" fontId="23" fillId="0" borderId="2" xfId="55" applyFont="1" applyFill="1" applyBorder="1" applyAlignment="1">
      <alignment horizontal="center" vertical="center" wrapText="1"/>
    </xf>
    <xf numFmtId="0" fontId="50" fillId="0" borderId="2" xfId="55" applyFont="1" applyFill="1" applyBorder="1" applyAlignment="1">
      <alignment horizontal="center" vertical="center" wrapText="1"/>
    </xf>
    <xf numFmtId="184" fontId="51" fillId="0" borderId="2" xfId="0" applyNumberFormat="1" applyFont="1" applyFill="1" applyBorder="1" applyAlignment="1">
      <alignment horizontal="center" vertical="center" wrapText="1" shrinkToFit="1"/>
    </xf>
    <xf numFmtId="0" fontId="1" fillId="8" borderId="2" xfId="0" applyFont="1" applyFill="1" applyBorder="1" applyAlignment="1">
      <alignment horizontal="center" vertical="center" wrapText="1"/>
    </xf>
    <xf numFmtId="0" fontId="36" fillId="8" borderId="2" xfId="0" applyFont="1" applyFill="1" applyBorder="1" applyAlignment="1">
      <alignment horizontal="center" vertical="center" wrapText="1"/>
    </xf>
    <xf numFmtId="0" fontId="24" fillId="0" borderId="2" xfId="55" applyFont="1" applyBorder="1" applyAlignment="1">
      <alignment horizontal="center" vertical="center" wrapText="1"/>
    </xf>
    <xf numFmtId="0" fontId="48" fillId="0" borderId="2" xfId="55" applyFont="1" applyBorder="1" applyAlignment="1">
      <alignment horizontal="center" vertical="center" wrapText="1"/>
    </xf>
    <xf numFmtId="0" fontId="0" fillId="0" borderId="2" xfId="0" applyFont="1" applyBorder="1" applyAlignment="1">
      <alignment horizontal="center" vertical="center"/>
    </xf>
    <xf numFmtId="0" fontId="0" fillId="0" borderId="2" xfId="0" applyBorder="1" applyAlignment="1">
      <alignment horizontal="center" vertical="center"/>
    </xf>
    <xf numFmtId="0" fontId="24" fillId="0" borderId="7" xfId="55" applyFont="1" applyBorder="1" applyAlignment="1">
      <alignment horizontal="center" vertical="center" wrapText="1"/>
    </xf>
    <xf numFmtId="0" fontId="34" fillId="8" borderId="2" xfId="0" applyFont="1" applyFill="1" applyBorder="1" applyAlignment="1">
      <alignment horizontal="center" vertical="center" wrapText="1"/>
    </xf>
    <xf numFmtId="0" fontId="52" fillId="8" borderId="2" xfId="0" applyFont="1" applyFill="1" applyBorder="1" applyAlignment="1">
      <alignment horizontal="center" vertical="center" wrapText="1"/>
    </xf>
    <xf numFmtId="178" fontId="44" fillId="7" borderId="6" xfId="53" applyNumberFormat="1" applyFont="1" applyFill="1" applyBorder="1" applyAlignment="1">
      <alignment vertical="center" wrapText="1"/>
    </xf>
    <xf numFmtId="184" fontId="53" fillId="8" borderId="12" xfId="0" applyNumberFormat="1" applyFont="1" applyFill="1" applyBorder="1" applyAlignment="1">
      <alignment horizontal="center" vertical="center"/>
    </xf>
    <xf numFmtId="0" fontId="24" fillId="0" borderId="2" xfId="0" applyFont="1" applyBorder="1" applyAlignment="1">
      <alignment horizontal="center" vertical="center"/>
    </xf>
    <xf numFmtId="0" fontId="31" fillId="8" borderId="2" xfId="0" applyFont="1" applyFill="1" applyBorder="1" applyAlignment="1">
      <alignment horizontal="center" vertical="center" wrapText="1"/>
    </xf>
    <xf numFmtId="0" fontId="45" fillId="0" borderId="2" xfId="0" applyFont="1" applyBorder="1" applyAlignment="1">
      <alignment horizontal="center" vertical="center" wrapText="1"/>
    </xf>
    <xf numFmtId="0" fontId="0" fillId="0" borderId="2" xfId="0" applyBorder="1" applyAlignment="1">
      <alignment horizontal="left" vertical="center"/>
    </xf>
    <xf numFmtId="178" fontId="0" fillId="3" borderId="2" xfId="0" applyNumberFormat="1" applyFill="1" applyBorder="1" applyAlignment="1">
      <alignment horizontal="center" vertical="center"/>
    </xf>
    <xf numFmtId="49" fontId="46" fillId="3" borderId="2" xfId="62" applyNumberFormat="1" applyFont="1" applyFill="1" applyBorder="1" applyAlignment="1">
      <alignment horizontal="center" vertical="center"/>
    </xf>
    <xf numFmtId="0" fontId="0" fillId="3" borderId="2" xfId="0" applyFill="1" applyBorder="1" applyAlignment="1">
      <alignment horizontal="center" vertical="center"/>
    </xf>
    <xf numFmtId="0" fontId="46" fillId="3" borderId="2" xfId="62" applyFont="1" applyFill="1" applyBorder="1" applyAlignment="1">
      <alignment horizontal="center" vertical="center"/>
    </xf>
    <xf numFmtId="187" fontId="47" fillId="3" borderId="4" xfId="62" applyNumberFormat="1" applyFont="1" applyFill="1" applyBorder="1" applyAlignment="1">
      <alignment horizontal="center" vertical="center"/>
    </xf>
    <xf numFmtId="187" fontId="47" fillId="3" borderId="2" xfId="62" applyNumberFormat="1" applyFont="1" applyFill="1" applyBorder="1" applyAlignment="1">
      <alignment horizontal="center" vertical="center"/>
    </xf>
    <xf numFmtId="178" fontId="0" fillId="0" borderId="2" xfId="0" applyNumberFormat="1" applyBorder="1" applyAlignment="1">
      <alignment horizontal="center" vertical="center"/>
    </xf>
    <xf numFmtId="0" fontId="24" fillId="7" borderId="13" xfId="53" applyFont="1" applyFill="1" applyBorder="1" applyAlignment="1">
      <alignment horizontal="center" vertical="center" wrapText="1"/>
    </xf>
    <xf numFmtId="184" fontId="24" fillId="7" borderId="2" xfId="53" applyNumberFormat="1" applyFont="1" applyFill="1" applyBorder="1" applyAlignment="1">
      <alignment horizontal="center" vertical="center" wrapText="1"/>
    </xf>
    <xf numFmtId="0" fontId="24" fillId="7" borderId="2" xfId="55" applyFont="1" applyFill="1" applyBorder="1" applyAlignment="1">
      <alignment horizontal="center" vertical="center" wrapText="1" shrinkToFit="1"/>
    </xf>
    <xf numFmtId="0" fontId="48" fillId="7" borderId="2" xfId="55" applyFont="1" applyFill="1" applyBorder="1" applyAlignment="1">
      <alignment horizontal="center" vertical="center" wrapText="1" shrinkToFit="1"/>
    </xf>
    <xf numFmtId="0" fontId="24" fillId="7" borderId="14" xfId="53" applyFont="1" applyFill="1" applyBorder="1" applyAlignment="1">
      <alignment horizontal="center" vertical="center" wrapText="1"/>
    </xf>
    <xf numFmtId="184" fontId="24" fillId="7" borderId="15" xfId="53" applyNumberFormat="1" applyFont="1" applyFill="1" applyBorder="1" applyAlignment="1">
      <alignment horizontal="center" vertical="center" wrapText="1"/>
    </xf>
    <xf numFmtId="0" fontId="24" fillId="7" borderId="15" xfId="55" applyFont="1" applyFill="1" applyBorder="1" applyAlignment="1">
      <alignment horizontal="center" vertical="center" wrapText="1" shrinkToFit="1"/>
    </xf>
    <xf numFmtId="0" fontId="24" fillId="7" borderId="16" xfId="55" applyFont="1" applyFill="1" applyBorder="1" applyAlignment="1">
      <alignment horizontal="center" vertical="center" wrapText="1" shrinkToFit="1"/>
    </xf>
    <xf numFmtId="0" fontId="0" fillId="0" borderId="0" xfId="0" applyAlignment="1">
      <alignment horizontal="right" vertical="center"/>
    </xf>
    <xf numFmtId="0" fontId="0" fillId="0" borderId="2" xfId="0" applyFont="1" applyFill="1" applyBorder="1" applyAlignment="1">
      <alignment horizontal="center" vertical="center"/>
    </xf>
    <xf numFmtId="0" fontId="21" fillId="0" borderId="2" xfId="0" applyFont="1" applyBorder="1" applyAlignment="1">
      <alignment horizontal="center" vertical="center"/>
    </xf>
    <xf numFmtId="0" fontId="23" fillId="7" borderId="2" xfId="55" applyFont="1" applyFill="1" applyBorder="1" applyAlignment="1">
      <alignment horizontal="center" vertical="center" wrapText="1" shrinkToFit="1"/>
    </xf>
    <xf numFmtId="185" fontId="24" fillId="7" borderId="15" xfId="55" applyNumberFormat="1" applyFont="1" applyFill="1" applyBorder="1" applyAlignment="1">
      <alignment horizontal="center" vertical="center" wrapText="1" shrinkToFit="1"/>
    </xf>
    <xf numFmtId="0" fontId="0" fillId="0" borderId="2" xfId="0" applyFill="1" applyBorder="1" applyAlignment="1">
      <alignment horizontal="center" vertical="center" shrinkToFit="1"/>
    </xf>
    <xf numFmtId="0" fontId="54" fillId="0" borderId="0" xfId="49" applyFont="1" applyFill="1" applyAlignment="1"/>
    <xf numFmtId="0" fontId="54" fillId="8" borderId="0" xfId="49" applyFont="1" applyFill="1" applyAlignment="1"/>
    <xf numFmtId="0" fontId="55" fillId="0" borderId="0" xfId="49" applyFont="1" applyFill="1" applyAlignment="1"/>
    <xf numFmtId="0" fontId="56" fillId="0" borderId="0" xfId="49" applyFont="1" applyFill="1" applyAlignment="1">
      <alignment horizontal="center"/>
    </xf>
    <xf numFmtId="0" fontId="56" fillId="0" borderId="0" xfId="49" applyFont="1" applyFill="1" applyAlignment="1"/>
    <xf numFmtId="38" fontId="54" fillId="0" borderId="0" xfId="49" applyNumberFormat="1" applyFont="1" applyFill="1" applyAlignment="1">
      <alignment vertical="center"/>
    </xf>
    <xf numFmtId="38" fontId="56" fillId="0" borderId="0" xfId="49" applyNumberFormat="1" applyFont="1" applyFill="1" applyAlignment="1">
      <alignment vertical="center"/>
    </xf>
    <xf numFmtId="0" fontId="57" fillId="0" borderId="0" xfId="49" applyFont="1" applyFill="1" applyAlignment="1">
      <alignment horizontal="center"/>
    </xf>
    <xf numFmtId="0" fontId="58" fillId="9" borderId="2" xfId="49" applyFont="1" applyFill="1" applyBorder="1" applyAlignment="1">
      <alignment horizontal="left" vertical="center"/>
    </xf>
    <xf numFmtId="188" fontId="59" fillId="10" borderId="2" xfId="49" applyNumberFormat="1" applyFont="1" applyFill="1" applyBorder="1" applyAlignment="1">
      <alignment horizontal="center" vertical="top" wrapText="1"/>
    </xf>
    <xf numFmtId="188" fontId="60" fillId="10" borderId="2" xfId="49" applyNumberFormat="1" applyFont="1" applyFill="1" applyBorder="1" applyAlignment="1">
      <alignment horizontal="center" vertical="top" wrapText="1"/>
    </xf>
    <xf numFmtId="14" fontId="59" fillId="10" borderId="2" xfId="49" applyNumberFormat="1" applyFont="1" applyFill="1" applyBorder="1" applyAlignment="1">
      <alignment horizontal="center" vertical="center" wrapText="1"/>
    </xf>
    <xf numFmtId="14" fontId="60" fillId="10" borderId="2" xfId="49" applyNumberFormat="1" applyFont="1" applyFill="1" applyBorder="1" applyAlignment="1">
      <alignment horizontal="center" vertical="center" wrapText="1"/>
    </xf>
    <xf numFmtId="0" fontId="58" fillId="11" borderId="2" xfId="49" applyFont="1" applyFill="1" applyBorder="1" applyAlignment="1">
      <alignment horizontal="left" vertical="center"/>
    </xf>
    <xf numFmtId="38" fontId="61" fillId="0" borderId="2" xfId="49" applyNumberFormat="1" applyFont="1" applyFill="1" applyBorder="1" applyAlignment="1">
      <alignment vertical="center"/>
    </xf>
    <xf numFmtId="0" fontId="60" fillId="12" borderId="2" xfId="49" applyFont="1" applyFill="1" applyBorder="1" applyAlignment="1">
      <alignment horizontal="center" vertical="center"/>
    </xf>
    <xf numFmtId="0" fontId="60" fillId="12" borderId="2" xfId="49" applyFont="1" applyFill="1" applyBorder="1" applyAlignment="1">
      <alignment vertical="center"/>
    </xf>
    <xf numFmtId="38" fontId="60" fillId="12" borderId="2" xfId="49" applyNumberFormat="1" applyFont="1" applyFill="1" applyBorder="1" applyAlignment="1">
      <alignment vertical="center"/>
    </xf>
    <xf numFmtId="0" fontId="61" fillId="0" borderId="2" xfId="49" applyFont="1" applyFill="1" applyBorder="1" applyAlignment="1">
      <alignment horizontal="center" vertical="center"/>
    </xf>
    <xf numFmtId="0" fontId="61" fillId="0" borderId="2" xfId="49" applyFont="1" applyFill="1" applyBorder="1" applyAlignment="1">
      <alignment vertical="center"/>
    </xf>
    <xf numFmtId="0" fontId="61" fillId="0" borderId="2" xfId="49" applyFont="1" applyFill="1" applyBorder="1" applyAlignment="1">
      <alignment horizontal="left" vertical="center" wrapText="1"/>
    </xf>
    <xf numFmtId="10" fontId="61" fillId="0" borderId="2" xfId="49" applyNumberFormat="1" applyFont="1" applyFill="1" applyBorder="1" applyAlignment="1">
      <alignment vertical="center"/>
    </xf>
    <xf numFmtId="189" fontId="61" fillId="0" borderId="2" xfId="49" applyNumberFormat="1" applyFont="1" applyFill="1" applyBorder="1" applyAlignment="1">
      <alignment horizontal="right" vertical="center"/>
    </xf>
    <xf numFmtId="189" fontId="60" fillId="12" borderId="2" xfId="49" applyNumberFormat="1" applyFont="1" applyFill="1" applyBorder="1" applyAlignment="1">
      <alignment vertical="center"/>
    </xf>
    <xf numFmtId="0" fontId="60" fillId="12" borderId="2" xfId="49" applyFont="1" applyFill="1" applyBorder="1" applyAlignment="1">
      <alignment horizontal="left" vertical="center"/>
    </xf>
    <xf numFmtId="0" fontId="60" fillId="13" borderId="2" xfId="49" applyFont="1" applyFill="1" applyBorder="1" applyAlignment="1">
      <alignment horizontal="center" vertical="center"/>
    </xf>
    <xf numFmtId="0" fontId="60" fillId="13" borderId="2" xfId="49" applyFont="1" applyFill="1" applyBorder="1" applyAlignment="1">
      <alignment vertical="center"/>
    </xf>
    <xf numFmtId="38" fontId="60" fillId="13" borderId="2" xfId="49" applyNumberFormat="1" applyFont="1" applyFill="1" applyBorder="1" applyAlignment="1">
      <alignment vertical="center"/>
    </xf>
    <xf numFmtId="0" fontId="60" fillId="8" borderId="2" xfId="49" applyFont="1" applyFill="1" applyBorder="1" applyAlignment="1">
      <alignment horizontal="center" vertical="center"/>
    </xf>
    <xf numFmtId="0" fontId="60" fillId="8" borderId="4" xfId="49" applyFont="1" applyFill="1" applyBorder="1" applyAlignment="1">
      <alignment vertical="center"/>
    </xf>
    <xf numFmtId="0" fontId="60" fillId="8" borderId="7" xfId="49" applyFont="1" applyFill="1" applyBorder="1" applyAlignment="1">
      <alignment vertical="center"/>
    </xf>
    <xf numFmtId="38" fontId="60" fillId="8" borderId="7" xfId="49" applyNumberFormat="1" applyFont="1" applyFill="1" applyBorder="1" applyAlignment="1">
      <alignment vertical="center"/>
    </xf>
    <xf numFmtId="0" fontId="51" fillId="8" borderId="2" xfId="49" applyFont="1" applyFill="1" applyBorder="1" applyAlignment="1">
      <alignment horizontal="left" vertical="center"/>
    </xf>
    <xf numFmtId="0" fontId="60" fillId="8" borderId="2" xfId="49" applyFont="1" applyFill="1" applyBorder="1" applyAlignment="1">
      <alignment vertical="center"/>
    </xf>
    <xf numFmtId="0" fontId="58" fillId="14" borderId="2" xfId="49" applyFont="1" applyFill="1" applyBorder="1" applyAlignment="1">
      <alignment horizontal="center" vertical="center"/>
    </xf>
    <xf numFmtId="0" fontId="58" fillId="14" borderId="2" xfId="49" applyFont="1" applyFill="1" applyBorder="1" applyAlignment="1">
      <alignment horizontal="left" vertical="center"/>
    </xf>
    <xf numFmtId="38" fontId="58" fillId="14" borderId="2" xfId="49" applyNumberFormat="1" applyFont="1" applyFill="1" applyBorder="1" applyAlignment="1">
      <alignment horizontal="center" vertical="center"/>
    </xf>
    <xf numFmtId="0" fontId="62" fillId="15" borderId="1" xfId="49" applyFont="1" applyFill="1" applyBorder="1" applyAlignment="1">
      <alignment horizontal="center" vertical="center" wrapText="1"/>
    </xf>
    <xf numFmtId="0" fontId="62" fillId="15" borderId="2" xfId="49" applyFont="1" applyFill="1" applyBorder="1" applyAlignment="1">
      <alignment horizontal="left" vertical="center" wrapText="1"/>
    </xf>
    <xf numFmtId="0" fontId="62" fillId="15" borderId="9" xfId="49" applyFont="1" applyFill="1" applyBorder="1" applyAlignment="1">
      <alignment horizontal="center" vertical="center" wrapText="1"/>
    </xf>
    <xf numFmtId="0" fontId="62" fillId="15" borderId="3" xfId="49" applyFont="1" applyFill="1" applyBorder="1" applyAlignment="1">
      <alignment horizontal="center" vertical="center" wrapText="1"/>
    </xf>
    <xf numFmtId="0" fontId="62" fillId="15" borderId="1" xfId="49" applyFont="1" applyFill="1" applyBorder="1" applyAlignment="1">
      <alignment horizontal="center" vertical="center"/>
    </xf>
    <xf numFmtId="0" fontId="62" fillId="15" borderId="9" xfId="49" applyFont="1" applyFill="1" applyBorder="1" applyAlignment="1">
      <alignment horizontal="center" vertical="center"/>
    </xf>
    <xf numFmtId="0" fontId="62" fillId="15" borderId="3" xfId="49" applyFont="1" applyFill="1" applyBorder="1" applyAlignment="1">
      <alignment horizontal="center" vertical="center"/>
    </xf>
    <xf numFmtId="0" fontId="60" fillId="10" borderId="2" xfId="49" applyFont="1" applyFill="1" applyBorder="1" applyAlignment="1">
      <alignment horizontal="center" vertical="top" wrapText="1"/>
    </xf>
    <xf numFmtId="0" fontId="58" fillId="0" borderId="0" xfId="49" applyFont="1" applyFill="1" applyAlignment="1"/>
    <xf numFmtId="0" fontId="58" fillId="11" borderId="2" xfId="49" applyFont="1" applyFill="1" applyBorder="1" applyAlignment="1">
      <alignment horizontal="center"/>
    </xf>
    <xf numFmtId="0" fontId="63" fillId="0" borderId="2" xfId="49" applyFont="1" applyFill="1" applyBorder="1" applyAlignment="1">
      <alignment horizontal="center" vertical="center"/>
    </xf>
    <xf numFmtId="38" fontId="64" fillId="16" borderId="2" xfId="57" applyNumberFormat="1" applyFont="1" applyFill="1" applyBorder="1" applyAlignment="1">
      <alignment horizontal="right" vertical="center"/>
    </xf>
    <xf numFmtId="3" fontId="63" fillId="0" borderId="2" xfId="49" applyNumberFormat="1" applyFont="1" applyFill="1" applyBorder="1" applyAlignment="1">
      <alignment horizontal="center" vertical="center"/>
    </xf>
    <xf numFmtId="38" fontId="58" fillId="12" borderId="2" xfId="49" applyNumberFormat="1" applyFont="1" applyFill="1" applyBorder="1" applyAlignment="1">
      <alignment vertical="center"/>
    </xf>
    <xf numFmtId="3" fontId="65" fillId="0" borderId="2" xfId="49" applyNumberFormat="1" applyFont="1" applyFill="1" applyBorder="1" applyAlignment="1">
      <alignment horizontal="center" vertical="center"/>
    </xf>
    <xf numFmtId="0" fontId="58" fillId="0" borderId="2" xfId="49" applyFont="1" applyFill="1" applyBorder="1" applyAlignment="1">
      <alignment horizontal="left" vertical="center" wrapText="1"/>
    </xf>
    <xf numFmtId="0" fontId="61" fillId="0" borderId="1" xfId="49" applyFont="1" applyFill="1" applyBorder="1" applyAlignment="1">
      <alignment horizontal="center" vertical="center" wrapText="1"/>
    </xf>
    <xf numFmtId="0" fontId="61" fillId="0" borderId="9" xfId="49" applyFont="1" applyFill="1" applyBorder="1" applyAlignment="1">
      <alignment horizontal="center" vertical="center" wrapText="1"/>
    </xf>
    <xf numFmtId="0" fontId="61" fillId="0" borderId="3" xfId="49" applyFont="1" applyFill="1" applyBorder="1" applyAlignment="1">
      <alignment horizontal="center" vertical="center" wrapText="1"/>
    </xf>
    <xf numFmtId="38" fontId="58" fillId="13" borderId="2" xfId="49" applyNumberFormat="1" applyFont="1" applyFill="1" applyBorder="1" applyAlignment="1">
      <alignment vertical="center"/>
    </xf>
    <xf numFmtId="38" fontId="58" fillId="8" borderId="6" xfId="49" applyNumberFormat="1" applyFont="1" applyFill="1" applyBorder="1" applyAlignment="1">
      <alignment vertical="center"/>
    </xf>
    <xf numFmtId="0" fontId="55" fillId="8" borderId="0" xfId="49" applyFont="1" applyFill="1" applyAlignment="1"/>
    <xf numFmtId="38" fontId="58" fillId="8" borderId="2" xfId="49" applyNumberFormat="1" applyFont="1" applyFill="1" applyBorder="1" applyAlignment="1">
      <alignment vertical="center"/>
    </xf>
    <xf numFmtId="0" fontId="62" fillId="15" borderId="2" xfId="49" applyFont="1" applyFill="1" applyBorder="1" applyAlignment="1">
      <alignment horizontal="center" vertical="center"/>
    </xf>
    <xf numFmtId="0" fontId="58" fillId="0" borderId="1" xfId="49" applyFont="1" applyFill="1" applyBorder="1" applyAlignment="1">
      <alignment horizontal="left" vertical="center"/>
    </xf>
    <xf numFmtId="0" fontId="58" fillId="0" borderId="9" xfId="49" applyFont="1" applyFill="1" applyBorder="1" applyAlignment="1">
      <alignment horizontal="left" vertical="center"/>
    </xf>
    <xf numFmtId="0" fontId="58" fillId="0" borderId="3" xfId="49" applyFont="1" applyFill="1" applyBorder="1" applyAlignment="1">
      <alignment horizontal="left" vertical="center"/>
    </xf>
    <xf numFmtId="0" fontId="62" fillId="17" borderId="2" xfId="49" applyFont="1" applyFill="1" applyBorder="1" applyAlignment="1">
      <alignment horizontal="center" vertical="center"/>
    </xf>
    <xf numFmtId="0" fontId="62" fillId="17" borderId="2" xfId="49" applyFont="1" applyFill="1" applyBorder="1" applyAlignment="1">
      <alignment horizontal="left" vertical="center" wrapText="1"/>
    </xf>
    <xf numFmtId="38" fontId="61" fillId="18" borderId="2" xfId="49" applyNumberFormat="1" applyFont="1" applyFill="1" applyBorder="1" applyAlignment="1">
      <alignment vertical="center"/>
    </xf>
    <xf numFmtId="38" fontId="64" fillId="19" borderId="2" xfId="57" applyNumberFormat="1" applyFont="1" applyFill="1" applyBorder="1" applyAlignment="1">
      <alignment horizontal="right" vertical="center"/>
    </xf>
    <xf numFmtId="0" fontId="58" fillId="18" borderId="1" xfId="49" applyFont="1" applyFill="1" applyBorder="1" applyAlignment="1">
      <alignment horizontal="left" vertical="center"/>
    </xf>
    <xf numFmtId="0" fontId="58" fillId="18" borderId="9" xfId="49" applyFont="1" applyFill="1" applyBorder="1" applyAlignment="1">
      <alignment horizontal="left" vertical="center"/>
    </xf>
    <xf numFmtId="0" fontId="58" fillId="18" borderId="3" xfId="49" applyFont="1" applyFill="1" applyBorder="1" applyAlignment="1">
      <alignment horizontal="left" vertical="center"/>
    </xf>
    <xf numFmtId="0" fontId="1" fillId="0" borderId="0" xfId="0" applyFont="1" applyFill="1">
      <alignment vertical="center"/>
    </xf>
    <xf numFmtId="0" fontId="66" fillId="0" borderId="0" xfId="0" applyFont="1" applyFill="1" applyAlignment="1">
      <alignment horizontal="center" vertical="center"/>
    </xf>
    <xf numFmtId="0" fontId="36" fillId="0" borderId="2" xfId="0" applyFont="1" applyFill="1" applyBorder="1" applyAlignment="1">
      <alignment horizontal="center"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178" fontId="1" fillId="0" borderId="0" xfId="0" applyNumberFormat="1" applyFont="1" applyFill="1" applyAlignment="1">
      <alignment horizontal="center" vertical="center"/>
    </xf>
    <xf numFmtId="180" fontId="1" fillId="0" borderId="0" xfId="0" applyNumberFormat="1" applyFont="1" applyFill="1" applyAlignment="1">
      <alignment horizontal="center" vertical="center" wrapText="1"/>
    </xf>
    <xf numFmtId="0" fontId="1" fillId="0" borderId="0" xfId="0" applyNumberFormat="1" applyFont="1" applyFill="1" applyBorder="1" applyAlignment="1">
      <alignment horizontal="center" vertical="center" wrapText="1"/>
    </xf>
    <xf numFmtId="181" fontId="1"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0" fontId="67" fillId="0" borderId="0" xfId="0" applyNumberFormat="1" applyFont="1" applyFill="1" applyAlignment="1">
      <alignment horizontal="center" vertical="center"/>
    </xf>
    <xf numFmtId="0" fontId="1" fillId="0" borderId="0" xfId="0" applyFont="1" applyFill="1" applyBorder="1" applyAlignment="1">
      <alignment horizontal="center" vertical="center" wrapText="1"/>
    </xf>
    <xf numFmtId="184" fontId="4" fillId="0" borderId="0" xfId="0" applyNumberFormat="1" applyFont="1" applyFill="1" applyAlignment="1">
      <alignment horizontal="center" vertical="center"/>
    </xf>
    <xf numFmtId="178" fontId="68" fillId="0" borderId="4" xfId="0" applyNumberFormat="1" applyFont="1" applyFill="1" applyBorder="1" applyAlignment="1">
      <alignment vertical="center"/>
    </xf>
    <xf numFmtId="178" fontId="69" fillId="0" borderId="6" xfId="0" applyNumberFormat="1" applyFont="1" applyFill="1" applyBorder="1" applyAlignment="1">
      <alignment vertical="center"/>
    </xf>
    <xf numFmtId="0" fontId="4" fillId="0" borderId="2" xfId="0" applyFont="1" applyFill="1" applyBorder="1" applyAlignment="1">
      <alignment horizontal="center" vertical="center" wrapText="1"/>
    </xf>
    <xf numFmtId="178" fontId="70" fillId="0" borderId="2" xfId="0" applyNumberFormat="1" applyFont="1" applyFill="1" applyBorder="1" applyAlignment="1">
      <alignment vertical="center"/>
    </xf>
    <xf numFmtId="178" fontId="71" fillId="0" borderId="2" xfId="0" applyNumberFormat="1" applyFont="1" applyFill="1" applyBorder="1" applyAlignment="1">
      <alignment vertical="center"/>
    </xf>
    <xf numFmtId="0" fontId="71" fillId="0" borderId="2" xfId="0" applyNumberFormat="1" applyFont="1" applyFill="1" applyBorder="1" applyAlignment="1">
      <alignment vertical="center"/>
    </xf>
    <xf numFmtId="0" fontId="72" fillId="0" borderId="2" xfId="0" applyFont="1" applyFill="1" applyBorder="1" applyAlignment="1">
      <alignment vertical="center"/>
    </xf>
    <xf numFmtId="0" fontId="29" fillId="0" borderId="0" xfId="0" applyFont="1" applyFill="1" applyAlignment="1">
      <alignment vertical="center"/>
    </xf>
    <xf numFmtId="179" fontId="73" fillId="0" borderId="2" xfId="0" applyNumberFormat="1" applyFont="1" applyFill="1" applyBorder="1" applyAlignment="1">
      <alignment horizontal="center" vertical="center" shrinkToFit="1"/>
    </xf>
    <xf numFmtId="0" fontId="74" fillId="0" borderId="2" xfId="0" applyFont="1" applyFill="1" applyBorder="1" applyAlignment="1">
      <alignment horizontal="center" vertical="center" wrapText="1"/>
    </xf>
    <xf numFmtId="0" fontId="74" fillId="0" borderId="2" xfId="0" applyFont="1" applyFill="1" applyBorder="1" applyAlignment="1">
      <alignment horizontal="center" vertical="center" wrapText="1" shrinkToFit="1"/>
    </xf>
    <xf numFmtId="0" fontId="66" fillId="0" borderId="2" xfId="0" applyNumberFormat="1" applyFont="1" applyFill="1" applyBorder="1" applyAlignment="1">
      <alignment horizontal="center" vertical="center" shrinkToFit="1"/>
    </xf>
    <xf numFmtId="0" fontId="75" fillId="0" borderId="2" xfId="0" applyNumberFormat="1" applyFont="1" applyFill="1" applyBorder="1" applyAlignment="1">
      <alignment horizontal="center" vertical="center" wrapText="1"/>
    </xf>
    <xf numFmtId="0" fontId="66" fillId="0" borderId="2" xfId="0" applyFont="1" applyFill="1" applyBorder="1" applyAlignment="1">
      <alignment horizontal="center" vertical="center" wrapText="1" shrinkToFit="1"/>
    </xf>
    <xf numFmtId="0" fontId="76" fillId="0" borderId="2" xfId="0" applyFont="1" applyFill="1" applyBorder="1" applyAlignment="1">
      <alignment horizontal="center" vertical="center" wrapText="1"/>
    </xf>
    <xf numFmtId="179" fontId="73" fillId="0" borderId="3" xfId="0" applyNumberFormat="1" applyFont="1" applyFill="1" applyBorder="1" applyAlignment="1">
      <alignment horizontal="center" vertical="center" shrinkToFit="1"/>
    </xf>
    <xf numFmtId="0" fontId="66" fillId="0" borderId="3" xfId="0" applyNumberFormat="1" applyFont="1" applyFill="1" applyBorder="1" applyAlignment="1">
      <alignment horizontal="center" vertical="center" shrinkToFit="1"/>
    </xf>
    <xf numFmtId="178" fontId="27" fillId="0" borderId="2" xfId="0" applyNumberFormat="1" applyFont="1" applyFill="1" applyBorder="1" applyAlignment="1" applyProtection="1">
      <alignment horizontal="center" vertical="center" wrapText="1" shrinkToFit="1"/>
    </xf>
    <xf numFmtId="0" fontId="27" fillId="0" borderId="1" xfId="0" applyFont="1" applyFill="1" applyBorder="1" applyAlignment="1" applyProtection="1">
      <alignment horizontal="center" vertical="center" wrapText="1" shrinkToFit="1"/>
      <protection locked="0"/>
    </xf>
    <xf numFmtId="0" fontId="27" fillId="0" borderId="1" xfId="0" applyFont="1" applyFill="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0" fontId="4" fillId="0" borderId="2" xfId="0" applyFont="1" applyFill="1" applyBorder="1" applyAlignment="1">
      <alignment horizontal="center" vertical="center"/>
    </xf>
    <xf numFmtId="0" fontId="32" fillId="0" borderId="2" xfId="0" applyFont="1" applyFill="1" applyBorder="1" applyAlignment="1">
      <alignment horizontal="left" vertical="center"/>
    </xf>
    <xf numFmtId="180" fontId="4" fillId="0" borderId="2" xfId="0" applyNumberFormat="1" applyFont="1" applyFill="1" applyBorder="1" applyAlignment="1">
      <alignment horizontal="center" vertical="center" wrapText="1"/>
    </xf>
    <xf numFmtId="186" fontId="1" fillId="0" borderId="2" xfId="0" applyNumberFormat="1" applyFont="1" applyFill="1" applyBorder="1" applyAlignment="1">
      <alignment horizontal="center" vertical="center"/>
    </xf>
    <xf numFmtId="0" fontId="66" fillId="0" borderId="2" xfId="0" applyFont="1" applyFill="1" applyBorder="1" applyAlignment="1">
      <alignment horizontal="center" vertical="center"/>
    </xf>
    <xf numFmtId="0" fontId="77" fillId="0" borderId="2" xfId="0" applyFont="1" applyFill="1" applyBorder="1" applyAlignment="1">
      <alignment horizontal="center" vertical="center" wrapText="1" shrinkToFit="1"/>
    </xf>
    <xf numFmtId="186" fontId="66" fillId="0" borderId="2" xfId="0" applyNumberFormat="1" applyFont="1" applyFill="1" applyBorder="1" applyAlignment="1">
      <alignment horizontal="center" vertical="center"/>
    </xf>
    <xf numFmtId="179" fontId="76" fillId="0" borderId="2" xfId="0" applyNumberFormat="1" applyFont="1" applyFill="1" applyBorder="1" applyAlignment="1">
      <alignment horizontal="center" vertical="center" wrapText="1" shrinkToFit="1"/>
    </xf>
    <xf numFmtId="180" fontId="76" fillId="0" borderId="2" xfId="0" applyNumberFormat="1" applyFont="1" applyFill="1" applyBorder="1" applyAlignment="1">
      <alignment horizontal="center" vertical="center" wrapText="1"/>
    </xf>
    <xf numFmtId="3" fontId="66" fillId="0" borderId="2" xfId="0" applyNumberFormat="1" applyFont="1" applyFill="1" applyBorder="1" applyAlignment="1">
      <alignment horizontal="center" vertical="center"/>
    </xf>
    <xf numFmtId="180" fontId="4" fillId="0" borderId="4" xfId="0" applyNumberFormat="1" applyFont="1" applyFill="1" applyBorder="1" applyAlignment="1">
      <alignment horizontal="center" vertical="center" wrapText="1"/>
    </xf>
    <xf numFmtId="178" fontId="78" fillId="0" borderId="2" xfId="0" applyNumberFormat="1" applyFont="1" applyFill="1" applyBorder="1" applyAlignment="1">
      <alignment vertical="center"/>
    </xf>
    <xf numFmtId="180" fontId="3" fillId="0" borderId="2" xfId="0" applyNumberFormat="1" applyFont="1" applyFill="1" applyBorder="1" applyAlignment="1">
      <alignment horizontal="center" vertical="center" wrapText="1" shrinkToFit="1"/>
    </xf>
    <xf numFmtId="180" fontId="45" fillId="0" borderId="2" xfId="0" applyNumberFormat="1" applyFont="1" applyFill="1" applyBorder="1" applyAlignment="1" applyProtection="1">
      <alignment horizontal="center" vertical="center" wrapText="1"/>
      <protection locked="0"/>
    </xf>
    <xf numFmtId="180" fontId="45" fillId="0" borderId="4" xfId="0" applyNumberFormat="1" applyFont="1" applyFill="1" applyBorder="1" applyAlignment="1" applyProtection="1">
      <alignment horizontal="center" vertical="center" wrapText="1"/>
      <protection locked="0"/>
    </xf>
    <xf numFmtId="180" fontId="79" fillId="0" borderId="2" xfId="0" applyNumberFormat="1" applyFont="1" applyFill="1" applyBorder="1" applyAlignment="1" applyProtection="1">
      <alignment horizontal="center" vertical="center" wrapText="1"/>
      <protection locked="0"/>
    </xf>
    <xf numFmtId="180" fontId="76" fillId="0" borderId="2" xfId="0" applyNumberFormat="1" applyFont="1" applyFill="1" applyBorder="1" applyAlignment="1" applyProtection="1">
      <alignment horizontal="center" vertical="center" wrapText="1"/>
      <protection locked="0"/>
    </xf>
    <xf numFmtId="180" fontId="79" fillId="0" borderId="4" xfId="0" applyNumberFormat="1" applyFont="1" applyFill="1" applyBorder="1" applyAlignment="1" applyProtection="1">
      <alignment horizontal="center" vertical="center" wrapText="1"/>
      <protection locked="0"/>
    </xf>
    <xf numFmtId="180" fontId="45" fillId="0" borderId="1" xfId="0" applyNumberFormat="1" applyFont="1" applyFill="1" applyBorder="1" applyAlignment="1" applyProtection="1">
      <alignment horizontal="center" vertical="center" wrapText="1"/>
      <protection locked="0"/>
    </xf>
    <xf numFmtId="180" fontId="13" fillId="0" borderId="2" xfId="0" applyNumberFormat="1" applyFont="1" applyFill="1" applyBorder="1" applyAlignment="1" applyProtection="1">
      <alignment horizontal="center" vertical="center" wrapText="1"/>
      <protection locked="0"/>
    </xf>
    <xf numFmtId="180" fontId="80" fillId="0" borderId="2" xfId="0" applyNumberFormat="1" applyFont="1" applyFill="1" applyBorder="1" applyAlignment="1" applyProtection="1">
      <alignment horizontal="center" vertical="center" wrapText="1"/>
      <protection locked="0"/>
    </xf>
    <xf numFmtId="180" fontId="80" fillId="0" borderId="11" xfId="0" applyNumberFormat="1" applyFont="1" applyFill="1" applyBorder="1" applyAlignment="1" applyProtection="1">
      <alignment horizontal="center" vertical="center" wrapText="1"/>
      <protection locked="0"/>
    </xf>
    <xf numFmtId="180" fontId="76" fillId="0" borderId="4" xfId="0" applyNumberFormat="1" applyFont="1" applyFill="1" applyBorder="1" applyAlignment="1">
      <alignment horizontal="center" vertical="center" wrapText="1"/>
    </xf>
    <xf numFmtId="180" fontId="74" fillId="0" borderId="2" xfId="0" applyNumberFormat="1" applyFont="1" applyFill="1" applyBorder="1" applyAlignment="1" applyProtection="1">
      <alignment horizontal="center" vertical="center" wrapText="1" shrinkToFit="1"/>
      <protection locked="0"/>
    </xf>
    <xf numFmtId="180" fontId="81" fillId="0" borderId="2" xfId="0" applyNumberFormat="1" applyFont="1" applyFill="1" applyBorder="1" applyAlignment="1" applyProtection="1">
      <alignment horizontal="center" vertical="center" wrapText="1"/>
      <protection locked="0"/>
    </xf>
    <xf numFmtId="180" fontId="80" fillId="0" borderId="4" xfId="0" applyNumberFormat="1" applyFont="1" applyFill="1" applyBorder="1" applyAlignment="1" applyProtection="1">
      <alignment horizontal="center" vertical="center" wrapText="1"/>
      <protection locked="0"/>
    </xf>
    <xf numFmtId="180" fontId="11" fillId="0" borderId="2" xfId="0" applyNumberFormat="1" applyFont="1" applyFill="1" applyBorder="1" applyAlignment="1" applyProtection="1">
      <alignment horizontal="center" vertical="center" wrapText="1" shrinkToFit="1"/>
      <protection locked="0"/>
    </xf>
    <xf numFmtId="180" fontId="81" fillId="0" borderId="4" xfId="0" applyNumberFormat="1" applyFont="1" applyFill="1" applyBorder="1" applyAlignment="1" applyProtection="1">
      <alignment horizontal="center" vertical="center" wrapText="1"/>
      <protection locked="0"/>
    </xf>
    <xf numFmtId="178" fontId="71" fillId="0" borderId="6" xfId="0" applyNumberFormat="1" applyFont="1" applyFill="1" applyBorder="1" applyAlignment="1">
      <alignment vertical="center"/>
    </xf>
    <xf numFmtId="181" fontId="4" fillId="0" borderId="2" xfId="0" applyNumberFormat="1" applyFont="1" applyFill="1" applyBorder="1" applyAlignment="1">
      <alignment horizontal="center" vertical="center"/>
    </xf>
    <xf numFmtId="0" fontId="4" fillId="0" borderId="2" xfId="0" applyNumberFormat="1" applyFont="1" applyFill="1" applyBorder="1" applyAlignment="1">
      <alignment horizontal="center" vertical="center"/>
    </xf>
    <xf numFmtId="0" fontId="82" fillId="0" borderId="2" xfId="0" applyNumberFormat="1" applyFont="1" applyFill="1" applyBorder="1" applyAlignment="1">
      <alignment horizontal="center" vertical="center"/>
    </xf>
    <xf numFmtId="0" fontId="3" fillId="0" borderId="2" xfId="0" applyNumberFormat="1" applyFont="1" applyFill="1" applyBorder="1" applyAlignment="1">
      <alignment horizontal="center" vertical="center" wrapText="1" shrinkToFit="1"/>
    </xf>
    <xf numFmtId="0" fontId="30" fillId="0" borderId="2" xfId="0" applyNumberFormat="1" applyFont="1" applyFill="1" applyBorder="1" applyAlignment="1" applyProtection="1">
      <alignment horizontal="center" vertical="center" wrapText="1" shrinkToFit="1"/>
      <protection locked="0"/>
    </xf>
    <xf numFmtId="0" fontId="31" fillId="0" borderId="2" xfId="0" applyFont="1" applyFill="1" applyBorder="1" applyAlignment="1">
      <alignment horizontal="center" vertical="center" wrapText="1" shrinkToFit="1"/>
    </xf>
    <xf numFmtId="0" fontId="83" fillId="0" borderId="2" xfId="0" applyFont="1" applyFill="1" applyBorder="1" applyAlignment="1">
      <alignment horizontal="center" vertical="center" wrapText="1" shrinkToFit="1"/>
    </xf>
    <xf numFmtId="0" fontId="31" fillId="0" borderId="2" xfId="0" applyFont="1" applyFill="1" applyBorder="1" applyAlignment="1">
      <alignment horizontal="center" vertical="center"/>
    </xf>
    <xf numFmtId="0" fontId="1" fillId="0" borderId="2" xfId="0" applyFont="1" applyFill="1" applyBorder="1" applyAlignment="1">
      <alignment horizontal="left" vertical="center" wrapText="1" shrinkToFit="1"/>
    </xf>
    <xf numFmtId="0" fontId="84" fillId="8" borderId="2" xfId="0" applyFont="1" applyFill="1" applyBorder="1" applyAlignment="1">
      <alignment horizontal="center" vertical="center" wrapText="1" shrinkToFit="1"/>
    </xf>
    <xf numFmtId="0" fontId="67" fillId="0" borderId="2" xfId="0" applyFont="1" applyFill="1" applyBorder="1" applyAlignment="1">
      <alignment horizontal="center" vertical="center" wrapText="1" shrinkToFit="1"/>
    </xf>
    <xf numFmtId="179" fontId="85" fillId="0" borderId="2" xfId="0" applyNumberFormat="1" applyFont="1" applyFill="1" applyBorder="1" applyAlignment="1">
      <alignment horizontal="center" vertical="center" wrapText="1" shrinkToFit="1"/>
    </xf>
    <xf numFmtId="182" fontId="66" fillId="0" borderId="2" xfId="0" applyNumberFormat="1" applyFont="1" applyFill="1" applyBorder="1" applyAlignment="1">
      <alignment horizontal="center" vertical="center" wrapText="1" shrinkToFit="1"/>
    </xf>
    <xf numFmtId="181" fontId="66" fillId="0" borderId="2" xfId="0" applyNumberFormat="1" applyFont="1" applyFill="1" applyBorder="1" applyAlignment="1">
      <alignment horizontal="center" vertical="center"/>
    </xf>
    <xf numFmtId="0" fontId="86" fillId="0" borderId="2" xfId="0" applyFont="1" applyFill="1" applyBorder="1" applyAlignment="1">
      <alignment horizontal="center" vertical="center"/>
    </xf>
    <xf numFmtId="0" fontId="86" fillId="0" borderId="2" xfId="0" applyFont="1" applyFill="1" applyBorder="1" applyAlignment="1">
      <alignment horizontal="center" vertical="center" wrapText="1" shrinkToFit="1"/>
    </xf>
    <xf numFmtId="0" fontId="66" fillId="0" borderId="2" xfId="0" applyFont="1" applyFill="1" applyBorder="1" applyAlignment="1">
      <alignment horizontal="left" vertical="center" wrapText="1" shrinkToFit="1"/>
    </xf>
    <xf numFmtId="0" fontId="87" fillId="0" borderId="2" xfId="0" applyFont="1" applyFill="1" applyBorder="1" applyAlignment="1">
      <alignment horizontal="center" vertical="center" wrapText="1" shrinkToFit="1"/>
    </xf>
    <xf numFmtId="0" fontId="25" fillId="0" borderId="2" xfId="0" applyFont="1" applyFill="1" applyBorder="1" applyAlignment="1">
      <alignment horizontal="center" vertical="center" wrapText="1"/>
    </xf>
    <xf numFmtId="0" fontId="88" fillId="0" borderId="2" xfId="0" applyNumberFormat="1" applyFont="1" applyFill="1" applyBorder="1" applyAlignment="1">
      <alignment horizontal="center" vertical="center" wrapText="1" shrinkToFit="1"/>
    </xf>
    <xf numFmtId="0" fontId="53" fillId="0" borderId="2" xfId="0" applyFont="1" applyFill="1" applyBorder="1" applyAlignment="1">
      <alignment horizontal="center" vertical="center" wrapText="1" shrinkToFit="1"/>
    </xf>
    <xf numFmtId="0" fontId="89" fillId="0" borderId="2" xfId="0" applyFont="1" applyFill="1" applyBorder="1" applyAlignment="1">
      <alignment horizontal="center" vertical="center" wrapText="1" shrinkToFit="1"/>
    </xf>
    <xf numFmtId="0" fontId="13" fillId="0" borderId="1" xfId="0" applyNumberFormat="1" applyFont="1" applyFill="1" applyBorder="1" applyAlignment="1">
      <alignment horizontal="center" vertical="center" wrapText="1" shrinkToFit="1"/>
    </xf>
    <xf numFmtId="0" fontId="1" fillId="0" borderId="1" xfId="0" applyNumberFormat="1" applyFont="1" applyFill="1" applyBorder="1" applyAlignment="1">
      <alignment horizontal="center" vertical="center"/>
    </xf>
    <xf numFmtId="0" fontId="1" fillId="0" borderId="3" xfId="0" applyFont="1" applyFill="1" applyBorder="1" applyAlignment="1">
      <alignment horizontal="center" vertical="center"/>
    </xf>
    <xf numFmtId="0" fontId="86" fillId="0" borderId="2" xfId="0" applyFont="1" applyFill="1" applyBorder="1" applyAlignment="1">
      <alignment horizontal="left" vertical="center" wrapText="1" shrinkToFit="1"/>
    </xf>
    <xf numFmtId="0" fontId="76" fillId="0" borderId="2" xfId="0" applyNumberFormat="1" applyFont="1" applyFill="1" applyBorder="1" applyAlignment="1">
      <alignment horizontal="center" vertical="center" wrapText="1" shrinkToFit="1"/>
    </xf>
    <xf numFmtId="0" fontId="66" fillId="0" borderId="2" xfId="0" applyNumberFormat="1" applyFont="1" applyFill="1" applyBorder="1" applyAlignment="1">
      <alignment horizontal="center" vertical="center"/>
    </xf>
    <xf numFmtId="0" fontId="66" fillId="0" borderId="3" xfId="0" applyFont="1" applyFill="1" applyBorder="1" applyAlignment="1">
      <alignment horizontal="center" vertical="center"/>
    </xf>
    <xf numFmtId="0" fontId="76" fillId="0" borderId="3" xfId="0" applyNumberFormat="1" applyFont="1" applyFill="1" applyBorder="1" applyAlignment="1">
      <alignment horizontal="center" vertical="center" wrapText="1" shrinkToFit="1"/>
    </xf>
    <xf numFmtId="0" fontId="66" fillId="0" borderId="3" xfId="0" applyNumberFormat="1" applyFont="1" applyFill="1" applyBorder="1" applyAlignment="1">
      <alignment horizontal="center" vertical="center"/>
    </xf>
    <xf numFmtId="0" fontId="76" fillId="0" borderId="1" xfId="0" applyNumberFormat="1" applyFont="1" applyFill="1" applyBorder="1" applyAlignment="1">
      <alignment horizontal="center" vertical="center" wrapText="1" shrinkToFit="1"/>
    </xf>
    <xf numFmtId="0" fontId="66" fillId="0" borderId="1" xfId="0" applyNumberFormat="1" applyFont="1" applyFill="1" applyBorder="1" applyAlignment="1">
      <alignment horizontal="center" vertical="center"/>
    </xf>
    <xf numFmtId="0" fontId="25" fillId="0" borderId="4"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90" fillId="0" borderId="2" xfId="0" applyFont="1" applyFill="1" applyBorder="1" applyAlignment="1">
      <alignment horizontal="center" vertical="center" wrapText="1" shrinkToFit="1"/>
    </xf>
    <xf numFmtId="0" fontId="82" fillId="0" borderId="2" xfId="0" applyFont="1" applyFill="1" applyBorder="1" applyAlignment="1">
      <alignment horizontal="center" vertical="center" wrapText="1" shrinkToFit="1"/>
    </xf>
    <xf numFmtId="0" fontId="30" fillId="0" borderId="2" xfId="0" applyFont="1" applyFill="1" applyBorder="1" applyAlignment="1">
      <alignment horizontal="center" vertical="center" wrapText="1" shrinkToFit="1"/>
    </xf>
    <xf numFmtId="0" fontId="91" fillId="0" borderId="2" xfId="0" applyFont="1" applyFill="1" applyBorder="1" applyAlignment="1">
      <alignment horizontal="center" vertical="center" wrapText="1" shrinkToFit="1"/>
    </xf>
    <xf numFmtId="0" fontId="92" fillId="0" borderId="2" xfId="0" applyFont="1" applyFill="1" applyBorder="1" applyAlignment="1">
      <alignment horizontal="center" vertical="center" wrapText="1" shrinkToFit="1"/>
    </xf>
    <xf numFmtId="186" fontId="36" fillId="0" borderId="2" xfId="0" applyNumberFormat="1" applyFont="1" applyFill="1" applyBorder="1" applyAlignment="1">
      <alignment horizontal="center" vertical="center"/>
    </xf>
    <xf numFmtId="184" fontId="66" fillId="0" borderId="2" xfId="0" applyNumberFormat="1" applyFont="1" applyFill="1" applyBorder="1" applyAlignment="1">
      <alignment horizontal="center" vertical="center"/>
    </xf>
    <xf numFmtId="184" fontId="1" fillId="0" borderId="2" xfId="0" applyNumberFormat="1" applyFont="1" applyFill="1" applyBorder="1" applyAlignment="1">
      <alignment horizontal="center" vertical="center"/>
    </xf>
    <xf numFmtId="186" fontId="66" fillId="0" borderId="3" xfId="0" applyNumberFormat="1" applyFont="1" applyFill="1" applyBorder="1" applyAlignment="1">
      <alignment horizontal="center" vertical="center"/>
    </xf>
    <xf numFmtId="184" fontId="4" fillId="0" borderId="4" xfId="0" applyNumberFormat="1" applyFont="1" applyFill="1" applyBorder="1" applyAlignment="1">
      <alignment horizontal="center" vertical="center"/>
    </xf>
    <xf numFmtId="184" fontId="4" fillId="0" borderId="7" xfId="0" applyNumberFormat="1" applyFont="1" applyFill="1" applyBorder="1" applyAlignment="1">
      <alignment horizontal="center" vertical="center"/>
    </xf>
    <xf numFmtId="184" fontId="4" fillId="0" borderId="6"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36" fillId="0" borderId="2" xfId="0" applyFont="1" applyFill="1" applyBorder="1" applyAlignment="1">
      <alignment horizontal="center" vertical="center" wrapText="1"/>
    </xf>
    <xf numFmtId="184" fontId="91" fillId="0" borderId="2" xfId="0" applyNumberFormat="1" applyFont="1" applyFill="1" applyBorder="1" applyAlignment="1">
      <alignment horizontal="center" vertical="center" wrapText="1" shrinkToFit="1"/>
    </xf>
    <xf numFmtId="184" fontId="91" fillId="0" borderId="3" xfId="0" applyNumberFormat="1" applyFont="1" applyFill="1" applyBorder="1" applyAlignment="1">
      <alignment horizontal="center" vertical="center" wrapText="1" shrinkToFit="1"/>
    </xf>
    <xf numFmtId="184" fontId="4" fillId="0" borderId="3" xfId="0" applyNumberFormat="1" applyFont="1" applyFill="1" applyBorder="1" applyAlignment="1">
      <alignment horizontal="center" vertical="center" wrapText="1" shrinkToFit="1"/>
    </xf>
    <xf numFmtId="184" fontId="4" fillId="0" borderId="2" xfId="0" applyNumberFormat="1" applyFont="1" applyFill="1" applyBorder="1" applyAlignment="1">
      <alignment horizontal="center" vertical="center" wrapText="1"/>
    </xf>
    <xf numFmtId="0" fontId="86" fillId="0" borderId="3" xfId="0" applyNumberFormat="1" applyFont="1" applyFill="1" applyBorder="1" applyAlignment="1">
      <alignment horizontal="center" vertical="center" shrinkToFit="1"/>
    </xf>
    <xf numFmtId="179" fontId="75" fillId="0" borderId="1" xfId="0" applyNumberFormat="1" applyFont="1" applyFill="1" applyBorder="1" applyAlignment="1" applyProtection="1">
      <alignment horizontal="center" vertical="center" shrinkToFit="1"/>
    </xf>
    <xf numFmtId="0" fontId="66" fillId="0" borderId="1" xfId="0" applyFont="1" applyFill="1" applyBorder="1" applyAlignment="1" applyProtection="1">
      <alignment horizontal="center" vertical="center" wrapText="1"/>
      <protection locked="0"/>
    </xf>
    <xf numFmtId="180" fontId="86" fillId="0" borderId="1" xfId="0" applyNumberFormat="1" applyFont="1" applyFill="1" applyBorder="1" applyAlignment="1" applyProtection="1">
      <alignment horizontal="center" vertical="center" wrapText="1"/>
      <protection locked="0"/>
    </xf>
    <xf numFmtId="0" fontId="66" fillId="0" borderId="1" xfId="0" applyNumberFormat="1" applyFont="1" applyFill="1" applyBorder="1" applyAlignment="1" applyProtection="1">
      <alignment horizontal="center" vertical="center"/>
      <protection locked="0"/>
    </xf>
    <xf numFmtId="0" fontId="74" fillId="0" borderId="1" xfId="0" applyFont="1" applyFill="1" applyBorder="1" applyAlignment="1">
      <alignment horizontal="center" vertical="center" wrapText="1"/>
    </xf>
    <xf numFmtId="0" fontId="74" fillId="0" borderId="1" xfId="0" applyFont="1" applyFill="1" applyBorder="1" applyAlignment="1">
      <alignment horizontal="center" vertical="center" wrapText="1" shrinkToFit="1"/>
    </xf>
    <xf numFmtId="0" fontId="66" fillId="0" borderId="9" xfId="0" applyNumberFormat="1" applyFont="1" applyFill="1" applyBorder="1" applyAlignment="1">
      <alignment horizontal="center" vertical="center" shrinkToFit="1"/>
    </xf>
    <xf numFmtId="0" fontId="66" fillId="0" borderId="1" xfId="0" applyFont="1" applyFill="1" applyBorder="1" applyAlignment="1">
      <alignment horizontal="center" vertical="center" wrapText="1" shrinkToFit="1"/>
    </xf>
    <xf numFmtId="0" fontId="76" fillId="0" borderId="1" xfId="0" applyFont="1" applyFill="1" applyBorder="1" applyAlignment="1">
      <alignment horizontal="center" vertical="center" wrapText="1"/>
    </xf>
    <xf numFmtId="179" fontId="93" fillId="0" borderId="3" xfId="0" applyNumberFormat="1" applyFont="1" applyFill="1" applyBorder="1" applyAlignment="1">
      <alignment horizontal="center" vertical="center" shrinkToFit="1"/>
    </xf>
    <xf numFmtId="0" fontId="94" fillId="0" borderId="2" xfId="0" applyFont="1" applyFill="1" applyBorder="1" applyAlignment="1">
      <alignment horizontal="center" vertical="center" wrapText="1"/>
    </xf>
    <xf numFmtId="0" fontId="94" fillId="0" borderId="2" xfId="0" applyFont="1" applyFill="1" applyBorder="1" applyAlignment="1">
      <alignment horizontal="center" vertical="center" wrapText="1" shrinkToFit="1"/>
    </xf>
    <xf numFmtId="0" fontId="36" fillId="0" borderId="3" xfId="0" applyNumberFormat="1" applyFont="1" applyFill="1" applyBorder="1" applyAlignment="1">
      <alignment horizontal="center" vertical="center" shrinkToFit="1"/>
    </xf>
    <xf numFmtId="0" fontId="95" fillId="0" borderId="2" xfId="0" applyNumberFormat="1" applyFont="1" applyFill="1" applyBorder="1" applyAlignment="1">
      <alignment horizontal="center" vertical="center" wrapText="1"/>
    </xf>
    <xf numFmtId="0" fontId="36" fillId="0" borderId="2" xfId="0" applyFont="1" applyFill="1" applyBorder="1" applyAlignment="1">
      <alignment horizontal="center" vertical="center" wrapText="1" shrinkToFit="1"/>
    </xf>
    <xf numFmtId="0" fontId="96" fillId="0" borderId="2" xfId="0" applyFont="1" applyFill="1" applyBorder="1" applyAlignment="1">
      <alignment horizontal="center" vertical="center" wrapText="1"/>
    </xf>
    <xf numFmtId="179" fontId="93" fillId="0" borderId="2" xfId="0" applyNumberFormat="1" applyFont="1" applyFill="1" applyBorder="1" applyAlignment="1">
      <alignment horizontal="center" vertical="center" shrinkToFit="1"/>
    </xf>
    <xf numFmtId="0" fontId="36" fillId="0" borderId="2" xfId="0" applyNumberFormat="1" applyFont="1" applyFill="1" applyBorder="1" applyAlignment="1">
      <alignment horizontal="center" vertical="center" shrinkToFit="1"/>
    </xf>
    <xf numFmtId="0" fontId="94" fillId="0" borderId="1" xfId="0" applyFont="1" applyFill="1" applyBorder="1" applyAlignment="1">
      <alignment horizontal="center" vertical="center" wrapText="1"/>
    </xf>
    <xf numFmtId="0" fontId="94" fillId="0" borderId="1" xfId="0" applyFont="1" applyFill="1" applyBorder="1" applyAlignment="1">
      <alignment horizontal="center" vertical="center" wrapText="1" shrinkToFit="1"/>
    </xf>
    <xf numFmtId="0" fontId="36" fillId="0" borderId="9" xfId="0" applyNumberFormat="1" applyFont="1" applyFill="1" applyBorder="1" applyAlignment="1">
      <alignment horizontal="center" vertical="center" shrinkToFit="1"/>
    </xf>
    <xf numFmtId="0" fontId="36" fillId="0" borderId="1" xfId="0" applyFont="1" applyFill="1" applyBorder="1" applyAlignment="1">
      <alignment horizontal="center" vertical="center" wrapText="1" shrinkToFit="1"/>
    </xf>
    <xf numFmtId="0" fontId="96" fillId="0" borderId="1" xfId="0" applyFont="1" applyFill="1" applyBorder="1" applyAlignment="1">
      <alignment horizontal="center" vertical="center" wrapText="1"/>
    </xf>
    <xf numFmtId="179" fontId="95" fillId="0" borderId="2" xfId="0" applyNumberFormat="1" applyFont="1" applyFill="1" applyBorder="1" applyAlignment="1" applyProtection="1">
      <alignment horizontal="center" vertical="center" shrinkToFit="1"/>
    </xf>
    <xf numFmtId="0" fontId="36" fillId="0" borderId="2" xfId="0" applyFont="1" applyFill="1" applyBorder="1" applyAlignment="1" applyProtection="1">
      <alignment horizontal="center" vertical="center" wrapText="1"/>
      <protection locked="0"/>
    </xf>
    <xf numFmtId="180" fontId="52" fillId="0" borderId="2" xfId="0" applyNumberFormat="1" applyFont="1" applyFill="1" applyBorder="1" applyAlignment="1" applyProtection="1">
      <alignment horizontal="center" vertical="center" wrapText="1"/>
      <protection locked="0"/>
    </xf>
    <xf numFmtId="0" fontId="36" fillId="0" borderId="2" xfId="0" applyNumberFormat="1" applyFont="1" applyFill="1" applyBorder="1" applyAlignment="1" applyProtection="1">
      <alignment horizontal="center" vertical="center"/>
      <protection locked="0"/>
    </xf>
    <xf numFmtId="0" fontId="66" fillId="8" borderId="3" xfId="0" applyNumberFormat="1" applyFont="1" applyFill="1" applyBorder="1" applyAlignment="1">
      <alignment horizontal="center" vertical="center" shrinkToFit="1"/>
    </xf>
    <xf numFmtId="0" fontId="74" fillId="0" borderId="3" xfId="0" applyFont="1" applyFill="1" applyBorder="1" applyAlignment="1">
      <alignment horizontal="center" vertical="center" wrapText="1"/>
    </xf>
    <xf numFmtId="0" fontId="74" fillId="0" borderId="3" xfId="0" applyFont="1" applyFill="1" applyBorder="1" applyAlignment="1">
      <alignment horizontal="center" vertical="center" wrapText="1" shrinkToFit="1"/>
    </xf>
    <xf numFmtId="0" fontId="75" fillId="0" borderId="3" xfId="0" applyNumberFormat="1" applyFont="1" applyFill="1" applyBorder="1" applyAlignment="1">
      <alignment horizontal="center" vertical="center" wrapText="1"/>
    </xf>
    <xf numFmtId="0" fontId="66" fillId="0" borderId="3" xfId="0" applyFont="1" applyFill="1" applyBorder="1" applyAlignment="1">
      <alignment horizontal="center" vertical="center" wrapText="1" shrinkToFit="1"/>
    </xf>
    <xf numFmtId="0" fontId="76" fillId="0" borderId="3" xfId="0" applyFont="1" applyFill="1" applyBorder="1" applyAlignment="1">
      <alignment horizontal="center" vertical="center" wrapText="1"/>
    </xf>
    <xf numFmtId="0" fontId="74" fillId="0" borderId="2" xfId="0" applyFont="1" applyFill="1" applyBorder="1" applyAlignment="1" applyProtection="1">
      <alignment horizontal="center" vertical="center" wrapText="1"/>
      <protection locked="0"/>
    </xf>
    <xf numFmtId="0" fontId="85" fillId="0" borderId="3" xfId="0" applyFont="1" applyFill="1" applyBorder="1" applyAlignment="1" applyProtection="1">
      <alignment horizontal="center" vertical="center"/>
      <protection locked="0"/>
    </xf>
    <xf numFmtId="0" fontId="74" fillId="0" borderId="2" xfId="0" applyFont="1" applyFill="1" applyBorder="1" applyAlignment="1" applyProtection="1">
      <alignment horizontal="center" vertical="center" wrapText="1" shrinkToFit="1"/>
      <protection locked="0"/>
    </xf>
    <xf numFmtId="0" fontId="75" fillId="2" borderId="2" xfId="0" applyNumberFormat="1" applyFont="1" applyFill="1" applyBorder="1" applyAlignment="1">
      <alignment horizontal="center" vertical="center" wrapText="1"/>
    </xf>
    <xf numFmtId="0" fontId="85" fillId="0" borderId="2" xfId="0" applyFont="1" applyFill="1" applyBorder="1" applyAlignment="1" applyProtection="1">
      <alignment horizontal="center" vertical="center"/>
      <protection locked="0"/>
    </xf>
    <xf numFmtId="0" fontId="1" fillId="3" borderId="3" xfId="0" applyNumberFormat="1" applyFont="1" applyFill="1" applyBorder="1" applyAlignment="1">
      <alignment horizontal="center" vertical="center" shrinkToFit="1"/>
    </xf>
    <xf numFmtId="179" fontId="76" fillId="0" borderId="1" xfId="0" applyNumberFormat="1" applyFont="1" applyFill="1" applyBorder="1" applyAlignment="1" applyProtection="1">
      <alignment horizontal="center" vertical="center" wrapText="1" shrinkToFit="1"/>
      <protection locked="0"/>
    </xf>
    <xf numFmtId="3" fontId="66" fillId="0" borderId="1" xfId="0" applyNumberFormat="1" applyFont="1" applyFill="1" applyBorder="1" applyAlignment="1">
      <alignment horizontal="center" vertical="center"/>
    </xf>
    <xf numFmtId="0" fontId="77" fillId="0" borderId="1" xfId="0" applyFont="1" applyFill="1" applyBorder="1" applyAlignment="1">
      <alignment horizontal="center" vertical="center" wrapText="1" shrinkToFit="1"/>
    </xf>
    <xf numFmtId="186" fontId="66" fillId="0" borderId="1" xfId="0" applyNumberFormat="1" applyFont="1" applyFill="1" applyBorder="1" applyAlignment="1">
      <alignment horizontal="center" vertical="center"/>
    </xf>
    <xf numFmtId="179" fontId="76" fillId="0" borderId="1" xfId="0" applyNumberFormat="1" applyFont="1" applyFill="1" applyBorder="1" applyAlignment="1">
      <alignment horizontal="center" vertical="center" wrapText="1" shrinkToFit="1"/>
    </xf>
    <xf numFmtId="180" fontId="76" fillId="0" borderId="1" xfId="0" applyNumberFormat="1" applyFont="1" applyFill="1" applyBorder="1" applyAlignment="1">
      <alignment horizontal="center" vertical="center" wrapText="1"/>
    </xf>
    <xf numFmtId="0" fontId="49" fillId="0" borderId="2" xfId="0" applyFont="1" applyFill="1" applyBorder="1" applyAlignment="1">
      <alignment horizontal="center" vertical="center" wrapText="1" shrinkToFit="1"/>
    </xf>
    <xf numFmtId="179" fontId="96" fillId="0" borderId="2" xfId="0" applyNumberFormat="1" applyFont="1" applyFill="1" applyBorder="1" applyAlignment="1">
      <alignment horizontal="center" vertical="center" wrapText="1" shrinkToFit="1"/>
    </xf>
    <xf numFmtId="180" fontId="96" fillId="0" borderId="2" xfId="0" applyNumberFormat="1" applyFont="1" applyFill="1" applyBorder="1" applyAlignment="1">
      <alignment horizontal="center" vertical="center" wrapText="1"/>
    </xf>
    <xf numFmtId="3" fontId="36" fillId="0" borderId="1" xfId="0" applyNumberFormat="1" applyFont="1" applyFill="1" applyBorder="1" applyAlignment="1">
      <alignment horizontal="center" vertical="center"/>
    </xf>
    <xf numFmtId="0" fontId="49" fillId="0" borderId="1" xfId="0" applyFont="1" applyFill="1" applyBorder="1" applyAlignment="1">
      <alignment horizontal="center" vertical="center" wrapText="1" shrinkToFit="1"/>
    </xf>
    <xf numFmtId="186" fontId="36" fillId="0" borderId="1" xfId="0" applyNumberFormat="1" applyFont="1" applyFill="1" applyBorder="1" applyAlignment="1">
      <alignment horizontal="center" vertical="center"/>
    </xf>
    <xf numFmtId="179" fontId="96" fillId="0" borderId="1" xfId="0" applyNumberFormat="1" applyFont="1" applyFill="1" applyBorder="1" applyAlignment="1">
      <alignment horizontal="center" vertical="center" wrapText="1" shrinkToFit="1"/>
    </xf>
    <xf numFmtId="180" fontId="96" fillId="0" borderId="1" xfId="0" applyNumberFormat="1" applyFont="1" applyFill="1" applyBorder="1" applyAlignment="1">
      <alignment horizontal="center" vertical="center" wrapText="1"/>
    </xf>
    <xf numFmtId="179" fontId="96" fillId="0" borderId="3" xfId="0" applyNumberFormat="1" applyFont="1" applyFill="1" applyBorder="1" applyAlignment="1">
      <alignment horizontal="center" vertical="center" wrapText="1" shrinkToFit="1"/>
    </xf>
    <xf numFmtId="180" fontId="76" fillId="0" borderId="3" xfId="0" applyNumberFormat="1" applyFont="1" applyFill="1" applyBorder="1" applyAlignment="1">
      <alignment horizontal="center" vertical="center" wrapText="1"/>
    </xf>
    <xf numFmtId="0" fontId="77" fillId="0" borderId="3" xfId="0" applyFont="1" applyFill="1" applyBorder="1" applyAlignment="1">
      <alignment horizontal="center" vertical="center" wrapText="1" shrinkToFit="1"/>
    </xf>
    <xf numFmtId="179" fontId="76" fillId="0" borderId="3" xfId="0" applyNumberFormat="1" applyFont="1" applyFill="1" applyBorder="1" applyAlignment="1">
      <alignment horizontal="center" vertical="center" wrapText="1" shrinkToFit="1"/>
    </xf>
    <xf numFmtId="179" fontId="13" fillId="3" borderId="2" xfId="0" applyNumberFormat="1" applyFont="1" applyFill="1" applyBorder="1" applyAlignment="1">
      <alignment horizontal="center" vertical="center" wrapText="1" shrinkToFit="1"/>
    </xf>
    <xf numFmtId="3" fontId="1" fillId="0" borderId="2" xfId="0" applyNumberFormat="1" applyFont="1" applyFill="1" applyBorder="1" applyAlignment="1">
      <alignment horizontal="center" vertical="center"/>
    </xf>
    <xf numFmtId="180" fontId="13" fillId="3" borderId="2" xfId="0" applyNumberFormat="1" applyFont="1" applyFill="1" applyBorder="1" applyAlignment="1">
      <alignment horizontal="center" vertical="center" wrapText="1"/>
    </xf>
    <xf numFmtId="0" fontId="75" fillId="0" borderId="1" xfId="0" applyNumberFormat="1" applyFont="1" applyFill="1" applyBorder="1" applyAlignment="1">
      <alignment horizontal="center" vertical="center" wrapText="1"/>
    </xf>
    <xf numFmtId="180" fontId="97" fillId="0" borderId="2" xfId="0" applyNumberFormat="1" applyFont="1" applyFill="1" applyBorder="1" applyAlignment="1" applyProtection="1">
      <alignment horizontal="center" vertical="center" wrapText="1"/>
      <protection locked="0"/>
    </xf>
    <xf numFmtId="180" fontId="96" fillId="0" borderId="2" xfId="0" applyNumberFormat="1" applyFont="1" applyFill="1" applyBorder="1" applyAlignment="1" applyProtection="1">
      <alignment horizontal="center" vertical="center" wrapText="1"/>
      <protection locked="0"/>
    </xf>
    <xf numFmtId="180" fontId="96" fillId="0" borderId="4" xfId="0" applyNumberFormat="1" applyFont="1" applyFill="1" applyBorder="1" applyAlignment="1">
      <alignment horizontal="center" vertical="center" wrapText="1"/>
    </xf>
    <xf numFmtId="180" fontId="98" fillId="0" borderId="4" xfId="0" applyNumberFormat="1" applyFont="1" applyFill="1" applyBorder="1" applyAlignment="1" applyProtection="1">
      <alignment horizontal="center" vertical="center" wrapText="1"/>
      <protection locked="0"/>
    </xf>
    <xf numFmtId="0" fontId="95" fillId="0" borderId="1" xfId="0" applyNumberFormat="1" applyFont="1" applyFill="1" applyBorder="1" applyAlignment="1">
      <alignment horizontal="center" vertical="center" wrapText="1"/>
    </xf>
    <xf numFmtId="180" fontId="94" fillId="0" borderId="2" xfId="0" applyNumberFormat="1" applyFont="1" applyFill="1" applyBorder="1" applyAlignment="1" applyProtection="1">
      <alignment horizontal="center" vertical="center" wrapText="1" shrinkToFit="1"/>
      <protection locked="0"/>
    </xf>
    <xf numFmtId="180" fontId="98" fillId="0" borderId="2" xfId="0" applyNumberFormat="1" applyFont="1" applyFill="1" applyBorder="1" applyAlignment="1" applyProtection="1">
      <alignment horizontal="center" vertical="center" wrapText="1"/>
      <protection locked="0"/>
    </xf>
    <xf numFmtId="180" fontId="76" fillId="0" borderId="3" xfId="0" applyNumberFormat="1" applyFont="1" applyFill="1" applyBorder="1" applyAlignment="1" applyProtection="1">
      <alignment horizontal="center" vertical="center" wrapText="1"/>
      <protection locked="0"/>
    </xf>
    <xf numFmtId="180" fontId="79" fillId="0" borderId="11" xfId="0" applyNumberFormat="1" applyFont="1" applyFill="1" applyBorder="1" applyAlignment="1" applyProtection="1">
      <alignment horizontal="center" vertical="center" wrapText="1"/>
      <protection locked="0"/>
    </xf>
    <xf numFmtId="180" fontId="13" fillId="0" borderId="3" xfId="0" applyNumberFormat="1" applyFont="1" applyFill="1" applyBorder="1" applyAlignment="1" applyProtection="1">
      <alignment horizontal="center" vertical="center" wrapText="1"/>
      <protection locked="0"/>
    </xf>
    <xf numFmtId="182" fontId="66" fillId="0" borderId="1" xfId="0" applyNumberFormat="1" applyFont="1" applyFill="1" applyBorder="1" applyAlignment="1">
      <alignment horizontal="center" vertical="center" wrapText="1" shrinkToFit="1"/>
    </xf>
    <xf numFmtId="181" fontId="66" fillId="0" borderId="1" xfId="0" applyNumberFormat="1" applyFont="1" applyFill="1" applyBorder="1" applyAlignment="1">
      <alignment horizontal="center" vertical="center"/>
    </xf>
    <xf numFmtId="0" fontId="86" fillId="0" borderId="1" xfId="0" applyFont="1" applyFill="1" applyBorder="1" applyAlignment="1">
      <alignment horizontal="center" vertical="center"/>
    </xf>
    <xf numFmtId="0" fontId="86" fillId="0" borderId="1" xfId="0" applyFont="1" applyFill="1" applyBorder="1" applyAlignment="1">
      <alignment horizontal="center" vertical="center" wrapText="1" shrinkToFit="1"/>
    </xf>
    <xf numFmtId="182" fontId="36" fillId="0" borderId="2" xfId="0" applyNumberFormat="1" applyFont="1" applyFill="1" applyBorder="1" applyAlignment="1">
      <alignment horizontal="center" vertical="center" wrapText="1" shrinkToFit="1"/>
    </xf>
    <xf numFmtId="181" fontId="36" fillId="0" borderId="2" xfId="0" applyNumberFormat="1" applyFont="1" applyFill="1" applyBorder="1" applyAlignment="1">
      <alignment horizontal="center" vertical="center"/>
    </xf>
    <xf numFmtId="0" fontId="52" fillId="0" borderId="2" xfId="0" applyFont="1" applyFill="1" applyBorder="1" applyAlignment="1">
      <alignment horizontal="center" vertical="center"/>
    </xf>
    <xf numFmtId="0" fontId="52" fillId="0" borderId="2" xfId="0" applyFont="1" applyFill="1" applyBorder="1" applyAlignment="1">
      <alignment horizontal="center" vertical="center" wrapText="1" shrinkToFit="1"/>
    </xf>
    <xf numFmtId="179" fontId="99" fillId="0" borderId="2" xfId="0" applyNumberFormat="1" applyFont="1" applyFill="1" applyBorder="1" applyAlignment="1">
      <alignment horizontal="center" vertical="center" wrapText="1" shrinkToFit="1"/>
    </xf>
    <xf numFmtId="182" fontId="36" fillId="0" borderId="1" xfId="0" applyNumberFormat="1" applyFont="1" applyFill="1" applyBorder="1" applyAlignment="1">
      <alignment horizontal="center" vertical="center" wrapText="1" shrinkToFit="1"/>
    </xf>
    <xf numFmtId="181" fontId="36" fillId="0" borderId="1" xfId="0" applyNumberFormat="1" applyFont="1" applyFill="1" applyBorder="1" applyAlignment="1">
      <alignment horizontal="center" vertical="center"/>
    </xf>
    <xf numFmtId="0" fontId="52" fillId="0" borderId="1" xfId="0" applyFont="1" applyFill="1" applyBorder="1" applyAlignment="1">
      <alignment horizontal="center" vertical="center"/>
    </xf>
    <xf numFmtId="0" fontId="86" fillId="0" borderId="3" xfId="0" applyFont="1" applyFill="1" applyBorder="1" applyAlignment="1">
      <alignment horizontal="center" vertical="center" wrapText="1" shrinkToFit="1"/>
    </xf>
    <xf numFmtId="182" fontId="66" fillId="0" borderId="3" xfId="0" applyNumberFormat="1" applyFont="1" applyFill="1" applyBorder="1" applyAlignment="1">
      <alignment horizontal="center" vertical="center" wrapText="1" shrinkToFit="1"/>
    </xf>
    <xf numFmtId="181" fontId="66" fillId="0" borderId="3" xfId="0" applyNumberFormat="1" applyFont="1" applyFill="1" applyBorder="1" applyAlignment="1">
      <alignment horizontal="center" vertical="center"/>
    </xf>
    <xf numFmtId="0" fontId="86" fillId="0" borderId="3" xfId="0" applyFont="1" applyFill="1" applyBorder="1" applyAlignment="1">
      <alignment horizontal="center" vertical="center"/>
    </xf>
    <xf numFmtId="0" fontId="31" fillId="0" borderId="3" xfId="0" applyFont="1" applyFill="1" applyBorder="1" applyAlignment="1">
      <alignment horizontal="center" vertical="center" wrapText="1" shrinkToFit="1"/>
    </xf>
    <xf numFmtId="0" fontId="76" fillId="0" borderId="0" xfId="0" applyNumberFormat="1" applyFont="1" applyFill="1" applyAlignment="1">
      <alignment horizontal="center" vertical="center" wrapText="1" shrinkToFit="1"/>
    </xf>
    <xf numFmtId="0" fontId="66" fillId="0" borderId="1" xfId="0" applyFont="1" applyFill="1" applyBorder="1" applyAlignment="1">
      <alignment horizontal="left" vertical="center" wrapText="1" shrinkToFit="1"/>
    </xf>
    <xf numFmtId="0" fontId="36" fillId="0" borderId="2" xfId="0" applyFont="1" applyFill="1" applyBorder="1" applyAlignment="1">
      <alignment horizontal="left" vertical="center" wrapText="1" shrinkToFit="1"/>
    </xf>
    <xf numFmtId="0" fontId="96" fillId="0" borderId="2" xfId="0" applyNumberFormat="1" applyFont="1" applyFill="1" applyBorder="1" applyAlignment="1">
      <alignment horizontal="center" vertical="center" wrapText="1" shrinkToFit="1"/>
    </xf>
    <xf numFmtId="0" fontId="36" fillId="0" borderId="2" xfId="0" applyNumberFormat="1" applyFont="1" applyFill="1" applyBorder="1" applyAlignment="1">
      <alignment horizontal="center" vertical="center"/>
    </xf>
    <xf numFmtId="0" fontId="52" fillId="0" borderId="2" xfId="0" applyFont="1" applyFill="1" applyBorder="1" applyAlignment="1">
      <alignment horizontal="left" vertical="center" wrapText="1" shrinkToFit="1"/>
    </xf>
    <xf numFmtId="0" fontId="36" fillId="0" borderId="1" xfId="0" applyFont="1" applyFill="1" applyBorder="1" applyAlignment="1">
      <alignment horizontal="left" vertical="center" wrapText="1" shrinkToFit="1"/>
    </xf>
    <xf numFmtId="0" fontId="96" fillId="0" borderId="1" xfId="0" applyNumberFormat="1" applyFont="1" applyFill="1" applyBorder="1" applyAlignment="1">
      <alignment horizontal="center" vertical="center" wrapText="1" shrinkToFit="1"/>
    </xf>
    <xf numFmtId="0" fontId="36" fillId="0" borderId="1" xfId="0" applyNumberFormat="1" applyFont="1" applyFill="1" applyBorder="1" applyAlignment="1">
      <alignment horizontal="center" vertical="center"/>
    </xf>
    <xf numFmtId="0" fontId="96" fillId="0" borderId="3" xfId="0" applyNumberFormat="1" applyFont="1" applyFill="1" applyBorder="1" applyAlignment="1">
      <alignment horizontal="center" vertical="center" wrapText="1" shrinkToFit="1"/>
    </xf>
    <xf numFmtId="0" fontId="36" fillId="0" borderId="3" xfId="0" applyNumberFormat="1" applyFont="1" applyFill="1" applyBorder="1" applyAlignment="1">
      <alignment horizontal="center" vertical="center"/>
    </xf>
    <xf numFmtId="0" fontId="36" fillId="0" borderId="3" xfId="0" applyFont="1" applyFill="1" applyBorder="1" applyAlignment="1">
      <alignment horizontal="center" vertical="center"/>
    </xf>
    <xf numFmtId="0" fontId="66" fillId="0" borderId="3" xfId="0" applyFont="1" applyFill="1" applyBorder="1" applyAlignment="1">
      <alignment horizontal="left" vertical="center" wrapText="1" shrinkToFit="1"/>
    </xf>
    <xf numFmtId="0" fontId="13" fillId="0" borderId="3" xfId="0" applyNumberFormat="1" applyFont="1" applyFill="1" applyBorder="1" applyAlignment="1">
      <alignment horizontal="center" vertical="center" wrapText="1" shrinkToFit="1"/>
    </xf>
    <xf numFmtId="0" fontId="66" fillId="0" borderId="9" xfId="0" applyNumberFormat="1" applyFont="1" applyFill="1" applyBorder="1" applyAlignment="1">
      <alignment horizontal="center" vertical="center"/>
    </xf>
    <xf numFmtId="0" fontId="66" fillId="0" borderId="9" xfId="0" applyFont="1" applyFill="1" applyBorder="1" applyAlignment="1">
      <alignment horizontal="center" vertical="center"/>
    </xf>
    <xf numFmtId="184" fontId="36" fillId="0" borderId="2" xfId="0" applyNumberFormat="1" applyFont="1" applyFill="1" applyBorder="1" applyAlignment="1">
      <alignment horizontal="center" vertical="center"/>
    </xf>
    <xf numFmtId="0" fontId="36" fillId="0" borderId="9" xfId="0" applyNumberFormat="1" applyFont="1" applyFill="1" applyBorder="1" applyAlignment="1">
      <alignment horizontal="center" vertical="center"/>
    </xf>
    <xf numFmtId="0" fontId="36" fillId="0" borderId="9" xfId="0" applyFont="1" applyFill="1" applyBorder="1" applyAlignment="1">
      <alignment horizontal="center" vertical="center"/>
    </xf>
    <xf numFmtId="186" fontId="1" fillId="0" borderId="3" xfId="0" applyNumberFormat="1" applyFont="1" applyFill="1" applyBorder="1" applyAlignment="1">
      <alignment horizontal="center" vertical="center"/>
    </xf>
    <xf numFmtId="186" fontId="66" fillId="0" borderId="0" xfId="0" applyNumberFormat="1" applyFont="1" applyFill="1" applyAlignment="1">
      <alignment horizontal="center" vertical="center"/>
    </xf>
    <xf numFmtId="0" fontId="66" fillId="0" borderId="0" xfId="0" applyNumberFormat="1" applyFont="1" applyFill="1" applyAlignment="1">
      <alignment horizontal="center" vertical="center"/>
    </xf>
    <xf numFmtId="184" fontId="66" fillId="0" borderId="3" xfId="0" applyNumberFormat="1" applyFont="1" applyFill="1" applyBorder="1" applyAlignment="1">
      <alignment horizontal="center" vertical="center"/>
    </xf>
    <xf numFmtId="0" fontId="1" fillId="0" borderId="3" xfId="0" applyNumberFormat="1" applyFont="1" applyFill="1" applyBorder="1" applyAlignment="1">
      <alignment horizontal="center" vertical="center"/>
    </xf>
    <xf numFmtId="184" fontId="1" fillId="0" borderId="3" xfId="0" applyNumberFormat="1" applyFont="1" applyFill="1" applyBorder="1" applyAlignment="1">
      <alignment horizontal="center" vertical="center"/>
    </xf>
    <xf numFmtId="184" fontId="91" fillId="0" borderId="9" xfId="0" applyNumberFormat="1" applyFont="1" applyFill="1" applyBorder="1" applyAlignment="1">
      <alignment horizontal="center" vertical="center" wrapText="1" shrinkToFit="1"/>
    </xf>
    <xf numFmtId="184" fontId="91" fillId="0" borderId="1" xfId="0" applyNumberFormat="1" applyFont="1" applyFill="1" applyBorder="1" applyAlignment="1">
      <alignment horizontal="center" vertical="center" wrapText="1" shrinkToFit="1"/>
    </xf>
    <xf numFmtId="184" fontId="53" fillId="0" borderId="3" xfId="0" applyNumberFormat="1" applyFont="1" applyFill="1" applyBorder="1" applyAlignment="1">
      <alignment horizontal="center" vertical="center" wrapText="1" shrinkToFit="1"/>
    </xf>
    <xf numFmtId="184" fontId="53" fillId="0" borderId="2" xfId="0" applyNumberFormat="1" applyFont="1" applyFill="1" applyBorder="1" applyAlignment="1">
      <alignment horizontal="center" vertical="center" wrapText="1" shrinkToFit="1"/>
    </xf>
    <xf numFmtId="184" fontId="53" fillId="0" borderId="9" xfId="0" applyNumberFormat="1" applyFont="1" applyFill="1" applyBorder="1" applyAlignment="1">
      <alignment horizontal="center" vertical="center" wrapText="1" shrinkToFit="1"/>
    </xf>
    <xf numFmtId="184" fontId="53" fillId="0" borderId="1" xfId="0" applyNumberFormat="1" applyFont="1" applyFill="1" applyBorder="1" applyAlignment="1">
      <alignment horizontal="center" vertical="center" wrapText="1" shrinkToFit="1"/>
    </xf>
    <xf numFmtId="0" fontId="11" fillId="0" borderId="2" xfId="0" applyFont="1" applyFill="1" applyBorder="1" applyAlignment="1" applyProtection="1">
      <alignment horizontal="center" vertical="center" wrapText="1"/>
      <protection locked="0"/>
    </xf>
    <xf numFmtId="0" fontId="11" fillId="0" borderId="2" xfId="0" applyFont="1" applyFill="1" applyBorder="1" applyAlignment="1" applyProtection="1">
      <alignment horizontal="center" vertical="center" wrapText="1" shrinkToFit="1"/>
      <protection locked="0"/>
    </xf>
    <xf numFmtId="179" fontId="10" fillId="2" borderId="3" xfId="0" applyNumberFormat="1" applyFont="1" applyFill="1" applyBorder="1" applyAlignment="1">
      <alignment horizontal="center" vertical="center" shrinkToFit="1"/>
    </xf>
    <xf numFmtId="0" fontId="11" fillId="2" borderId="2" xfId="0" applyFont="1" applyFill="1" applyBorder="1" applyAlignment="1">
      <alignment horizontal="center" vertical="center" wrapText="1"/>
    </xf>
    <xf numFmtId="0" fontId="11" fillId="20" borderId="2" xfId="0" applyFont="1" applyFill="1" applyBorder="1" applyAlignment="1">
      <alignment horizontal="center" vertical="center" wrapText="1" shrinkToFit="1"/>
    </xf>
    <xf numFmtId="0" fontId="1" fillId="2" borderId="3" xfId="0" applyNumberFormat="1" applyFont="1" applyFill="1" applyBorder="1" applyAlignment="1">
      <alignment horizontal="center" vertical="center" shrinkToFit="1"/>
    </xf>
    <xf numFmtId="0" fontId="1" fillId="2" borderId="2" xfId="0" applyFont="1" applyFill="1" applyBorder="1" applyAlignment="1">
      <alignment horizontal="center" vertical="center" wrapText="1" shrinkToFit="1"/>
    </xf>
    <xf numFmtId="0" fontId="13" fillId="20" borderId="2" xfId="0" applyFont="1" applyFill="1" applyBorder="1" applyAlignment="1">
      <alignment horizontal="center" vertical="center" wrapText="1"/>
    </xf>
    <xf numFmtId="0" fontId="11" fillId="2" borderId="2" xfId="0" applyFont="1" applyFill="1" applyBorder="1" applyAlignment="1">
      <alignment horizontal="center" vertical="center" wrapText="1" shrinkToFit="1"/>
    </xf>
    <xf numFmtId="178" fontId="11" fillId="0" borderId="3" xfId="0" applyNumberFormat="1" applyFont="1" applyFill="1" applyBorder="1" applyAlignment="1">
      <alignment horizontal="center" vertical="center" wrapText="1" shrinkToFit="1"/>
    </xf>
    <xf numFmtId="0" fontId="45" fillId="0" borderId="2" xfId="0" applyNumberFormat="1" applyFont="1" applyFill="1" applyBorder="1" applyAlignment="1">
      <alignment horizontal="center" vertical="center" wrapText="1"/>
    </xf>
    <xf numFmtId="179" fontId="12" fillId="0" borderId="2" xfId="0" applyNumberFormat="1" applyFont="1" applyFill="1" applyBorder="1" applyAlignment="1">
      <alignment horizontal="center" vertical="center" shrinkToFit="1"/>
    </xf>
    <xf numFmtId="0" fontId="4" fillId="0" borderId="0" xfId="0" applyFont="1" applyFill="1" applyAlignment="1">
      <alignment horizontal="center" vertical="center" wrapText="1"/>
    </xf>
    <xf numFmtId="0" fontId="1" fillId="0" borderId="0" xfId="0" applyFont="1" applyFill="1" applyAlignment="1" applyProtection="1">
      <alignment horizontal="center" vertical="center"/>
      <protection locked="0"/>
    </xf>
    <xf numFmtId="3" fontId="1" fillId="20" borderId="2" xfId="0" applyNumberFormat="1" applyFont="1" applyFill="1" applyBorder="1" applyAlignment="1">
      <alignment horizontal="center" vertical="center"/>
    </xf>
    <xf numFmtId="0" fontId="24" fillId="20" borderId="2" xfId="0" applyFont="1" applyFill="1" applyBorder="1" applyAlignment="1">
      <alignment horizontal="center" vertical="center" wrapText="1" shrinkToFit="1"/>
    </xf>
    <xf numFmtId="0" fontId="1" fillId="20" borderId="2" xfId="0" applyFont="1" applyFill="1" applyBorder="1" applyAlignment="1">
      <alignment horizontal="center" vertical="center" wrapText="1" shrinkToFit="1"/>
    </xf>
    <xf numFmtId="186" fontId="1" fillId="20" borderId="2" xfId="0" applyNumberFormat="1" applyFont="1" applyFill="1" applyBorder="1" applyAlignment="1">
      <alignment horizontal="center" vertical="center"/>
    </xf>
    <xf numFmtId="179" fontId="13" fillId="2" borderId="2" xfId="0" applyNumberFormat="1" applyFont="1" applyFill="1" applyBorder="1" applyAlignment="1">
      <alignment horizontal="center" vertical="center" wrapText="1" shrinkToFit="1"/>
    </xf>
    <xf numFmtId="180" fontId="13" fillId="2" borderId="2" xfId="0" applyNumberFormat="1" applyFont="1" applyFill="1" applyBorder="1" applyAlignment="1">
      <alignment horizontal="center" vertical="center" wrapText="1"/>
    </xf>
    <xf numFmtId="0" fontId="1" fillId="20" borderId="2" xfId="0" applyFont="1" applyFill="1" applyBorder="1" applyAlignment="1">
      <alignment horizontal="center" vertical="center"/>
    </xf>
    <xf numFmtId="186" fontId="4" fillId="0" borderId="0" xfId="0" applyNumberFormat="1" applyFont="1" applyFill="1" applyAlignment="1">
      <alignment horizontal="center" vertical="center" wrapText="1"/>
    </xf>
    <xf numFmtId="180" fontId="1" fillId="0" borderId="0" xfId="0" applyNumberFormat="1" applyFont="1" applyFill="1" applyAlignment="1">
      <alignment horizontal="center" vertical="center"/>
    </xf>
    <xf numFmtId="3" fontId="2" fillId="0" borderId="2" xfId="0" applyNumberFormat="1" applyFont="1" applyFill="1" applyBorder="1" applyAlignment="1">
      <alignment horizontal="center" vertical="center"/>
    </xf>
    <xf numFmtId="180" fontId="80" fillId="2" borderId="2" xfId="0" applyNumberFormat="1" applyFont="1" applyFill="1" applyBorder="1" applyAlignment="1" applyProtection="1">
      <alignment horizontal="center" vertical="center" wrapText="1"/>
      <protection locked="0"/>
    </xf>
    <xf numFmtId="180" fontId="80" fillId="2" borderId="11" xfId="0" applyNumberFormat="1" applyFont="1" applyFill="1" applyBorder="1" applyAlignment="1" applyProtection="1">
      <alignment horizontal="center" vertical="center" wrapText="1"/>
      <protection locked="0"/>
    </xf>
    <xf numFmtId="58" fontId="45" fillId="0" borderId="2" xfId="0" applyNumberFormat="1" applyFont="1" applyFill="1" applyBorder="1" applyAlignment="1">
      <alignment horizontal="center" vertical="center"/>
    </xf>
    <xf numFmtId="180" fontId="80" fillId="0" borderId="2" xfId="0" applyNumberFormat="1" applyFont="1" applyFill="1" applyBorder="1" applyAlignment="1">
      <alignment horizontal="center" vertical="center" wrapText="1"/>
    </xf>
    <xf numFmtId="0" fontId="48" fillId="0" borderId="0" xfId="0" applyNumberFormat="1" applyFont="1" applyFill="1" applyBorder="1" applyAlignment="1">
      <alignment horizontal="center" vertical="center" wrapText="1"/>
    </xf>
    <xf numFmtId="179" fontId="27" fillId="2" borderId="2" xfId="0" applyNumberFormat="1" applyFont="1" applyFill="1" applyBorder="1" applyAlignment="1">
      <alignment horizontal="center" vertical="center" wrapText="1" shrinkToFit="1"/>
    </xf>
    <xf numFmtId="182" fontId="1" fillId="20" borderId="2" xfId="0" applyNumberFormat="1" applyFont="1" applyFill="1" applyBorder="1" applyAlignment="1">
      <alignment horizontal="center" vertical="center" wrapText="1" shrinkToFit="1"/>
    </xf>
    <xf numFmtId="181" fontId="1" fillId="20" borderId="2" xfId="0" applyNumberFormat="1" applyFont="1" applyFill="1" applyBorder="1" applyAlignment="1">
      <alignment horizontal="center" vertical="center"/>
    </xf>
    <xf numFmtId="0" fontId="31" fillId="2" borderId="2" xfId="0" applyFont="1" applyFill="1" applyBorder="1" applyAlignment="1">
      <alignment horizontal="center" vertical="center"/>
    </xf>
    <xf numFmtId="0" fontId="31" fillId="2" borderId="2" xfId="0" applyFont="1" applyFill="1" applyBorder="1" applyAlignment="1">
      <alignment horizontal="center" vertical="center" wrapText="1" shrinkToFit="1"/>
    </xf>
    <xf numFmtId="190" fontId="1" fillId="0" borderId="0" xfId="0" applyNumberFormat="1" applyFont="1" applyFill="1" applyAlignment="1">
      <alignment horizontal="center" vertical="center"/>
    </xf>
    <xf numFmtId="191" fontId="4" fillId="0" borderId="0" xfId="0" applyNumberFormat="1" applyFont="1" applyFill="1" applyAlignment="1">
      <alignment horizontal="center" vertical="center"/>
    </xf>
    <xf numFmtId="0" fontId="1" fillId="2" borderId="2" xfId="0" applyFont="1" applyFill="1" applyBorder="1" applyAlignment="1">
      <alignment horizontal="left" vertical="center" wrapText="1" shrinkToFit="1"/>
    </xf>
    <xf numFmtId="0" fontId="13" fillId="20" borderId="2" xfId="0" applyNumberFormat="1" applyFont="1" applyFill="1" applyBorder="1" applyAlignment="1">
      <alignment horizontal="center" vertical="center" wrapText="1" shrinkToFit="1"/>
    </xf>
    <xf numFmtId="0" fontId="13" fillId="2" borderId="3" xfId="0" applyNumberFormat="1" applyFont="1" applyFill="1" applyBorder="1" applyAlignment="1">
      <alignment horizontal="center" vertical="center" wrapText="1" shrinkToFit="1"/>
    </xf>
    <xf numFmtId="0"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184" fontId="4" fillId="0" borderId="0" xfId="0" applyNumberFormat="1" applyFont="1" applyFill="1" applyAlignment="1">
      <alignment horizontal="center" vertical="center" wrapText="1"/>
    </xf>
    <xf numFmtId="180" fontId="1" fillId="0" borderId="0" xfId="0" applyNumberFormat="1" applyFont="1" applyFill="1" applyBorder="1" applyAlignment="1">
      <alignment horizontal="center" vertical="center" wrapText="1"/>
    </xf>
    <xf numFmtId="0" fontId="31" fillId="0" borderId="0" xfId="0" applyNumberFormat="1" applyFont="1" applyFill="1" applyAlignment="1">
      <alignment horizontal="center" vertical="center"/>
    </xf>
    <xf numFmtId="186" fontId="1" fillId="2" borderId="2" xfId="0" applyNumberFormat="1" applyFont="1" applyFill="1" applyBorder="1" applyAlignment="1">
      <alignment horizontal="center" vertical="center"/>
    </xf>
    <xf numFmtId="186" fontId="1" fillId="2" borderId="0" xfId="0" applyNumberFormat="1" applyFont="1" applyFill="1" applyAlignment="1">
      <alignment horizontal="center" vertical="center"/>
    </xf>
    <xf numFmtId="184" fontId="1" fillId="2" borderId="2" xfId="0" applyNumberFormat="1" applyFont="1" applyFill="1" applyBorder="1" applyAlignment="1">
      <alignment horizontal="center" vertical="center"/>
    </xf>
    <xf numFmtId="0" fontId="1" fillId="2" borderId="3" xfId="0" applyNumberFormat="1" applyFont="1" applyFill="1" applyBorder="1" applyAlignment="1">
      <alignment horizontal="center" vertical="center"/>
    </xf>
    <xf numFmtId="186" fontId="1" fillId="0" borderId="0" xfId="0" applyNumberFormat="1" applyFont="1" applyFill="1" applyAlignment="1">
      <alignment horizontal="center" vertical="center"/>
    </xf>
    <xf numFmtId="0" fontId="1" fillId="2" borderId="3" xfId="0" applyNumberFormat="1" applyFont="1" applyFill="1" applyBorder="1" applyAlignment="1">
      <alignment horizontal="center" vertical="center"/>
    </xf>
    <xf numFmtId="180" fontId="31" fillId="0" borderId="0" xfId="0" applyNumberFormat="1" applyFont="1" applyFill="1" applyAlignment="1">
      <alignment horizontal="center" vertical="center" wrapText="1"/>
    </xf>
    <xf numFmtId="184" fontId="4" fillId="2" borderId="3" xfId="0" applyNumberFormat="1" applyFont="1" applyFill="1" applyBorder="1" applyAlignment="1">
      <alignment horizontal="center" vertical="center" wrapText="1" shrinkToFit="1"/>
    </xf>
    <xf numFmtId="184" fontId="4" fillId="2" borderId="2" xfId="0" applyNumberFormat="1" applyFont="1" applyFill="1" applyBorder="1" applyAlignment="1">
      <alignment horizontal="center" vertical="center" wrapText="1" shrinkToFit="1"/>
    </xf>
    <xf numFmtId="184" fontId="4" fillId="2" borderId="3" xfId="0" applyNumberFormat="1" applyFont="1" applyFill="1" applyBorder="1" applyAlignment="1">
      <alignment horizontal="center" vertical="center" wrapText="1" shrinkToFit="1"/>
    </xf>
    <xf numFmtId="0" fontId="89" fillId="0" borderId="0" xfId="0" applyFont="1" applyFill="1" applyAlignment="1">
      <alignment horizontal="center" vertical="center"/>
    </xf>
    <xf numFmtId="0" fontId="1" fillId="3" borderId="2" xfId="0" applyFont="1" applyFill="1" applyBorder="1" applyAlignment="1">
      <alignment horizontal="center" vertical="center" wrapText="1" shrinkToFit="1"/>
    </xf>
    <xf numFmtId="0" fontId="76" fillId="0" borderId="2" xfId="0" applyFont="1" applyFill="1" applyBorder="1" applyAlignment="1" applyProtection="1">
      <alignment horizontal="center" vertical="center" wrapText="1"/>
      <protection locked="0"/>
    </xf>
    <xf numFmtId="180" fontId="76" fillId="0" borderId="1" xfId="0" applyNumberFormat="1" applyFont="1" applyFill="1" applyBorder="1" applyAlignment="1" applyProtection="1">
      <alignment horizontal="center" vertical="center" wrapText="1"/>
      <protection locked="0"/>
    </xf>
    <xf numFmtId="180" fontId="97" fillId="0" borderId="4" xfId="0" applyNumberFormat="1" applyFont="1" applyFill="1" applyBorder="1" applyAlignment="1" applyProtection="1">
      <alignment horizontal="center" vertical="center" wrapText="1"/>
      <protection locked="0"/>
    </xf>
    <xf numFmtId="0" fontId="100" fillId="8" borderId="2" xfId="0" applyFont="1" applyFill="1" applyBorder="1" applyAlignment="1">
      <alignment horizontal="center" vertical="center" wrapText="1" shrinkToFit="1"/>
    </xf>
    <xf numFmtId="182" fontId="66" fillId="2" borderId="2" xfId="0" applyNumberFormat="1" applyFont="1" applyFill="1" applyBorder="1" applyAlignment="1">
      <alignment horizontal="center" vertical="center" wrapText="1" shrinkToFit="1"/>
    </xf>
    <xf numFmtId="179" fontId="81" fillId="0" borderId="2" xfId="0" applyNumberFormat="1" applyFont="1" applyFill="1" applyBorder="1" applyAlignment="1" applyProtection="1">
      <alignment horizontal="center" vertical="center" wrapText="1" shrinkToFit="1"/>
      <protection locked="0"/>
    </xf>
    <xf numFmtId="0" fontId="101" fillId="8" borderId="2" xfId="0" applyFont="1" applyFill="1" applyBorder="1" applyAlignment="1">
      <alignment horizontal="center" vertical="center" wrapText="1" shrinkToFit="1"/>
    </xf>
    <xf numFmtId="0" fontId="101" fillId="0" borderId="2" xfId="0" applyFont="1" applyFill="1" applyBorder="1" applyAlignment="1">
      <alignment horizontal="center" vertical="center" wrapText="1" shrinkToFit="1"/>
    </xf>
    <xf numFmtId="0" fontId="85" fillId="0" borderId="2" xfId="0" applyFont="1" applyFill="1" applyBorder="1" applyAlignment="1" applyProtection="1">
      <alignment horizontal="center" vertical="center" wrapText="1" shrinkToFit="1"/>
      <protection locked="0"/>
    </xf>
    <xf numFmtId="178" fontId="85" fillId="0" borderId="2" xfId="0" applyNumberFormat="1" applyFont="1" applyFill="1" applyBorder="1" applyAlignment="1" applyProtection="1">
      <alignment horizontal="center" vertical="center" wrapText="1" shrinkToFit="1"/>
    </xf>
    <xf numFmtId="0" fontId="85" fillId="0" borderId="1" xfId="0" applyFont="1" applyFill="1" applyBorder="1" applyAlignment="1" applyProtection="1">
      <alignment horizontal="center" vertical="center" wrapText="1" shrinkToFit="1"/>
      <protection locked="0"/>
    </xf>
    <xf numFmtId="0" fontId="85" fillId="0" borderId="1" xfId="0" applyFont="1" applyFill="1" applyBorder="1" applyAlignment="1" applyProtection="1">
      <alignment horizontal="center" vertical="center"/>
      <protection locked="0"/>
    </xf>
    <xf numFmtId="0" fontId="66" fillId="8" borderId="2" xfId="0" applyFont="1" applyFill="1" applyBorder="1" applyAlignment="1">
      <alignment horizontal="center" vertical="center"/>
    </xf>
    <xf numFmtId="0" fontId="96" fillId="0" borderId="4" xfId="0" applyFont="1" applyFill="1" applyBorder="1" applyAlignment="1" applyProtection="1">
      <alignment horizontal="center" vertical="center" wrapText="1"/>
      <protection locked="0"/>
    </xf>
    <xf numFmtId="180" fontId="96" fillId="0" borderId="1" xfId="0" applyNumberFormat="1" applyFont="1" applyFill="1" applyBorder="1" applyAlignment="1" applyProtection="1">
      <alignment horizontal="center" vertical="center" wrapText="1"/>
      <protection locked="0"/>
    </xf>
    <xf numFmtId="180" fontId="76" fillId="0" borderId="4" xfId="0" applyNumberFormat="1" applyFont="1" applyFill="1" applyBorder="1" applyAlignment="1" applyProtection="1">
      <alignment horizontal="center" vertical="center" wrapText="1"/>
      <protection locked="0"/>
    </xf>
    <xf numFmtId="0" fontId="102" fillId="0" borderId="2" xfId="0" applyFont="1" applyFill="1" applyBorder="1" applyAlignment="1" applyProtection="1">
      <alignment horizontal="center" vertical="center" wrapText="1" shrinkToFit="1"/>
      <protection locked="0"/>
    </xf>
    <xf numFmtId="182" fontId="36" fillId="2" borderId="2" xfId="0" applyNumberFormat="1" applyFont="1" applyFill="1" applyBorder="1" applyAlignment="1">
      <alignment horizontal="center" vertical="center" wrapText="1" shrinkToFit="1"/>
    </xf>
    <xf numFmtId="0" fontId="103" fillId="0" borderId="2" xfId="0" applyNumberFormat="1" applyFont="1" applyFill="1" applyBorder="1" applyAlignment="1" applyProtection="1">
      <alignment horizontal="center" vertical="center"/>
      <protection locked="0"/>
    </xf>
    <xf numFmtId="179" fontId="74" fillId="0" borderId="2" xfId="6" applyNumberFormat="1" applyFont="1" applyFill="1" applyBorder="1" applyAlignment="1">
      <alignment horizontal="center" vertical="center" wrapText="1" shrinkToFit="1"/>
    </xf>
    <xf numFmtId="179" fontId="74" fillId="0" borderId="2" xfId="0" applyNumberFormat="1" applyFont="1" applyFill="1" applyBorder="1" applyAlignment="1" applyProtection="1">
      <alignment horizontal="center" vertical="center" wrapText="1" shrinkToFit="1"/>
      <protection locked="0"/>
    </xf>
    <xf numFmtId="0" fontId="36" fillId="0" borderId="0" xfId="0" applyNumberFormat="1" applyFont="1" applyFill="1" applyAlignment="1">
      <alignment horizontal="center" vertical="center"/>
    </xf>
    <xf numFmtId="0" fontId="66" fillId="8" borderId="2" xfId="0" applyNumberFormat="1" applyFont="1" applyFill="1" applyBorder="1" applyAlignment="1">
      <alignment horizontal="center" vertical="center" shrinkToFit="1"/>
    </xf>
    <xf numFmtId="0" fontId="75" fillId="8" borderId="2" xfId="0" applyNumberFormat="1" applyFont="1" applyFill="1" applyBorder="1" applyAlignment="1">
      <alignment horizontal="center" vertical="center" wrapText="1"/>
    </xf>
    <xf numFmtId="0" fontId="66" fillId="8" borderId="2" xfId="0" applyFont="1" applyFill="1" applyBorder="1" applyAlignment="1">
      <alignment horizontal="center" vertical="center" wrapText="1" shrinkToFit="1"/>
    </xf>
    <xf numFmtId="0" fontId="76" fillId="8" borderId="2" xfId="0"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179" fontId="104" fillId="0" borderId="3" xfId="0" applyNumberFormat="1" applyFont="1" applyFill="1" applyBorder="1" applyAlignment="1">
      <alignment horizontal="center" vertical="center" shrinkToFit="1"/>
    </xf>
    <xf numFmtId="0" fontId="105" fillId="0" borderId="2" xfId="0" applyFont="1" applyFill="1" applyBorder="1" applyAlignment="1">
      <alignment horizontal="center" vertical="center" wrapText="1"/>
    </xf>
    <xf numFmtId="0" fontId="105" fillId="0" borderId="2" xfId="0" applyFont="1" applyFill="1" applyBorder="1" applyAlignment="1">
      <alignment horizontal="center" vertical="center" wrapText="1" shrinkToFit="1"/>
    </xf>
    <xf numFmtId="0" fontId="89" fillId="0" borderId="3" xfId="0" applyNumberFormat="1" applyFont="1" applyFill="1" applyBorder="1" applyAlignment="1">
      <alignment horizontal="center" vertical="center" shrinkToFit="1"/>
    </xf>
    <xf numFmtId="0" fontId="106" fillId="0" borderId="2" xfId="0" applyNumberFormat="1" applyFont="1" applyFill="1" applyBorder="1" applyAlignment="1">
      <alignment horizontal="center" vertical="center" wrapText="1"/>
    </xf>
    <xf numFmtId="0" fontId="107" fillId="0"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178" fontId="27" fillId="2" borderId="2" xfId="0" applyNumberFormat="1" applyFont="1" applyFill="1" applyBorder="1" applyAlignment="1" applyProtection="1">
      <alignment horizontal="center" vertical="center" wrapText="1" shrinkToFit="1"/>
    </xf>
    <xf numFmtId="0" fontId="27" fillId="2" borderId="1" xfId="0" applyFont="1" applyFill="1" applyBorder="1" applyAlignment="1" applyProtection="1">
      <alignment horizontal="center" vertical="center" wrapText="1" shrinkToFit="1"/>
      <protection locked="0"/>
    </xf>
    <xf numFmtId="0" fontId="27" fillId="2" borderId="1" xfId="0" applyFont="1" applyFill="1" applyBorder="1" applyAlignment="1" applyProtection="1">
      <alignment horizontal="center" vertical="center"/>
      <protection locked="0"/>
    </xf>
    <xf numFmtId="0" fontId="27" fillId="2" borderId="2" xfId="0" applyFont="1" applyFill="1" applyBorder="1" applyAlignment="1" applyProtection="1">
      <alignment horizontal="center" vertical="center"/>
      <protection locked="0"/>
    </xf>
    <xf numFmtId="0" fontId="77" fillId="8" borderId="2" xfId="0" applyFont="1" applyFill="1" applyBorder="1" applyAlignment="1">
      <alignment horizontal="center" vertical="center" wrapText="1" shrinkToFit="1"/>
    </xf>
    <xf numFmtId="186" fontId="66" fillId="8" borderId="2" xfId="0" applyNumberFormat="1" applyFont="1" applyFill="1" applyBorder="1" applyAlignment="1">
      <alignment horizontal="center" vertical="center"/>
    </xf>
    <xf numFmtId="179" fontId="76" fillId="8" borderId="2" xfId="0" applyNumberFormat="1" applyFont="1" applyFill="1" applyBorder="1" applyAlignment="1">
      <alignment horizontal="center" vertical="center" wrapText="1" shrinkToFit="1"/>
    </xf>
    <xf numFmtId="179" fontId="76" fillId="3" borderId="2" xfId="0" applyNumberFormat="1" applyFont="1" applyFill="1" applyBorder="1" applyAlignment="1">
      <alignment horizontal="center" vertical="center" wrapText="1" shrinkToFit="1"/>
    </xf>
    <xf numFmtId="0" fontId="89" fillId="0" borderId="2" xfId="0" applyFont="1" applyFill="1" applyBorder="1" applyAlignment="1">
      <alignment horizontal="center" vertical="center"/>
    </xf>
    <xf numFmtId="0" fontId="108" fillId="0" borderId="2" xfId="0" applyFont="1" applyFill="1" applyBorder="1" applyAlignment="1">
      <alignment horizontal="center" vertical="center" wrapText="1" shrinkToFit="1"/>
    </xf>
    <xf numFmtId="186" fontId="89" fillId="0" borderId="2" xfId="0" applyNumberFormat="1" applyFont="1" applyFill="1" applyBorder="1" applyAlignment="1">
      <alignment horizontal="center" vertical="center"/>
    </xf>
    <xf numFmtId="179" fontId="107" fillId="0" borderId="2" xfId="0" applyNumberFormat="1" applyFont="1" applyFill="1" applyBorder="1" applyAlignment="1">
      <alignment horizontal="center" vertical="center" wrapText="1" shrinkToFit="1"/>
    </xf>
    <xf numFmtId="180" fontId="107" fillId="0" borderId="2" xfId="0" applyNumberFormat="1" applyFont="1" applyFill="1" applyBorder="1" applyAlignment="1">
      <alignment horizontal="center" vertical="center" wrapText="1"/>
    </xf>
    <xf numFmtId="0" fontId="24" fillId="2" borderId="2" xfId="0" applyFont="1" applyFill="1" applyBorder="1" applyAlignment="1">
      <alignment horizontal="center" vertical="center" wrapText="1" shrinkToFit="1"/>
    </xf>
    <xf numFmtId="0" fontId="75" fillId="3" borderId="2" xfId="0" applyNumberFormat="1" applyFont="1" applyFill="1" applyBorder="1" applyAlignment="1">
      <alignment horizontal="center" vertical="center" wrapText="1"/>
    </xf>
    <xf numFmtId="180" fontId="109" fillId="0" borderId="2" xfId="0" applyNumberFormat="1" applyFont="1" applyFill="1" applyBorder="1" applyAlignment="1" applyProtection="1">
      <alignment horizontal="center" vertical="center" wrapText="1"/>
      <protection locked="0"/>
    </xf>
    <xf numFmtId="0" fontId="106" fillId="3" borderId="2" xfId="0" applyNumberFormat="1" applyFont="1" applyFill="1" applyBorder="1" applyAlignment="1">
      <alignment horizontal="center" vertical="center" wrapText="1"/>
    </xf>
    <xf numFmtId="180" fontId="13" fillId="2" borderId="2" xfId="0" applyNumberFormat="1" applyFont="1" applyFill="1" applyBorder="1" applyAlignment="1" applyProtection="1">
      <alignment horizontal="center" vertical="center" wrapText="1"/>
      <protection locked="0"/>
    </xf>
    <xf numFmtId="180" fontId="80" fillId="2" borderId="4" xfId="0" applyNumberFormat="1" applyFont="1" applyFill="1" applyBorder="1" applyAlignment="1" applyProtection="1">
      <alignment horizontal="center" vertical="center" wrapText="1"/>
      <protection locked="0"/>
    </xf>
    <xf numFmtId="180" fontId="11" fillId="2" borderId="2" xfId="0" applyNumberFormat="1" applyFont="1" applyFill="1" applyBorder="1" applyAlignment="1" applyProtection="1">
      <alignment horizontal="center" vertical="center" wrapText="1" shrinkToFit="1"/>
      <protection locked="0"/>
    </xf>
    <xf numFmtId="180" fontId="45" fillId="2" borderId="2" xfId="0" applyNumberFormat="1" applyFont="1" applyFill="1" applyBorder="1" applyAlignment="1" applyProtection="1">
      <alignment horizontal="center" vertical="center" wrapText="1"/>
      <protection locked="0"/>
    </xf>
    <xf numFmtId="182" fontId="1" fillId="2" borderId="2" xfId="0" applyNumberFormat="1" applyFont="1" applyFill="1" applyBorder="1" applyAlignment="1">
      <alignment horizontal="center" vertical="center" wrapText="1" shrinkToFit="1"/>
    </xf>
    <xf numFmtId="182" fontId="89" fillId="0" borderId="2" xfId="0" applyNumberFormat="1" applyFont="1" applyFill="1" applyBorder="1" applyAlignment="1">
      <alignment horizontal="center" vertical="center" wrapText="1" shrinkToFit="1"/>
    </xf>
    <xf numFmtId="181" fontId="89" fillId="0" borderId="2" xfId="0" applyNumberFormat="1" applyFont="1" applyFill="1" applyBorder="1" applyAlignment="1">
      <alignment horizontal="center" vertical="center"/>
    </xf>
    <xf numFmtId="0" fontId="110" fillId="0" borderId="2" xfId="0" applyFont="1" applyFill="1" applyBorder="1" applyAlignment="1">
      <alignment horizontal="center" vertical="center"/>
    </xf>
    <xf numFmtId="0" fontId="110" fillId="0" borderId="2" xfId="0" applyFont="1" applyFill="1" applyBorder="1" applyAlignment="1">
      <alignment horizontal="center" vertical="center" wrapText="1" shrinkToFit="1"/>
    </xf>
    <xf numFmtId="181" fontId="1" fillId="2" borderId="2" xfId="0" applyNumberFormat="1" applyFont="1" applyFill="1" applyBorder="1" applyAlignment="1">
      <alignment horizontal="center" vertical="center"/>
    </xf>
    <xf numFmtId="0" fontId="89" fillId="0" borderId="2" xfId="0" applyFont="1" applyFill="1" applyBorder="1" applyAlignment="1">
      <alignment horizontal="left" vertical="center" wrapText="1" shrinkToFit="1"/>
    </xf>
    <xf numFmtId="0" fontId="107" fillId="0" borderId="2" xfId="0" applyNumberFormat="1" applyFont="1" applyFill="1" applyBorder="1" applyAlignment="1">
      <alignment horizontal="center" vertical="center" wrapText="1" shrinkToFit="1"/>
    </xf>
    <xf numFmtId="0" fontId="107" fillId="0" borderId="3" xfId="0" applyNumberFormat="1" applyFont="1" applyFill="1" applyBorder="1" applyAlignment="1">
      <alignment horizontal="center" vertical="center" wrapText="1" shrinkToFit="1"/>
    </xf>
    <xf numFmtId="0" fontId="89" fillId="0" borderId="3" xfId="0" applyNumberFormat="1" applyFont="1" applyFill="1" applyBorder="1" applyAlignment="1">
      <alignment horizontal="center" vertical="center"/>
    </xf>
    <xf numFmtId="0" fontId="89" fillId="2" borderId="2" xfId="0" applyFont="1" applyFill="1" applyBorder="1" applyAlignment="1">
      <alignment horizontal="center" vertical="center" wrapText="1" shrinkToFit="1"/>
    </xf>
    <xf numFmtId="0" fontId="13" fillId="2" borderId="2" xfId="0" applyNumberFormat="1" applyFont="1" applyFill="1" applyBorder="1" applyAlignment="1">
      <alignment horizontal="center" vertical="center" wrapText="1" shrinkToFit="1"/>
    </xf>
    <xf numFmtId="0" fontId="13" fillId="2" borderId="1" xfId="0" applyNumberFormat="1" applyFont="1" applyFill="1" applyBorder="1" applyAlignment="1">
      <alignment horizontal="center" vertical="center" wrapText="1" shrinkToFit="1"/>
    </xf>
    <xf numFmtId="0" fontId="1" fillId="2" borderId="1" xfId="0" applyNumberFormat="1" applyFont="1" applyFill="1" applyBorder="1" applyAlignment="1">
      <alignment horizontal="center" vertical="center"/>
    </xf>
    <xf numFmtId="0" fontId="89" fillId="0" borderId="3" xfId="0" applyFont="1" applyFill="1" applyBorder="1" applyAlignment="1">
      <alignment horizontal="center" vertical="center"/>
    </xf>
    <xf numFmtId="184" fontId="111" fillId="0" borderId="3" xfId="0" applyNumberFormat="1" applyFont="1" applyFill="1" applyBorder="1" applyAlignment="1">
      <alignment horizontal="center" vertical="center" wrapText="1" shrinkToFit="1"/>
    </xf>
    <xf numFmtId="184" fontId="111" fillId="0" borderId="2" xfId="0" applyNumberFormat="1" applyFont="1" applyFill="1" applyBorder="1" applyAlignment="1">
      <alignment horizontal="center" vertical="center" wrapText="1" shrinkToFit="1"/>
    </xf>
    <xf numFmtId="0" fontId="31" fillId="0" borderId="3" xfId="0" applyNumberFormat="1" applyFont="1" applyFill="1" applyBorder="1" applyAlignment="1">
      <alignment horizontal="center" vertical="center" shrinkToFit="1"/>
    </xf>
    <xf numFmtId="0" fontId="110" fillId="0" borderId="3" xfId="0" applyNumberFormat="1" applyFont="1" applyFill="1" applyBorder="1" applyAlignment="1">
      <alignment horizontal="center" vertical="center" shrinkToFit="1"/>
    </xf>
    <xf numFmtId="179" fontId="12" fillId="0" borderId="1" xfId="0" applyNumberFormat="1" applyFont="1" applyFill="1" applyBorder="1" applyAlignment="1" applyProtection="1">
      <alignment horizontal="center" vertical="center" shrinkToFit="1"/>
    </xf>
    <xf numFmtId="0" fontId="1" fillId="0" borderId="1" xfId="0" applyFont="1" applyFill="1" applyBorder="1" applyAlignment="1" applyProtection="1">
      <alignment horizontal="center" vertical="center" wrapText="1"/>
      <protection locked="0"/>
    </xf>
    <xf numFmtId="180" fontId="31" fillId="0" borderId="1"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protection locked="0"/>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shrinkToFit="1"/>
    </xf>
    <xf numFmtId="0" fontId="1" fillId="0" borderId="9"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0" fontId="13" fillId="0" borderId="1" xfId="0" applyFont="1" applyFill="1" applyBorder="1" applyAlignment="1">
      <alignment horizontal="center" vertical="center" wrapText="1"/>
    </xf>
    <xf numFmtId="179" fontId="104" fillId="0" borderId="2" xfId="0" applyNumberFormat="1" applyFont="1" applyFill="1" applyBorder="1" applyAlignment="1">
      <alignment horizontal="center" vertical="center" shrinkToFit="1"/>
    </xf>
    <xf numFmtId="0" fontId="89" fillId="0" borderId="2" xfId="0" applyNumberFormat="1" applyFont="1" applyFill="1" applyBorder="1" applyAlignment="1">
      <alignment horizontal="center" vertical="center" shrinkToFit="1"/>
    </xf>
    <xf numFmtId="179" fontId="12" fillId="0" borderId="2" xfId="0" applyNumberFormat="1" applyFont="1" applyFill="1" applyBorder="1" applyAlignment="1" applyProtection="1">
      <alignment horizontal="center" vertical="center" shrinkToFit="1"/>
    </xf>
    <xf numFmtId="0" fontId="1" fillId="0" borderId="2" xfId="0" applyFont="1" applyFill="1" applyBorder="1" applyAlignment="1" applyProtection="1">
      <alignment horizontal="center" vertical="center" wrapText="1"/>
      <protection locked="0"/>
    </xf>
    <xf numFmtId="180" fontId="31" fillId="0" borderId="2" xfId="0" applyNumberFormat="1"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protection locked="0"/>
    </xf>
    <xf numFmtId="0" fontId="1" fillId="0" borderId="3" xfId="0" applyFont="1" applyFill="1" applyBorder="1" applyAlignment="1">
      <alignment horizontal="center" vertical="center" wrapText="1" shrinkToFit="1"/>
    </xf>
    <xf numFmtId="0" fontId="13" fillId="0" borderId="3" xfId="0" applyFont="1" applyFill="1" applyBorder="1" applyAlignment="1">
      <alignment horizontal="center" vertical="center" wrapText="1"/>
    </xf>
    <xf numFmtId="3" fontId="1" fillId="0"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shrinkToFit="1"/>
    </xf>
    <xf numFmtId="186" fontId="1" fillId="0" borderId="1" xfId="0" applyNumberFormat="1" applyFont="1" applyFill="1" applyBorder="1" applyAlignment="1">
      <alignment horizontal="center" vertical="center"/>
    </xf>
    <xf numFmtId="179" fontId="13" fillId="0" borderId="1" xfId="0" applyNumberFormat="1" applyFont="1" applyFill="1" applyBorder="1" applyAlignment="1">
      <alignment horizontal="center" vertical="center" wrapText="1" shrinkToFit="1"/>
    </xf>
    <xf numFmtId="180" fontId="13" fillId="0" borderId="1" xfId="0" applyNumberFormat="1" applyFont="1" applyFill="1" applyBorder="1" applyAlignment="1">
      <alignment horizontal="center" vertical="center" wrapText="1"/>
    </xf>
    <xf numFmtId="0" fontId="24" fillId="0" borderId="3" xfId="0" applyFont="1" applyFill="1" applyBorder="1" applyAlignment="1">
      <alignment horizontal="center" vertical="center" wrapText="1" shrinkToFit="1"/>
    </xf>
    <xf numFmtId="179" fontId="13" fillId="0" borderId="3" xfId="0" applyNumberFormat="1" applyFont="1" applyFill="1" applyBorder="1" applyAlignment="1">
      <alignment horizontal="center" vertical="center" wrapText="1" shrinkToFit="1"/>
    </xf>
    <xf numFmtId="180" fontId="13" fillId="0" borderId="3"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xf>
    <xf numFmtId="180" fontId="105" fillId="0" borderId="2" xfId="0" applyNumberFormat="1" applyFont="1" applyFill="1" applyBorder="1" applyAlignment="1" applyProtection="1">
      <alignment horizontal="center" vertical="center" wrapText="1" shrinkToFit="1"/>
      <protection locked="0"/>
    </xf>
    <xf numFmtId="0" fontId="12" fillId="0" borderId="1" xfId="0" applyNumberFormat="1" applyFont="1" applyFill="1" applyBorder="1" applyAlignment="1">
      <alignment horizontal="center" vertical="center" wrapText="1"/>
    </xf>
    <xf numFmtId="180" fontId="107" fillId="0" borderId="4" xfId="0" applyNumberFormat="1" applyFont="1" applyFill="1" applyBorder="1" applyAlignment="1">
      <alignment horizontal="center" vertical="center" wrapText="1"/>
    </xf>
    <xf numFmtId="182" fontId="1" fillId="0" borderId="1" xfId="0" applyNumberFormat="1" applyFont="1" applyFill="1" applyBorder="1" applyAlignment="1">
      <alignment horizontal="center" vertical="center" wrapText="1" shrinkToFit="1"/>
    </xf>
    <xf numFmtId="181" fontId="1" fillId="0" borderId="1" xfId="0" applyNumberFormat="1" applyFont="1" applyFill="1" applyBorder="1" applyAlignment="1">
      <alignment horizontal="center" vertical="center"/>
    </xf>
    <xf numFmtId="0" fontId="31" fillId="0" borderId="1" xfId="0" applyFont="1" applyFill="1" applyBorder="1" applyAlignment="1">
      <alignment horizontal="center" vertical="center"/>
    </xf>
    <xf numFmtId="0" fontId="31" fillId="0" borderId="1" xfId="0" applyFont="1" applyFill="1" applyBorder="1" applyAlignment="1">
      <alignment horizontal="center" vertical="center" wrapText="1" shrinkToFit="1"/>
    </xf>
    <xf numFmtId="179" fontId="41" fillId="0" borderId="2" xfId="0" applyNumberFormat="1" applyFont="1" applyFill="1" applyBorder="1" applyAlignment="1">
      <alignment horizontal="center" vertical="center" wrapText="1" shrinkToFit="1"/>
    </xf>
    <xf numFmtId="182" fontId="1" fillId="0" borderId="3" xfId="0" applyNumberFormat="1" applyFont="1" applyFill="1" applyBorder="1" applyAlignment="1">
      <alignment horizontal="center" vertical="center" wrapText="1" shrinkToFit="1"/>
    </xf>
    <xf numFmtId="181" fontId="1" fillId="0" borderId="3" xfId="0" applyNumberFormat="1" applyFont="1" applyFill="1" applyBorder="1" applyAlignment="1">
      <alignment horizontal="center" vertical="center"/>
    </xf>
    <xf numFmtId="0" fontId="31" fillId="0" borderId="3" xfId="0" applyFont="1" applyFill="1" applyBorder="1" applyAlignment="1">
      <alignment horizontal="center" vertical="center"/>
    </xf>
    <xf numFmtId="0" fontId="31" fillId="2" borderId="3" xfId="0" applyFont="1" applyFill="1" applyBorder="1" applyAlignment="1">
      <alignment horizontal="center" vertical="center" wrapText="1" shrinkToFit="1"/>
    </xf>
    <xf numFmtId="0" fontId="107" fillId="0" borderId="1" xfId="0" applyNumberFormat="1" applyFont="1" applyFill="1" applyBorder="1" applyAlignment="1">
      <alignment horizontal="center" vertical="center" wrapText="1" shrinkToFit="1"/>
    </xf>
    <xf numFmtId="0" fontId="13" fillId="0" borderId="0" xfId="0" applyNumberFormat="1" applyFont="1" applyFill="1" applyAlignment="1">
      <alignment horizontal="center" vertical="center" wrapText="1" shrinkToFit="1"/>
    </xf>
    <xf numFmtId="0" fontId="1" fillId="3" borderId="2" xfId="0" applyNumberFormat="1" applyFont="1" applyFill="1" applyBorder="1" applyAlignment="1">
      <alignment horizontal="center" vertical="center"/>
    </xf>
    <xf numFmtId="0" fontId="1" fillId="0" borderId="1" xfId="0" applyFont="1" applyFill="1" applyBorder="1" applyAlignment="1">
      <alignment horizontal="left" vertical="center" wrapText="1" shrinkToFit="1"/>
    </xf>
    <xf numFmtId="0" fontId="110" fillId="0" borderId="2" xfId="0" applyFont="1" applyFill="1" applyBorder="1" applyAlignment="1">
      <alignment horizontal="left" vertical="center" wrapText="1" shrinkToFit="1"/>
    </xf>
    <xf numFmtId="0" fontId="1" fillId="0" borderId="3" xfId="0" applyFont="1" applyFill="1" applyBorder="1" applyAlignment="1">
      <alignment horizontal="left" vertical="center" wrapText="1" shrinkToFit="1"/>
    </xf>
    <xf numFmtId="0" fontId="13" fillId="2" borderId="3" xfId="0" applyNumberFormat="1" applyFont="1" applyFill="1" applyBorder="1" applyAlignment="1">
      <alignment horizontal="center" vertical="center" wrapText="1" shrinkToFit="1"/>
    </xf>
    <xf numFmtId="0" fontId="1" fillId="0" borderId="9" xfId="0" applyNumberFormat="1" applyFont="1" applyFill="1" applyBorder="1" applyAlignment="1">
      <alignment horizontal="center" vertical="center"/>
    </xf>
    <xf numFmtId="0" fontId="1" fillId="0" borderId="9" xfId="0" applyFont="1" applyFill="1" applyBorder="1" applyAlignment="1">
      <alignment horizontal="center" vertical="center"/>
    </xf>
    <xf numFmtId="0" fontId="89" fillId="0" borderId="2" xfId="0" applyNumberFormat="1" applyFont="1" applyFill="1" applyBorder="1" applyAlignment="1">
      <alignment horizontal="center" vertical="center"/>
    </xf>
    <xf numFmtId="186" fontId="1" fillId="2" borderId="3" xfId="0" applyNumberFormat="1" applyFont="1" applyFill="1" applyBorder="1" applyAlignment="1">
      <alignment horizontal="center" vertical="center"/>
    </xf>
    <xf numFmtId="186" fontId="1" fillId="2" borderId="1" xfId="0" applyNumberFormat="1" applyFont="1" applyFill="1" applyBorder="1" applyAlignment="1">
      <alignment horizontal="center" vertical="center"/>
    </xf>
    <xf numFmtId="184" fontId="1" fillId="2" borderId="3" xfId="0" applyNumberFormat="1" applyFont="1" applyFill="1" applyBorder="1" applyAlignment="1">
      <alignment horizontal="center" vertical="center"/>
    </xf>
    <xf numFmtId="184" fontId="4" fillId="3" borderId="2" xfId="0" applyNumberFormat="1" applyFont="1" applyFill="1" applyBorder="1" applyAlignment="1">
      <alignment horizontal="center" vertical="center" wrapText="1" shrinkToFit="1"/>
    </xf>
    <xf numFmtId="184" fontId="4" fillId="0" borderId="9" xfId="0" applyNumberFormat="1" applyFont="1" applyFill="1" applyBorder="1" applyAlignment="1">
      <alignment horizontal="center" vertical="center" wrapText="1" shrinkToFit="1"/>
    </xf>
    <xf numFmtId="184" fontId="4" fillId="0" borderId="1" xfId="0" applyNumberFormat="1" applyFont="1" applyFill="1" applyBorder="1" applyAlignment="1">
      <alignment horizontal="center" vertical="center" wrapText="1" shrinkToFit="1"/>
    </xf>
    <xf numFmtId="176" fontId="105" fillId="0" borderId="0" xfId="64">
      <alignment vertical="center"/>
    </xf>
    <xf numFmtId="176" fontId="105" fillId="0" borderId="0" xfId="64" applyBorder="1" applyAlignment="1">
      <alignment horizontal="center" vertical="center"/>
    </xf>
    <xf numFmtId="176" fontId="105" fillId="0" borderId="0" xfId="64" applyBorder="1">
      <alignment vertical="center"/>
    </xf>
    <xf numFmtId="176" fontId="112" fillId="21" borderId="2" xfId="60" applyNumberFormat="1" applyFont="1" applyFill="1" applyBorder="1" applyAlignment="1">
      <alignment horizontal="center" vertical="center" wrapText="1"/>
    </xf>
    <xf numFmtId="176" fontId="113" fillId="21" borderId="2" xfId="60" applyNumberFormat="1" applyFont="1" applyFill="1" applyBorder="1" applyAlignment="1">
      <alignment horizontal="center" vertical="center" wrapText="1"/>
    </xf>
    <xf numFmtId="177" fontId="114" fillId="22" borderId="3" xfId="0" applyNumberFormat="1" applyFont="1" applyFill="1" applyBorder="1" applyAlignment="1">
      <alignment horizontal="center" vertical="center" wrapText="1"/>
    </xf>
    <xf numFmtId="184" fontId="64" fillId="0" borderId="2" xfId="64" applyNumberFormat="1" applyFont="1" applyBorder="1" applyAlignment="1">
      <alignment horizontal="center" vertical="center"/>
    </xf>
    <xf numFmtId="184" fontId="115" fillId="0" borderId="2" xfId="64" applyNumberFormat="1" applyFont="1" applyBorder="1" applyAlignment="1">
      <alignment horizontal="center" vertical="center"/>
    </xf>
    <xf numFmtId="176" fontId="64" fillId="0" borderId="2" xfId="64" applyFont="1" applyBorder="1" applyAlignment="1">
      <alignment horizontal="center" vertical="center"/>
    </xf>
    <xf numFmtId="176" fontId="64" fillId="0" borderId="2" xfId="64" applyFont="1" applyBorder="1" applyAlignment="1">
      <alignment horizontal="center" vertical="center" wrapText="1"/>
    </xf>
    <xf numFmtId="176" fontId="115" fillId="0" borderId="2" xfId="64" applyFont="1" applyBorder="1" applyAlignment="1">
      <alignment horizontal="center" vertical="center" wrapText="1"/>
    </xf>
    <xf numFmtId="10" fontId="64" fillId="0" borderId="2" xfId="64" applyNumberFormat="1" applyFont="1" applyBorder="1" applyAlignment="1">
      <alignment horizontal="center" vertical="center"/>
    </xf>
    <xf numFmtId="10" fontId="39" fillId="0" borderId="2" xfId="3" applyNumberFormat="1" applyFont="1" applyFill="1" applyBorder="1" applyAlignment="1">
      <alignment horizontal="center" vertical="center" wrapText="1"/>
    </xf>
    <xf numFmtId="176" fontId="115" fillId="0" borderId="2" xfId="64" applyFont="1" applyBorder="1" applyAlignment="1">
      <alignment horizontal="center" vertical="center"/>
    </xf>
    <xf numFmtId="10" fontId="39" fillId="6" borderId="2" xfId="0" applyNumberFormat="1" applyFont="1" applyFill="1" applyBorder="1" applyAlignment="1">
      <alignment horizontal="center" vertical="center" wrapText="1"/>
    </xf>
    <xf numFmtId="177" fontId="116" fillId="22" borderId="3" xfId="0" applyNumberFormat="1" applyFont="1" applyFill="1" applyBorder="1" applyAlignment="1">
      <alignment horizontal="center" vertical="center" wrapText="1"/>
    </xf>
    <xf numFmtId="176" fontId="69" fillId="3" borderId="2" xfId="60" applyNumberFormat="1" applyFont="1" applyFill="1" applyBorder="1" applyAlignment="1">
      <alignment horizontal="center" vertical="center" wrapText="1"/>
    </xf>
    <xf numFmtId="184" fontId="117" fillId="3" borderId="2" xfId="64" applyNumberFormat="1" applyFont="1" applyFill="1" applyBorder="1" applyAlignment="1">
      <alignment horizontal="center" vertical="center"/>
    </xf>
    <xf numFmtId="192" fontId="40" fillId="0" borderId="0" xfId="0" applyNumberFormat="1" applyFont="1" applyFill="1" applyBorder="1" applyAlignment="1">
      <alignment horizontal="center" vertical="center" wrapText="1"/>
    </xf>
    <xf numFmtId="192" fontId="39" fillId="0" borderId="0" xfId="3" applyNumberFormat="1" applyFont="1" applyBorder="1" applyAlignment="1">
      <alignment horizontal="center" vertical="center" wrapText="1"/>
    </xf>
    <xf numFmtId="176" fontId="64" fillId="0" borderId="0" xfId="64" applyFont="1">
      <alignment vertical="center"/>
    </xf>
    <xf numFmtId="10" fontId="39" fillId="0" borderId="2" xfId="0" applyNumberFormat="1" applyFont="1" applyFill="1" applyBorder="1" applyAlignment="1">
      <alignment horizontal="center" vertical="center" wrapText="1"/>
    </xf>
    <xf numFmtId="10" fontId="39" fillId="6" borderId="2" xfId="3" applyNumberFormat="1" applyFont="1" applyFill="1" applyBorder="1" applyAlignment="1">
      <alignment horizontal="center" vertical="center" wrapText="1"/>
    </xf>
    <xf numFmtId="0" fontId="43" fillId="0" borderId="0" xfId="0" applyNumberFormat="1" applyFont="1" applyFill="1" applyAlignment="1">
      <alignment horizontal="center" vertical="center" wrapText="1"/>
    </xf>
    <xf numFmtId="177" fontId="39" fillId="0" borderId="0" xfId="0" applyNumberFormat="1" applyFont="1" applyFill="1" applyAlignment="1">
      <alignment vertical="center"/>
    </xf>
    <xf numFmtId="188" fontId="41" fillId="0" borderId="17" xfId="50" applyNumberFormat="1" applyFont="1" applyBorder="1" applyAlignment="1">
      <alignment horizontal="center" vertical="center" wrapText="1"/>
    </xf>
    <xf numFmtId="188" fontId="41" fillId="0" borderId="18" xfId="50" applyNumberFormat="1" applyFont="1" applyBorder="1" applyAlignment="1">
      <alignment horizontal="center" vertical="center" wrapText="1"/>
    </xf>
    <xf numFmtId="188" fontId="41" fillId="0" borderId="19" xfId="50" applyNumberFormat="1" applyFont="1" applyBorder="1" applyAlignment="1">
      <alignment horizontal="left" vertical="center" wrapText="1"/>
    </xf>
    <xf numFmtId="188" fontId="41" fillId="0" borderId="7" xfId="50" applyNumberFormat="1" applyFont="1" applyBorder="1" applyAlignment="1">
      <alignment horizontal="left" vertical="center" wrapText="1"/>
    </xf>
    <xf numFmtId="188" fontId="26" fillId="0" borderId="20" xfId="50" applyNumberFormat="1" applyFont="1" applyBorder="1" applyAlignment="1">
      <alignment horizontal="left" vertical="center" wrapText="1"/>
    </xf>
    <xf numFmtId="188" fontId="26" fillId="0" borderId="21" xfId="50" applyNumberFormat="1" applyFont="1" applyBorder="1" applyAlignment="1">
      <alignment horizontal="left" vertical="center" wrapText="1"/>
    </xf>
    <xf numFmtId="188" fontId="41" fillId="0" borderId="20" xfId="50" applyNumberFormat="1" applyFont="1" applyBorder="1" applyAlignment="1">
      <alignment horizontal="left" vertical="center" wrapText="1"/>
    </xf>
    <xf numFmtId="188" fontId="41" fillId="0" borderId="21" xfId="50" applyNumberFormat="1" applyFont="1" applyBorder="1" applyAlignment="1">
      <alignment horizontal="left" vertical="center" wrapText="1"/>
    </xf>
    <xf numFmtId="177" fontId="39" fillId="0" borderId="0" xfId="0" applyNumberFormat="1" applyFont="1" applyFill="1" applyAlignment="1">
      <alignment vertical="center" wrapText="1"/>
    </xf>
    <xf numFmtId="0" fontId="41" fillId="0" borderId="0" xfId="0" applyNumberFormat="1" applyFont="1" applyFill="1" applyAlignment="1">
      <alignment horizontal="center" vertical="center"/>
    </xf>
    <xf numFmtId="177" fontId="41" fillId="0" borderId="0" xfId="0" applyNumberFormat="1" applyFont="1" applyFill="1" applyAlignment="1">
      <alignment vertical="center"/>
    </xf>
    <xf numFmtId="188" fontId="41" fillId="0" borderId="22" xfId="50" applyNumberFormat="1" applyFont="1" applyBorder="1" applyAlignment="1">
      <alignment horizontal="center" vertical="center" wrapText="1"/>
    </xf>
    <xf numFmtId="188" fontId="41" fillId="0" borderId="23" xfId="50" applyNumberFormat="1" applyFont="1" applyBorder="1" applyAlignment="1">
      <alignment horizontal="left" vertical="center" wrapText="1"/>
    </xf>
    <xf numFmtId="188" fontId="26" fillId="0" borderId="24" xfId="50" applyNumberFormat="1" applyFont="1" applyBorder="1" applyAlignment="1">
      <alignment horizontal="left" vertical="center" wrapText="1"/>
    </xf>
    <xf numFmtId="188" fontId="41" fillId="0" borderId="24" xfId="50" applyNumberFormat="1" applyFont="1" applyBorder="1" applyAlignment="1">
      <alignment horizontal="left" vertical="center" wrapText="1"/>
    </xf>
    <xf numFmtId="176" fontId="118" fillId="0" borderId="0" xfId="63" applyFont="1" applyFill="1" applyAlignment="1">
      <alignment vertical="center" wrapText="1"/>
    </xf>
    <xf numFmtId="176" fontId="119" fillId="0" borderId="0" xfId="63" applyFont="1" applyFill="1" applyAlignment="1">
      <alignment vertical="top" wrapText="1"/>
    </xf>
    <xf numFmtId="176" fontId="118" fillId="0" borderId="0" xfId="63" applyFont="1" applyFill="1" applyAlignment="1">
      <alignment horizontal="left" vertical="top" wrapText="1"/>
    </xf>
    <xf numFmtId="176" fontId="119" fillId="0" borderId="0" xfId="63" applyFont="1" applyFill="1" applyAlignment="1">
      <alignment horizontal="left" vertical="center" wrapText="1"/>
    </xf>
    <xf numFmtId="176" fontId="119" fillId="0" borderId="0" xfId="63" applyFont="1" applyFill="1" applyAlignment="1">
      <alignment horizontal="left" vertical="center"/>
    </xf>
    <xf numFmtId="188" fontId="119" fillId="0" borderId="0" xfId="63" applyNumberFormat="1" applyFont="1" applyFill="1" applyAlignment="1">
      <alignment horizontal="center" vertical="center"/>
    </xf>
    <xf numFmtId="188" fontId="56" fillId="0" borderId="0" xfId="63" applyNumberFormat="1" applyFont="1" applyFill="1" applyAlignment="1">
      <alignment horizontal="center" vertical="center"/>
    </xf>
    <xf numFmtId="176" fontId="119" fillId="0" borderId="0" xfId="63" applyFont="1" applyFill="1" applyAlignment="1">
      <alignment vertical="center"/>
    </xf>
    <xf numFmtId="176" fontId="120" fillId="0" borderId="0" xfId="63" applyFont="1" applyFill="1" applyAlignment="1">
      <alignment horizontal="left" vertical="center"/>
    </xf>
    <xf numFmtId="176" fontId="121" fillId="0" borderId="0" xfId="63" applyFont="1" applyFill="1" applyAlignment="1">
      <alignment horizontal="left" vertical="center"/>
    </xf>
    <xf numFmtId="176" fontId="118" fillId="0" borderId="0" xfId="63" applyFont="1" applyFill="1" applyAlignment="1">
      <alignment horizontal="left" vertical="center" wrapText="1"/>
    </xf>
    <xf numFmtId="176" fontId="118" fillId="0" borderId="0" xfId="63" applyFont="1" applyFill="1" applyAlignment="1">
      <alignment horizontal="left" vertical="center"/>
    </xf>
    <xf numFmtId="176" fontId="119" fillId="0" borderId="0" xfId="63" applyFont="1" applyFill="1" applyAlignment="1">
      <alignment horizontal="left" vertical="top" wrapText="1"/>
    </xf>
    <xf numFmtId="176" fontId="119" fillId="0" borderId="0" xfId="63" applyFont="1" applyFill="1" applyAlignment="1">
      <alignment horizontal="right" vertical="top"/>
    </xf>
    <xf numFmtId="10" fontId="119" fillId="0" borderId="25" xfId="63" applyNumberFormat="1" applyFont="1" applyFill="1" applyBorder="1" applyAlignment="1">
      <alignment horizontal="center" vertical="top" wrapText="1"/>
    </xf>
    <xf numFmtId="193" fontId="119" fillId="0" borderId="26" xfId="63" applyNumberFormat="1" applyFont="1" applyFill="1" applyBorder="1" applyAlignment="1">
      <alignment horizontal="center" vertical="top" wrapText="1"/>
    </xf>
    <xf numFmtId="10" fontId="119" fillId="0" borderId="26" xfId="63" applyNumberFormat="1" applyFont="1" applyFill="1" applyBorder="1" applyAlignment="1">
      <alignment horizontal="center" vertical="top" wrapText="1"/>
    </xf>
    <xf numFmtId="188" fontId="56" fillId="23" borderId="25" xfId="63" applyNumberFormat="1" applyFont="1" applyFill="1" applyBorder="1" applyAlignment="1">
      <alignment horizontal="left" vertical="top" wrapText="1"/>
    </xf>
    <xf numFmtId="188" fontId="56" fillId="23" borderId="26" xfId="63" applyNumberFormat="1" applyFont="1" applyFill="1" applyBorder="1" applyAlignment="1">
      <alignment horizontal="left" vertical="top" wrapText="1"/>
    </xf>
    <xf numFmtId="188" fontId="56" fillId="23" borderId="26" xfId="63" applyNumberFormat="1" applyFont="1" applyFill="1" applyBorder="1" applyAlignment="1">
      <alignment horizontal="left" vertical="top"/>
    </xf>
    <xf numFmtId="188" fontId="122" fillId="23" borderId="26" xfId="63" applyNumberFormat="1" applyFont="1" applyFill="1" applyBorder="1" applyAlignment="1">
      <alignment horizontal="left" vertical="top" wrapText="1"/>
    </xf>
    <xf numFmtId="188" fontId="56" fillId="15" borderId="27" xfId="63" applyNumberFormat="1" applyFont="1" applyFill="1" applyBorder="1" applyAlignment="1">
      <alignment horizontal="left" vertical="top" wrapText="1"/>
    </xf>
    <xf numFmtId="188" fontId="122" fillId="15" borderId="26" xfId="63" applyNumberFormat="1" applyFont="1" applyFill="1" applyBorder="1" applyAlignment="1">
      <alignment horizontal="left" vertical="top" wrapText="1"/>
    </xf>
    <xf numFmtId="176" fontId="118" fillId="24" borderId="28" xfId="63" applyFont="1" applyFill="1" applyBorder="1" applyAlignment="1">
      <alignment vertical="center" wrapText="1"/>
    </xf>
    <xf numFmtId="176" fontId="118" fillId="24" borderId="5" xfId="63" applyFont="1" applyFill="1" applyBorder="1" applyAlignment="1">
      <alignment vertical="center" wrapText="1"/>
    </xf>
    <xf numFmtId="176" fontId="54" fillId="24" borderId="3" xfId="63" applyNumberFormat="1" applyFont="1" applyFill="1" applyBorder="1" applyAlignment="1">
      <alignment horizontal="left" vertical="center"/>
    </xf>
    <xf numFmtId="176" fontId="123" fillId="24" borderId="3" xfId="63" applyNumberFormat="1" applyFont="1" applyFill="1" applyBorder="1" applyAlignment="1">
      <alignment horizontal="left" vertical="center"/>
    </xf>
    <xf numFmtId="188" fontId="54" fillId="24" borderId="5" xfId="63" applyNumberFormat="1" applyFont="1" applyFill="1" applyBorder="1" applyAlignment="1">
      <alignment horizontal="right" vertical="center"/>
    </xf>
    <xf numFmtId="188" fontId="54" fillId="9" borderId="3" xfId="63" applyNumberFormat="1" applyFont="1" applyFill="1" applyBorder="1" applyAlignment="1">
      <alignment horizontal="right" vertical="center"/>
    </xf>
    <xf numFmtId="176" fontId="118" fillId="24" borderId="20" xfId="63" applyFont="1" applyFill="1" applyBorder="1" applyAlignment="1">
      <alignment vertical="center" wrapText="1"/>
    </xf>
    <xf numFmtId="176" fontId="118" fillId="24" borderId="29" xfId="63" applyFont="1" applyFill="1" applyBorder="1" applyAlignment="1">
      <alignment vertical="center" wrapText="1"/>
    </xf>
    <xf numFmtId="176" fontId="54" fillId="24" borderId="21" xfId="63" applyNumberFormat="1" applyFont="1" applyFill="1" applyBorder="1" applyAlignment="1">
      <alignment horizontal="left" vertical="center"/>
    </xf>
    <xf numFmtId="176" fontId="123" fillId="24" borderId="21" xfId="63" applyNumberFormat="1" applyFont="1" applyFill="1" applyBorder="1" applyAlignment="1">
      <alignment horizontal="left" vertical="center"/>
    </xf>
    <xf numFmtId="188" fontId="54" fillId="24" borderId="29" xfId="63" applyNumberFormat="1" applyFont="1" applyFill="1" applyBorder="1" applyAlignment="1">
      <alignment horizontal="right" vertical="center"/>
    </xf>
    <xf numFmtId="188" fontId="54" fillId="9" borderId="21" xfId="63" applyNumberFormat="1" applyFont="1" applyFill="1" applyBorder="1" applyAlignment="1">
      <alignment horizontal="right" vertical="center"/>
    </xf>
    <xf numFmtId="188" fontId="54" fillId="24" borderId="21" xfId="63" applyNumberFormat="1" applyFont="1" applyFill="1" applyBorder="1" applyAlignment="1">
      <alignment horizontal="right" vertical="center"/>
    </xf>
    <xf numFmtId="176" fontId="118" fillId="24" borderId="30" xfId="63" applyFont="1" applyFill="1" applyBorder="1" applyAlignment="1">
      <alignment vertical="center" wrapText="1"/>
    </xf>
    <xf numFmtId="176" fontId="118" fillId="24" borderId="6" xfId="63" applyFont="1" applyFill="1" applyBorder="1" applyAlignment="1">
      <alignment vertical="center" wrapText="1"/>
    </xf>
    <xf numFmtId="176" fontId="54" fillId="24" borderId="2" xfId="63" applyNumberFormat="1" applyFont="1" applyFill="1" applyBorder="1" applyAlignment="1">
      <alignment horizontal="left" vertical="center"/>
    </xf>
    <xf numFmtId="176" fontId="124" fillId="24" borderId="2" xfId="63" applyNumberFormat="1" applyFont="1" applyFill="1" applyBorder="1" applyAlignment="1">
      <alignment horizontal="left" vertical="center"/>
    </xf>
    <xf numFmtId="184" fontId="124" fillId="24" borderId="2" xfId="63" applyNumberFormat="1" applyFont="1" applyFill="1" applyBorder="1" applyAlignment="1">
      <alignment horizontal="center" vertical="center"/>
    </xf>
    <xf numFmtId="188" fontId="54" fillId="24" borderId="2" xfId="63" applyNumberFormat="1" applyFont="1" applyFill="1" applyBorder="1" applyAlignment="1">
      <alignment horizontal="right" vertical="center"/>
    </xf>
    <xf numFmtId="188" fontId="54" fillId="9" borderId="2" xfId="63" applyNumberFormat="1" applyFont="1" applyFill="1" applyBorder="1" applyAlignment="1">
      <alignment horizontal="right" vertical="center"/>
    </xf>
    <xf numFmtId="176" fontId="123" fillId="24" borderId="2" xfId="63" applyNumberFormat="1" applyFont="1" applyFill="1" applyBorder="1" applyAlignment="1">
      <alignment horizontal="left" vertical="center"/>
    </xf>
    <xf numFmtId="184" fontId="123" fillId="24" borderId="2" xfId="63" applyNumberFormat="1" applyFont="1" applyFill="1" applyBorder="1" applyAlignment="1">
      <alignment horizontal="center" vertical="center"/>
    </xf>
    <xf numFmtId="188" fontId="54" fillId="24" borderId="3" xfId="63" applyNumberFormat="1" applyFont="1" applyFill="1" applyBorder="1" applyAlignment="1">
      <alignment horizontal="right" vertical="center"/>
    </xf>
    <xf numFmtId="10" fontId="125" fillId="3" borderId="26" xfId="63" applyNumberFormat="1" applyFont="1" applyFill="1" applyBorder="1" applyAlignment="1">
      <alignment horizontal="center" vertical="top" wrapText="1"/>
    </xf>
    <xf numFmtId="188" fontId="54" fillId="0" borderId="0" xfId="63" applyNumberFormat="1" applyFont="1" applyFill="1" applyAlignment="1">
      <alignment horizontal="center" vertical="center"/>
    </xf>
    <xf numFmtId="188" fontId="56" fillId="0" borderId="0" xfId="63" applyNumberFormat="1" applyFont="1" applyFill="1" applyAlignment="1">
      <alignment horizontal="center" vertical="center" wrapText="1"/>
    </xf>
    <xf numFmtId="193" fontId="119" fillId="0" borderId="31" xfId="63" applyNumberFormat="1" applyFont="1" applyFill="1" applyBorder="1" applyAlignment="1">
      <alignment horizontal="center" vertical="top" wrapText="1"/>
    </xf>
    <xf numFmtId="188" fontId="54" fillId="0" borderId="0" xfId="63" applyNumberFormat="1" applyFont="1" applyFill="1" applyAlignment="1">
      <alignment horizontal="center" vertical="top" wrapText="1"/>
    </xf>
    <xf numFmtId="188" fontId="122" fillId="15" borderId="31" xfId="63" applyNumberFormat="1" applyFont="1" applyFill="1" applyBorder="1" applyAlignment="1">
      <alignment horizontal="left" vertical="top" wrapText="1"/>
    </xf>
    <xf numFmtId="188" fontId="56" fillId="25" borderId="32" xfId="63" applyNumberFormat="1" applyFont="1" applyFill="1" applyBorder="1" applyAlignment="1">
      <alignment horizontal="center" vertical="center" wrapText="1"/>
    </xf>
    <xf numFmtId="176" fontId="118" fillId="0" borderId="33" xfId="63" applyFont="1" applyFill="1" applyBorder="1" applyAlignment="1">
      <alignment horizontal="left" vertical="top" wrapText="1"/>
    </xf>
    <xf numFmtId="188" fontId="56" fillId="25" borderId="34" xfId="63" applyNumberFormat="1" applyFont="1" applyFill="1" applyBorder="1" applyAlignment="1">
      <alignment horizontal="right" vertical="center"/>
    </xf>
    <xf numFmtId="176" fontId="119" fillId="0" borderId="35" xfId="63" applyFont="1" applyFill="1" applyBorder="1" applyAlignment="1">
      <alignment vertical="center"/>
    </xf>
    <xf numFmtId="188" fontId="56" fillId="25" borderId="36" xfId="63" applyNumberFormat="1" applyFont="1" applyFill="1" applyBorder="1" applyAlignment="1">
      <alignment horizontal="right" vertical="center"/>
    </xf>
    <xf numFmtId="176" fontId="119" fillId="0" borderId="37" xfId="63" applyFont="1" applyFill="1" applyBorder="1" applyAlignment="1">
      <alignment vertical="center"/>
    </xf>
    <xf numFmtId="188" fontId="56" fillId="25" borderId="7" xfId="63" applyNumberFormat="1" applyFont="1" applyFill="1" applyBorder="1" applyAlignment="1">
      <alignment horizontal="right" vertical="center"/>
    </xf>
    <xf numFmtId="176" fontId="118" fillId="24" borderId="38" xfId="63" applyFont="1" applyFill="1" applyBorder="1" applyAlignment="1">
      <alignment vertical="center" wrapText="1"/>
    </xf>
    <xf numFmtId="176" fontId="118" fillId="24" borderId="39" xfId="63" applyFont="1" applyFill="1" applyBorder="1" applyAlignment="1">
      <alignment vertical="center" wrapText="1"/>
    </xf>
    <xf numFmtId="176" fontId="54" fillId="24" borderId="1" xfId="63" applyNumberFormat="1" applyFont="1" applyFill="1" applyBorder="1" applyAlignment="1">
      <alignment horizontal="left" vertical="center"/>
    </xf>
    <xf numFmtId="176" fontId="123" fillId="24" borderId="1" xfId="63" applyNumberFormat="1" applyFont="1" applyFill="1" applyBorder="1" applyAlignment="1">
      <alignment horizontal="left" vertical="center"/>
    </xf>
    <xf numFmtId="184" fontId="123" fillId="24" borderId="1" xfId="63" applyNumberFormat="1" applyFont="1" applyFill="1" applyBorder="1" applyAlignment="1">
      <alignment horizontal="center" vertical="center"/>
    </xf>
    <xf numFmtId="188" fontId="54" fillId="24" borderId="1" xfId="63" applyNumberFormat="1" applyFont="1" applyFill="1" applyBorder="1" applyAlignment="1">
      <alignment horizontal="right" vertical="center"/>
    </xf>
    <xf numFmtId="188" fontId="54" fillId="9" borderId="1" xfId="63" applyNumberFormat="1" applyFont="1" applyFill="1" applyBorder="1" applyAlignment="1">
      <alignment horizontal="right" vertical="center"/>
    </xf>
    <xf numFmtId="176" fontId="118" fillId="26" borderId="25" xfId="63" applyFont="1" applyFill="1" applyBorder="1" applyAlignment="1">
      <alignment vertical="center" wrapText="1"/>
    </xf>
    <xf numFmtId="176" fontId="118" fillId="26" borderId="27" xfId="63" applyFont="1" applyFill="1" applyBorder="1" applyAlignment="1">
      <alignment vertical="center" wrapText="1"/>
    </xf>
    <xf numFmtId="176" fontId="54" fillId="26" borderId="26" xfId="63" applyNumberFormat="1" applyFont="1" applyFill="1" applyBorder="1" applyAlignment="1">
      <alignment horizontal="left" vertical="center"/>
    </xf>
    <xf numFmtId="176" fontId="123" fillId="26" borderId="26" xfId="63" applyNumberFormat="1" applyFont="1" applyFill="1" applyBorder="1" applyAlignment="1">
      <alignment horizontal="left" vertical="center"/>
    </xf>
    <xf numFmtId="184" fontId="123" fillId="26" borderId="26" xfId="63" applyNumberFormat="1" applyFont="1" applyFill="1" applyBorder="1" applyAlignment="1">
      <alignment horizontal="center" vertical="center"/>
    </xf>
    <xf numFmtId="188" fontId="54" fillId="26" borderId="26" xfId="63" applyNumberFormat="1" applyFont="1" applyFill="1" applyBorder="1" applyAlignment="1">
      <alignment horizontal="right" vertical="center"/>
    </xf>
    <xf numFmtId="176" fontId="118" fillId="24" borderId="40" xfId="63" applyFont="1" applyFill="1" applyBorder="1" applyAlignment="1">
      <alignment vertical="center" wrapText="1"/>
    </xf>
    <xf numFmtId="176" fontId="118" fillId="24" borderId="41" xfId="63" applyFont="1" applyFill="1" applyBorder="1" applyAlignment="1">
      <alignment vertical="center" wrapText="1"/>
    </xf>
    <xf numFmtId="176" fontId="54" fillId="24" borderId="42" xfId="63" applyNumberFormat="1" applyFont="1" applyFill="1" applyBorder="1" applyAlignment="1">
      <alignment horizontal="left" vertical="center"/>
    </xf>
    <xf numFmtId="176" fontId="123" fillId="24" borderId="42" xfId="63" applyNumberFormat="1" applyFont="1" applyFill="1" applyBorder="1" applyAlignment="1">
      <alignment horizontal="left" vertical="center"/>
    </xf>
    <xf numFmtId="184" fontId="123" fillId="24" borderId="42" xfId="63" applyNumberFormat="1" applyFont="1" applyFill="1" applyBorder="1" applyAlignment="1">
      <alignment horizontal="center" vertical="center"/>
    </xf>
    <xf numFmtId="188" fontId="54" fillId="24" borderId="42" xfId="63" applyNumberFormat="1" applyFont="1" applyFill="1" applyBorder="1" applyAlignment="1">
      <alignment horizontal="right" vertical="center"/>
    </xf>
    <xf numFmtId="188" fontId="54" fillId="9" borderId="42" xfId="63" applyNumberFormat="1" applyFont="1" applyFill="1" applyBorder="1" applyAlignment="1">
      <alignment horizontal="right" vertical="center"/>
    </xf>
    <xf numFmtId="184" fontId="123" fillId="24" borderId="3" xfId="63" applyNumberFormat="1" applyFont="1" applyFill="1" applyBorder="1" applyAlignment="1">
      <alignment horizontal="center" vertical="center"/>
    </xf>
    <xf numFmtId="176" fontId="118" fillId="24" borderId="2" xfId="63" applyFont="1" applyFill="1" applyBorder="1" applyAlignment="1">
      <alignment vertical="center" wrapText="1"/>
    </xf>
    <xf numFmtId="184" fontId="123" fillId="24" borderId="21" xfId="63" applyNumberFormat="1" applyFont="1" applyFill="1" applyBorder="1" applyAlignment="1">
      <alignment horizontal="center" vertical="center"/>
    </xf>
    <xf numFmtId="188" fontId="56" fillId="25" borderId="12" xfId="63" applyNumberFormat="1" applyFont="1" applyFill="1" applyBorder="1" applyAlignment="1">
      <alignment horizontal="right" vertical="center"/>
    </xf>
    <xf numFmtId="176" fontId="119" fillId="0" borderId="43" xfId="63" applyFont="1" applyFill="1" applyBorder="1" applyAlignment="1">
      <alignment vertical="center"/>
    </xf>
    <xf numFmtId="188" fontId="56" fillId="26" borderId="44" xfId="63" applyNumberFormat="1" applyFont="1" applyFill="1" applyBorder="1" applyAlignment="1">
      <alignment horizontal="right" vertical="center"/>
    </xf>
    <xf numFmtId="176" fontId="119" fillId="26" borderId="33" xfId="63" applyFont="1" applyFill="1" applyBorder="1" applyAlignment="1">
      <alignment vertical="center"/>
    </xf>
    <xf numFmtId="188" fontId="56" fillId="25" borderId="22" xfId="63" applyNumberFormat="1" applyFont="1" applyFill="1" applyBorder="1" applyAlignment="1">
      <alignment horizontal="right" vertical="center"/>
    </xf>
    <xf numFmtId="176" fontId="118" fillId="0" borderId="45" xfId="63" applyFont="1" applyFill="1" applyBorder="1" applyAlignment="1">
      <alignment horizontal="left" vertical="center"/>
    </xf>
    <xf numFmtId="188" fontId="56" fillId="25" borderId="46" xfId="63" applyNumberFormat="1" applyFont="1" applyFill="1" applyBorder="1" applyAlignment="1">
      <alignment horizontal="right" vertical="center"/>
    </xf>
    <xf numFmtId="176" fontId="118" fillId="0" borderId="47" xfId="63" applyFont="1" applyFill="1" applyBorder="1" applyAlignment="1">
      <alignment horizontal="left" vertical="center"/>
    </xf>
    <xf numFmtId="188" fontId="56" fillId="25" borderId="48" xfId="63" applyNumberFormat="1" applyFont="1" applyFill="1" applyBorder="1" applyAlignment="1">
      <alignment horizontal="right" vertical="center"/>
    </xf>
    <xf numFmtId="176" fontId="118" fillId="0" borderId="49" xfId="63" applyFont="1" applyFill="1" applyBorder="1" applyAlignment="1">
      <alignment horizontal="left" vertical="center"/>
    </xf>
    <xf numFmtId="176" fontId="120" fillId="0" borderId="45" xfId="63" applyFont="1" applyFill="1" applyBorder="1" applyAlignment="1">
      <alignment horizontal="left" vertical="center" wrapText="1"/>
    </xf>
    <xf numFmtId="176" fontId="119" fillId="0" borderId="47" xfId="63" applyFont="1" applyFill="1" applyBorder="1" applyAlignment="1">
      <alignment horizontal="left" vertical="center" wrapText="1"/>
    </xf>
    <xf numFmtId="176" fontId="119" fillId="0" borderId="50" xfId="63" applyFont="1" applyFill="1" applyBorder="1" applyAlignment="1">
      <alignment horizontal="left" vertical="center" wrapText="1"/>
    </xf>
    <xf numFmtId="176" fontId="119" fillId="0" borderId="35" xfId="63" applyFont="1" applyFill="1" applyBorder="1" applyAlignment="1">
      <alignment horizontal="left" vertical="center" wrapText="1"/>
    </xf>
    <xf numFmtId="0" fontId="0" fillId="0" borderId="0" xfId="0" applyFill="1">
      <alignment vertical="center"/>
    </xf>
    <xf numFmtId="0" fontId="24" fillId="0" borderId="2" xfId="0" applyFont="1" applyFill="1" applyBorder="1" applyAlignment="1">
      <alignment horizontal="center" vertical="center"/>
    </xf>
    <xf numFmtId="3" fontId="126" fillId="0" borderId="2" xfId="62" applyNumberFormat="1" applyFont="1" applyFill="1" applyBorder="1" applyAlignment="1">
      <alignment horizontal="center" vertical="center"/>
    </xf>
    <xf numFmtId="187" fontId="31" fillId="0" borderId="4" xfId="62" applyNumberFormat="1" applyFont="1" applyFill="1" applyBorder="1" applyAlignment="1">
      <alignment horizontal="center" vertical="center"/>
    </xf>
    <xf numFmtId="0" fontId="126" fillId="0" borderId="2" xfId="56" applyFont="1" applyFill="1" applyBorder="1" applyAlignment="1">
      <alignment horizontal="center" vertical="center"/>
    </xf>
    <xf numFmtId="0" fontId="127" fillId="0" borderId="2" xfId="56" applyFont="1" applyFill="1" applyBorder="1" applyAlignment="1">
      <alignment horizontal="center" vertical="center"/>
    </xf>
    <xf numFmtId="0" fontId="23" fillId="3" borderId="2" xfId="55" applyFont="1" applyFill="1" applyBorder="1" applyAlignment="1">
      <alignment horizontal="center" vertical="center" wrapText="1"/>
    </xf>
    <xf numFmtId="0" fontId="23" fillId="0" borderId="4" xfId="55" applyFont="1" applyBorder="1" applyAlignment="1">
      <alignment horizontal="center" vertical="center" wrapText="1"/>
    </xf>
    <xf numFmtId="0" fontId="24" fillId="3" borderId="2" xfId="55" applyFont="1" applyFill="1" applyBorder="1" applyAlignment="1">
      <alignment horizontal="center" vertical="center" wrapText="1"/>
    </xf>
    <xf numFmtId="0" fontId="21" fillId="3" borderId="2" xfId="0" applyFont="1" applyFill="1" applyBorder="1" applyAlignment="1">
      <alignment horizontal="center" vertical="center"/>
    </xf>
    <xf numFmtId="0" fontId="21" fillId="0" borderId="2" xfId="0" applyFont="1" applyFill="1" applyBorder="1" applyAlignment="1">
      <alignment horizontal="center" vertical="center"/>
    </xf>
    <xf numFmtId="0" fontId="23" fillId="0" borderId="6" xfId="55" applyFont="1" applyBorder="1" applyAlignment="1">
      <alignment horizontal="center" vertical="center" wrapText="1"/>
    </xf>
    <xf numFmtId="0" fontId="23" fillId="0" borderId="2" xfId="55" applyFont="1" applyBorder="1" applyAlignment="1">
      <alignment horizontal="center" vertical="center" wrapText="1"/>
    </xf>
    <xf numFmtId="184" fontId="25" fillId="0" borderId="2" xfId="0" applyNumberFormat="1" applyFont="1" applyFill="1" applyBorder="1" applyAlignment="1">
      <alignment horizontal="center" vertical="center" wrapText="1" shrinkToFit="1"/>
    </xf>
    <xf numFmtId="0" fontId="128" fillId="3" borderId="2" xfId="55" applyFont="1" applyFill="1" applyBorder="1" applyAlignment="1">
      <alignment horizontal="center" vertical="center" wrapText="1"/>
    </xf>
    <xf numFmtId="0" fontId="2" fillId="8" borderId="2" xfId="0" applyFont="1" applyFill="1" applyBorder="1" applyAlignment="1">
      <alignment horizontal="center" vertical="center" wrapText="1"/>
    </xf>
    <xf numFmtId="0" fontId="29" fillId="8" borderId="2" xfId="0" applyFont="1" applyFill="1" applyBorder="1" applyAlignment="1">
      <alignment horizontal="center" vertical="center" wrapText="1"/>
    </xf>
    <xf numFmtId="0" fontId="47" fillId="8" borderId="2" xfId="0" applyFont="1" applyFill="1" applyBorder="1" applyAlignment="1">
      <alignment vertical="center" wrapText="1"/>
    </xf>
    <xf numFmtId="0" fontId="13" fillId="0" borderId="2" xfId="0" applyFont="1" applyFill="1" applyBorder="1" applyAlignment="1">
      <alignment vertical="center" wrapText="1"/>
    </xf>
    <xf numFmtId="0" fontId="47" fillId="0" borderId="2" xfId="0" applyFont="1" applyFill="1" applyBorder="1" applyAlignment="1">
      <alignment vertical="center" wrapText="1"/>
    </xf>
    <xf numFmtId="0" fontId="47" fillId="0" borderId="2" xfId="0" applyFont="1" applyFill="1" applyBorder="1" applyAlignment="1">
      <alignment vertical="center"/>
    </xf>
    <xf numFmtId="0" fontId="129" fillId="0" borderId="2" xfId="0" applyFont="1" applyFill="1" applyBorder="1" applyAlignment="1">
      <alignment horizontal="center" vertical="center" wrapText="1"/>
    </xf>
    <xf numFmtId="0" fontId="130" fillId="0" borderId="2" xfId="0" applyFont="1" applyBorder="1">
      <alignment vertical="center"/>
    </xf>
    <xf numFmtId="3" fontId="131" fillId="0" borderId="2" xfId="62" applyNumberFormat="1" applyFont="1" applyFill="1" applyBorder="1" applyAlignment="1">
      <alignment horizontal="center" vertical="center"/>
    </xf>
    <xf numFmtId="0" fontId="0" fillId="3" borderId="2" xfId="0" applyFill="1" applyBorder="1" applyAlignment="1">
      <alignment horizontal="center" vertical="center" wrapText="1"/>
    </xf>
    <xf numFmtId="3" fontId="126" fillId="3" borderId="2" xfId="62" applyNumberFormat="1" applyFont="1" applyFill="1" applyBorder="1" applyAlignment="1">
      <alignment horizontal="center" vertical="center"/>
    </xf>
    <xf numFmtId="0" fontId="0" fillId="3" borderId="0" xfId="0" applyFill="1" applyAlignment="1">
      <alignment horizontal="center" vertical="center"/>
    </xf>
    <xf numFmtId="0" fontId="54" fillId="8" borderId="0" xfId="49" applyFont="1" applyFill="1" applyBorder="1" applyAlignment="1"/>
    <xf numFmtId="0" fontId="55" fillId="0" borderId="0" xfId="49" applyFont="1" applyFill="1" applyBorder="1" applyAlignment="1"/>
    <xf numFmtId="0" fontId="56" fillId="0" borderId="0" xfId="49" applyFont="1" applyFill="1" applyBorder="1" applyAlignment="1">
      <alignment horizontal="center"/>
    </xf>
    <xf numFmtId="0" fontId="56" fillId="0" borderId="0" xfId="49" applyFont="1" applyFill="1" applyBorder="1" applyAlignment="1"/>
    <xf numFmtId="38" fontId="54" fillId="0" borderId="0" xfId="49" applyNumberFormat="1" applyFont="1" applyFill="1" applyBorder="1" applyAlignment="1">
      <alignment vertical="center"/>
    </xf>
    <xf numFmtId="38" fontId="56" fillId="0" borderId="0" xfId="49" applyNumberFormat="1" applyFont="1" applyFill="1" applyBorder="1" applyAlignment="1">
      <alignment vertical="center"/>
    </xf>
    <xf numFmtId="0" fontId="54" fillId="0" borderId="0" xfId="49" applyFont="1" applyFill="1" applyBorder="1" applyAlignment="1"/>
    <xf numFmtId="0" fontId="57" fillId="0" borderId="0" xfId="49" applyFont="1" applyFill="1" applyBorder="1" applyAlignment="1">
      <alignment horizontal="center"/>
    </xf>
    <xf numFmtId="0" fontId="58" fillId="0" borderId="0" xfId="49" applyFont="1" applyFill="1" applyBorder="1" applyAlignment="1"/>
    <xf numFmtId="0" fontId="58" fillId="11" borderId="4" xfId="49" applyFont="1" applyFill="1" applyBorder="1" applyAlignment="1">
      <alignment horizontal="center"/>
    </xf>
    <xf numFmtId="38" fontId="58" fillId="12" borderId="4" xfId="49" applyNumberFormat="1" applyFont="1" applyFill="1" applyBorder="1" applyAlignment="1">
      <alignment vertical="center"/>
    </xf>
    <xf numFmtId="0" fontId="58" fillId="0" borderId="4" xfId="49" applyFont="1" applyFill="1" applyBorder="1" applyAlignment="1">
      <alignment horizontal="left" vertical="center" wrapText="1"/>
    </xf>
    <xf numFmtId="0" fontId="61" fillId="0" borderId="8" xfId="49" applyFont="1" applyFill="1" applyBorder="1" applyAlignment="1">
      <alignment horizontal="left" vertical="center" wrapText="1"/>
    </xf>
    <xf numFmtId="0" fontId="61" fillId="0" borderId="10" xfId="49" applyFont="1" applyFill="1" applyBorder="1" applyAlignment="1">
      <alignment horizontal="left" vertical="center" wrapText="1"/>
    </xf>
    <xf numFmtId="0" fontId="61" fillId="0" borderId="11" xfId="49" applyFont="1" applyFill="1" applyBorder="1" applyAlignment="1">
      <alignment horizontal="left" vertical="center" wrapText="1"/>
    </xf>
    <xf numFmtId="0" fontId="61" fillId="0" borderId="4" xfId="49" applyFont="1" applyFill="1" applyBorder="1" applyAlignment="1">
      <alignment vertical="center"/>
    </xf>
    <xf numFmtId="0" fontId="54" fillId="3" borderId="2" xfId="49" applyFont="1" applyFill="1" applyBorder="1" applyAlignment="1">
      <alignment horizontal="center"/>
    </xf>
    <xf numFmtId="3" fontId="54" fillId="3" borderId="2" xfId="49" applyNumberFormat="1" applyFont="1" applyFill="1" applyBorder="1" applyAlignment="1"/>
    <xf numFmtId="0" fontId="54" fillId="0" borderId="2" xfId="49" applyFont="1" applyFill="1" applyBorder="1" applyAlignment="1"/>
    <xf numFmtId="3" fontId="54" fillId="0" borderId="2" xfId="49" applyNumberFormat="1" applyFont="1" applyFill="1" applyBorder="1" applyAlignment="1"/>
    <xf numFmtId="186" fontId="55" fillId="0" borderId="2" xfId="49" applyNumberFormat="1" applyFont="1" applyFill="1" applyBorder="1" applyAlignment="1"/>
    <xf numFmtId="0" fontId="55" fillId="0" borderId="2" xfId="49" applyFont="1" applyFill="1" applyBorder="1" applyAlignment="1"/>
    <xf numFmtId="0" fontId="55" fillId="8" borderId="0" xfId="49" applyFont="1" applyFill="1" applyBorder="1" applyAlignment="1"/>
    <xf numFmtId="0" fontId="1" fillId="0" borderId="0" xfId="0" applyFont="1" applyFill="1" applyProtection="1">
      <alignment vertical="center"/>
      <protection locked="0"/>
    </xf>
    <xf numFmtId="0" fontId="1" fillId="0" borderId="0" xfId="0" applyFont="1" applyFill="1" applyAlignment="1" applyProtection="1">
      <alignment horizontal="center" vertical="center" wrapText="1"/>
      <protection locked="0"/>
    </xf>
    <xf numFmtId="0" fontId="36" fillId="0" borderId="0" xfId="0" applyFont="1" applyFill="1" applyAlignment="1" applyProtection="1">
      <alignment horizontal="center" vertical="center"/>
      <protection locked="0"/>
    </xf>
    <xf numFmtId="0" fontId="66" fillId="0" borderId="2" xfId="0" applyFont="1" applyFill="1" applyBorder="1" applyAlignment="1" applyProtection="1">
      <alignment horizontal="center" vertical="center"/>
      <protection locked="0"/>
    </xf>
    <xf numFmtId="0" fontId="36" fillId="0" borderId="1" xfId="0" applyFont="1" applyFill="1" applyBorder="1" applyAlignment="1" applyProtection="1">
      <alignment horizontal="center" vertical="center"/>
      <protection locked="0"/>
    </xf>
    <xf numFmtId="0" fontId="36" fillId="0" borderId="2" xfId="0" applyFont="1" applyFill="1" applyBorder="1" applyAlignment="1" applyProtection="1">
      <alignment horizontal="center" vertical="center"/>
      <protection locked="0"/>
    </xf>
    <xf numFmtId="0" fontId="1" fillId="0" borderId="2" xfId="0" applyFont="1" applyFill="1" applyBorder="1" applyAlignment="1" applyProtection="1">
      <alignment horizontal="center" vertical="center"/>
      <protection locked="0"/>
    </xf>
    <xf numFmtId="0" fontId="1" fillId="3" borderId="2" xfId="0" applyFont="1"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0" fillId="0" borderId="0" xfId="0" applyFill="1" applyProtection="1">
      <alignment vertical="center"/>
      <protection locked="0"/>
    </xf>
    <xf numFmtId="178" fontId="1" fillId="0" borderId="0" xfId="0" applyNumberFormat="1" applyFont="1" applyFill="1" applyAlignment="1" applyProtection="1">
      <alignment horizontal="center" vertical="center"/>
    </xf>
    <xf numFmtId="180" fontId="1" fillId="0" borderId="0" xfId="0" applyNumberFormat="1" applyFont="1" applyFill="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181" fontId="1" fillId="0" borderId="0" xfId="0" applyNumberFormat="1" applyFont="1" applyFill="1" applyAlignment="1" applyProtection="1">
      <alignment horizontal="center" vertical="center"/>
      <protection locked="0"/>
    </xf>
    <xf numFmtId="0"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184" fontId="4" fillId="0" borderId="0" xfId="0" applyNumberFormat="1" applyFont="1" applyFill="1" applyAlignment="1" applyProtection="1">
      <alignment horizontal="center" vertical="center"/>
      <protection locked="0"/>
    </xf>
    <xf numFmtId="185" fontId="1" fillId="0" borderId="0" xfId="0" applyNumberFormat="1" applyFont="1" applyFill="1" applyAlignment="1" applyProtection="1">
      <alignment horizontal="center" vertical="center"/>
      <protection locked="0"/>
    </xf>
    <xf numFmtId="178" fontId="68" fillId="0" borderId="4" xfId="0" applyNumberFormat="1" applyFont="1" applyFill="1" applyBorder="1" applyAlignment="1" applyProtection="1">
      <alignment vertical="center"/>
    </xf>
    <xf numFmtId="178" fontId="69" fillId="0" borderId="6" xfId="0" applyNumberFormat="1" applyFont="1" applyFill="1" applyBorder="1" applyAlignment="1" applyProtection="1">
      <alignment vertical="center"/>
      <protection locked="0"/>
    </xf>
    <xf numFmtId="0" fontId="4" fillId="0" borderId="2" xfId="0" applyFont="1" applyFill="1" applyBorder="1" applyAlignment="1" applyProtection="1">
      <alignment horizontal="center" vertical="center" wrapText="1"/>
      <protection locked="0"/>
    </xf>
    <xf numFmtId="178" fontId="70" fillId="0" borderId="2" xfId="0" applyNumberFormat="1" applyFont="1" applyFill="1" applyBorder="1" applyAlignment="1" applyProtection="1">
      <alignment vertical="center"/>
      <protection locked="0"/>
    </xf>
    <xf numFmtId="178" fontId="71" fillId="0" borderId="2" xfId="0" applyNumberFormat="1" applyFont="1" applyFill="1" applyBorder="1" applyAlignment="1" applyProtection="1">
      <alignment vertical="center"/>
      <protection locked="0"/>
    </xf>
    <xf numFmtId="0" fontId="71" fillId="0" borderId="2" xfId="0" applyNumberFormat="1" applyFont="1" applyFill="1" applyBorder="1" applyAlignment="1" applyProtection="1">
      <alignment vertical="center"/>
      <protection locked="0"/>
    </xf>
    <xf numFmtId="0" fontId="72" fillId="0" borderId="2" xfId="0" applyFont="1" applyFill="1" applyBorder="1" applyAlignment="1" applyProtection="1">
      <alignment vertical="center"/>
      <protection locked="0"/>
    </xf>
    <xf numFmtId="178" fontId="3" fillId="0" borderId="2" xfId="0" applyNumberFormat="1" applyFont="1" applyFill="1" applyBorder="1" applyAlignment="1" applyProtection="1">
      <alignment horizontal="center" vertical="center" wrapText="1" shrinkToFit="1"/>
    </xf>
    <xf numFmtId="0" fontId="4" fillId="0" borderId="2" xfId="0" applyFont="1" applyFill="1" applyBorder="1" applyAlignment="1" applyProtection="1">
      <alignment horizontal="center" vertical="center" wrapText="1" shrinkToFit="1"/>
      <protection locked="0"/>
    </xf>
    <xf numFmtId="0" fontId="3" fillId="0" borderId="2" xfId="0" applyFont="1" applyFill="1" applyBorder="1" applyAlignment="1" applyProtection="1">
      <alignment horizontal="center" vertical="center" wrapText="1" shrinkToFit="1"/>
      <protection locked="0"/>
    </xf>
    <xf numFmtId="0" fontId="5" fillId="0" borderId="2" xfId="0" applyFont="1" applyFill="1" applyBorder="1" applyAlignment="1" applyProtection="1">
      <alignment horizontal="center" vertical="center" wrapText="1" shrinkToFit="1"/>
      <protection locked="0"/>
    </xf>
    <xf numFmtId="0" fontId="94" fillId="0" borderId="2" xfId="0" applyFont="1" applyFill="1" applyBorder="1" applyAlignment="1" applyProtection="1">
      <alignment horizontal="center" vertical="center" wrapText="1"/>
      <protection locked="0"/>
    </xf>
    <xf numFmtId="0" fontId="94" fillId="0" borderId="2" xfId="0" applyFont="1" applyFill="1" applyBorder="1" applyAlignment="1" applyProtection="1">
      <alignment horizontal="center" vertical="center" wrapText="1" shrinkToFit="1"/>
      <protection locked="0"/>
    </xf>
    <xf numFmtId="0" fontId="36" fillId="0" borderId="2" xfId="0" applyNumberFormat="1" applyFont="1" applyFill="1" applyBorder="1" applyAlignment="1" applyProtection="1">
      <alignment horizontal="center" vertical="center" shrinkToFit="1"/>
      <protection locked="0"/>
    </xf>
    <xf numFmtId="0" fontId="95" fillId="0" borderId="2" xfId="0" applyNumberFormat="1" applyFont="1" applyFill="1" applyBorder="1" applyAlignment="1" applyProtection="1">
      <alignment horizontal="center" vertical="center" wrapText="1"/>
      <protection locked="0"/>
    </xf>
    <xf numFmtId="0" fontId="36" fillId="0" borderId="2" xfId="0" applyFont="1" applyFill="1" applyBorder="1" applyAlignment="1" applyProtection="1">
      <alignment horizontal="center" vertical="center" wrapText="1" shrinkToFit="1"/>
      <protection locked="0"/>
    </xf>
    <xf numFmtId="0" fontId="96" fillId="0" borderId="2" xfId="0" applyFont="1" applyFill="1" applyBorder="1" applyAlignment="1" applyProtection="1">
      <alignment horizontal="center" vertical="center" wrapText="1"/>
      <protection locked="0"/>
    </xf>
    <xf numFmtId="179" fontId="75" fillId="0" borderId="2" xfId="0" applyNumberFormat="1" applyFont="1" applyFill="1" applyBorder="1" applyAlignment="1" applyProtection="1">
      <alignment horizontal="center" vertical="center" shrinkToFit="1"/>
    </xf>
    <xf numFmtId="0" fontId="66" fillId="0" borderId="2" xfId="0" applyNumberFormat="1" applyFont="1" applyFill="1" applyBorder="1" applyAlignment="1" applyProtection="1">
      <alignment horizontal="center" vertical="center" shrinkToFit="1"/>
      <protection locked="0"/>
    </xf>
    <xf numFmtId="0" fontId="75" fillId="0" borderId="2" xfId="0" applyNumberFormat="1" applyFont="1" applyFill="1" applyBorder="1" applyAlignment="1" applyProtection="1">
      <alignment horizontal="center" vertical="center" wrapText="1"/>
      <protection locked="0"/>
    </xf>
    <xf numFmtId="0" fontId="66" fillId="0" borderId="2" xfId="0" applyFont="1" applyFill="1" applyBorder="1" applyAlignment="1" applyProtection="1">
      <alignment horizontal="center" vertical="center" wrapText="1" shrinkToFit="1"/>
      <protection locked="0"/>
    </xf>
    <xf numFmtId="0" fontId="76" fillId="0" borderId="1" xfId="0" applyFont="1" applyFill="1" applyBorder="1" applyAlignment="1" applyProtection="1">
      <alignment horizontal="center" vertical="center" wrapText="1"/>
      <protection locked="0"/>
    </xf>
    <xf numFmtId="179" fontId="95" fillId="0" borderId="1" xfId="0" applyNumberFormat="1" applyFont="1" applyFill="1" applyBorder="1" applyAlignment="1" applyProtection="1">
      <alignment horizontal="center" vertical="center" shrinkToFit="1"/>
    </xf>
    <xf numFmtId="0" fontId="94" fillId="0" borderId="1" xfId="0" applyFont="1" applyFill="1" applyBorder="1" applyAlignment="1" applyProtection="1">
      <alignment horizontal="center" vertical="center" wrapText="1"/>
      <protection locked="0"/>
    </xf>
    <xf numFmtId="0" fontId="94" fillId="0" borderId="1" xfId="0" applyFont="1" applyFill="1" applyBorder="1" applyAlignment="1" applyProtection="1">
      <alignment horizontal="center" vertical="center" wrapText="1" shrinkToFit="1"/>
      <protection locked="0"/>
    </xf>
    <xf numFmtId="0" fontId="36" fillId="0" borderId="1" xfId="0" applyNumberFormat="1" applyFont="1" applyFill="1" applyBorder="1" applyAlignment="1" applyProtection="1">
      <alignment horizontal="center" vertical="center" shrinkToFit="1"/>
      <protection locked="0"/>
    </xf>
    <xf numFmtId="0" fontId="95" fillId="0" borderId="1" xfId="0" applyNumberFormat="1" applyFont="1" applyFill="1" applyBorder="1" applyAlignment="1" applyProtection="1">
      <alignment horizontal="center" vertical="center" wrapText="1"/>
      <protection locked="0"/>
    </xf>
    <xf numFmtId="0" fontId="36" fillId="0" borderId="1" xfId="0" applyFont="1" applyFill="1" applyBorder="1" applyAlignment="1" applyProtection="1">
      <alignment horizontal="center" vertical="center" wrapText="1" shrinkToFit="1"/>
      <protection locked="0"/>
    </xf>
    <xf numFmtId="0" fontId="96" fillId="0" borderId="1" xfId="0"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shrinkToFit="1"/>
      <protection locked="0"/>
    </xf>
    <xf numFmtId="0" fontId="12" fillId="0" borderId="2" xfId="0" applyNumberFormat="1"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shrinkToFit="1"/>
      <protection locked="0"/>
    </xf>
    <xf numFmtId="0" fontId="13" fillId="0" borderId="2" xfId="0" applyFont="1" applyFill="1" applyBorder="1" applyAlignment="1" applyProtection="1">
      <alignment horizontal="center" vertical="center" wrapText="1"/>
      <protection locked="0"/>
    </xf>
    <xf numFmtId="179" fontId="12" fillId="3" borderId="2" xfId="0" applyNumberFormat="1" applyFont="1" applyFill="1" applyBorder="1" applyAlignment="1" applyProtection="1">
      <alignment horizontal="center" vertical="center" shrinkToFit="1"/>
    </xf>
    <xf numFmtId="0" fontId="11" fillId="3" borderId="2" xfId="0" applyFont="1" applyFill="1" applyBorder="1" applyAlignment="1" applyProtection="1">
      <alignment horizontal="center" vertical="center" wrapText="1"/>
      <protection locked="0"/>
    </xf>
    <xf numFmtId="0" fontId="11" fillId="3" borderId="2" xfId="0" applyFont="1" applyFill="1" applyBorder="1" applyAlignment="1" applyProtection="1">
      <alignment horizontal="center" vertical="center" wrapText="1" shrinkToFit="1"/>
      <protection locked="0"/>
    </xf>
    <xf numFmtId="0" fontId="1" fillId="3" borderId="2" xfId="0" applyNumberFormat="1" applyFont="1" applyFill="1" applyBorder="1" applyAlignment="1" applyProtection="1">
      <alignment horizontal="center" vertical="center" shrinkToFit="1"/>
      <protection locked="0"/>
    </xf>
    <xf numFmtId="0" fontId="12" fillId="3" borderId="2" xfId="0" applyNumberFormat="1"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shrinkToFit="1"/>
      <protection locked="0"/>
    </xf>
    <xf numFmtId="0" fontId="13" fillId="3" borderId="2" xfId="0" applyFont="1" applyFill="1" applyBorder="1" applyAlignment="1" applyProtection="1">
      <alignment horizontal="center" vertical="center" wrapText="1"/>
      <protection locked="0"/>
    </xf>
    <xf numFmtId="179" fontId="12" fillId="2" borderId="2" xfId="0" applyNumberFormat="1" applyFont="1" applyFill="1" applyBorder="1" applyAlignment="1" applyProtection="1">
      <alignment horizontal="center" vertical="center" shrinkToFit="1"/>
    </xf>
    <xf numFmtId="0" fontId="11" fillId="2" borderId="2" xfId="0" applyFont="1" applyFill="1" applyBorder="1" applyAlignment="1" applyProtection="1">
      <alignment horizontal="center" vertical="center" wrapText="1"/>
      <protection locked="0"/>
    </xf>
    <xf numFmtId="0" fontId="11" fillId="2" borderId="2" xfId="0" applyFont="1" applyFill="1" applyBorder="1" applyAlignment="1" applyProtection="1">
      <alignment horizontal="center" vertical="center" wrapText="1" shrinkToFit="1"/>
      <protection locked="0"/>
    </xf>
    <xf numFmtId="0" fontId="1" fillId="2" borderId="2" xfId="0" applyNumberFormat="1" applyFont="1" applyFill="1" applyBorder="1" applyAlignment="1" applyProtection="1">
      <alignment horizontal="center" vertical="center" shrinkToFit="1"/>
      <protection locked="0"/>
    </xf>
    <xf numFmtId="0" fontId="12" fillId="2" borderId="2" xfId="0" applyNumberFormat="1"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shrinkToFit="1"/>
      <protection locked="0"/>
    </xf>
    <xf numFmtId="0" fontId="13" fillId="2" borderId="2" xfId="0" applyFont="1" applyFill="1" applyBorder="1" applyAlignment="1" applyProtection="1">
      <alignment horizontal="center" vertical="center" wrapText="1"/>
      <protection locked="0"/>
    </xf>
    <xf numFmtId="0" fontId="4" fillId="0" borderId="0" xfId="0" applyFont="1" applyFill="1" applyAlignment="1" applyProtection="1">
      <alignment horizontal="center" vertical="center" wrapText="1"/>
      <protection locked="0"/>
    </xf>
    <xf numFmtId="0" fontId="4" fillId="0" borderId="2" xfId="0" applyFont="1" applyFill="1" applyBorder="1" applyAlignment="1" applyProtection="1">
      <alignment horizontal="center" vertical="center"/>
      <protection locked="0"/>
    </xf>
    <xf numFmtId="0" fontId="32" fillId="0" borderId="2" xfId="0" applyFont="1" applyFill="1" applyBorder="1" applyAlignment="1" applyProtection="1">
      <alignment horizontal="left" vertical="center"/>
      <protection locked="0"/>
    </xf>
    <xf numFmtId="180" fontId="4" fillId="0" borderId="2" xfId="0" applyNumberFormat="1" applyFont="1" applyFill="1" applyBorder="1" applyAlignment="1" applyProtection="1">
      <alignment horizontal="center" vertical="center" wrapText="1"/>
      <protection locked="0"/>
    </xf>
    <xf numFmtId="179" fontId="22" fillId="0" borderId="2" xfId="0" applyNumberFormat="1" applyFont="1" applyFill="1" applyBorder="1" applyAlignment="1" applyProtection="1">
      <alignment horizontal="center" vertical="center" wrapText="1" shrinkToFit="1"/>
      <protection locked="0"/>
    </xf>
    <xf numFmtId="180" fontId="4" fillId="0" borderId="2" xfId="0" applyNumberFormat="1" applyFont="1" applyFill="1" applyBorder="1" applyAlignment="1" applyProtection="1">
      <alignment horizontal="center" vertical="center" wrapText="1" shrinkToFit="1"/>
      <protection locked="0"/>
    </xf>
    <xf numFmtId="0" fontId="132" fillId="0" borderId="2" xfId="0" applyFont="1" applyFill="1" applyBorder="1" applyAlignment="1" applyProtection="1">
      <alignment horizontal="center" vertical="center"/>
      <protection locked="0"/>
    </xf>
    <xf numFmtId="179" fontId="96" fillId="0" borderId="2" xfId="0" applyNumberFormat="1" applyFont="1" applyFill="1" applyBorder="1" applyAlignment="1" applyProtection="1">
      <alignment horizontal="center" vertical="center" wrapText="1" shrinkToFit="1"/>
      <protection locked="0"/>
    </xf>
    <xf numFmtId="0" fontId="66" fillId="0" borderId="1" xfId="0" applyFont="1" applyFill="1" applyBorder="1" applyAlignment="1" applyProtection="1">
      <alignment horizontal="center" vertical="center"/>
      <protection locked="0"/>
    </xf>
    <xf numFmtId="0" fontId="77" fillId="0" borderId="1" xfId="0" applyFont="1" applyFill="1" applyBorder="1" applyAlignment="1" applyProtection="1">
      <alignment horizontal="center" vertical="center" wrapText="1" shrinkToFit="1"/>
      <protection locked="0"/>
    </xf>
    <xf numFmtId="0" fontId="66" fillId="0" borderId="1" xfId="0" applyFont="1" applyFill="1" applyBorder="1" applyAlignment="1" applyProtection="1">
      <alignment horizontal="center" vertical="center" wrapText="1" shrinkToFit="1"/>
      <protection locked="0"/>
    </xf>
    <xf numFmtId="179" fontId="76" fillId="0" borderId="2" xfId="0" applyNumberFormat="1" applyFont="1" applyFill="1" applyBorder="1" applyAlignment="1" applyProtection="1">
      <alignment horizontal="center" vertical="center" wrapText="1" shrinkToFit="1"/>
      <protection locked="0"/>
    </xf>
    <xf numFmtId="0" fontId="77" fillId="0" borderId="2" xfId="0" applyFont="1" applyFill="1" applyBorder="1" applyAlignment="1" applyProtection="1">
      <alignment horizontal="center" vertical="center" wrapText="1" shrinkToFit="1"/>
      <protection locked="0"/>
    </xf>
    <xf numFmtId="0" fontId="49" fillId="0" borderId="1" xfId="0" applyFont="1" applyFill="1" applyBorder="1" applyAlignment="1" applyProtection="1">
      <alignment horizontal="center" vertical="center" wrapText="1" shrinkToFit="1"/>
      <protection locked="0"/>
    </xf>
    <xf numFmtId="179" fontId="96" fillId="0" borderId="1" xfId="0" applyNumberFormat="1" applyFont="1" applyFill="1" applyBorder="1" applyAlignment="1" applyProtection="1">
      <alignment horizontal="center" vertical="center" wrapText="1" shrinkToFit="1"/>
      <protection locked="0"/>
    </xf>
    <xf numFmtId="0" fontId="49" fillId="0" borderId="2" xfId="0"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shrinkToFit="1"/>
      <protection locked="0"/>
    </xf>
    <xf numFmtId="179" fontId="13" fillId="0" borderId="2" xfId="0" applyNumberFormat="1" applyFont="1" applyFill="1" applyBorder="1" applyAlignment="1" applyProtection="1">
      <alignment horizontal="center" vertical="center" wrapText="1" shrinkToFit="1"/>
      <protection locked="0"/>
    </xf>
    <xf numFmtId="0" fontId="1" fillId="3" borderId="1" xfId="0" applyFont="1" applyFill="1" applyBorder="1" applyAlignment="1" applyProtection="1">
      <alignment horizontal="center" vertical="center"/>
      <protection locked="0"/>
    </xf>
    <xf numFmtId="0" fontId="24" fillId="3" borderId="1" xfId="0" applyFont="1" applyFill="1" applyBorder="1" applyAlignment="1" applyProtection="1">
      <alignment horizontal="center" vertical="center" wrapText="1" shrinkToFit="1"/>
      <protection locked="0"/>
    </xf>
    <xf numFmtId="0" fontId="1" fillId="3" borderId="1" xfId="0" applyFont="1" applyFill="1" applyBorder="1" applyAlignment="1" applyProtection="1">
      <alignment horizontal="center" vertical="center" wrapText="1" shrinkToFit="1"/>
      <protection locked="0"/>
    </xf>
    <xf numFmtId="179" fontId="13" fillId="3" borderId="2" xfId="0" applyNumberFormat="1" applyFont="1" applyFill="1" applyBorder="1" applyAlignment="1" applyProtection="1">
      <alignment horizontal="center" vertical="center" wrapText="1" shrinkToFit="1"/>
      <protection locked="0"/>
    </xf>
    <xf numFmtId="180" fontId="13" fillId="3" borderId="2" xfId="0" applyNumberFormat="1" applyFont="1" applyFill="1" applyBorder="1" applyAlignment="1" applyProtection="1">
      <alignment horizontal="center" vertical="center" wrapText="1"/>
      <protection locked="0"/>
    </xf>
    <xf numFmtId="0" fontId="24" fillId="0" borderId="2" xfId="0" applyFont="1" applyFill="1" applyBorder="1" applyAlignment="1" applyProtection="1">
      <alignment horizontal="center" vertical="center" wrapText="1" shrinkToFit="1"/>
      <protection locked="0"/>
    </xf>
    <xf numFmtId="0" fontId="1" fillId="20" borderId="2" xfId="0" applyFont="1" applyFill="1" applyBorder="1" applyAlignment="1" applyProtection="1">
      <alignment horizontal="center" vertical="center"/>
      <protection locked="0"/>
    </xf>
    <xf numFmtId="0" fontId="24" fillId="20" borderId="2" xfId="0" applyFont="1" applyFill="1" applyBorder="1" applyAlignment="1" applyProtection="1">
      <alignment horizontal="center" vertical="center" wrapText="1" shrinkToFit="1"/>
      <protection locked="0"/>
    </xf>
    <xf numFmtId="0" fontId="1" fillId="20" borderId="2" xfId="0" applyFont="1" applyFill="1" applyBorder="1" applyAlignment="1" applyProtection="1">
      <alignment horizontal="center" vertical="center" wrapText="1" shrinkToFit="1"/>
      <protection locked="0"/>
    </xf>
    <xf numFmtId="179" fontId="13" fillId="2" borderId="2" xfId="0" applyNumberFormat="1" applyFont="1" applyFill="1" applyBorder="1" applyAlignment="1" applyProtection="1">
      <alignment horizontal="center" vertical="center" wrapText="1" shrinkToFit="1"/>
      <protection locked="0"/>
    </xf>
    <xf numFmtId="186" fontId="4" fillId="0" borderId="0" xfId="0" applyNumberFormat="1" applyFont="1" applyFill="1" applyAlignment="1" applyProtection="1">
      <alignment horizontal="center" vertical="center" wrapText="1"/>
      <protection locked="0"/>
    </xf>
    <xf numFmtId="180" fontId="1" fillId="0" borderId="0" xfId="0" applyNumberFormat="1" applyFont="1" applyFill="1" applyAlignment="1" applyProtection="1">
      <alignment horizontal="center" vertical="center"/>
      <protection locked="0"/>
    </xf>
    <xf numFmtId="192" fontId="1" fillId="0" borderId="0" xfId="0" applyNumberFormat="1" applyFont="1" applyFill="1" applyAlignment="1" applyProtection="1">
      <alignment horizontal="center" vertical="center" wrapText="1"/>
      <protection locked="0"/>
    </xf>
    <xf numFmtId="180" fontId="4" fillId="0" borderId="4" xfId="0" applyNumberFormat="1" applyFont="1" applyFill="1" applyBorder="1" applyAlignment="1" applyProtection="1">
      <alignment horizontal="center" vertical="center" wrapText="1"/>
      <protection locked="0"/>
    </xf>
    <xf numFmtId="178" fontId="78" fillId="0" borderId="2" xfId="0" applyNumberFormat="1" applyFont="1" applyFill="1" applyBorder="1" applyAlignment="1" applyProtection="1">
      <alignment vertical="center"/>
      <protection locked="0"/>
    </xf>
    <xf numFmtId="178" fontId="71" fillId="0" borderId="6" xfId="0" applyNumberFormat="1" applyFont="1" applyFill="1" applyBorder="1" applyAlignment="1" applyProtection="1">
      <alignment vertical="center"/>
      <protection locked="0"/>
    </xf>
    <xf numFmtId="181" fontId="4" fillId="0" borderId="2" xfId="0" applyNumberFormat="1" applyFont="1" applyFill="1" applyBorder="1" applyAlignment="1" applyProtection="1">
      <alignment horizontal="center" vertical="center"/>
      <protection locked="0"/>
    </xf>
    <xf numFmtId="0" fontId="25" fillId="0" borderId="2" xfId="0" applyNumberFormat="1" applyFont="1" applyFill="1" applyBorder="1" applyAlignment="1" applyProtection="1">
      <alignment horizontal="center" vertical="center" wrapText="1" shrinkToFit="1"/>
      <protection locked="0"/>
    </xf>
    <xf numFmtId="181" fontId="4" fillId="0" borderId="2" xfId="0" applyNumberFormat="1" applyFont="1" applyFill="1" applyBorder="1" applyAlignment="1" applyProtection="1">
      <alignment horizontal="center" vertical="center" wrapText="1" shrinkToFit="1"/>
      <protection locked="0"/>
    </xf>
    <xf numFmtId="0" fontId="52" fillId="0" borderId="2" xfId="0" applyNumberFormat="1" applyFont="1" applyFill="1" applyBorder="1" applyAlignment="1" applyProtection="1">
      <alignment horizontal="center" vertical="center" wrapText="1"/>
      <protection locked="0"/>
    </xf>
    <xf numFmtId="179" fontId="99" fillId="0" borderId="2" xfId="0" applyNumberFormat="1" applyFont="1" applyFill="1" applyBorder="1" applyAlignment="1" applyProtection="1">
      <alignment horizontal="center" vertical="center" wrapText="1" shrinkToFit="1"/>
      <protection locked="0"/>
    </xf>
    <xf numFmtId="182" fontId="36" fillId="0" borderId="2" xfId="0" applyNumberFormat="1" applyFont="1" applyFill="1" applyBorder="1" applyAlignment="1" applyProtection="1">
      <alignment horizontal="center" vertical="center" wrapText="1" shrinkToFit="1"/>
      <protection locked="0"/>
    </xf>
    <xf numFmtId="181" fontId="36" fillId="0" borderId="2" xfId="0" applyNumberFormat="1" applyFont="1" applyFill="1" applyBorder="1" applyAlignment="1" applyProtection="1">
      <alignment horizontal="center" vertical="center"/>
      <protection locked="0"/>
    </xf>
    <xf numFmtId="180" fontId="81" fillId="0" borderId="9" xfId="0" applyNumberFormat="1" applyFont="1" applyFill="1" applyBorder="1" applyAlignment="1" applyProtection="1">
      <alignment horizontal="center" vertical="center" wrapText="1"/>
      <protection locked="0"/>
    </xf>
    <xf numFmtId="179" fontId="85" fillId="0" borderId="2" xfId="0" applyNumberFormat="1" applyFont="1" applyFill="1" applyBorder="1" applyAlignment="1" applyProtection="1">
      <alignment horizontal="center" vertical="center" wrapText="1" shrinkToFit="1"/>
      <protection locked="0"/>
    </xf>
    <xf numFmtId="182" fontId="66" fillId="0" borderId="1" xfId="0" applyNumberFormat="1" applyFont="1" applyFill="1" applyBorder="1" applyAlignment="1" applyProtection="1">
      <alignment horizontal="center" vertical="center" wrapText="1" shrinkToFit="1"/>
      <protection locked="0"/>
    </xf>
    <xf numFmtId="181" fontId="66" fillId="0" borderId="1" xfId="0" applyNumberFormat="1" applyFont="1" applyFill="1" applyBorder="1" applyAlignment="1" applyProtection="1">
      <alignment horizontal="center" vertical="center"/>
      <protection locked="0"/>
    </xf>
    <xf numFmtId="182" fontId="66" fillId="0" borderId="2" xfId="0" applyNumberFormat="1" applyFont="1" applyFill="1" applyBorder="1" applyAlignment="1" applyProtection="1">
      <alignment horizontal="center" vertical="center" wrapText="1" shrinkToFit="1"/>
      <protection locked="0"/>
    </xf>
    <xf numFmtId="181" fontId="66" fillId="0" borderId="2" xfId="0" applyNumberFormat="1" applyFont="1" applyFill="1" applyBorder="1" applyAlignment="1" applyProtection="1">
      <alignment horizontal="center" vertical="center"/>
      <protection locked="0"/>
    </xf>
    <xf numFmtId="180" fontId="133" fillId="0" borderId="2" xfId="0" applyNumberFormat="1" applyFont="1" applyFill="1" applyBorder="1" applyAlignment="1" applyProtection="1">
      <alignment horizontal="center" vertical="center" wrapText="1"/>
      <protection locked="0"/>
    </xf>
    <xf numFmtId="180" fontId="97" fillId="0" borderId="1" xfId="0" applyNumberFormat="1" applyFont="1" applyFill="1" applyBorder="1" applyAlignment="1" applyProtection="1">
      <alignment horizontal="center" vertical="center" wrapText="1"/>
      <protection locked="0"/>
    </xf>
    <xf numFmtId="180" fontId="97" fillId="0" borderId="10" xfId="0" applyNumberFormat="1" applyFont="1" applyFill="1" applyBorder="1" applyAlignment="1" applyProtection="1">
      <alignment horizontal="center" vertical="center" wrapText="1"/>
      <protection locked="0"/>
    </xf>
    <xf numFmtId="179" fontId="99" fillId="0" borderId="1" xfId="0" applyNumberFormat="1" applyFont="1" applyFill="1" applyBorder="1" applyAlignment="1" applyProtection="1">
      <alignment horizontal="center" vertical="center" wrapText="1" shrinkToFit="1"/>
      <protection locked="0"/>
    </xf>
    <xf numFmtId="182" fontId="36" fillId="0" borderId="1" xfId="0" applyNumberFormat="1" applyFont="1" applyFill="1" applyBorder="1" applyAlignment="1" applyProtection="1">
      <alignment horizontal="center" vertical="center" wrapText="1" shrinkToFit="1"/>
      <protection locked="0"/>
    </xf>
    <xf numFmtId="181" fontId="36" fillId="0" borderId="1" xfId="0" applyNumberFormat="1" applyFont="1" applyFill="1" applyBorder="1" applyAlignment="1" applyProtection="1">
      <alignment horizontal="center" vertical="center"/>
      <protection locked="0"/>
    </xf>
    <xf numFmtId="180" fontId="97" fillId="0" borderId="11" xfId="0" applyNumberFormat="1" applyFont="1" applyFill="1" applyBorder="1" applyAlignment="1" applyProtection="1">
      <alignment horizontal="center" vertical="center" wrapText="1"/>
      <protection locked="0"/>
    </xf>
    <xf numFmtId="0" fontId="75" fillId="3" borderId="2" xfId="0" applyNumberFormat="1" applyFont="1" applyFill="1" applyBorder="1" applyAlignment="1" applyProtection="1">
      <alignment horizontal="center" vertical="center" wrapText="1"/>
      <protection locked="0"/>
    </xf>
    <xf numFmtId="179" fontId="27" fillId="0" borderId="2" xfId="0" applyNumberFormat="1" applyFont="1" applyFill="1" applyBorder="1" applyAlignment="1" applyProtection="1">
      <alignment horizontal="center" vertical="center" wrapText="1" shrinkToFit="1"/>
      <protection locked="0"/>
    </xf>
    <xf numFmtId="182" fontId="1" fillId="0" borderId="2" xfId="0" applyNumberFormat="1" applyFont="1" applyFill="1" applyBorder="1" applyAlignment="1" applyProtection="1">
      <alignment horizontal="center" vertical="center" wrapText="1" shrinkToFit="1"/>
      <protection locked="0"/>
    </xf>
    <xf numFmtId="181" fontId="1" fillId="0" borderId="2" xfId="0" applyNumberFormat="1" applyFont="1" applyFill="1" applyBorder="1" applyAlignment="1" applyProtection="1">
      <alignment horizontal="center" vertical="center"/>
      <protection locked="0"/>
    </xf>
    <xf numFmtId="180" fontId="13" fillId="3" borderId="3" xfId="0" applyNumberFormat="1" applyFont="1" applyFill="1" applyBorder="1" applyAlignment="1" applyProtection="1">
      <alignment horizontal="center" vertical="center" wrapText="1"/>
      <protection locked="0"/>
    </xf>
    <xf numFmtId="180" fontId="80" fillId="3" borderId="2" xfId="0" applyNumberFormat="1" applyFont="1" applyFill="1" applyBorder="1" applyAlignment="1" applyProtection="1">
      <alignment horizontal="center" vertical="center" wrapText="1"/>
      <protection locked="0"/>
    </xf>
    <xf numFmtId="180" fontId="80" fillId="3" borderId="11" xfId="0" applyNumberFormat="1" applyFont="1" applyFill="1" applyBorder="1" applyAlignment="1" applyProtection="1">
      <alignment horizontal="center" vertical="center" wrapText="1"/>
      <protection locked="0"/>
    </xf>
    <xf numFmtId="179" fontId="27" fillId="3" borderId="2" xfId="0" applyNumberFormat="1" applyFont="1" applyFill="1" applyBorder="1" applyAlignment="1" applyProtection="1">
      <alignment horizontal="center" vertical="center" wrapText="1" shrinkToFit="1"/>
      <protection locked="0"/>
    </xf>
    <xf numFmtId="182" fontId="1" fillId="3" borderId="2" xfId="0" applyNumberFormat="1" applyFont="1" applyFill="1" applyBorder="1" applyAlignment="1" applyProtection="1">
      <alignment horizontal="center" vertical="center" wrapText="1" shrinkToFit="1"/>
      <protection locked="0"/>
    </xf>
    <xf numFmtId="181" fontId="1" fillId="3" borderId="2" xfId="0" applyNumberFormat="1" applyFont="1" applyFill="1" applyBorder="1" applyAlignment="1" applyProtection="1">
      <alignment horizontal="center" vertical="center"/>
      <protection locked="0"/>
    </xf>
    <xf numFmtId="179" fontId="27" fillId="2" borderId="2" xfId="0" applyNumberFormat="1" applyFont="1" applyFill="1" applyBorder="1" applyAlignment="1" applyProtection="1">
      <alignment horizontal="center" vertical="center" wrapText="1" shrinkToFit="1"/>
      <protection locked="0"/>
    </xf>
    <xf numFmtId="182" fontId="1" fillId="20" borderId="2" xfId="0" applyNumberFormat="1" applyFont="1" applyFill="1" applyBorder="1" applyAlignment="1" applyProtection="1">
      <alignment horizontal="center" vertical="center" wrapText="1" shrinkToFit="1"/>
      <protection locked="0"/>
    </xf>
    <xf numFmtId="181" fontId="1" fillId="20" borderId="2" xfId="0" applyNumberFormat="1" applyFont="1" applyFill="1" applyBorder="1" applyAlignment="1" applyProtection="1">
      <alignment horizontal="center" vertical="center"/>
      <protection locked="0"/>
    </xf>
    <xf numFmtId="0" fontId="48" fillId="0" borderId="0" xfId="0" applyNumberFormat="1" applyFont="1" applyFill="1" applyBorder="1" applyAlignment="1" applyProtection="1">
      <alignment horizontal="center" vertical="center" wrapText="1"/>
      <protection locked="0"/>
    </xf>
    <xf numFmtId="190" fontId="1" fillId="0" borderId="0" xfId="0" applyNumberFormat="1" applyFont="1" applyFill="1" applyAlignment="1" applyProtection="1">
      <alignment horizontal="center" vertical="center"/>
      <protection locked="0"/>
    </xf>
    <xf numFmtId="191" fontId="4" fillId="0" borderId="0" xfId="0" applyNumberFormat="1" applyFont="1" applyFill="1" applyAlignment="1" applyProtection="1">
      <alignment horizontal="center" vertical="center"/>
      <protection locked="0"/>
    </xf>
    <xf numFmtId="0" fontId="31" fillId="0" borderId="0" xfId="0" applyNumberFormat="1" applyFont="1" applyFill="1" applyBorder="1" applyAlignment="1" applyProtection="1">
      <alignment horizontal="center" vertical="center" wrapText="1"/>
      <protection locked="0"/>
    </xf>
    <xf numFmtId="0" fontId="4" fillId="0" borderId="2" xfId="0" applyNumberFormat="1" applyFont="1" applyFill="1" applyBorder="1" applyAlignment="1" applyProtection="1">
      <alignment horizontal="center" vertical="center"/>
      <protection locked="0"/>
    </xf>
    <xf numFmtId="0" fontId="4" fillId="0" borderId="2" xfId="0" applyNumberFormat="1" applyFont="1" applyFill="1" applyBorder="1" applyAlignment="1" applyProtection="1">
      <alignment horizontal="center" vertical="center" wrapText="1" shrinkToFit="1"/>
      <protection locked="0"/>
    </xf>
    <xf numFmtId="0" fontId="3" fillId="0" borderId="2" xfId="0" applyNumberFormat="1" applyFont="1" applyFill="1" applyBorder="1" applyAlignment="1" applyProtection="1">
      <alignment horizontal="center" vertical="center" wrapText="1" shrinkToFit="1"/>
      <protection locked="0"/>
    </xf>
    <xf numFmtId="0" fontId="52" fillId="0" borderId="2" xfId="0" applyFont="1" applyFill="1" applyBorder="1" applyAlignment="1" applyProtection="1">
      <alignment horizontal="center" vertical="center"/>
      <protection locked="0"/>
    </xf>
    <xf numFmtId="0" fontId="1" fillId="0" borderId="2" xfId="0" applyFont="1" applyFill="1" applyBorder="1" applyAlignment="1" applyProtection="1">
      <alignment horizontal="left" vertical="center" wrapText="1" shrinkToFit="1"/>
      <protection locked="0"/>
    </xf>
    <xf numFmtId="0" fontId="52" fillId="0" borderId="2" xfId="0" applyNumberFormat="1" applyFont="1" applyFill="1" applyBorder="1" applyAlignment="1" applyProtection="1">
      <alignment horizontal="center" vertical="center" wrapText="1" shrinkToFit="1"/>
      <protection locked="0"/>
    </xf>
    <xf numFmtId="0" fontId="96" fillId="0" borderId="2" xfId="0" applyNumberFormat="1" applyFont="1" applyFill="1" applyBorder="1" applyAlignment="1" applyProtection="1">
      <alignment horizontal="center" vertical="center" wrapText="1" shrinkToFit="1"/>
      <protection locked="0"/>
    </xf>
    <xf numFmtId="0" fontId="86" fillId="0" borderId="2" xfId="0" applyFont="1" applyFill="1" applyBorder="1" applyAlignment="1" applyProtection="1">
      <alignment horizontal="center" vertical="center"/>
      <protection locked="0"/>
    </xf>
    <xf numFmtId="0" fontId="66" fillId="0" borderId="2" xfId="0" applyFont="1" applyFill="1" applyBorder="1" applyAlignment="1" applyProtection="1">
      <alignment horizontal="left" vertical="center" wrapText="1" shrinkToFit="1"/>
      <protection locked="0"/>
    </xf>
    <xf numFmtId="0" fontId="86" fillId="0" borderId="2" xfId="0" applyNumberFormat="1" applyFont="1" applyFill="1" applyBorder="1" applyAlignment="1" applyProtection="1">
      <alignment horizontal="center" vertical="center" wrapText="1" shrinkToFit="1"/>
      <protection locked="0"/>
    </xf>
    <xf numFmtId="0" fontId="76" fillId="0" borderId="2" xfId="0" applyNumberFormat="1" applyFont="1" applyFill="1" applyBorder="1" applyAlignment="1" applyProtection="1">
      <alignment horizontal="center" vertical="center" wrapText="1" shrinkToFit="1"/>
      <protection locked="0"/>
    </xf>
    <xf numFmtId="0" fontId="36" fillId="0" borderId="1" xfId="0" applyFont="1" applyFill="1" applyBorder="1" applyAlignment="1" applyProtection="1">
      <alignment horizontal="left" vertical="center" wrapText="1" shrinkToFit="1"/>
      <protection locked="0"/>
    </xf>
    <xf numFmtId="0" fontId="52" fillId="0" borderId="1" xfId="0" applyNumberFormat="1" applyFont="1" applyFill="1" applyBorder="1" applyAlignment="1" applyProtection="1">
      <alignment horizontal="center" vertical="center" wrapText="1" shrinkToFit="1"/>
      <protection locked="0"/>
    </xf>
    <xf numFmtId="0" fontId="96" fillId="0" borderId="1" xfId="0" applyNumberFormat="1" applyFont="1" applyFill="1" applyBorder="1" applyAlignment="1" applyProtection="1">
      <alignment horizontal="center" vertical="center" wrapText="1" shrinkToFit="1"/>
      <protection locked="0"/>
    </xf>
    <xf numFmtId="0" fontId="36" fillId="0" borderId="2" xfId="0" applyFont="1" applyFill="1" applyBorder="1" applyAlignment="1" applyProtection="1">
      <alignment horizontal="left" vertical="center" wrapText="1" shrinkToFit="1"/>
      <protection locked="0"/>
    </xf>
    <xf numFmtId="0" fontId="31" fillId="0" borderId="2" xfId="0" applyFont="1" applyFill="1" applyBorder="1" applyAlignment="1" applyProtection="1">
      <alignment horizontal="center" vertical="center"/>
      <protection locked="0"/>
    </xf>
    <xf numFmtId="0" fontId="31" fillId="0" borderId="2" xfId="0" applyNumberFormat="1" applyFont="1" applyFill="1" applyBorder="1" applyAlignment="1" applyProtection="1">
      <alignment horizontal="center" vertical="center" wrapText="1" shrinkToFit="1"/>
      <protection locked="0"/>
    </xf>
    <xf numFmtId="0" fontId="13" fillId="0" borderId="2" xfId="0" applyNumberFormat="1" applyFont="1" applyFill="1" applyBorder="1" applyAlignment="1" applyProtection="1">
      <alignment horizontal="center" vertical="center" wrapText="1" shrinkToFit="1"/>
      <protection locked="0"/>
    </xf>
    <xf numFmtId="0" fontId="31" fillId="3" borderId="2" xfId="0" applyFont="1" applyFill="1" applyBorder="1" applyAlignment="1" applyProtection="1">
      <alignment horizontal="center" vertical="center"/>
      <protection locked="0"/>
    </xf>
    <xf numFmtId="0" fontId="31" fillId="3" borderId="2" xfId="0" applyNumberFormat="1" applyFont="1" applyFill="1" applyBorder="1" applyAlignment="1" applyProtection="1">
      <alignment horizontal="center" vertical="center" wrapText="1" shrinkToFit="1"/>
      <protection locked="0"/>
    </xf>
    <xf numFmtId="0" fontId="13" fillId="3" borderId="2" xfId="0" applyNumberFormat="1" applyFont="1" applyFill="1" applyBorder="1" applyAlignment="1" applyProtection="1">
      <alignment horizontal="center" vertical="center" wrapText="1" shrinkToFit="1"/>
      <protection locked="0"/>
    </xf>
    <xf numFmtId="0" fontId="31" fillId="0" borderId="1" xfId="0" applyNumberFormat="1" applyFont="1" applyFill="1" applyBorder="1" applyAlignment="1" applyProtection="1">
      <alignment horizontal="center" vertical="center" wrapText="1" shrinkToFit="1"/>
      <protection locked="0"/>
    </xf>
    <xf numFmtId="0" fontId="31" fillId="2" borderId="2" xfId="0" applyFont="1" applyFill="1" applyBorder="1" applyAlignment="1" applyProtection="1">
      <alignment horizontal="center" vertical="center"/>
      <protection locked="0"/>
    </xf>
    <xf numFmtId="0" fontId="1" fillId="2" borderId="2" xfId="0" applyFont="1" applyFill="1" applyBorder="1" applyAlignment="1" applyProtection="1">
      <alignment horizontal="left" vertical="center" wrapText="1" shrinkToFit="1"/>
      <protection locked="0"/>
    </xf>
    <xf numFmtId="0" fontId="31" fillId="2" borderId="2" xfId="0" applyNumberFormat="1" applyFont="1" applyFill="1" applyBorder="1" applyAlignment="1" applyProtection="1">
      <alignment horizontal="center" vertical="center" wrapText="1" shrinkToFit="1"/>
      <protection locked="0"/>
    </xf>
    <xf numFmtId="0" fontId="31" fillId="2" borderId="1" xfId="0" applyNumberFormat="1" applyFont="1" applyFill="1" applyBorder="1" applyAlignment="1" applyProtection="1">
      <alignment horizontal="center" vertical="center" wrapText="1" shrinkToFit="1"/>
      <protection locked="0"/>
    </xf>
    <xf numFmtId="0" fontId="13" fillId="2" borderId="2" xfId="0" applyNumberFormat="1" applyFont="1" applyFill="1" applyBorder="1" applyAlignment="1" applyProtection="1">
      <alignment horizontal="center" vertical="center" wrapText="1" shrinkToFit="1"/>
      <protection locked="0"/>
    </xf>
    <xf numFmtId="0" fontId="4" fillId="0" borderId="4" xfId="0" applyNumberFormat="1" applyFont="1" applyFill="1" applyBorder="1" applyAlignment="1" applyProtection="1">
      <alignment horizontal="center" vertical="center"/>
      <protection locked="0"/>
    </xf>
    <xf numFmtId="0" fontId="25" fillId="0" borderId="4" xfId="0" applyFont="1" applyFill="1" applyBorder="1" applyAlignment="1" applyProtection="1">
      <alignment horizontal="center" vertical="center" wrapText="1"/>
      <protection locked="0"/>
    </xf>
    <xf numFmtId="0" fontId="88" fillId="0" borderId="2" xfId="0" applyNumberFormat="1" applyFont="1" applyFill="1" applyBorder="1" applyAlignment="1" applyProtection="1">
      <alignment horizontal="center" vertical="center" wrapText="1" shrinkToFit="1"/>
      <protection locked="0"/>
    </xf>
    <xf numFmtId="0" fontId="33" fillId="0" borderId="2" xfId="0" applyFont="1" applyFill="1" applyBorder="1" applyAlignment="1" applyProtection="1">
      <alignment horizontal="center" vertical="center" wrapText="1" shrinkToFit="1"/>
      <protection locked="0"/>
    </xf>
    <xf numFmtId="0" fontId="96" fillId="0" borderId="0" xfId="0" applyNumberFormat="1" applyFont="1" applyFill="1" applyAlignment="1" applyProtection="1">
      <alignment horizontal="center" vertical="center" wrapText="1" shrinkToFit="1"/>
      <protection locked="0"/>
    </xf>
    <xf numFmtId="0" fontId="76" fillId="0" borderId="1" xfId="0" applyNumberFormat="1" applyFont="1" applyFill="1" applyBorder="1" applyAlignment="1" applyProtection="1">
      <alignment horizontal="center" vertical="center" wrapText="1" shrinkToFit="1"/>
      <protection locked="0"/>
    </xf>
    <xf numFmtId="0" fontId="66" fillId="0" borderId="2" xfId="0" applyNumberFormat="1" applyFont="1" applyFill="1" applyBorder="1" applyAlignment="1" applyProtection="1">
      <alignment horizontal="center" vertical="center"/>
      <protection locked="0"/>
    </xf>
    <xf numFmtId="0" fontId="13" fillId="0" borderId="1" xfId="0" applyNumberFormat="1" applyFont="1" applyFill="1" applyBorder="1" applyAlignment="1" applyProtection="1">
      <alignment horizontal="center" vertical="center" wrapText="1" shrinkToFit="1"/>
      <protection locked="0"/>
    </xf>
    <xf numFmtId="0" fontId="13" fillId="3" borderId="1" xfId="0" applyNumberFormat="1" applyFont="1" applyFill="1" applyBorder="1" applyAlignment="1" applyProtection="1">
      <alignment horizontal="center" vertical="center" wrapText="1" shrinkToFit="1"/>
      <protection locked="0"/>
    </xf>
    <xf numFmtId="0" fontId="1" fillId="3" borderId="2" xfId="0" applyNumberFormat="1" applyFont="1" applyFill="1" applyBorder="1" applyAlignment="1" applyProtection="1">
      <alignment horizontal="center" vertical="center"/>
      <protection locked="0"/>
    </xf>
    <xf numFmtId="0" fontId="13" fillId="2" borderId="1" xfId="0" applyNumberFormat="1" applyFont="1" applyFill="1" applyBorder="1" applyAlignment="1" applyProtection="1">
      <alignment horizontal="center" vertical="center" wrapText="1" shrinkToFit="1"/>
      <protection locked="0"/>
    </xf>
    <xf numFmtId="0" fontId="1" fillId="2" borderId="2" xfId="0" applyNumberFormat="1" applyFont="1" applyFill="1" applyBorder="1" applyAlignment="1" applyProtection="1">
      <alignment horizontal="center" vertical="center"/>
      <protection locked="0"/>
    </xf>
    <xf numFmtId="180" fontId="2" fillId="0" borderId="0" xfId="0" applyNumberFormat="1" applyFont="1" applyFill="1" applyAlignment="1" applyProtection="1">
      <alignment horizontal="center" vertical="center" wrapText="1"/>
      <protection locked="0"/>
    </xf>
    <xf numFmtId="0" fontId="2" fillId="0" borderId="0" xfId="0" applyNumberFormat="1" applyFont="1" applyFill="1" applyAlignment="1" applyProtection="1">
      <alignment horizontal="center" vertical="center"/>
      <protection locked="0"/>
    </xf>
    <xf numFmtId="180" fontId="31" fillId="0" borderId="0" xfId="0" applyNumberFormat="1" applyFont="1" applyFill="1" applyAlignment="1" applyProtection="1">
      <alignment horizontal="center" vertical="center" wrapText="1"/>
      <protection locked="0"/>
    </xf>
    <xf numFmtId="0" fontId="31" fillId="0" borderId="0" xfId="0" applyNumberFormat="1" applyFont="1" applyFill="1" applyAlignment="1" applyProtection="1">
      <alignment horizontal="center" vertical="center"/>
      <protection locked="0"/>
    </xf>
    <xf numFmtId="0" fontId="25" fillId="0" borderId="7" xfId="0" applyFont="1" applyFill="1" applyBorder="1" applyAlignment="1" applyProtection="1">
      <alignment horizontal="center" vertical="center" wrapText="1"/>
      <protection locked="0"/>
    </xf>
    <xf numFmtId="0" fontId="25" fillId="0" borderId="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7" xfId="0" applyFont="1" applyFill="1" applyBorder="1" applyAlignment="1" applyProtection="1">
      <alignment horizontal="center" vertical="center" wrapText="1"/>
      <protection locked="0"/>
    </xf>
    <xf numFmtId="0" fontId="32" fillId="0" borderId="2" xfId="0" applyFont="1" applyFill="1" applyBorder="1" applyAlignment="1" applyProtection="1">
      <alignment horizontal="center" vertical="center" wrapText="1" shrinkToFit="1"/>
      <protection locked="0"/>
    </xf>
    <xf numFmtId="0" fontId="36" fillId="0" borderId="1" xfId="0" applyNumberFormat="1" applyFont="1" applyFill="1" applyBorder="1" applyAlignment="1" applyProtection="1">
      <alignment horizontal="center" vertical="center"/>
      <protection locked="0"/>
    </xf>
    <xf numFmtId="0" fontId="36" fillId="0" borderId="9" xfId="0" applyNumberFormat="1" applyFont="1" applyFill="1" applyBorder="1" applyAlignment="1" applyProtection="1">
      <alignment horizontal="center" vertical="center"/>
      <protection locked="0"/>
    </xf>
    <xf numFmtId="180" fontId="1" fillId="0" borderId="0" xfId="0" applyNumberFormat="1" applyFont="1" applyFill="1" applyBorder="1" applyAlignment="1" applyProtection="1">
      <alignment horizontal="center" vertical="center" wrapText="1"/>
      <protection locked="0"/>
    </xf>
    <xf numFmtId="0" fontId="51" fillId="0" borderId="6" xfId="0" applyFont="1" applyFill="1" applyBorder="1" applyAlignment="1" applyProtection="1">
      <alignment horizontal="center" vertical="center" wrapText="1"/>
      <protection locked="0"/>
    </xf>
    <xf numFmtId="184" fontId="53" fillId="0" borderId="2" xfId="0" applyNumberFormat="1" applyFont="1" applyFill="1" applyBorder="1" applyAlignment="1" applyProtection="1">
      <alignment horizontal="center" vertical="center"/>
      <protection locked="0"/>
    </xf>
    <xf numFmtId="0" fontId="134" fillId="0" borderId="2" xfId="0" applyFont="1" applyFill="1" applyBorder="1" applyAlignment="1" applyProtection="1">
      <alignment horizontal="center" vertical="center" wrapText="1" shrinkToFit="1"/>
      <protection locked="0"/>
    </xf>
    <xf numFmtId="0" fontId="2" fillId="0" borderId="2" xfId="0" applyFont="1" applyFill="1" applyBorder="1" applyAlignment="1" applyProtection="1">
      <alignment horizontal="center" vertical="center" wrapText="1"/>
      <protection locked="0"/>
    </xf>
    <xf numFmtId="184" fontId="53" fillId="0" borderId="2" xfId="0" applyNumberFormat="1" applyFont="1" applyFill="1" applyBorder="1" applyAlignment="1" applyProtection="1">
      <alignment horizontal="center" vertical="center" wrapText="1" shrinkToFit="1"/>
      <protection locked="0"/>
    </xf>
    <xf numFmtId="184" fontId="91" fillId="0" borderId="2" xfId="0" applyNumberFormat="1" applyFont="1" applyFill="1" applyBorder="1" applyAlignment="1" applyProtection="1">
      <alignment horizontal="center" vertical="center" wrapText="1" shrinkToFit="1"/>
      <protection locked="0"/>
    </xf>
    <xf numFmtId="184" fontId="53" fillId="0" borderId="1" xfId="0" applyNumberFormat="1" applyFont="1" applyFill="1" applyBorder="1" applyAlignment="1" applyProtection="1">
      <alignment horizontal="center" vertical="center" wrapText="1" shrinkToFit="1"/>
      <protection locked="0"/>
    </xf>
    <xf numFmtId="184" fontId="4" fillId="0" borderId="2" xfId="0" applyNumberFormat="1" applyFont="1" applyFill="1" applyBorder="1" applyAlignment="1" applyProtection="1">
      <alignment horizontal="center" vertical="center" wrapText="1" shrinkToFit="1"/>
      <protection locked="0"/>
    </xf>
    <xf numFmtId="184" fontId="4" fillId="3" borderId="2" xfId="0" applyNumberFormat="1" applyFont="1" applyFill="1" applyBorder="1" applyAlignment="1" applyProtection="1">
      <alignment horizontal="center" vertical="center" wrapText="1" shrinkToFit="1"/>
      <protection locked="0"/>
    </xf>
    <xf numFmtId="184" fontId="4" fillId="2" borderId="2" xfId="0" applyNumberFormat="1" applyFont="1" applyFill="1" applyBorder="1" applyAlignment="1" applyProtection="1">
      <alignment horizontal="center" vertical="center" wrapText="1" shrinkToFit="1"/>
      <protection locked="0"/>
    </xf>
    <xf numFmtId="184" fontId="53" fillId="0" borderId="7" xfId="0" applyNumberFormat="1" applyFont="1" applyFill="1" applyBorder="1" applyAlignment="1" applyProtection="1">
      <alignment horizontal="center" vertical="center"/>
      <protection locked="0"/>
    </xf>
    <xf numFmtId="0" fontId="135" fillId="0" borderId="2" xfId="0" applyFont="1" applyFill="1" applyBorder="1" applyAlignment="1" applyProtection="1">
      <alignment horizontal="center" vertical="center" wrapText="1"/>
      <protection locked="0"/>
    </xf>
    <xf numFmtId="0" fontId="2" fillId="0" borderId="4" xfId="0" applyFont="1" applyFill="1" applyBorder="1" applyAlignment="1" applyProtection="1">
      <alignment horizontal="center" vertical="center" wrapText="1"/>
      <protection locked="0"/>
    </xf>
    <xf numFmtId="184" fontId="91" fillId="0" borderId="1" xfId="0" applyNumberFormat="1" applyFont="1" applyFill="1" applyBorder="1" applyAlignment="1" applyProtection="1">
      <alignment horizontal="center" vertical="center" wrapText="1" shrinkToFit="1"/>
      <protection locked="0"/>
    </xf>
    <xf numFmtId="184" fontId="53" fillId="0" borderId="7" xfId="0" applyNumberFormat="1" applyFont="1" applyFill="1" applyBorder="1" applyAlignment="1" applyProtection="1">
      <alignment vertical="center"/>
      <protection locked="0"/>
    </xf>
    <xf numFmtId="184" fontId="53" fillId="0" borderId="12" xfId="0" applyNumberFormat="1" applyFont="1" applyFill="1" applyBorder="1" applyAlignment="1" applyProtection="1">
      <alignment vertical="center"/>
      <protection locked="0"/>
    </xf>
    <xf numFmtId="0" fontId="1" fillId="0" borderId="6" xfId="0" applyFont="1" applyFill="1" applyBorder="1" applyAlignment="1" applyProtection="1">
      <alignment horizontal="center" vertical="center" wrapText="1"/>
      <protection locked="0"/>
    </xf>
    <xf numFmtId="0" fontId="34" fillId="0" borderId="2" xfId="0" applyFont="1" applyFill="1" applyBorder="1" applyAlignment="1" applyProtection="1">
      <alignment horizontal="center" vertical="center" wrapText="1" shrinkToFit="1"/>
      <protection locked="0"/>
    </xf>
    <xf numFmtId="0" fontId="29" fillId="0" borderId="2" xfId="0" applyFont="1" applyFill="1" applyBorder="1" applyAlignment="1" applyProtection="1">
      <alignment horizontal="center" vertical="center" wrapText="1" shrinkToFit="1"/>
      <protection locked="0"/>
    </xf>
    <xf numFmtId="0" fontId="31" fillId="0" borderId="0" xfId="0" applyFont="1" applyFill="1" applyAlignment="1" applyProtection="1">
      <alignment horizontal="center" vertical="center"/>
      <protection locked="0"/>
    </xf>
    <xf numFmtId="0" fontId="31" fillId="0" borderId="2" xfId="0" applyFont="1" applyFill="1" applyBorder="1" applyAlignment="1" applyProtection="1">
      <alignment horizontal="center" vertical="center" wrapText="1"/>
      <protection locked="0"/>
    </xf>
    <xf numFmtId="0" fontId="31" fillId="0" borderId="0" xfId="0" applyFont="1" applyFill="1" applyBorder="1" applyAlignment="1" applyProtection="1">
      <alignment horizontal="center" vertical="center" wrapText="1"/>
      <protection locked="0"/>
    </xf>
    <xf numFmtId="0" fontId="29" fillId="0" borderId="0" xfId="0" applyFont="1" applyFill="1" applyAlignment="1" applyProtection="1">
      <alignment horizontal="center" vertical="center"/>
      <protection locked="0"/>
    </xf>
    <xf numFmtId="185" fontId="36" fillId="0" borderId="0" xfId="0" applyNumberFormat="1" applyFont="1" applyFill="1" applyAlignment="1" applyProtection="1">
      <alignment horizontal="center" vertical="center"/>
      <protection locked="0"/>
    </xf>
    <xf numFmtId="184" fontId="91" fillId="0" borderId="3" xfId="0" applyNumberFormat="1" applyFont="1" applyFill="1" applyBorder="1" applyAlignment="1" applyProtection="1">
      <alignment horizontal="center" vertical="center" wrapText="1" shrinkToFit="1"/>
      <protection locked="0"/>
    </xf>
    <xf numFmtId="185" fontId="66" fillId="0" borderId="2" xfId="0" applyNumberFormat="1" applyFont="1" applyFill="1" applyBorder="1" applyAlignment="1" applyProtection="1">
      <alignment horizontal="center" vertical="center"/>
      <protection locked="0"/>
    </xf>
    <xf numFmtId="184" fontId="53" fillId="0" borderId="9" xfId="0" applyNumberFormat="1" applyFont="1" applyFill="1" applyBorder="1" applyAlignment="1" applyProtection="1">
      <alignment horizontal="center" vertical="center" wrapText="1" shrinkToFit="1"/>
      <protection locked="0"/>
    </xf>
    <xf numFmtId="185" fontId="36" fillId="0" borderId="1" xfId="0" applyNumberFormat="1" applyFont="1" applyFill="1" applyBorder="1" applyAlignment="1" applyProtection="1">
      <alignment horizontal="center" vertical="center"/>
      <protection locked="0"/>
    </xf>
    <xf numFmtId="185" fontId="36" fillId="0" borderId="2" xfId="0" applyNumberFormat="1" applyFont="1" applyFill="1" applyBorder="1" applyAlignment="1" applyProtection="1">
      <alignment horizontal="center" vertical="center"/>
      <protection locked="0"/>
    </xf>
    <xf numFmtId="184" fontId="91" fillId="0" borderId="9" xfId="0" applyNumberFormat="1" applyFont="1" applyFill="1" applyBorder="1" applyAlignment="1" applyProtection="1">
      <alignment horizontal="center" vertical="center" wrapText="1" shrinkToFit="1"/>
      <protection locked="0"/>
    </xf>
    <xf numFmtId="0" fontId="66" fillId="0" borderId="9" xfId="0" applyFont="1" applyFill="1" applyBorder="1" applyAlignment="1" applyProtection="1">
      <alignment horizontal="center" vertical="center"/>
      <protection locked="0"/>
    </xf>
    <xf numFmtId="185" fontId="1" fillId="0" borderId="2" xfId="0" applyNumberFormat="1" applyFont="1" applyFill="1" applyBorder="1" applyAlignment="1" applyProtection="1">
      <alignment horizontal="center" vertical="center"/>
      <protection locked="0"/>
    </xf>
    <xf numFmtId="185" fontId="1" fillId="3" borderId="2" xfId="0" applyNumberFormat="1" applyFont="1" applyFill="1" applyBorder="1" applyAlignment="1" applyProtection="1">
      <alignment horizontal="center" vertical="center"/>
      <protection locked="0"/>
    </xf>
    <xf numFmtId="184" fontId="4" fillId="3" borderId="9" xfId="0" applyNumberFormat="1" applyFont="1" applyFill="1" applyBorder="1" applyAlignment="1" applyProtection="1">
      <alignment horizontal="center" vertical="center" wrapText="1" shrinkToFit="1"/>
      <protection locked="0"/>
    </xf>
    <xf numFmtId="0" fontId="1" fillId="3" borderId="9" xfId="0" applyFont="1" applyFill="1" applyBorder="1" applyAlignment="1" applyProtection="1">
      <alignment horizontal="center" vertical="center"/>
      <protection locked="0"/>
    </xf>
    <xf numFmtId="184" fontId="4" fillId="2" borderId="9" xfId="0" applyNumberFormat="1" applyFont="1" applyFill="1" applyBorder="1" applyAlignment="1" applyProtection="1">
      <alignment horizontal="center" vertical="center" wrapText="1" shrinkToFit="1"/>
      <protection locked="0"/>
    </xf>
    <xf numFmtId="0" fontId="1" fillId="2" borderId="9" xfId="0" applyFont="1" applyFill="1" applyBorder="1" applyAlignment="1" applyProtection="1">
      <alignment horizontal="center" vertical="center"/>
      <protection locked="0"/>
    </xf>
    <xf numFmtId="185" fontId="1" fillId="2" borderId="2" xfId="0" applyNumberFormat="1" applyFont="1" applyFill="1" applyBorder="1" applyAlignment="1" applyProtection="1">
      <alignment horizontal="center" vertical="center"/>
      <protection locked="0"/>
    </xf>
    <xf numFmtId="0" fontId="1" fillId="0" borderId="0" xfId="0" applyFont="1" applyFill="1" applyBorder="1" applyProtection="1">
      <alignment vertical="center"/>
      <protection locked="0"/>
    </xf>
    <xf numFmtId="0" fontId="66" fillId="0" borderId="0" xfId="0" applyFont="1" applyFill="1" applyAlignment="1" applyProtection="1">
      <alignment horizontal="center" vertical="center"/>
      <protection locked="0"/>
    </xf>
    <xf numFmtId="0" fontId="36" fillId="3" borderId="0" xfId="0" applyFont="1" applyFill="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0" fillId="0" borderId="0" xfId="0" applyFill="1" applyProtection="1">
      <alignment vertical="center"/>
    </xf>
    <xf numFmtId="179" fontId="8" fillId="0" borderId="2" xfId="0" applyNumberFormat="1" applyFont="1" applyFill="1" applyBorder="1" applyAlignment="1" applyProtection="1">
      <alignment horizontal="center" vertical="center" shrinkToFit="1"/>
    </xf>
    <xf numFmtId="0" fontId="7" fillId="0" borderId="2" xfId="0"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wrapText="1" shrinkToFit="1"/>
      <protection locked="0"/>
    </xf>
    <xf numFmtId="0" fontId="2" fillId="0" borderId="2" xfId="0" applyNumberFormat="1" applyFont="1" applyFill="1" applyBorder="1" applyAlignment="1" applyProtection="1">
      <alignment horizontal="center" vertical="center" shrinkToFit="1"/>
      <protection locked="0"/>
    </xf>
    <xf numFmtId="0" fontId="8" fillId="0" borderId="2" xfId="0" applyNumberFormat="1" applyFont="1" applyFill="1" applyBorder="1" applyAlignment="1" applyProtection="1">
      <alignment horizontal="center" vertical="center" wrapText="1"/>
      <protection locked="0"/>
    </xf>
    <xf numFmtId="0" fontId="9" fillId="0" borderId="2" xfId="0" applyFont="1" applyFill="1" applyBorder="1" applyAlignment="1" applyProtection="1">
      <alignment horizontal="center" vertical="center" wrapText="1"/>
      <protection locked="0"/>
    </xf>
    <xf numFmtId="0" fontId="23" fillId="0" borderId="2" xfId="0" applyFont="1" applyFill="1" applyBorder="1" applyAlignment="1" applyProtection="1">
      <alignment horizontal="center" vertical="center" wrapText="1" shrinkToFit="1"/>
      <protection locked="0"/>
    </xf>
    <xf numFmtId="179" fontId="9" fillId="27" borderId="2" xfId="0" applyNumberFormat="1" applyFont="1" applyFill="1" applyBorder="1" applyAlignment="1" applyProtection="1">
      <alignment horizontal="center" vertical="center" wrapText="1" shrinkToFit="1"/>
      <protection locked="0"/>
    </xf>
    <xf numFmtId="179" fontId="9" fillId="0" borderId="2" xfId="0" applyNumberFormat="1" applyFont="1" applyFill="1" applyBorder="1" applyAlignment="1" applyProtection="1">
      <alignment horizontal="center" vertical="center" wrapText="1" shrinkToFit="1"/>
      <protection locked="0"/>
    </xf>
    <xf numFmtId="180" fontId="15" fillId="0" borderId="11" xfId="0" applyNumberFormat="1" applyFont="1" applyFill="1" applyBorder="1" applyAlignment="1" applyProtection="1">
      <alignment horizontal="center" vertical="center" wrapText="1"/>
      <protection locked="0"/>
    </xf>
    <xf numFmtId="179" fontId="26" fillId="0" borderId="2" xfId="0" applyNumberFormat="1" applyFont="1" applyFill="1" applyBorder="1" applyAlignment="1" applyProtection="1">
      <alignment horizontal="center" vertical="center" wrapText="1" shrinkToFit="1"/>
      <protection locked="0"/>
    </xf>
    <xf numFmtId="182" fontId="2" fillId="0" borderId="2" xfId="0" applyNumberFormat="1" applyFont="1" applyFill="1" applyBorder="1" applyAlignment="1" applyProtection="1">
      <alignment horizontal="center" vertical="center" wrapText="1" shrinkToFit="1"/>
      <protection locked="0"/>
    </xf>
    <xf numFmtId="0" fontId="29" fillId="0" borderId="2" xfId="0" applyFont="1" applyFill="1" applyBorder="1" applyAlignment="1" applyProtection="1">
      <alignment horizontal="center" vertical="center"/>
      <protection locked="0"/>
    </xf>
    <xf numFmtId="0" fontId="2" fillId="0" borderId="2" xfId="0" applyFont="1" applyFill="1" applyBorder="1" applyAlignment="1" applyProtection="1">
      <alignment horizontal="left" vertical="center" wrapText="1" shrinkToFit="1"/>
      <protection locked="0"/>
    </xf>
    <xf numFmtId="185" fontId="2" fillId="0" borderId="2" xfId="0" applyNumberFormat="1" applyFont="1" applyFill="1" applyBorder="1" applyAlignment="1" applyProtection="1">
      <alignment horizontal="center" vertical="center"/>
      <protection locked="0"/>
    </xf>
    <xf numFmtId="0" fontId="136" fillId="0" borderId="0" xfId="0" applyFont="1" applyFill="1" applyAlignment="1" applyProtection="1">
      <alignment horizontal="center" vertical="center"/>
      <protection locked="0"/>
    </xf>
    <xf numFmtId="0" fontId="36" fillId="0" borderId="9" xfId="0" applyFont="1" applyFill="1" applyBorder="1" applyAlignment="1" applyProtection="1">
      <alignment horizontal="center" vertical="center"/>
      <protection locked="0"/>
    </xf>
    <xf numFmtId="179" fontId="93" fillId="0" borderId="2" xfId="0" applyNumberFormat="1" applyFont="1" applyFill="1" applyBorder="1" applyAlignment="1" applyProtection="1">
      <alignment horizontal="center" vertical="center" shrinkToFit="1"/>
    </xf>
    <xf numFmtId="179" fontId="10" fillId="0" borderId="2" xfId="0" applyNumberFormat="1" applyFont="1" applyFill="1" applyBorder="1" applyAlignment="1" applyProtection="1">
      <alignment horizontal="center" vertical="center" shrinkToFit="1"/>
    </xf>
    <xf numFmtId="178" fontId="11" fillId="0" borderId="3" xfId="0" applyNumberFormat="1" applyFont="1" applyFill="1" applyBorder="1" applyAlignment="1" applyProtection="1">
      <alignment horizontal="center" vertical="center" wrapText="1" shrinkToFit="1"/>
    </xf>
    <xf numFmtId="0" fontId="1" fillId="0" borderId="3" xfId="0" applyNumberFormat="1" applyFont="1" applyFill="1" applyBorder="1" applyAlignment="1" applyProtection="1">
      <alignment horizontal="center" vertical="center" shrinkToFit="1"/>
      <protection locked="0"/>
    </xf>
    <xf numFmtId="0" fontId="45" fillId="0" borderId="2" xfId="0" applyNumberFormat="1" applyFont="1" applyFill="1" applyBorder="1" applyAlignment="1" applyProtection="1">
      <alignment horizontal="center" vertical="center" wrapText="1"/>
      <protection locked="0"/>
    </xf>
    <xf numFmtId="179" fontId="137" fillId="0" borderId="2" xfId="0" applyNumberFormat="1" applyFont="1" applyFill="1" applyBorder="1" applyAlignment="1" applyProtection="1">
      <alignment horizontal="center" vertical="center" shrinkToFit="1"/>
    </xf>
    <xf numFmtId="0" fontId="138" fillId="0" borderId="2" xfId="0" applyFont="1" applyFill="1" applyBorder="1" applyAlignment="1" applyProtection="1">
      <alignment horizontal="center" vertical="center" wrapText="1"/>
      <protection locked="0"/>
    </xf>
    <xf numFmtId="0" fontId="138" fillId="0" borderId="2" xfId="0" applyFont="1" applyFill="1" applyBorder="1" applyAlignment="1" applyProtection="1">
      <alignment horizontal="center" vertical="center" wrapText="1" shrinkToFit="1"/>
      <protection locked="0"/>
    </xf>
    <xf numFmtId="0" fontId="136" fillId="0" borderId="2" xfId="0" applyNumberFormat="1" applyFont="1" applyFill="1" applyBorder="1" applyAlignment="1" applyProtection="1">
      <alignment horizontal="center" vertical="center" shrinkToFit="1"/>
      <protection locked="0"/>
    </xf>
    <xf numFmtId="0" fontId="137" fillId="0" borderId="2" xfId="0" applyNumberFormat="1" applyFont="1" applyFill="1" applyBorder="1" applyAlignment="1" applyProtection="1">
      <alignment horizontal="center" vertical="center" wrapText="1"/>
      <protection locked="0"/>
    </xf>
    <xf numFmtId="0" fontId="136" fillId="0" borderId="2" xfId="0" applyFont="1" applyFill="1" applyBorder="1" applyAlignment="1" applyProtection="1">
      <alignment horizontal="center" vertical="center" wrapText="1" shrinkToFit="1"/>
      <protection locked="0"/>
    </xf>
    <xf numFmtId="0" fontId="139" fillId="0" borderId="2" xfId="0" applyFont="1" applyFill="1" applyBorder="1" applyAlignment="1" applyProtection="1">
      <alignment horizontal="center" vertical="center" wrapText="1"/>
      <protection locked="0"/>
    </xf>
    <xf numFmtId="179" fontId="140" fillId="0" borderId="2" xfId="0" applyNumberFormat="1" applyFont="1" applyFill="1" applyBorder="1" applyAlignment="1" applyProtection="1">
      <alignment horizontal="center" vertical="center" shrinkToFit="1"/>
    </xf>
    <xf numFmtId="0" fontId="141" fillId="0" borderId="2" xfId="0" applyNumberFormat="1" applyFont="1" applyFill="1" applyBorder="1" applyAlignment="1" applyProtection="1">
      <alignment horizontal="center" vertical="center" wrapText="1"/>
      <protection locked="0"/>
    </xf>
    <xf numFmtId="0" fontId="52" fillId="0" borderId="2" xfId="0" applyFont="1" applyFill="1" applyBorder="1" applyAlignment="1" applyProtection="1">
      <alignment horizontal="center" vertical="center" wrapText="1" shrinkToFit="1"/>
      <protection locked="0"/>
    </xf>
    <xf numFmtId="178" fontId="142" fillId="0" borderId="3" xfId="0" applyNumberFormat="1" applyFont="1" applyFill="1" applyBorder="1" applyAlignment="1" applyProtection="1">
      <alignment horizontal="center" vertical="center"/>
    </xf>
    <xf numFmtId="0" fontId="143" fillId="0" borderId="3" xfId="0" applyFont="1" applyFill="1" applyBorder="1" applyAlignment="1" applyProtection="1">
      <alignment horizontal="center" vertical="center" wrapText="1"/>
      <protection locked="0"/>
    </xf>
    <xf numFmtId="0" fontId="96" fillId="0" borderId="3" xfId="0" applyFont="1" applyFill="1" applyBorder="1" applyAlignment="1" applyProtection="1">
      <alignment horizontal="center" vertical="center" wrapText="1" shrinkToFit="1"/>
      <protection locked="0"/>
    </xf>
    <xf numFmtId="0" fontId="36" fillId="0" borderId="3" xfId="0" applyNumberFormat="1" applyFont="1" applyFill="1" applyBorder="1" applyAlignment="1" applyProtection="1">
      <alignment horizontal="center" vertical="center" shrinkToFit="1"/>
      <protection locked="0"/>
    </xf>
    <xf numFmtId="180" fontId="139" fillId="0" borderId="2" xfId="0" applyNumberFormat="1" applyFont="1" applyFill="1" applyBorder="1" applyAlignment="1" applyProtection="1">
      <alignment horizontal="center" vertical="center" wrapText="1"/>
      <protection locked="0"/>
    </xf>
    <xf numFmtId="0" fontId="136" fillId="0" borderId="2" xfId="0" applyFont="1" applyFill="1" applyBorder="1" applyAlignment="1" applyProtection="1">
      <alignment horizontal="center" vertical="center"/>
      <protection locked="0"/>
    </xf>
    <xf numFmtId="0" fontId="144" fillId="0" borderId="2" xfId="0" applyFont="1" applyFill="1" applyBorder="1" applyAlignment="1" applyProtection="1">
      <alignment horizontal="center" vertical="center" wrapText="1" shrinkToFit="1"/>
      <protection locked="0"/>
    </xf>
    <xf numFmtId="179" fontId="139" fillId="0" borderId="2" xfId="0" applyNumberFormat="1" applyFont="1" applyFill="1" applyBorder="1" applyAlignment="1" applyProtection="1">
      <alignment horizontal="center" vertical="center" wrapText="1" shrinkToFit="1"/>
      <protection locked="0"/>
    </xf>
    <xf numFmtId="0" fontId="52" fillId="0" borderId="0" xfId="0" applyFont="1" applyFill="1" applyAlignment="1" applyProtection="1">
      <alignment horizontal="center" vertical="center"/>
      <protection locked="0"/>
    </xf>
    <xf numFmtId="0" fontId="52" fillId="0" borderId="2" xfId="0" applyFont="1" applyFill="1" applyBorder="1" applyAlignment="1" applyProtection="1">
      <alignment horizontal="center" vertical="center" wrapText="1"/>
      <protection locked="0"/>
    </xf>
    <xf numFmtId="58" fontId="45" fillId="0" borderId="2" xfId="0" applyNumberFormat="1" applyFont="1" applyFill="1" applyBorder="1" applyAlignment="1" applyProtection="1">
      <alignment horizontal="center" vertical="center"/>
      <protection locked="0"/>
    </xf>
    <xf numFmtId="58" fontId="98" fillId="0" borderId="2" xfId="0" applyNumberFormat="1" applyFont="1" applyFill="1" applyBorder="1" applyAlignment="1" applyProtection="1">
      <alignment horizontal="center" vertical="center"/>
      <protection locked="0"/>
    </xf>
    <xf numFmtId="180" fontId="96" fillId="0" borderId="4" xfId="0" applyNumberFormat="1" applyFont="1" applyFill="1" applyBorder="1" applyAlignment="1" applyProtection="1">
      <alignment horizontal="center" vertical="center" wrapText="1"/>
      <protection locked="0"/>
    </xf>
    <xf numFmtId="58" fontId="145" fillId="0" borderId="2" xfId="0" applyNumberFormat="1" applyFont="1" applyFill="1" applyBorder="1" applyAlignment="1" applyProtection="1">
      <alignment horizontal="center" vertical="center"/>
      <protection locked="0"/>
    </xf>
    <xf numFmtId="180" fontId="145" fillId="0" borderId="4" xfId="0" applyNumberFormat="1" applyFont="1" applyFill="1" applyBorder="1" applyAlignment="1" applyProtection="1">
      <alignment horizontal="center" vertical="center" wrapText="1"/>
      <protection locked="0"/>
    </xf>
    <xf numFmtId="179" fontId="146" fillId="0" borderId="2" xfId="0" applyNumberFormat="1" applyFont="1" applyFill="1" applyBorder="1" applyAlignment="1" applyProtection="1">
      <alignment horizontal="center" vertical="center" wrapText="1" shrinkToFit="1"/>
      <protection locked="0"/>
    </xf>
    <xf numFmtId="182" fontId="136" fillId="0" borderId="2" xfId="0" applyNumberFormat="1" applyFont="1" applyFill="1" applyBorder="1" applyAlignment="1" applyProtection="1">
      <alignment horizontal="center" vertical="center" wrapText="1" shrinkToFit="1"/>
      <protection locked="0"/>
    </xf>
    <xf numFmtId="181" fontId="136" fillId="0" borderId="2" xfId="0" applyNumberFormat="1" applyFont="1" applyFill="1" applyBorder="1" applyAlignment="1" applyProtection="1">
      <alignment horizontal="center" vertical="center"/>
      <protection locked="0"/>
    </xf>
    <xf numFmtId="0" fontId="147" fillId="0" borderId="0" xfId="0" applyNumberFormat="1" applyFont="1" applyFill="1" applyBorder="1" applyAlignment="1" applyProtection="1">
      <alignment horizontal="center" vertical="center" wrapText="1"/>
      <protection locked="0"/>
    </xf>
    <xf numFmtId="180" fontId="148" fillId="0" borderId="2" xfId="0" applyNumberFormat="1" applyFont="1" applyFill="1" applyBorder="1" applyAlignment="1" applyProtection="1">
      <alignment horizontal="center" vertical="center" wrapText="1"/>
      <protection locked="0"/>
    </xf>
    <xf numFmtId="180" fontId="139" fillId="0" borderId="4" xfId="0" applyNumberFormat="1" applyFont="1" applyFill="1" applyBorder="1" applyAlignment="1" applyProtection="1">
      <alignment horizontal="center" vertical="center" wrapText="1"/>
      <protection locked="0"/>
    </xf>
    <xf numFmtId="180" fontId="148" fillId="0" borderId="4" xfId="0" applyNumberFormat="1" applyFont="1" applyFill="1" applyBorder="1" applyAlignment="1" applyProtection="1">
      <alignment horizontal="center" vertical="center" wrapText="1"/>
      <protection locked="0"/>
    </xf>
    <xf numFmtId="58" fontId="98" fillId="0" borderId="2" xfId="0" applyNumberFormat="1" applyFont="1" applyFill="1" applyBorder="1" applyAlignment="1" applyProtection="1">
      <alignment horizontal="center" vertical="center" wrapText="1"/>
      <protection locked="0"/>
    </xf>
    <xf numFmtId="179" fontId="99" fillId="0" borderId="5" xfId="0" applyNumberFormat="1" applyFont="1" applyFill="1" applyBorder="1" applyAlignment="1" applyProtection="1">
      <alignment horizontal="center" vertical="center" wrapText="1" shrinkToFit="1"/>
      <protection locked="0"/>
    </xf>
    <xf numFmtId="182" fontId="52" fillId="0" borderId="2" xfId="0" applyNumberFormat="1" applyFont="1" applyFill="1" applyBorder="1" applyAlignment="1" applyProtection="1">
      <alignment horizontal="center" vertical="center" wrapText="1" shrinkToFit="1"/>
      <protection locked="0"/>
    </xf>
    <xf numFmtId="181" fontId="52" fillId="0" borderId="2" xfId="0" applyNumberFormat="1" applyFont="1" applyFill="1" applyBorder="1" applyAlignment="1" applyProtection="1">
      <alignment horizontal="center" vertical="center"/>
      <protection locked="0"/>
    </xf>
    <xf numFmtId="0" fontId="52" fillId="0" borderId="0" xfId="0" applyNumberFormat="1" applyFont="1" applyFill="1" applyBorder="1" applyAlignment="1" applyProtection="1">
      <alignment horizontal="center" vertical="center" wrapText="1"/>
      <protection locked="0"/>
    </xf>
    <xf numFmtId="0" fontId="52" fillId="0" borderId="2" xfId="0" applyFont="1" applyFill="1" applyBorder="1" applyAlignment="1" applyProtection="1">
      <alignment horizontal="left" vertical="center" wrapText="1" shrinkToFit="1"/>
      <protection locked="0"/>
    </xf>
    <xf numFmtId="0" fontId="31" fillId="0" borderId="2" xfId="0" applyFont="1" applyFill="1" applyBorder="1" applyAlignment="1" applyProtection="1">
      <alignment horizontal="left" vertical="center" wrapText="1" shrinkToFit="1"/>
      <protection locked="0"/>
    </xf>
    <xf numFmtId="0" fontId="36" fillId="0" borderId="0" xfId="0" applyFont="1" applyFill="1" applyAlignment="1" applyProtection="1">
      <alignment horizontal="center" vertical="center" wrapText="1"/>
      <protection locked="0"/>
    </xf>
    <xf numFmtId="0" fontId="136" fillId="0" borderId="2" xfId="0" applyFont="1" applyFill="1" applyBorder="1" applyAlignment="1" applyProtection="1">
      <alignment horizontal="left" vertical="center" wrapText="1" shrinkToFit="1"/>
      <protection locked="0"/>
    </xf>
    <xf numFmtId="0" fontId="147" fillId="0" borderId="2" xfId="0" applyNumberFormat="1" applyFont="1" applyFill="1" applyBorder="1" applyAlignment="1" applyProtection="1">
      <alignment horizontal="center" vertical="center" wrapText="1" shrinkToFit="1"/>
      <protection locked="0"/>
    </xf>
    <xf numFmtId="0" fontId="139" fillId="0" borderId="2" xfId="0" applyNumberFormat="1" applyFont="1" applyFill="1" applyBorder="1" applyAlignment="1" applyProtection="1">
      <alignment horizontal="center" vertical="center" wrapText="1" shrinkToFit="1"/>
      <protection locked="0"/>
    </xf>
    <xf numFmtId="0" fontId="139" fillId="0" borderId="0" xfId="0" applyNumberFormat="1" applyFont="1" applyFill="1" applyAlignment="1" applyProtection="1">
      <alignment horizontal="center" vertical="center" wrapText="1" shrinkToFit="1"/>
      <protection locked="0"/>
    </xf>
    <xf numFmtId="0" fontId="136" fillId="0" borderId="2" xfId="0" applyNumberFormat="1" applyFont="1" applyFill="1" applyBorder="1" applyAlignment="1" applyProtection="1">
      <alignment horizontal="center" vertical="center"/>
      <protection locked="0"/>
    </xf>
    <xf numFmtId="0" fontId="36" fillId="0" borderId="0" xfId="0" applyNumberFormat="1" applyFont="1" applyFill="1" applyAlignment="1" applyProtection="1">
      <alignment horizontal="center" vertical="center"/>
      <protection locked="0"/>
    </xf>
    <xf numFmtId="0" fontId="35" fillId="0" borderId="2" xfId="0" applyNumberFormat="1" applyFont="1" applyFill="1" applyBorder="1" applyAlignment="1" applyProtection="1">
      <alignment horizontal="center" vertical="center"/>
      <protection locked="0"/>
    </xf>
    <xf numFmtId="0" fontId="1" fillId="0" borderId="3" xfId="0" applyNumberFormat="1" applyFont="1" applyFill="1" applyBorder="1" applyAlignment="1" applyProtection="1">
      <alignment horizontal="center" vertical="center"/>
      <protection locked="0"/>
    </xf>
    <xf numFmtId="0" fontId="36" fillId="0" borderId="3" xfId="0" applyNumberFormat="1" applyFont="1" applyFill="1" applyBorder="1" applyAlignment="1" applyProtection="1">
      <alignment horizontal="center" vertical="center"/>
      <protection locked="0"/>
    </xf>
    <xf numFmtId="0" fontId="136" fillId="0" borderId="3" xfId="0" applyNumberFormat="1" applyFont="1" applyFill="1" applyBorder="1" applyAlignment="1" applyProtection="1">
      <alignment horizontal="center" vertical="center"/>
      <protection locked="0"/>
    </xf>
    <xf numFmtId="184" fontId="53" fillId="0" borderId="0" xfId="0" applyNumberFormat="1" applyFont="1" applyFill="1" applyAlignment="1" applyProtection="1">
      <alignment horizontal="center" vertical="center" wrapText="1" shrinkToFit="1"/>
      <protection locked="0"/>
    </xf>
    <xf numFmtId="184" fontId="149" fillId="0" borderId="2" xfId="0" applyNumberFormat="1" applyFont="1" applyFill="1" applyBorder="1" applyAlignment="1" applyProtection="1">
      <alignment horizontal="center" vertical="center" wrapText="1" shrinkToFit="1"/>
      <protection locked="0"/>
    </xf>
    <xf numFmtId="184" fontId="149" fillId="0" borderId="0" xfId="0" applyNumberFormat="1" applyFont="1" applyFill="1" applyAlignment="1" applyProtection="1">
      <alignment horizontal="center" vertical="center" wrapText="1" shrinkToFit="1"/>
      <protection locked="0"/>
    </xf>
    <xf numFmtId="0" fontId="35" fillId="0" borderId="2" xfId="0" applyFont="1" applyFill="1" applyBorder="1" applyAlignment="1" applyProtection="1">
      <alignment horizontal="center" vertical="center"/>
      <protection locked="0"/>
    </xf>
    <xf numFmtId="0" fontId="35" fillId="0" borderId="0" xfId="0" applyFont="1" applyFill="1" applyAlignment="1" applyProtection="1">
      <alignment horizontal="center" vertical="center"/>
      <protection locked="0"/>
    </xf>
    <xf numFmtId="185" fontId="35" fillId="0" borderId="0" xfId="0" applyNumberFormat="1" applyFont="1" applyFill="1" applyAlignment="1" applyProtection="1">
      <alignment horizontal="center" vertical="center"/>
      <protection locked="0"/>
    </xf>
    <xf numFmtId="0" fontId="150" fillId="0" borderId="2" xfId="0" applyFont="1" applyFill="1" applyBorder="1" applyProtection="1">
      <alignment vertical="center"/>
      <protection locked="0"/>
    </xf>
    <xf numFmtId="0" fontId="151" fillId="0" borderId="2" xfId="0" applyFont="1" applyFill="1" applyBorder="1" applyAlignment="1" applyProtection="1">
      <alignment horizontal="center" vertical="center"/>
      <protection locked="0"/>
    </xf>
    <xf numFmtId="0" fontId="147" fillId="0" borderId="2" xfId="0" applyNumberFormat="1" applyFont="1" applyFill="1" applyBorder="1" applyAlignment="1" applyProtection="1">
      <alignment horizontal="center" vertical="center" wrapText="1"/>
      <protection locked="0"/>
    </xf>
    <xf numFmtId="180" fontId="145" fillId="0" borderId="2" xfId="0" applyNumberFormat="1" applyFont="1" applyFill="1" applyBorder="1" applyAlignment="1" applyProtection="1">
      <alignment horizontal="center" vertical="center" wrapText="1"/>
      <protection locked="0"/>
    </xf>
    <xf numFmtId="180" fontId="36" fillId="0" borderId="2" xfId="0" applyNumberFormat="1" applyFont="1" applyFill="1" applyBorder="1" applyAlignment="1" applyProtection="1">
      <alignment horizontal="center" vertical="center" wrapText="1"/>
      <protection locked="0"/>
    </xf>
    <xf numFmtId="180" fontId="136" fillId="0" borderId="1" xfId="0" applyNumberFormat="1" applyFont="1" applyFill="1" applyBorder="1" applyAlignment="1" applyProtection="1">
      <alignment horizontal="center" vertical="center" wrapText="1"/>
      <protection locked="0"/>
    </xf>
    <xf numFmtId="185" fontId="136" fillId="0" borderId="0" xfId="0" applyNumberFormat="1" applyFont="1" applyFill="1" applyAlignment="1" applyProtection="1">
      <alignment horizontal="center" vertical="center"/>
      <protection locked="0"/>
    </xf>
    <xf numFmtId="0" fontId="152" fillId="0" borderId="2" xfId="0" applyFont="1" applyFill="1" applyBorder="1" applyProtection="1">
      <alignment vertical="center"/>
      <protection locked="0"/>
    </xf>
    <xf numFmtId="0" fontId="152" fillId="0" borderId="2" xfId="0" applyFont="1" applyFill="1" applyBorder="1" applyAlignment="1" applyProtection="1">
      <alignment horizontal="center" vertical="center"/>
      <protection locked="0"/>
    </xf>
    <xf numFmtId="0" fontId="36" fillId="0" borderId="1" xfId="0" applyFont="1" applyFill="1" applyBorder="1" applyAlignment="1" applyProtection="1">
      <alignment horizontal="center" vertical="center" wrapText="1"/>
      <protection locked="0"/>
    </xf>
    <xf numFmtId="180" fontId="52" fillId="0" borderId="1" xfId="0" applyNumberFormat="1" applyFont="1" applyFill="1" applyBorder="1" applyAlignment="1" applyProtection="1">
      <alignment horizontal="center" vertical="center" wrapText="1"/>
      <protection locked="0"/>
    </xf>
    <xf numFmtId="0" fontId="95" fillId="0" borderId="3" xfId="0" applyNumberFormat="1" applyFont="1" applyFill="1" applyBorder="1" applyAlignment="1" applyProtection="1">
      <alignment horizontal="center" vertical="center" wrapText="1"/>
      <protection locked="0"/>
    </xf>
    <xf numFmtId="176" fontId="95" fillId="0" borderId="3" xfId="0" applyNumberFormat="1" applyFont="1" applyFill="1" applyBorder="1" applyAlignment="1" applyProtection="1">
      <alignment horizontal="center" vertical="center"/>
      <protection locked="0"/>
    </xf>
    <xf numFmtId="0" fontId="95" fillId="0" borderId="3" xfId="0" applyNumberFormat="1" applyFont="1" applyFill="1" applyBorder="1" applyAlignment="1" applyProtection="1">
      <alignment horizontal="center" vertical="center"/>
      <protection locked="0"/>
    </xf>
    <xf numFmtId="0" fontId="98" fillId="0" borderId="3" xfId="0" applyNumberFormat="1" applyFont="1" applyFill="1" applyBorder="1" applyAlignment="1" applyProtection="1">
      <alignment horizontal="center" vertical="center" wrapText="1"/>
      <protection locked="0"/>
    </xf>
    <xf numFmtId="0" fontId="152" fillId="0" borderId="0" xfId="0" applyFont="1" applyFill="1" applyProtection="1">
      <alignment vertical="center"/>
      <protection locked="0"/>
    </xf>
    <xf numFmtId="0" fontId="95" fillId="0" borderId="0" xfId="0" applyNumberFormat="1" applyFont="1" applyFill="1" applyAlignment="1" applyProtection="1">
      <alignment horizontal="center" vertical="center" wrapText="1"/>
      <protection locked="0"/>
    </xf>
    <xf numFmtId="179" fontId="95" fillId="0" borderId="9" xfId="0" applyNumberFormat="1" applyFont="1" applyFill="1" applyBorder="1" applyAlignment="1" applyProtection="1">
      <alignment horizontal="center" vertical="center" shrinkToFit="1"/>
    </xf>
    <xf numFmtId="0" fontId="94" fillId="0" borderId="9" xfId="0" applyFont="1" applyFill="1" applyBorder="1" applyAlignment="1" applyProtection="1">
      <alignment horizontal="center" vertical="center" wrapText="1"/>
      <protection locked="0"/>
    </xf>
    <xf numFmtId="0" fontId="94" fillId="0" borderId="9" xfId="0" applyFont="1" applyFill="1" applyBorder="1" applyAlignment="1" applyProtection="1">
      <alignment horizontal="center" vertical="center" wrapText="1" shrinkToFit="1"/>
      <protection locked="0"/>
    </xf>
    <xf numFmtId="0" fontId="36" fillId="0" borderId="9" xfId="0" applyNumberFormat="1" applyFont="1" applyFill="1" applyBorder="1" applyAlignment="1" applyProtection="1">
      <alignment horizontal="center" vertical="center" shrinkToFit="1"/>
      <protection locked="0"/>
    </xf>
    <xf numFmtId="0" fontId="36" fillId="0" borderId="9" xfId="0" applyFont="1" applyFill="1" applyBorder="1" applyAlignment="1" applyProtection="1">
      <alignment horizontal="center" vertical="center" wrapText="1" shrinkToFit="1"/>
      <protection locked="0"/>
    </xf>
    <xf numFmtId="0" fontId="96" fillId="0" borderId="9" xfId="0" applyFont="1" applyFill="1" applyBorder="1" applyAlignment="1" applyProtection="1">
      <alignment horizontal="center" vertical="center" wrapText="1"/>
      <protection locked="0"/>
    </xf>
    <xf numFmtId="179" fontId="95" fillId="0" borderId="3" xfId="0" applyNumberFormat="1" applyFont="1" applyFill="1" applyBorder="1" applyAlignment="1" applyProtection="1">
      <alignment horizontal="center" vertical="center" shrinkToFit="1"/>
    </xf>
    <xf numFmtId="0" fontId="94" fillId="0" borderId="3" xfId="0" applyFont="1" applyFill="1" applyBorder="1" applyAlignment="1" applyProtection="1">
      <alignment horizontal="center" vertical="center" wrapText="1"/>
      <protection locked="0"/>
    </xf>
    <xf numFmtId="0" fontId="94" fillId="0" borderId="3" xfId="0" applyFont="1" applyFill="1" applyBorder="1" applyAlignment="1" applyProtection="1">
      <alignment horizontal="center" vertical="center" wrapText="1" shrinkToFit="1"/>
      <protection locked="0"/>
    </xf>
    <xf numFmtId="0" fontId="36" fillId="0" borderId="3" xfId="0" applyFont="1" applyFill="1" applyBorder="1" applyAlignment="1" applyProtection="1">
      <alignment horizontal="center" vertical="center" wrapText="1" shrinkToFit="1"/>
      <protection locked="0"/>
    </xf>
    <xf numFmtId="180" fontId="96" fillId="0" borderId="1" xfId="0" applyNumberFormat="1" applyFont="1" applyFill="1" applyBorder="1" applyAlignment="1" applyProtection="1">
      <alignment vertical="center" wrapText="1"/>
      <protection locked="0"/>
    </xf>
    <xf numFmtId="0" fontId="49" fillId="0" borderId="9" xfId="0" applyFont="1" applyFill="1" applyBorder="1" applyAlignment="1" applyProtection="1">
      <alignment horizontal="center" vertical="center" wrapText="1" shrinkToFit="1"/>
      <protection locked="0"/>
    </xf>
    <xf numFmtId="179" fontId="96" fillId="0" borderId="9" xfId="0" applyNumberFormat="1" applyFont="1" applyFill="1" applyBorder="1" applyAlignment="1" applyProtection="1">
      <alignment horizontal="center" vertical="center" wrapText="1" shrinkToFit="1"/>
      <protection locked="0"/>
    </xf>
    <xf numFmtId="180" fontId="96" fillId="0" borderId="9" xfId="0" applyNumberFormat="1" applyFont="1" applyFill="1" applyBorder="1" applyAlignment="1" applyProtection="1">
      <alignment horizontal="center" vertical="center" wrapText="1"/>
      <protection locked="0"/>
    </xf>
    <xf numFmtId="179" fontId="96" fillId="0" borderId="3" xfId="0" applyNumberFormat="1" applyFont="1" applyFill="1" applyBorder="1" applyAlignment="1" applyProtection="1">
      <alignment horizontal="center" vertical="center" wrapText="1" shrinkToFit="1"/>
      <protection locked="0"/>
    </xf>
    <xf numFmtId="180" fontId="96" fillId="0" borderId="3" xfId="0" applyNumberFormat="1" applyFont="1" applyFill="1" applyBorder="1" applyAlignment="1" applyProtection="1">
      <alignment horizontal="center" vertical="center" wrapText="1"/>
      <protection locked="0"/>
    </xf>
    <xf numFmtId="180" fontId="97" fillId="0" borderId="8" xfId="0" applyNumberFormat="1" applyFont="1" applyFill="1" applyBorder="1" applyAlignment="1" applyProtection="1">
      <alignment horizontal="center" vertical="center" wrapText="1"/>
      <protection locked="0"/>
    </xf>
    <xf numFmtId="180" fontId="97" fillId="0" borderId="9" xfId="0" applyNumberFormat="1" applyFont="1" applyFill="1" applyBorder="1" applyAlignment="1" applyProtection="1">
      <alignment horizontal="center" vertical="center" wrapText="1"/>
      <protection locked="0"/>
    </xf>
    <xf numFmtId="179" fontId="99" fillId="0" borderId="9" xfId="0" applyNumberFormat="1" applyFont="1" applyFill="1" applyBorder="1" applyAlignment="1" applyProtection="1">
      <alignment horizontal="center" vertical="center" wrapText="1" shrinkToFit="1"/>
      <protection locked="0"/>
    </xf>
    <xf numFmtId="182" fontId="36" fillId="0" borderId="9" xfId="0" applyNumberFormat="1" applyFont="1" applyFill="1" applyBorder="1" applyAlignment="1" applyProtection="1">
      <alignment horizontal="center" vertical="center" wrapText="1" shrinkToFit="1"/>
      <protection locked="0"/>
    </xf>
    <xf numFmtId="181" fontId="36" fillId="0" borderId="9" xfId="0" applyNumberFormat="1" applyFont="1" applyFill="1" applyBorder="1" applyAlignment="1" applyProtection="1">
      <alignment horizontal="center" vertical="center"/>
      <protection locked="0"/>
    </xf>
    <xf numFmtId="180" fontId="36" fillId="0" borderId="1" xfId="0" applyNumberFormat="1" applyFont="1" applyFill="1" applyBorder="1" applyAlignment="1" applyProtection="1">
      <alignment horizontal="center" vertical="center" wrapText="1"/>
      <protection locked="0"/>
    </xf>
    <xf numFmtId="180" fontId="97" fillId="0" borderId="3" xfId="0" applyNumberFormat="1" applyFont="1" applyFill="1" applyBorder="1" applyAlignment="1" applyProtection="1">
      <alignment horizontal="center" vertical="center" wrapText="1"/>
      <protection locked="0"/>
    </xf>
    <xf numFmtId="179" fontId="99" fillId="0" borderId="3" xfId="0" applyNumberFormat="1" applyFont="1" applyFill="1" applyBorder="1" applyAlignment="1" applyProtection="1">
      <alignment horizontal="center" vertical="center" wrapText="1" shrinkToFit="1"/>
      <protection locked="0"/>
    </xf>
    <xf numFmtId="182" fontId="36" fillId="0" borderId="3" xfId="0" applyNumberFormat="1" applyFont="1" applyFill="1" applyBorder="1" applyAlignment="1" applyProtection="1">
      <alignment horizontal="center" vertical="center" wrapText="1" shrinkToFit="1"/>
      <protection locked="0"/>
    </xf>
    <xf numFmtId="181" fontId="36" fillId="0" borderId="3" xfId="0" applyNumberFormat="1" applyFont="1" applyFill="1" applyBorder="1" applyAlignment="1" applyProtection="1">
      <alignment horizontal="center" vertical="center"/>
      <protection locked="0"/>
    </xf>
    <xf numFmtId="192" fontId="153" fillId="0" borderId="2" xfId="0" applyNumberFormat="1" applyFont="1" applyFill="1" applyBorder="1" applyAlignment="1" applyProtection="1">
      <alignment horizontal="center" vertical="center" wrapText="1"/>
      <protection locked="0"/>
    </xf>
    <xf numFmtId="0" fontId="154" fillId="0" borderId="3" xfId="0" applyFont="1" applyFill="1" applyBorder="1" applyAlignment="1" applyProtection="1">
      <alignment horizontal="center" vertical="center"/>
    </xf>
    <xf numFmtId="0" fontId="155" fillId="0" borderId="2" xfId="0" applyNumberFormat="1" applyFont="1" applyFill="1" applyBorder="1" applyAlignment="1" applyProtection="1">
      <alignment horizontal="center" vertical="center"/>
    </xf>
    <xf numFmtId="0" fontId="36" fillId="0" borderId="9" xfId="0" applyFont="1" applyFill="1" applyBorder="1" applyAlignment="1" applyProtection="1">
      <alignment horizontal="left" vertical="center" wrapText="1" shrinkToFit="1"/>
      <protection locked="0"/>
    </xf>
    <xf numFmtId="0" fontId="52" fillId="0" borderId="9" xfId="0" applyNumberFormat="1" applyFont="1" applyFill="1" applyBorder="1" applyAlignment="1" applyProtection="1">
      <alignment horizontal="center" vertical="center" wrapText="1" shrinkToFit="1"/>
      <protection locked="0"/>
    </xf>
    <xf numFmtId="0" fontId="96" fillId="0" borderId="9" xfId="0" applyNumberFormat="1" applyFont="1" applyFill="1" applyBorder="1" applyAlignment="1" applyProtection="1">
      <alignment horizontal="center" vertical="center" wrapText="1" shrinkToFit="1"/>
      <protection locked="0"/>
    </xf>
    <xf numFmtId="0" fontId="36" fillId="0" borderId="3" xfId="0" applyFont="1" applyFill="1" applyBorder="1" applyAlignment="1" applyProtection="1">
      <alignment horizontal="center" vertical="center"/>
      <protection locked="0"/>
    </xf>
    <xf numFmtId="0" fontId="36" fillId="0" borderId="3" xfId="0" applyFont="1" applyFill="1" applyBorder="1" applyAlignment="1" applyProtection="1">
      <alignment horizontal="left" vertical="center" wrapText="1" shrinkToFit="1"/>
      <protection locked="0"/>
    </xf>
    <xf numFmtId="0" fontId="52" fillId="0" borderId="3" xfId="0" applyNumberFormat="1" applyFont="1" applyFill="1" applyBorder="1" applyAlignment="1" applyProtection="1">
      <alignment horizontal="center" vertical="center" wrapText="1" shrinkToFit="1"/>
      <protection locked="0"/>
    </xf>
    <xf numFmtId="0" fontId="96" fillId="0" borderId="3" xfId="0" applyNumberFormat="1" applyFont="1" applyFill="1" applyBorder="1" applyAlignment="1" applyProtection="1">
      <alignment horizontal="center" vertical="center" wrapText="1" shrinkToFit="1"/>
      <protection locked="0"/>
    </xf>
    <xf numFmtId="0" fontId="96" fillId="3" borderId="2" xfId="0" applyNumberFormat="1" applyFont="1" applyFill="1" applyBorder="1" applyAlignment="1" applyProtection="1">
      <alignment horizontal="center" vertical="center" wrapText="1" shrinkToFit="1"/>
      <protection locked="0"/>
    </xf>
    <xf numFmtId="0" fontId="36" fillId="3" borderId="2" xfId="0" applyNumberFormat="1" applyFont="1" applyFill="1" applyBorder="1" applyAlignment="1" applyProtection="1">
      <alignment horizontal="center" vertical="center"/>
      <protection locked="0"/>
    </xf>
    <xf numFmtId="0" fontId="36" fillId="3" borderId="3" xfId="0" applyNumberFormat="1" applyFont="1" applyFill="1" applyBorder="1" applyAlignment="1" applyProtection="1">
      <alignment horizontal="center" vertical="center"/>
      <protection locked="0"/>
    </xf>
    <xf numFmtId="184" fontId="53" fillId="0" borderId="3" xfId="0" applyNumberFormat="1" applyFont="1" applyFill="1" applyBorder="1" applyAlignment="1" applyProtection="1">
      <alignment horizontal="center" vertical="center" wrapText="1" shrinkToFit="1"/>
      <protection locked="0"/>
    </xf>
    <xf numFmtId="185" fontId="36" fillId="0" borderId="0" xfId="0" applyNumberFormat="1" applyFont="1" applyFill="1" applyAlignment="1" applyProtection="1">
      <alignment horizontal="center" vertical="center" wrapText="1"/>
      <protection locked="0"/>
    </xf>
    <xf numFmtId="0" fontId="152" fillId="0" borderId="3" xfId="0" applyFont="1" applyFill="1" applyBorder="1" applyProtection="1">
      <alignment vertical="center"/>
      <protection locked="0"/>
    </xf>
    <xf numFmtId="0" fontId="96" fillId="0" borderId="3" xfId="0"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wrapText="1" shrinkToFit="1"/>
      <protection locked="0"/>
    </xf>
    <xf numFmtId="0" fontId="66" fillId="0" borderId="1" xfId="0" applyNumberFormat="1" applyFont="1" applyFill="1" applyBorder="1" applyAlignment="1" applyProtection="1">
      <alignment horizontal="center" vertical="center" shrinkToFit="1"/>
      <protection locked="0"/>
    </xf>
    <xf numFmtId="0" fontId="75" fillId="0" borderId="1" xfId="0" applyNumberFormat="1" applyFont="1" applyFill="1" applyBorder="1" applyAlignment="1" applyProtection="1">
      <alignment horizontal="center" vertical="center" wrapText="1"/>
      <protection locked="0"/>
    </xf>
    <xf numFmtId="0" fontId="66" fillId="8" borderId="1" xfId="0" applyNumberFormat="1" applyFont="1" applyFill="1" applyBorder="1" applyAlignment="1" applyProtection="1">
      <alignment horizontal="center" vertical="center" shrinkToFit="1"/>
      <protection locked="0"/>
    </xf>
    <xf numFmtId="0" fontId="11"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wrapText="1" shrinkToFit="1"/>
      <protection locked="0"/>
    </xf>
    <xf numFmtId="0" fontId="1" fillId="8" borderId="1" xfId="0" applyNumberFormat="1" applyFont="1" applyFill="1" applyBorder="1" applyAlignment="1" applyProtection="1">
      <alignment horizontal="center" vertical="center" shrinkToFit="1"/>
      <protection locked="0"/>
    </xf>
    <xf numFmtId="0" fontId="12" fillId="0" borderId="1"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shrinkToFit="1"/>
      <protection locked="0"/>
    </xf>
    <xf numFmtId="0" fontId="36" fillId="8" borderId="1" xfId="0" applyNumberFormat="1" applyFont="1" applyFill="1" applyBorder="1" applyAlignment="1" applyProtection="1">
      <alignment horizontal="center" vertical="center" shrinkToFit="1"/>
      <protection locked="0"/>
    </xf>
    <xf numFmtId="0" fontId="95" fillId="0" borderId="9" xfId="0" applyNumberFormat="1" applyFont="1" applyFill="1" applyBorder="1" applyAlignment="1" applyProtection="1">
      <alignment horizontal="center" vertical="center" wrapText="1"/>
      <protection locked="0"/>
    </xf>
    <xf numFmtId="0" fontId="49" fillId="0" borderId="3" xfId="0" applyFont="1" applyFill="1" applyBorder="1" applyAlignment="1" applyProtection="1">
      <alignment horizontal="center" vertical="center" wrapText="1" shrinkToFit="1"/>
      <protection locked="0"/>
    </xf>
    <xf numFmtId="180" fontId="156" fillId="0" borderId="2" xfId="0" applyNumberFormat="1" applyFont="1" applyFill="1" applyBorder="1" applyAlignment="1" applyProtection="1">
      <alignment horizontal="center" vertical="center" wrapText="1"/>
      <protection locked="0"/>
    </xf>
    <xf numFmtId="179" fontId="76" fillId="0" borderId="3" xfId="0" applyNumberFormat="1" applyFont="1" applyFill="1" applyBorder="1" applyAlignment="1" applyProtection="1">
      <alignment horizontal="center" vertical="center" wrapText="1" shrinkToFit="1"/>
      <protection locked="0"/>
    </xf>
    <xf numFmtId="179" fontId="76" fillId="0" borderId="9" xfId="0" applyNumberFormat="1" applyFont="1" applyFill="1" applyBorder="1" applyAlignment="1" applyProtection="1">
      <alignment horizontal="center" vertical="center" wrapText="1" shrinkToFit="1"/>
      <protection locked="0"/>
    </xf>
    <xf numFmtId="180" fontId="157" fillId="0" borderId="2" xfId="0" applyNumberFormat="1" applyFont="1" applyFill="1" applyBorder="1" applyAlignment="1" applyProtection="1">
      <alignment horizontal="center" vertical="center" wrapText="1"/>
      <protection locked="0"/>
    </xf>
    <xf numFmtId="179" fontId="13" fillId="0" borderId="1" xfId="0" applyNumberFormat="1" applyFont="1" applyFill="1" applyBorder="1" applyAlignment="1" applyProtection="1">
      <alignment horizontal="center" vertical="center" wrapText="1" shrinkToFit="1"/>
      <protection locked="0"/>
    </xf>
    <xf numFmtId="180" fontId="13" fillId="0" borderId="1" xfId="0" applyNumberFormat="1" applyFont="1" applyFill="1" applyBorder="1" applyAlignment="1" applyProtection="1">
      <alignment horizontal="center" vertical="center" wrapText="1"/>
      <protection locked="0"/>
    </xf>
    <xf numFmtId="0" fontId="52" fillId="0" borderId="3" xfId="0" applyNumberFormat="1" applyFont="1" applyFill="1" applyBorder="1" applyAlignment="1" applyProtection="1">
      <alignment horizontal="center" vertical="center" wrapText="1"/>
      <protection locked="0"/>
    </xf>
    <xf numFmtId="180" fontId="98" fillId="0" borderId="9" xfId="0" applyNumberFormat="1" applyFont="1" applyFill="1" applyBorder="1" applyAlignment="1" applyProtection="1">
      <alignment horizontal="center" vertical="center" wrapText="1"/>
      <protection locked="0"/>
    </xf>
    <xf numFmtId="180" fontId="98" fillId="0" borderId="3" xfId="0" applyNumberFormat="1" applyFont="1" applyFill="1" applyBorder="1" applyAlignment="1" applyProtection="1">
      <alignment horizontal="center" vertical="center" wrapText="1"/>
      <protection locked="0"/>
    </xf>
    <xf numFmtId="180" fontId="79" fillId="0" borderId="1" xfId="0" applyNumberFormat="1" applyFont="1" applyFill="1" applyBorder="1" applyAlignment="1" applyProtection="1">
      <alignment horizontal="center" vertical="center" wrapText="1"/>
      <protection locked="0"/>
    </xf>
    <xf numFmtId="179" fontId="85" fillId="0" borderId="1" xfId="0" applyNumberFormat="1" applyFont="1" applyFill="1" applyBorder="1" applyAlignment="1" applyProtection="1">
      <alignment horizontal="center" vertical="center" wrapText="1" shrinkToFit="1"/>
      <protection locked="0"/>
    </xf>
    <xf numFmtId="180" fontId="79" fillId="0" borderId="3" xfId="0" applyNumberFormat="1" applyFont="1" applyFill="1" applyBorder="1" applyAlignment="1" applyProtection="1">
      <alignment horizontal="center" vertical="center" wrapText="1"/>
      <protection locked="0"/>
    </xf>
    <xf numFmtId="180" fontId="79" fillId="0" borderId="8" xfId="0" applyNumberFormat="1" applyFont="1" applyFill="1" applyBorder="1" applyAlignment="1" applyProtection="1">
      <alignment horizontal="center" vertical="center" wrapText="1"/>
      <protection locked="0"/>
    </xf>
    <xf numFmtId="179" fontId="27" fillId="0" borderId="1" xfId="0" applyNumberFormat="1" applyFont="1" applyFill="1" applyBorder="1" applyAlignment="1" applyProtection="1">
      <alignment horizontal="center" vertical="center" wrapText="1" shrinkToFit="1"/>
      <protection locked="0"/>
    </xf>
    <xf numFmtId="182" fontId="1" fillId="0" borderId="1" xfId="0" applyNumberFormat="1" applyFont="1" applyFill="1" applyBorder="1" applyAlignment="1" applyProtection="1">
      <alignment horizontal="center" vertical="center" wrapText="1" shrinkToFit="1"/>
      <protection locked="0"/>
    </xf>
    <xf numFmtId="181" fontId="1" fillId="0" borderId="1" xfId="0" applyNumberFormat="1" applyFont="1" applyFill="1" applyBorder="1" applyAlignment="1" applyProtection="1">
      <alignment horizontal="center" vertical="center"/>
      <protection locked="0"/>
    </xf>
    <xf numFmtId="0" fontId="158" fillId="0" borderId="6" xfId="0" applyFont="1" applyFill="1" applyBorder="1" applyAlignment="1" applyProtection="1">
      <alignment horizontal="center" vertical="center"/>
    </xf>
    <xf numFmtId="0" fontId="66" fillId="0" borderId="1" xfId="0" applyFont="1" applyFill="1" applyBorder="1" applyAlignment="1" applyProtection="1">
      <alignment horizontal="left" vertical="center" wrapText="1" shrinkToFit="1"/>
      <protection locked="0"/>
    </xf>
    <xf numFmtId="0" fontId="86" fillId="0" borderId="1" xfId="0" applyNumberFormat="1" applyFont="1" applyFill="1" applyBorder="1" applyAlignment="1" applyProtection="1">
      <alignment horizontal="center" vertical="center" wrapText="1" shrinkToFit="1"/>
      <protection locked="0"/>
    </xf>
    <xf numFmtId="0" fontId="66" fillId="0" borderId="9" xfId="0" applyFont="1" applyFill="1" applyBorder="1" applyAlignment="1" applyProtection="1">
      <alignment horizontal="left" vertical="center" wrapText="1" shrinkToFit="1"/>
      <protection locked="0"/>
    </xf>
    <xf numFmtId="0" fontId="66" fillId="0" borderId="3" xfId="0" applyNumberFormat="1" applyFont="1" applyFill="1" applyBorder="1" applyAlignment="1" applyProtection="1">
      <alignment horizontal="center" vertical="center"/>
      <protection locked="0"/>
    </xf>
    <xf numFmtId="0" fontId="66" fillId="0" borderId="9" xfId="0" applyNumberFormat="1" applyFont="1" applyFill="1" applyBorder="1" applyAlignment="1" applyProtection="1">
      <alignment horizontal="center" vertical="center"/>
      <protection locked="0"/>
    </xf>
    <xf numFmtId="0" fontId="1" fillId="0" borderId="9" xfId="0" applyNumberFormat="1" applyFont="1" applyFill="1" applyBorder="1" applyAlignment="1" applyProtection="1">
      <alignment horizontal="center" vertical="center"/>
      <protection locked="0"/>
    </xf>
    <xf numFmtId="0" fontId="66" fillId="3" borderId="3" xfId="0" applyNumberFormat="1" applyFont="1" applyFill="1" applyBorder="1" applyAlignment="1" applyProtection="1">
      <alignment horizontal="center" vertical="center"/>
      <protection locked="0"/>
    </xf>
    <xf numFmtId="0" fontId="66" fillId="3" borderId="9" xfId="0" applyNumberFormat="1" applyFont="1" applyFill="1" applyBorder="1" applyAlignment="1" applyProtection="1">
      <alignment horizontal="center" vertical="center"/>
      <protection locked="0"/>
    </xf>
    <xf numFmtId="184" fontId="4" fillId="0" borderId="1" xfId="0" applyNumberFormat="1" applyFont="1" applyFill="1" applyBorder="1" applyAlignment="1" applyProtection="1">
      <alignment horizontal="center" vertical="center" wrapText="1" shrinkToFit="1"/>
      <protection locked="0"/>
    </xf>
    <xf numFmtId="0" fontId="36" fillId="3" borderId="9" xfId="0" applyNumberFormat="1" applyFont="1" applyFill="1" applyBorder="1" applyAlignment="1" applyProtection="1">
      <alignment horizontal="center" vertical="center"/>
      <protection locked="0"/>
    </xf>
    <xf numFmtId="0" fontId="36" fillId="3" borderId="1" xfId="0" applyNumberFormat="1" applyFont="1" applyFill="1" applyBorder="1" applyAlignment="1" applyProtection="1">
      <alignment horizontal="center" vertical="center"/>
      <protection locked="0"/>
    </xf>
    <xf numFmtId="185" fontId="66" fillId="0" borderId="0" xfId="0" applyNumberFormat="1" applyFont="1" applyFill="1" applyAlignment="1" applyProtection="1">
      <alignment horizontal="center" vertical="center"/>
      <protection locked="0"/>
    </xf>
    <xf numFmtId="185" fontId="66" fillId="0" borderId="1" xfId="0" applyNumberFormat="1" applyFont="1" applyFill="1" applyBorder="1" applyAlignment="1" applyProtection="1">
      <alignment horizontal="center" vertical="center"/>
      <protection locked="0"/>
    </xf>
    <xf numFmtId="184" fontId="4" fillId="0" borderId="9" xfId="0" applyNumberFormat="1" applyFont="1" applyFill="1" applyBorder="1" applyAlignment="1" applyProtection="1">
      <alignment horizontal="center" vertical="center" wrapText="1" shrinkToFit="1"/>
      <protection locked="0"/>
    </xf>
    <xf numFmtId="185" fontId="1" fillId="0" borderId="1" xfId="0" applyNumberFormat="1" applyFont="1" applyFill="1" applyBorder="1" applyAlignment="1" applyProtection="1">
      <alignment horizontal="center" vertical="center"/>
      <protection locked="0"/>
    </xf>
    <xf numFmtId="185" fontId="36" fillId="0" borderId="9" xfId="0" applyNumberFormat="1" applyFont="1" applyFill="1" applyBorder="1" applyAlignment="1" applyProtection="1">
      <alignment horizontal="center" vertical="center"/>
      <protection locked="0"/>
    </xf>
    <xf numFmtId="0" fontId="13" fillId="0" borderId="1" xfId="0" applyFont="1" applyFill="1" applyBorder="1" applyAlignment="1" applyProtection="1">
      <alignment horizontal="center" vertical="center" wrapText="1"/>
      <protection locked="0"/>
    </xf>
    <xf numFmtId="180" fontId="80" fillId="0" borderId="1" xfId="0" applyNumberFormat="1" applyFont="1" applyFill="1" applyBorder="1" applyAlignment="1" applyProtection="1">
      <alignment horizontal="center" vertical="center" wrapText="1"/>
      <protection locked="0"/>
    </xf>
    <xf numFmtId="180" fontId="80" fillId="0" borderId="10" xfId="0" applyNumberFormat="1" applyFont="1" applyFill="1" applyBorder="1" applyAlignment="1" applyProtection="1">
      <alignment horizontal="center" vertical="center" wrapText="1"/>
      <protection locked="0"/>
    </xf>
    <xf numFmtId="180" fontId="15" fillId="0" borderId="4" xfId="0" applyNumberFormat="1" applyFont="1" applyFill="1" applyBorder="1" applyAlignment="1" applyProtection="1">
      <alignment horizontal="center" vertical="center" wrapText="1"/>
      <protection locked="0"/>
    </xf>
    <xf numFmtId="0" fontId="29" fillId="0" borderId="2" xfId="0" applyNumberFormat="1" applyFont="1" applyFill="1" applyBorder="1" applyAlignment="1" applyProtection="1">
      <alignment horizontal="center" vertical="center" wrapText="1"/>
      <protection locked="0"/>
    </xf>
    <xf numFmtId="58" fontId="28" fillId="0" borderId="2" xfId="0" applyNumberFormat="1" applyFont="1" applyFill="1" applyBorder="1" applyAlignment="1" applyProtection="1">
      <alignment horizontal="center" vertical="center"/>
      <protection locked="0"/>
    </xf>
    <xf numFmtId="180" fontId="28" fillId="0" borderId="4"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left" vertical="center" wrapText="1" shrinkToFit="1"/>
      <protection locked="0"/>
    </xf>
    <xf numFmtId="0" fontId="9" fillId="0" borderId="0" xfId="0" applyNumberFormat="1" applyFont="1" applyFill="1" applyAlignment="1" applyProtection="1">
      <alignment horizontal="center" vertical="center" wrapText="1" shrinkToFit="1"/>
      <protection locked="0"/>
    </xf>
    <xf numFmtId="0" fontId="2" fillId="0" borderId="3" xfId="0" applyNumberFormat="1" applyFont="1" applyFill="1" applyBorder="1" applyAlignment="1" applyProtection="1">
      <alignment horizontal="center" vertical="center"/>
      <protection locked="0"/>
    </xf>
    <xf numFmtId="0" fontId="2" fillId="0" borderId="9" xfId="0" applyNumberFormat="1"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xf>
    <xf numFmtId="0" fontId="0" fillId="0" borderId="0" xfId="0" applyFont="1" applyFill="1" applyProtection="1">
      <alignment vertical="center"/>
      <protection locked="0"/>
    </xf>
    <xf numFmtId="185" fontId="2" fillId="0" borderId="0" xfId="0" applyNumberFormat="1" applyFont="1" applyFill="1" applyAlignment="1" applyProtection="1">
      <alignment horizontal="center" vertical="center"/>
      <protection locked="0"/>
    </xf>
    <xf numFmtId="0" fontId="136" fillId="0" borderId="0" xfId="0" applyFont="1" applyFill="1" applyAlignment="1">
      <alignment horizontal="center" vertical="center"/>
    </xf>
    <xf numFmtId="178" fontId="159" fillId="0" borderId="2" xfId="0" applyNumberFormat="1" applyFont="1" applyFill="1" applyBorder="1" applyAlignment="1">
      <alignment vertical="center"/>
    </xf>
    <xf numFmtId="0" fontId="159" fillId="0" borderId="2" xfId="0" applyFont="1" applyFill="1" applyBorder="1" applyAlignment="1">
      <alignment vertical="center" wrapText="1"/>
    </xf>
    <xf numFmtId="0" fontId="159" fillId="0" borderId="2" xfId="0" applyNumberFormat="1" applyFont="1" applyFill="1" applyBorder="1" applyAlignment="1">
      <alignment vertical="center"/>
    </xf>
    <xf numFmtId="178" fontId="69" fillId="0" borderId="4" xfId="0" applyNumberFormat="1" applyFont="1" applyFill="1" applyBorder="1" applyAlignment="1">
      <alignment horizontal="center" vertical="center"/>
    </xf>
    <xf numFmtId="178" fontId="69" fillId="0" borderId="6" xfId="0" applyNumberFormat="1" applyFont="1" applyFill="1" applyBorder="1" applyAlignment="1">
      <alignment horizontal="center" vertical="center"/>
    </xf>
    <xf numFmtId="0" fontId="70" fillId="0" borderId="2" xfId="0" applyFont="1" applyFill="1" applyBorder="1" applyAlignment="1">
      <alignment horizontal="center" vertical="center" wrapText="1"/>
    </xf>
    <xf numFmtId="0" fontId="159" fillId="0" borderId="2" xfId="0" applyFont="1" applyFill="1" applyBorder="1" applyAlignment="1">
      <alignment vertical="center"/>
    </xf>
    <xf numFmtId="180" fontId="160" fillId="0" borderId="2" xfId="0" applyNumberFormat="1" applyFont="1" applyFill="1" applyBorder="1" applyAlignment="1">
      <alignment horizontal="center" vertical="center" wrapText="1"/>
    </xf>
    <xf numFmtId="0" fontId="99" fillId="0" borderId="2" xfId="0" applyNumberFormat="1" applyFont="1" applyFill="1" applyBorder="1" applyAlignment="1">
      <alignment horizontal="center" vertical="center" wrapText="1" shrinkToFit="1"/>
    </xf>
    <xf numFmtId="180" fontId="159" fillId="0" borderId="4" xfId="0" applyNumberFormat="1" applyFont="1" applyFill="1" applyBorder="1" applyAlignment="1">
      <alignment vertical="center" wrapText="1"/>
    </xf>
    <xf numFmtId="0" fontId="159" fillId="0" borderId="2" xfId="0" applyNumberFormat="1" applyFont="1" applyFill="1" applyBorder="1" applyAlignment="1">
      <alignment vertical="center" wrapText="1"/>
    </xf>
    <xf numFmtId="178" fontId="159" fillId="0" borderId="6" xfId="0" applyNumberFormat="1" applyFont="1" applyFill="1" applyBorder="1" applyAlignment="1">
      <alignment vertical="center"/>
    </xf>
    <xf numFmtId="0" fontId="4" fillId="0" borderId="2" xfId="0" applyNumberFormat="1" applyFont="1" applyFill="1" applyBorder="1" applyAlignment="1">
      <alignment horizontal="center" vertical="center" wrapText="1"/>
    </xf>
    <xf numFmtId="180" fontId="159" fillId="0" borderId="2" xfId="0" applyNumberFormat="1" applyFont="1" applyFill="1" applyBorder="1" applyAlignment="1">
      <alignment vertical="center" wrapText="1"/>
    </xf>
    <xf numFmtId="0" fontId="52" fillId="0" borderId="2" xfId="0" applyNumberFormat="1" applyFont="1" applyFill="1" applyBorder="1" applyAlignment="1">
      <alignment horizontal="center" vertical="center" wrapText="1" shrinkToFit="1"/>
    </xf>
    <xf numFmtId="0" fontId="52" fillId="0" borderId="2" xfId="0" applyFont="1" applyFill="1" applyBorder="1" applyAlignment="1">
      <alignment horizontal="center" vertical="center" wrapText="1"/>
    </xf>
    <xf numFmtId="0" fontId="159" fillId="0" borderId="4" xfId="0" applyFont="1" applyFill="1" applyBorder="1" applyAlignment="1">
      <alignment vertical="center" wrapText="1"/>
    </xf>
    <xf numFmtId="0" fontId="161" fillId="0" borderId="2" xfId="0" applyFont="1" applyFill="1" applyBorder="1" applyAlignment="1">
      <alignment vertical="center" wrapText="1"/>
    </xf>
    <xf numFmtId="0" fontId="161" fillId="0" borderId="6" xfId="0" applyFont="1" applyFill="1" applyBorder="1" applyAlignment="1">
      <alignment vertical="center" wrapText="1"/>
    </xf>
    <xf numFmtId="0" fontId="35" fillId="0" borderId="2" xfId="0" applyNumberFormat="1" applyFont="1" applyFill="1" applyBorder="1" applyAlignment="1">
      <alignment horizontal="center" vertical="center"/>
    </xf>
    <xf numFmtId="184" fontId="162" fillId="0" borderId="2" xfId="0" applyNumberFormat="1" applyFont="1" applyFill="1" applyBorder="1" applyAlignment="1">
      <alignment vertical="center"/>
    </xf>
    <xf numFmtId="0" fontId="51" fillId="0" borderId="4" xfId="0" applyFont="1" applyFill="1" applyBorder="1" applyAlignment="1">
      <alignment horizontal="center" vertical="center" wrapText="1"/>
    </xf>
    <xf numFmtId="0" fontId="51" fillId="0" borderId="7" xfId="0" applyFont="1" applyFill="1" applyBorder="1" applyAlignment="1">
      <alignment horizontal="center" vertical="center" wrapText="1"/>
    </xf>
    <xf numFmtId="0" fontId="51" fillId="0" borderId="6" xfId="0" applyFont="1" applyFill="1" applyBorder="1" applyAlignment="1">
      <alignment horizontal="center" vertical="center" wrapText="1"/>
    </xf>
    <xf numFmtId="184" fontId="53" fillId="0" borderId="2" xfId="0" applyNumberFormat="1" applyFont="1" applyFill="1" applyBorder="1" applyAlignment="1">
      <alignment horizontal="center" vertical="center"/>
    </xf>
    <xf numFmtId="0" fontId="134" fillId="0" borderId="2" xfId="0" applyFont="1" applyFill="1" applyBorder="1" applyAlignment="1">
      <alignment horizontal="center" vertical="center" wrapText="1" shrinkToFit="1"/>
    </xf>
    <xf numFmtId="0" fontId="135" fillId="0" borderId="2" xfId="0" applyFont="1" applyFill="1" applyBorder="1" applyAlignment="1">
      <alignment horizontal="center" vertical="center" wrapText="1"/>
    </xf>
    <xf numFmtId="184" fontId="53" fillId="0" borderId="7" xfId="0" applyNumberFormat="1" applyFont="1" applyFill="1" applyBorder="1" applyAlignment="1">
      <alignment horizontal="center" vertical="center"/>
    </xf>
    <xf numFmtId="184" fontId="53" fillId="0" borderId="7" xfId="0" applyNumberFormat="1" applyFont="1" applyFill="1" applyBorder="1" applyAlignment="1">
      <alignment vertical="center"/>
    </xf>
    <xf numFmtId="184" fontId="53" fillId="0" borderId="12" xfId="0" applyNumberFormat="1" applyFont="1" applyFill="1" applyBorder="1" applyAlignment="1">
      <alignment vertical="center"/>
    </xf>
    <xf numFmtId="184" fontId="161" fillId="0" borderId="2" xfId="0" applyNumberFormat="1" applyFont="1" applyFill="1" applyBorder="1" applyAlignment="1">
      <alignment vertical="center"/>
    </xf>
    <xf numFmtId="184" fontId="53" fillId="0" borderId="12" xfId="0" applyNumberFormat="1" applyFont="1" applyFill="1" applyBorder="1" applyAlignment="1">
      <alignment horizontal="center" vertical="center"/>
    </xf>
    <xf numFmtId="185" fontId="31" fillId="0" borderId="0" xfId="0" applyNumberFormat="1" applyFont="1" applyFill="1">
      <alignment vertical="center"/>
    </xf>
    <xf numFmtId="185" fontId="1" fillId="0" borderId="0" xfId="0" applyNumberFormat="1" applyFont="1" applyFill="1">
      <alignment vertical="center"/>
    </xf>
    <xf numFmtId="185" fontId="36" fillId="0" borderId="0" xfId="0" applyNumberFormat="1" applyFont="1" applyFill="1" applyAlignment="1">
      <alignment horizontal="center" vertical="center"/>
    </xf>
    <xf numFmtId="180" fontId="96" fillId="3" borderId="2" xfId="0" applyNumberFormat="1" applyFont="1" applyFill="1" applyBorder="1" applyAlignment="1">
      <alignment horizontal="center" vertical="center" wrapText="1"/>
    </xf>
    <xf numFmtId="0" fontId="143" fillId="0" borderId="2" xfId="0" applyFont="1" applyFill="1" applyBorder="1" applyAlignment="1">
      <alignment horizontal="center" vertical="center" wrapText="1"/>
    </xf>
    <xf numFmtId="0" fontId="96" fillId="0" borderId="2" xfId="0" applyFont="1" applyFill="1" applyBorder="1" applyAlignment="1">
      <alignment horizontal="center" vertical="center" wrapText="1" shrinkToFit="1"/>
    </xf>
    <xf numFmtId="179" fontId="95" fillId="0" borderId="2" xfId="0" applyNumberFormat="1" applyFont="1" applyFill="1" applyBorder="1" applyAlignment="1">
      <alignment horizontal="center" vertical="center" shrinkToFit="1"/>
    </xf>
    <xf numFmtId="176" fontId="95" fillId="0" borderId="2" xfId="0" applyNumberFormat="1" applyFont="1" applyFill="1" applyBorder="1" applyAlignment="1">
      <alignment horizontal="center" vertical="center" wrapText="1"/>
    </xf>
    <xf numFmtId="0" fontId="98" fillId="0" borderId="2" xfId="0" applyNumberFormat="1" applyFont="1" applyFill="1" applyBorder="1" applyAlignment="1">
      <alignment horizontal="center" vertical="center" wrapText="1"/>
    </xf>
    <xf numFmtId="49" fontId="96" fillId="0" borderId="2" xfId="0" applyNumberFormat="1" applyFont="1" applyFill="1" applyBorder="1" applyAlignment="1">
      <alignment horizontal="center" vertical="center" wrapText="1"/>
    </xf>
    <xf numFmtId="0" fontId="36" fillId="0" borderId="2" xfId="0" applyNumberFormat="1" applyFont="1" applyFill="1" applyBorder="1" applyAlignment="1">
      <alignment horizontal="center" vertical="center" wrapText="1" shrinkToFit="1"/>
    </xf>
    <xf numFmtId="0" fontId="101" fillId="0" borderId="2" xfId="0" applyFont="1" applyFill="1" applyBorder="1" applyAlignment="1">
      <alignment horizontal="center" vertical="center" wrapText="1"/>
    </xf>
    <xf numFmtId="0" fontId="163" fillId="0" borderId="2" xfId="0" applyNumberFormat="1" applyFont="1" applyFill="1" applyBorder="1" applyAlignment="1">
      <alignment horizontal="center" vertical="center" shrinkToFit="1"/>
    </xf>
    <xf numFmtId="179" fontId="95" fillId="0" borderId="3" xfId="0" applyNumberFormat="1" applyFont="1" applyFill="1" applyBorder="1" applyAlignment="1">
      <alignment horizontal="center" vertical="center" wrapText="1" shrinkToFit="1"/>
    </xf>
    <xf numFmtId="0" fontId="164" fillId="0" borderId="3" xfId="0" applyFont="1" applyFill="1" applyBorder="1" applyAlignment="1">
      <alignment horizontal="center" vertical="center"/>
    </xf>
    <xf numFmtId="0" fontId="97" fillId="0" borderId="3" xfId="0" applyFont="1" applyFill="1" applyBorder="1" applyAlignment="1">
      <alignment horizontal="center" vertical="center" wrapText="1"/>
    </xf>
    <xf numFmtId="0" fontId="95" fillId="0" borderId="3" xfId="0" applyNumberFormat="1" applyFont="1" applyFill="1" applyBorder="1" applyAlignment="1">
      <alignment horizontal="center" vertical="center"/>
    </xf>
    <xf numFmtId="0" fontId="98" fillId="0" borderId="3" xfId="0" applyNumberFormat="1" applyFont="1" applyFill="1" applyBorder="1" applyAlignment="1">
      <alignment horizontal="center" vertical="center" wrapText="1"/>
    </xf>
    <xf numFmtId="179" fontId="12" fillId="0" borderId="3" xfId="0" applyNumberFormat="1" applyFont="1" applyFill="1" applyBorder="1" applyAlignment="1">
      <alignment horizontal="center" vertical="center" wrapText="1" shrinkToFit="1"/>
    </xf>
    <xf numFmtId="0" fontId="165" fillId="0" borderId="3" xfId="0" applyFont="1" applyFill="1" applyBorder="1" applyAlignment="1">
      <alignment horizontal="center" vertical="center"/>
    </xf>
    <xf numFmtId="0" fontId="80" fillId="0" borderId="3" xfId="0" applyFont="1" applyFill="1" applyBorder="1" applyAlignment="1">
      <alignment horizontal="center" vertical="center" wrapText="1"/>
    </xf>
    <xf numFmtId="0" fontId="12" fillId="0" borderId="3" xfId="0" applyNumberFormat="1" applyFont="1" applyFill="1" applyBorder="1" applyAlignment="1">
      <alignment horizontal="center" vertical="center"/>
    </xf>
    <xf numFmtId="0" fontId="132" fillId="0" borderId="2" xfId="0" applyFont="1" applyFill="1" applyBorder="1" applyAlignment="1">
      <alignment horizontal="center" vertical="center" wrapText="1" shrinkToFit="1"/>
    </xf>
    <xf numFmtId="0" fontId="166" fillId="0" borderId="2" xfId="0" applyFont="1" applyFill="1" applyBorder="1" applyAlignment="1">
      <alignment horizontal="center" vertical="center"/>
    </xf>
    <xf numFmtId="179" fontId="96" fillId="3" borderId="2" xfId="0" applyNumberFormat="1" applyFont="1" applyFill="1" applyBorder="1" applyAlignment="1">
      <alignment horizontal="center" vertical="center" wrapText="1" shrinkToFit="1"/>
    </xf>
    <xf numFmtId="0" fontId="132" fillId="0" borderId="2" xfId="0" applyFont="1" applyFill="1" applyBorder="1" applyAlignment="1">
      <alignment horizontal="center" vertical="center"/>
    </xf>
    <xf numFmtId="180" fontId="167" fillId="0" borderId="2" xfId="0" applyNumberFormat="1" applyFont="1" applyFill="1" applyBorder="1" applyAlignment="1">
      <alignment horizontal="center" vertical="center" wrapText="1"/>
    </xf>
    <xf numFmtId="180" fontId="168" fillId="0" borderId="2" xfId="0" applyNumberFormat="1" applyFont="1" applyFill="1" applyBorder="1" applyAlignment="1">
      <alignment horizontal="center" vertical="center" wrapText="1"/>
    </xf>
    <xf numFmtId="0" fontId="95" fillId="3" borderId="2" xfId="0" applyNumberFormat="1" applyFont="1" applyFill="1" applyBorder="1" applyAlignment="1">
      <alignment horizontal="center" vertical="center" wrapText="1"/>
    </xf>
    <xf numFmtId="0" fontId="36" fillId="3" borderId="2" xfId="0" applyFont="1" applyFill="1" applyBorder="1" applyAlignment="1">
      <alignment horizontal="left" vertical="center" wrapText="1" shrinkToFit="1"/>
    </xf>
    <xf numFmtId="0" fontId="35" fillId="0" borderId="2" xfId="0" applyFont="1" applyFill="1" applyBorder="1" applyAlignment="1">
      <alignment horizontal="left" vertical="center" wrapText="1" shrinkToFit="1"/>
    </xf>
    <xf numFmtId="0" fontId="52" fillId="0" borderId="0" xfId="0" applyFont="1" applyFill="1" applyAlignment="1">
      <alignment horizontal="center" vertical="center"/>
    </xf>
    <xf numFmtId="179" fontId="96" fillId="0" borderId="2" xfId="0" applyNumberFormat="1" applyFont="1" applyFill="1" applyBorder="1" applyAlignment="1">
      <alignment horizontal="center" vertical="center" shrinkToFit="1"/>
    </xf>
    <xf numFmtId="0" fontId="52" fillId="0" borderId="2" xfId="0" applyNumberFormat="1" applyFont="1" applyFill="1" applyBorder="1" applyAlignment="1">
      <alignment horizontal="center" vertical="center" shrinkToFit="1"/>
    </xf>
    <xf numFmtId="0" fontId="96" fillId="0" borderId="2" xfId="0" applyNumberFormat="1" applyFont="1" applyFill="1" applyBorder="1" applyAlignment="1">
      <alignment horizontal="center" vertical="center" wrapText="1"/>
    </xf>
    <xf numFmtId="178" fontId="94" fillId="0" borderId="2" xfId="0" applyNumberFormat="1" applyFont="1" applyFill="1" applyBorder="1" applyAlignment="1">
      <alignment horizontal="center" vertical="center" wrapText="1" shrinkToFit="1"/>
    </xf>
    <xf numFmtId="0" fontId="94" fillId="0" borderId="3" xfId="0" applyFont="1" applyFill="1" applyBorder="1" applyAlignment="1">
      <alignment horizontal="center" vertical="center" wrapText="1"/>
    </xf>
    <xf numFmtId="0" fontId="94" fillId="0" borderId="3" xfId="0" applyFont="1" applyFill="1" applyBorder="1" applyAlignment="1">
      <alignment horizontal="center" vertical="center" wrapText="1" shrinkToFit="1"/>
    </xf>
    <xf numFmtId="0" fontId="95" fillId="0" borderId="3" xfId="0" applyNumberFormat="1" applyFont="1" applyFill="1" applyBorder="1" applyAlignment="1">
      <alignment horizontal="center" vertical="center" wrapText="1"/>
    </xf>
    <xf numFmtId="0" fontId="36" fillId="0" borderId="3" xfId="0" applyFont="1" applyFill="1" applyBorder="1" applyAlignment="1">
      <alignment horizontal="center" vertical="center" wrapText="1" shrinkToFit="1"/>
    </xf>
    <xf numFmtId="0" fontId="169" fillId="0" borderId="2" xfId="0" applyFont="1" applyFill="1" applyBorder="1" applyAlignment="1">
      <alignment vertical="center"/>
    </xf>
    <xf numFmtId="0" fontId="96" fillId="0" borderId="3" xfId="0" applyFont="1" applyFill="1" applyBorder="1" applyAlignment="1">
      <alignment horizontal="center" vertical="center" wrapText="1"/>
    </xf>
    <xf numFmtId="0" fontId="36" fillId="3" borderId="2" xfId="0" applyFont="1" applyFill="1" applyBorder="1" applyAlignment="1">
      <alignment horizontal="center" vertical="center" wrapText="1"/>
    </xf>
    <xf numFmtId="0" fontId="36" fillId="3" borderId="2" xfId="0" applyFont="1" applyFill="1" applyBorder="1" applyAlignment="1">
      <alignment horizontal="center" vertical="center"/>
    </xf>
    <xf numFmtId="180" fontId="96" fillId="0" borderId="3" xfId="0" applyNumberFormat="1" applyFont="1" applyFill="1" applyBorder="1" applyAlignment="1">
      <alignment horizontal="center" vertical="center" wrapText="1"/>
    </xf>
    <xf numFmtId="180" fontId="98" fillId="3" borderId="2" xfId="0" applyNumberFormat="1" applyFont="1" applyFill="1" applyBorder="1" applyAlignment="1">
      <alignment horizontal="center" vertical="center" wrapText="1"/>
    </xf>
    <xf numFmtId="179" fontId="96" fillId="3" borderId="3" xfId="0" applyNumberFormat="1" applyFont="1" applyFill="1" applyBorder="1" applyAlignment="1">
      <alignment horizontal="center" vertical="center" wrapText="1" shrinkToFit="1"/>
    </xf>
    <xf numFmtId="0" fontId="49" fillId="0" borderId="3" xfId="0" applyFont="1" applyFill="1" applyBorder="1" applyAlignment="1">
      <alignment horizontal="center" vertical="center" wrapText="1" shrinkToFit="1"/>
    </xf>
    <xf numFmtId="183" fontId="97" fillId="0" borderId="2" xfId="0" applyNumberFormat="1" applyFont="1" applyFill="1" applyBorder="1" applyAlignment="1">
      <alignment horizontal="center" vertical="center" wrapText="1"/>
    </xf>
    <xf numFmtId="182" fontId="36" fillId="0" borderId="3" xfId="0" applyNumberFormat="1" applyFont="1" applyFill="1" applyBorder="1" applyAlignment="1">
      <alignment horizontal="center" vertical="center" wrapText="1" shrinkToFit="1"/>
    </xf>
    <xf numFmtId="181" fontId="36" fillId="0" borderId="3" xfId="0" applyNumberFormat="1" applyFont="1" applyFill="1" applyBorder="1" applyAlignment="1">
      <alignment horizontal="center" vertical="center"/>
    </xf>
    <xf numFmtId="0" fontId="52" fillId="3" borderId="0" xfId="0" applyFont="1" applyFill="1" applyAlignment="1">
      <alignment horizontal="center" vertical="center" wrapText="1"/>
    </xf>
    <xf numFmtId="183" fontId="98" fillId="0" borderId="2" xfId="0" applyNumberFormat="1" applyFont="1" applyFill="1" applyBorder="1" applyAlignment="1">
      <alignment horizontal="center" vertical="center" wrapText="1"/>
    </xf>
    <xf numFmtId="180" fontId="167" fillId="0" borderId="3" xfId="0" applyNumberFormat="1" applyFont="1" applyFill="1" applyBorder="1" applyAlignment="1">
      <alignment horizontal="center" vertical="center" wrapText="1"/>
    </xf>
    <xf numFmtId="0" fontId="52" fillId="0" borderId="3" xfId="0" applyNumberFormat="1" applyFont="1" applyFill="1" applyBorder="1" applyAlignment="1">
      <alignment horizontal="center" vertical="center" wrapText="1" shrinkToFit="1"/>
    </xf>
    <xf numFmtId="184" fontId="53" fillId="0" borderId="0" xfId="0" applyNumberFormat="1" applyFont="1" applyFill="1" applyAlignment="1">
      <alignment horizontal="center" vertical="center" wrapText="1" shrinkToFit="1"/>
    </xf>
    <xf numFmtId="179" fontId="93" fillId="0" borderId="1" xfId="0" applyNumberFormat="1" applyFont="1" applyFill="1" applyBorder="1" applyAlignment="1">
      <alignment horizontal="center" vertical="center" shrinkToFit="1"/>
    </xf>
    <xf numFmtId="0" fontId="36" fillId="0" borderId="1" xfId="0" applyNumberFormat="1" applyFont="1" applyFill="1" applyBorder="1" applyAlignment="1">
      <alignment horizontal="center" vertical="center" shrinkToFit="1"/>
    </xf>
    <xf numFmtId="179" fontId="95" fillId="0" borderId="3" xfId="0" applyNumberFormat="1" applyFont="1" applyFill="1" applyBorder="1" applyAlignment="1">
      <alignment horizontal="center" vertical="center" shrinkToFit="1"/>
    </xf>
    <xf numFmtId="0" fontId="143" fillId="0" borderId="3" xfId="0" applyFont="1" applyFill="1" applyBorder="1" applyAlignment="1">
      <alignment horizontal="center" vertical="center" wrapText="1"/>
    </xf>
    <xf numFmtId="0" fontId="169" fillId="0" borderId="2" xfId="0" applyFont="1" applyFill="1" applyBorder="1" applyAlignment="1">
      <alignment horizontal="center" vertical="center"/>
    </xf>
    <xf numFmtId="0" fontId="95" fillId="0" borderId="2" xfId="0" applyNumberFormat="1" applyFont="1" applyFill="1" applyBorder="1" applyAlignment="1">
      <alignment horizontal="center" vertical="center"/>
    </xf>
    <xf numFmtId="49" fontId="97" fillId="0" borderId="2" xfId="0" applyNumberFormat="1" applyFont="1" applyFill="1" applyBorder="1" applyAlignment="1">
      <alignment horizontal="center" vertical="center" wrapText="1"/>
    </xf>
    <xf numFmtId="178" fontId="97" fillId="0" borderId="3" xfId="0" applyNumberFormat="1" applyFont="1" applyFill="1" applyBorder="1" applyAlignment="1">
      <alignment horizontal="center" vertical="center" shrinkToFit="1"/>
    </xf>
    <xf numFmtId="0" fontId="170" fillId="0" borderId="3" xfId="0" applyNumberFormat="1" applyFont="1" applyFill="1" applyBorder="1" applyAlignment="1">
      <alignment horizontal="center" vertical="center" shrinkToFit="1"/>
    </xf>
    <xf numFmtId="0" fontId="97" fillId="0" borderId="3" xfId="0" applyNumberFormat="1" applyFont="1" applyFill="1" applyBorder="1" applyAlignment="1">
      <alignment horizontal="center" vertical="center" wrapText="1"/>
    </xf>
    <xf numFmtId="179" fontId="12" fillId="0" borderId="3" xfId="0" applyNumberFormat="1" applyFont="1" applyFill="1" applyBorder="1" applyAlignment="1">
      <alignment horizontal="center" vertical="center" shrinkToFit="1"/>
    </xf>
    <xf numFmtId="176" fontId="12" fillId="0" borderId="3" xfId="0" applyNumberFormat="1" applyFont="1" applyFill="1" applyBorder="1" applyAlignment="1">
      <alignment horizontal="center" vertical="center" wrapText="1"/>
    </xf>
    <xf numFmtId="0" fontId="45" fillId="0" borderId="3" xfId="0" applyNumberFormat="1" applyFont="1" applyFill="1" applyBorder="1" applyAlignment="1">
      <alignment horizontal="center" vertical="center" wrapText="1"/>
    </xf>
    <xf numFmtId="0" fontId="94" fillId="0" borderId="3" xfId="0" applyNumberFormat="1" applyFont="1" applyFill="1" applyBorder="1" applyAlignment="1">
      <alignment horizontal="center" vertical="center" wrapText="1"/>
    </xf>
    <xf numFmtId="0" fontId="171" fillId="0" borderId="3" xfId="0" applyNumberFormat="1" applyFont="1" applyFill="1" applyBorder="1" applyAlignment="1">
      <alignment horizontal="center" vertical="center"/>
    </xf>
    <xf numFmtId="0" fontId="169" fillId="0" borderId="3" xfId="0" applyNumberFormat="1" applyFont="1" applyFill="1" applyBorder="1" applyAlignment="1">
      <alignment horizontal="center" vertical="center" wrapText="1"/>
    </xf>
    <xf numFmtId="0" fontId="96" fillId="0" borderId="3" xfId="0" applyFont="1" applyFill="1" applyBorder="1" applyAlignment="1">
      <alignment horizontal="center" vertical="center" wrapText="1" shrinkToFit="1"/>
    </xf>
    <xf numFmtId="0" fontId="49" fillId="0" borderId="3" xfId="0" applyFont="1" applyFill="1" applyBorder="1" applyAlignment="1">
      <alignment horizontal="center" vertical="center" wrapText="1"/>
    </xf>
    <xf numFmtId="178" fontId="94" fillId="0" borderId="3" xfId="0" applyNumberFormat="1" applyFont="1" applyFill="1" applyBorder="1" applyAlignment="1">
      <alignment horizontal="center" vertical="center" wrapText="1" shrinkToFit="1"/>
    </xf>
    <xf numFmtId="0" fontId="172" fillId="0" borderId="2" xfId="0" applyNumberFormat="1" applyFont="1" applyFill="1" applyBorder="1" applyAlignment="1">
      <alignment horizontal="center" vertical="center" wrapText="1"/>
    </xf>
    <xf numFmtId="49" fontId="96" fillId="0" borderId="3" xfId="0" applyNumberFormat="1" applyFont="1" applyFill="1" applyBorder="1" applyAlignment="1">
      <alignment horizontal="center" vertical="center" wrapText="1"/>
    </xf>
    <xf numFmtId="0" fontId="169" fillId="0" borderId="3" xfId="0" applyFont="1" applyFill="1" applyBorder="1" applyAlignment="1">
      <alignment horizontal="center" vertical="center"/>
    </xf>
    <xf numFmtId="0" fontId="36" fillId="0" borderId="1" xfId="0" applyFont="1" applyFill="1" applyBorder="1" applyAlignment="1">
      <alignment horizontal="center" vertical="center"/>
    </xf>
    <xf numFmtId="180" fontId="96" fillId="3" borderId="3" xfId="0" applyNumberFormat="1" applyFont="1" applyFill="1" applyBorder="1" applyAlignment="1">
      <alignment horizontal="center" vertical="center" wrapText="1"/>
    </xf>
    <xf numFmtId="0" fontId="52" fillId="3" borderId="2" xfId="0" applyFont="1" applyFill="1" applyBorder="1" applyAlignment="1">
      <alignment horizontal="center" vertical="center" wrapText="1"/>
    </xf>
    <xf numFmtId="180" fontId="98" fillId="0" borderId="2" xfId="0" applyNumberFormat="1" applyFont="1" applyFill="1" applyBorder="1" applyAlignment="1">
      <alignment horizontal="center" vertical="center" wrapText="1"/>
    </xf>
    <xf numFmtId="0" fontId="52" fillId="0" borderId="1" xfId="0" applyNumberFormat="1" applyFont="1" applyFill="1" applyBorder="1" applyAlignment="1">
      <alignment horizontal="center" vertical="center" wrapText="1" shrinkToFit="1"/>
    </xf>
    <xf numFmtId="0" fontId="36" fillId="0" borderId="3" xfId="0" applyFont="1" applyFill="1" applyBorder="1" applyAlignment="1">
      <alignment horizontal="left" vertical="center" wrapText="1" shrinkToFit="1"/>
    </xf>
    <xf numFmtId="180" fontId="96" fillId="0" borderId="9" xfId="0" applyNumberFormat="1" applyFont="1" applyFill="1" applyBorder="1" applyAlignment="1">
      <alignment horizontal="center" vertical="center" wrapText="1"/>
    </xf>
    <xf numFmtId="0" fontId="173" fillId="0" borderId="2" xfId="0" applyNumberFormat="1" applyFont="1" applyFill="1" applyBorder="1" applyAlignment="1">
      <alignment horizontal="center" vertical="center" wrapText="1" shrinkToFit="1"/>
    </xf>
    <xf numFmtId="0" fontId="96" fillId="0" borderId="0" xfId="0" applyNumberFormat="1" applyFont="1" applyFill="1" applyAlignment="1">
      <alignment horizontal="center" vertical="center" wrapText="1" shrinkToFit="1"/>
    </xf>
    <xf numFmtId="0" fontId="36" fillId="3" borderId="2" xfId="0" applyNumberFormat="1" applyFont="1" applyFill="1" applyBorder="1" applyAlignment="1">
      <alignment horizontal="center" vertical="center"/>
    </xf>
    <xf numFmtId="176" fontId="97" fillId="0" borderId="3" xfId="0" applyNumberFormat="1" applyFont="1" applyFill="1" applyBorder="1" applyAlignment="1">
      <alignment horizontal="center" vertical="center" wrapText="1"/>
    </xf>
    <xf numFmtId="0" fontId="94" fillId="0" borderId="3" xfId="0" applyNumberFormat="1" applyFont="1" applyFill="1" applyBorder="1" applyAlignment="1">
      <alignment horizontal="center" vertical="center" wrapText="1" shrinkToFit="1"/>
    </xf>
    <xf numFmtId="176" fontId="95" fillId="0" borderId="3" xfId="0" applyNumberFormat="1" applyFont="1" applyFill="1" applyBorder="1" applyAlignment="1">
      <alignment horizontal="center" vertical="center" wrapText="1"/>
    </xf>
    <xf numFmtId="0" fontId="36" fillId="3" borderId="2" xfId="0" applyFont="1" applyFill="1" applyBorder="1" applyAlignment="1">
      <alignment horizontal="center" vertical="center" wrapText="1" shrinkToFit="1"/>
    </xf>
    <xf numFmtId="0" fontId="36" fillId="0" borderId="3" xfId="0" applyNumberFormat="1" applyFont="1" applyFill="1" applyBorder="1" applyAlignment="1">
      <alignment horizontal="center" vertical="center" wrapText="1"/>
    </xf>
    <xf numFmtId="0" fontId="36" fillId="3" borderId="3" xfId="0" applyFont="1" applyFill="1" applyBorder="1" applyAlignment="1">
      <alignment horizontal="center" vertical="center"/>
    </xf>
    <xf numFmtId="0" fontId="36" fillId="3" borderId="1" xfId="0" applyFont="1" applyFill="1" applyBorder="1" applyAlignment="1">
      <alignment horizontal="center" vertical="center"/>
    </xf>
    <xf numFmtId="0" fontId="132" fillId="3" borderId="2" xfId="0" applyFont="1" applyFill="1" applyBorder="1" applyAlignment="1">
      <alignment horizontal="center" vertical="center"/>
    </xf>
    <xf numFmtId="183" fontId="97" fillId="0" borderId="4" xfId="0" applyNumberFormat="1" applyFont="1" applyFill="1" applyBorder="1" applyAlignment="1">
      <alignment horizontal="center" vertical="center" wrapText="1"/>
    </xf>
    <xf numFmtId="180" fontId="96" fillId="0" borderId="0" xfId="0" applyNumberFormat="1" applyFont="1" applyFill="1" applyAlignment="1">
      <alignment horizontal="center" vertical="center" wrapText="1"/>
    </xf>
    <xf numFmtId="184" fontId="53" fillId="3" borderId="2" xfId="0" applyNumberFormat="1" applyFont="1" applyFill="1" applyBorder="1" applyAlignment="1">
      <alignment horizontal="center" vertical="center" wrapText="1" shrinkToFit="1"/>
    </xf>
    <xf numFmtId="0" fontId="170" fillId="0" borderId="2" xfId="0" applyNumberFormat="1" applyFont="1" applyFill="1" applyBorder="1" applyAlignment="1">
      <alignment horizontal="center" vertical="center" shrinkToFit="1"/>
    </xf>
    <xf numFmtId="0" fontId="174" fillId="0" borderId="0" xfId="0" applyFont="1" applyFill="1" applyAlignment="1">
      <alignment horizontal="center" vertical="center" wrapText="1"/>
    </xf>
    <xf numFmtId="0" fontId="95" fillId="0" borderId="0" xfId="0" applyNumberFormat="1" applyFont="1" applyFill="1" applyAlignment="1">
      <alignment horizontal="center" vertical="center" wrapText="1"/>
    </xf>
    <xf numFmtId="0" fontId="97" fillId="0" borderId="2" xfId="0" applyFont="1" applyFill="1" applyBorder="1" applyAlignment="1">
      <alignment horizontal="center" vertical="center" wrapText="1" shrinkToFit="1"/>
    </xf>
    <xf numFmtId="178" fontId="80" fillId="0" borderId="3" xfId="0" applyNumberFormat="1" applyFont="1" applyFill="1" applyBorder="1" applyAlignment="1">
      <alignment horizontal="center" vertical="center" shrinkToFit="1"/>
    </xf>
    <xf numFmtId="0" fontId="80" fillId="0" borderId="3" xfId="0" applyNumberFormat="1" applyFont="1" applyFill="1" applyBorder="1" applyAlignment="1">
      <alignment horizontal="center" vertical="center" wrapText="1"/>
    </xf>
    <xf numFmtId="176" fontId="80" fillId="0" borderId="3" xfId="0" applyNumberFormat="1" applyFont="1" applyFill="1" applyBorder="1" applyAlignment="1">
      <alignment horizontal="center" vertical="center" wrapText="1"/>
    </xf>
    <xf numFmtId="0" fontId="175" fillId="0" borderId="3" xfId="0" applyNumberFormat="1" applyFont="1" applyFill="1" applyBorder="1" applyAlignment="1">
      <alignment horizontal="center" vertical="center" shrinkToFit="1"/>
    </xf>
    <xf numFmtId="0" fontId="101" fillId="0" borderId="3" xfId="0" applyFont="1" applyFill="1" applyBorder="1" applyAlignment="1">
      <alignment horizontal="center" vertical="center" wrapText="1"/>
    </xf>
    <xf numFmtId="0" fontId="132" fillId="0" borderId="3" xfId="0" applyNumberFormat="1" applyFont="1" applyFill="1" applyBorder="1" applyAlignment="1">
      <alignment horizontal="center" vertical="center" shrinkToFit="1"/>
    </xf>
    <xf numFmtId="178" fontId="170" fillId="0" borderId="2" xfId="0" applyNumberFormat="1" applyFont="1" applyFill="1" applyBorder="1" applyAlignment="1">
      <alignment horizontal="center" vertical="center"/>
    </xf>
    <xf numFmtId="0" fontId="170" fillId="0" borderId="2" xfId="0" applyFont="1" applyFill="1" applyBorder="1" applyAlignment="1">
      <alignment horizontal="center" vertical="center" wrapText="1"/>
    </xf>
    <xf numFmtId="178" fontId="170" fillId="0" borderId="3" xfId="0" applyNumberFormat="1" applyFont="1" applyFill="1" applyBorder="1" applyAlignment="1">
      <alignment horizontal="center" vertical="center"/>
    </xf>
    <xf numFmtId="0" fontId="170" fillId="0" borderId="3" xfId="0" applyFont="1" applyFill="1" applyBorder="1" applyAlignment="1">
      <alignment horizontal="center" vertical="center" wrapText="1"/>
    </xf>
    <xf numFmtId="0" fontId="36" fillId="3" borderId="0" xfId="0" applyFont="1" applyFill="1" applyAlignment="1">
      <alignment horizontal="center" vertical="center"/>
    </xf>
    <xf numFmtId="180" fontId="168" fillId="0" borderId="3" xfId="0" applyNumberFormat="1" applyFont="1" applyFill="1" applyBorder="1" applyAlignment="1">
      <alignment horizontal="center" vertical="center" wrapText="1"/>
    </xf>
    <xf numFmtId="180" fontId="96" fillId="0" borderId="5" xfId="0" applyNumberFormat="1" applyFont="1" applyFill="1" applyBorder="1" applyAlignment="1">
      <alignment horizontal="center" vertical="center" wrapText="1"/>
    </xf>
    <xf numFmtId="182" fontId="52" fillId="0" borderId="2" xfId="0" applyNumberFormat="1" applyFont="1" applyFill="1" applyBorder="1" applyAlignment="1">
      <alignment horizontal="center" vertical="center" wrapText="1" shrinkToFit="1"/>
    </xf>
    <xf numFmtId="180" fontId="97" fillId="0" borderId="2" xfId="0" applyNumberFormat="1" applyFont="1" applyFill="1" applyBorder="1" applyAlignment="1">
      <alignment horizontal="center" vertical="center" wrapText="1"/>
    </xf>
    <xf numFmtId="0" fontId="176" fillId="0" borderId="2" xfId="0" applyNumberFormat="1" applyFont="1" applyFill="1" applyBorder="1" applyAlignment="1">
      <alignment horizontal="center" vertical="center" wrapText="1" shrinkToFit="1"/>
    </xf>
    <xf numFmtId="180" fontId="176" fillId="0" borderId="2" xfId="0" applyNumberFormat="1" applyFont="1" applyFill="1" applyBorder="1" applyAlignment="1">
      <alignment horizontal="center" vertical="center" wrapText="1"/>
    </xf>
    <xf numFmtId="184" fontId="4" fillId="0" borderId="0" xfId="0" applyNumberFormat="1" applyFont="1" applyFill="1" applyAlignment="1">
      <alignment horizontal="center" vertical="center" wrapText="1" shrinkToFit="1"/>
    </xf>
    <xf numFmtId="179" fontId="99" fillId="0" borderId="3" xfId="0" applyNumberFormat="1" applyFont="1" applyFill="1" applyBorder="1" applyAlignment="1">
      <alignment horizontal="center" vertical="center" wrapText="1" shrinkToFit="1"/>
    </xf>
    <xf numFmtId="0" fontId="142" fillId="0" borderId="3" xfId="0" applyFont="1" applyFill="1" applyBorder="1" applyAlignment="1">
      <alignment horizontal="center" vertical="center" wrapText="1"/>
    </xf>
    <xf numFmtId="0" fontId="99" fillId="0" borderId="3" xfId="0" applyFont="1" applyFill="1" applyBorder="1" applyAlignment="1">
      <alignment horizontal="center" vertical="center" wrapText="1" shrinkToFit="1"/>
    </xf>
    <xf numFmtId="0" fontId="142" fillId="0" borderId="3" xfId="0" applyNumberFormat="1" applyFont="1" applyFill="1" applyBorder="1" applyAlignment="1">
      <alignment horizontal="center" vertical="center" shrinkToFit="1"/>
    </xf>
    <xf numFmtId="49" fontId="99" fillId="0" borderId="2" xfId="0" applyNumberFormat="1" applyFont="1" applyFill="1" applyBorder="1" applyAlignment="1">
      <alignment horizontal="center" vertical="center" wrapText="1"/>
    </xf>
    <xf numFmtId="0" fontId="97" fillId="0" borderId="3" xfId="0" applyFont="1" applyFill="1" applyBorder="1" applyAlignment="1">
      <alignment horizontal="center" vertical="center" wrapText="1" shrinkToFit="1"/>
    </xf>
    <xf numFmtId="0" fontId="143" fillId="0" borderId="3" xfId="0" applyNumberFormat="1" applyFont="1" applyFill="1" applyBorder="1" applyAlignment="1">
      <alignment horizontal="center" vertical="center" wrapText="1"/>
    </xf>
    <xf numFmtId="58" fontId="98" fillId="0" borderId="2" xfId="0" applyNumberFormat="1" applyFont="1" applyFill="1" applyBorder="1" applyAlignment="1">
      <alignment horizontal="center" vertical="center"/>
    </xf>
    <xf numFmtId="180" fontId="98" fillId="0" borderId="4" xfId="0" applyNumberFormat="1" applyFont="1" applyFill="1" applyBorder="1" applyAlignment="1">
      <alignment horizontal="center" vertical="center" wrapText="1"/>
    </xf>
    <xf numFmtId="178" fontId="142" fillId="0" borderId="3" xfId="0" applyNumberFormat="1" applyFont="1" applyFill="1" applyBorder="1" applyAlignment="1">
      <alignment horizontal="center" vertical="center"/>
    </xf>
    <xf numFmtId="49" fontId="99" fillId="0" borderId="3" xfId="0" applyNumberFormat="1" applyFont="1" applyFill="1" applyBorder="1" applyAlignment="1">
      <alignment horizontal="center" vertical="center" wrapText="1"/>
    </xf>
    <xf numFmtId="0" fontId="96" fillId="3" borderId="2" xfId="0" applyFont="1" applyFill="1" applyBorder="1" applyAlignment="1">
      <alignment horizontal="center" vertical="center" wrapText="1"/>
    </xf>
    <xf numFmtId="0" fontId="52" fillId="3" borderId="2" xfId="0" applyNumberFormat="1" applyFont="1" applyFill="1" applyBorder="1" applyAlignment="1">
      <alignment horizontal="center" vertical="center" wrapText="1" shrinkToFit="1"/>
    </xf>
    <xf numFmtId="0" fontId="152" fillId="0" borderId="2" xfId="0" applyNumberFormat="1" applyFont="1" applyFill="1" applyBorder="1" applyAlignment="1">
      <alignment horizontal="center" vertical="center" wrapText="1"/>
    </xf>
    <xf numFmtId="0" fontId="141" fillId="0" borderId="2" xfId="0" applyNumberFormat="1" applyFont="1" applyFill="1" applyBorder="1" applyAlignment="1">
      <alignment horizontal="center" vertical="center" wrapText="1"/>
    </xf>
    <xf numFmtId="180" fontId="98" fillId="0" borderId="2" xfId="0" applyNumberFormat="1" applyFont="1" applyFill="1" applyBorder="1" applyAlignment="1">
      <alignment horizontal="center" vertical="center"/>
    </xf>
    <xf numFmtId="180" fontId="97" fillId="0" borderId="4" xfId="0" applyNumberFormat="1" applyFont="1" applyFill="1" applyBorder="1" applyAlignment="1">
      <alignment horizontal="center" vertical="center" wrapText="1"/>
    </xf>
    <xf numFmtId="0" fontId="52" fillId="3" borderId="2" xfId="0" applyNumberFormat="1" applyFont="1" applyFill="1" applyBorder="1" applyAlignment="1">
      <alignment horizontal="center" vertical="center" wrapText="1"/>
    </xf>
    <xf numFmtId="179" fontId="99" fillId="0" borderId="5" xfId="0" applyNumberFormat="1" applyFont="1" applyFill="1" applyBorder="1" applyAlignment="1">
      <alignment horizontal="center" vertical="center" wrapText="1" shrinkToFit="1"/>
    </xf>
    <xf numFmtId="0" fontId="36" fillId="8" borderId="2" xfId="0" applyNumberFormat="1" applyFont="1" applyFill="1" applyBorder="1" applyAlignment="1">
      <alignment horizontal="center" vertical="center" shrinkToFit="1"/>
    </xf>
    <xf numFmtId="0" fontId="177" fillId="0" borderId="2" xfId="0" applyNumberFormat="1" applyFont="1" applyFill="1" applyBorder="1" applyAlignment="1">
      <alignment horizontal="center" vertical="center" wrapText="1"/>
    </xf>
    <xf numFmtId="179" fontId="137" fillId="0" borderId="2" xfId="0" applyNumberFormat="1" applyFont="1" applyFill="1" applyBorder="1" applyAlignment="1">
      <alignment horizontal="center" vertical="center" shrinkToFit="1"/>
    </xf>
    <xf numFmtId="0" fontId="138" fillId="0" borderId="2" xfId="0" applyFont="1" applyFill="1" applyBorder="1" applyAlignment="1">
      <alignment horizontal="center" vertical="center" wrapText="1"/>
    </xf>
    <xf numFmtId="0" fontId="138" fillId="0" borderId="2" xfId="0" applyFont="1" applyFill="1" applyBorder="1" applyAlignment="1">
      <alignment horizontal="center" vertical="center" wrapText="1" shrinkToFit="1"/>
    </xf>
    <xf numFmtId="0" fontId="136" fillId="0" borderId="2" xfId="0" applyNumberFormat="1" applyFont="1" applyFill="1" applyBorder="1" applyAlignment="1">
      <alignment horizontal="center" vertical="center" shrinkToFit="1"/>
    </xf>
    <xf numFmtId="0" fontId="137" fillId="0" borderId="2" xfId="0" applyNumberFormat="1" applyFont="1" applyFill="1" applyBorder="1" applyAlignment="1">
      <alignment horizontal="center" vertical="center" wrapText="1"/>
    </xf>
    <xf numFmtId="0" fontId="136" fillId="0" borderId="2" xfId="0" applyFont="1" applyFill="1" applyBorder="1" applyAlignment="1">
      <alignment horizontal="center" vertical="center" wrapText="1" shrinkToFit="1"/>
    </xf>
    <xf numFmtId="0" fontId="139" fillId="0" borderId="2" xfId="0" applyFont="1" applyFill="1" applyBorder="1" applyAlignment="1">
      <alignment horizontal="center" vertical="center" wrapText="1"/>
    </xf>
    <xf numFmtId="179" fontId="140" fillId="0" borderId="2" xfId="0" applyNumberFormat="1" applyFont="1" applyFill="1" applyBorder="1" applyAlignment="1">
      <alignment horizontal="center" vertical="center" shrinkToFit="1"/>
    </xf>
    <xf numFmtId="179" fontId="106" fillId="0" borderId="2" xfId="0" applyNumberFormat="1" applyFont="1" applyFill="1" applyBorder="1" applyAlignment="1">
      <alignment horizontal="center" vertical="center" shrinkToFit="1"/>
    </xf>
    <xf numFmtId="0" fontId="178" fillId="0" borderId="2" xfId="0" applyFont="1" applyFill="1" applyBorder="1" applyAlignment="1">
      <alignment horizontal="center" vertical="center"/>
    </xf>
    <xf numFmtId="180" fontId="139" fillId="0" borderId="2" xfId="0" applyNumberFormat="1" applyFont="1" applyFill="1" applyBorder="1" applyAlignment="1">
      <alignment horizontal="center" vertical="center" wrapText="1"/>
    </xf>
    <xf numFmtId="0" fontId="136" fillId="0" borderId="2" xfId="0" applyFont="1" applyFill="1" applyBorder="1" applyAlignment="1">
      <alignment horizontal="center" vertical="center"/>
    </xf>
    <xf numFmtId="0" fontId="144" fillId="0" borderId="2" xfId="0" applyFont="1" applyFill="1" applyBorder="1" applyAlignment="1">
      <alignment horizontal="center" vertical="center" wrapText="1" shrinkToFit="1"/>
    </xf>
    <xf numFmtId="179" fontId="139" fillId="0" borderId="2" xfId="0" applyNumberFormat="1" applyFont="1" applyFill="1" applyBorder="1" applyAlignment="1">
      <alignment horizontal="center" vertical="center" wrapText="1" shrinkToFit="1"/>
    </xf>
    <xf numFmtId="179" fontId="139" fillId="3" borderId="2" xfId="0" applyNumberFormat="1" applyFont="1" applyFill="1" applyBorder="1" applyAlignment="1">
      <alignment horizontal="center" vertical="center" wrapText="1" shrinkToFit="1"/>
    </xf>
    <xf numFmtId="179" fontId="107" fillId="3" borderId="2" xfId="0" applyNumberFormat="1" applyFont="1" applyFill="1" applyBorder="1" applyAlignment="1">
      <alignment horizontal="center" vertical="center" wrapText="1" shrinkToFit="1"/>
    </xf>
    <xf numFmtId="0" fontId="179" fillId="0" borderId="2" xfId="0" applyFont="1" applyFill="1" applyBorder="1" applyAlignment="1">
      <alignment horizontal="center" vertical="center"/>
    </xf>
    <xf numFmtId="0" fontId="31" fillId="0" borderId="0" xfId="0" applyFont="1" applyFill="1" applyAlignment="1">
      <alignment horizontal="center" vertical="center"/>
    </xf>
    <xf numFmtId="58" fontId="98" fillId="0" borderId="2" xfId="0" applyNumberFormat="1" applyFont="1" applyFill="1" applyBorder="1" applyAlignment="1">
      <alignment horizontal="center" vertical="center" wrapText="1"/>
    </xf>
    <xf numFmtId="180" fontId="109" fillId="0" borderId="2" xfId="0" applyNumberFormat="1" applyFont="1" applyFill="1" applyBorder="1" applyAlignment="1">
      <alignment horizontal="center" vertical="center" wrapText="1"/>
    </xf>
    <xf numFmtId="180" fontId="109" fillId="0" borderId="4" xfId="0" applyNumberFormat="1" applyFont="1" applyFill="1" applyBorder="1" applyAlignment="1">
      <alignment horizontal="center" vertical="center" wrapText="1"/>
    </xf>
    <xf numFmtId="58" fontId="145" fillId="0" borderId="2" xfId="0" applyNumberFormat="1" applyFont="1" applyFill="1" applyBorder="1" applyAlignment="1">
      <alignment horizontal="center" vertical="center"/>
    </xf>
    <xf numFmtId="180" fontId="145" fillId="0" borderId="4" xfId="0" applyNumberFormat="1" applyFont="1" applyFill="1" applyBorder="1" applyAlignment="1">
      <alignment horizontal="center" vertical="center" wrapText="1"/>
    </xf>
    <xf numFmtId="179" fontId="146" fillId="0" borderId="2" xfId="0" applyNumberFormat="1" applyFont="1" applyFill="1" applyBorder="1" applyAlignment="1">
      <alignment horizontal="center" vertical="center" wrapText="1" shrinkToFit="1"/>
    </xf>
    <xf numFmtId="182" fontId="136" fillId="0" borderId="2" xfId="0" applyNumberFormat="1" applyFont="1" applyFill="1" applyBorder="1" applyAlignment="1">
      <alignment horizontal="center" vertical="center" wrapText="1" shrinkToFit="1"/>
    </xf>
    <xf numFmtId="181" fontId="136" fillId="0" borderId="2" xfId="0" applyNumberFormat="1" applyFont="1" applyFill="1" applyBorder="1" applyAlignment="1">
      <alignment horizontal="center" vertical="center"/>
    </xf>
    <xf numFmtId="0" fontId="147" fillId="3" borderId="0" xfId="0" applyNumberFormat="1" applyFont="1" applyFill="1" applyBorder="1" applyAlignment="1">
      <alignment horizontal="center" vertical="center" wrapText="1"/>
    </xf>
    <xf numFmtId="180" fontId="148" fillId="0" borderId="2" xfId="0" applyNumberFormat="1" applyFont="1" applyFill="1" applyBorder="1" applyAlignment="1">
      <alignment horizontal="center" vertical="center" wrapText="1"/>
    </xf>
    <xf numFmtId="180" fontId="139" fillId="0" borderId="4" xfId="0" applyNumberFormat="1" applyFont="1" applyFill="1" applyBorder="1" applyAlignment="1">
      <alignment horizontal="center" vertical="center" wrapText="1"/>
    </xf>
    <xf numFmtId="180" fontId="148" fillId="0" borderId="4" xfId="0" applyNumberFormat="1" applyFont="1" applyFill="1" applyBorder="1" applyAlignment="1">
      <alignment horizontal="center" vertical="center" wrapText="1"/>
    </xf>
    <xf numFmtId="0" fontId="31" fillId="3" borderId="2" xfId="0" applyNumberFormat="1" applyFont="1" applyFill="1" applyBorder="1" applyAlignment="1">
      <alignment horizontal="center" vertical="center" wrapText="1"/>
    </xf>
    <xf numFmtId="182" fontId="31" fillId="0" borderId="2" xfId="0" applyNumberFormat="1" applyFont="1" applyFill="1" applyBorder="1" applyAlignment="1">
      <alignment horizontal="center" vertical="center" wrapText="1" shrinkToFit="1"/>
    </xf>
    <xf numFmtId="181" fontId="31" fillId="0" borderId="2" xfId="0" applyNumberFormat="1" applyFont="1" applyFill="1" applyBorder="1" applyAlignment="1">
      <alignment horizontal="center" vertical="center"/>
    </xf>
    <xf numFmtId="180" fontId="80" fillId="0" borderId="4" xfId="0" applyNumberFormat="1" applyFont="1" applyFill="1" applyBorder="1" applyAlignment="1">
      <alignment horizontal="center" vertical="center" wrapText="1"/>
    </xf>
    <xf numFmtId="58" fontId="45" fillId="0" borderId="2" xfId="0" applyNumberFormat="1" applyFont="1" applyFill="1" applyBorder="1" applyAlignment="1">
      <alignment horizontal="center" vertical="center" wrapText="1"/>
    </xf>
    <xf numFmtId="0" fontId="31" fillId="3" borderId="0" xfId="0" applyNumberFormat="1" applyFont="1" applyFill="1" applyBorder="1" applyAlignment="1">
      <alignment horizontal="center" vertical="center" wrapText="1"/>
    </xf>
    <xf numFmtId="180" fontId="45" fillId="0" borderId="4" xfId="0" applyNumberFormat="1" applyFont="1" applyFill="1" applyBorder="1" applyAlignment="1">
      <alignment horizontal="center" vertical="center" wrapText="1"/>
    </xf>
    <xf numFmtId="0" fontId="31" fillId="0" borderId="0" xfId="0" applyNumberFormat="1" applyFont="1" applyFill="1" applyBorder="1" applyAlignment="1">
      <alignment horizontal="center" vertical="center" wrapText="1"/>
    </xf>
    <xf numFmtId="180" fontId="45" fillId="0" borderId="2" xfId="0" applyNumberFormat="1" applyFont="1" applyFill="1" applyBorder="1" applyAlignment="1">
      <alignment horizontal="center" vertical="center" wrapText="1"/>
    </xf>
    <xf numFmtId="0" fontId="110" fillId="0" borderId="2" xfId="0" applyNumberFormat="1" applyFont="1" applyFill="1" applyBorder="1" applyAlignment="1">
      <alignment horizontal="center" vertical="center" wrapText="1" shrinkToFit="1"/>
    </xf>
    <xf numFmtId="0" fontId="136" fillId="0" borderId="2" xfId="0" applyFont="1" applyFill="1" applyBorder="1" applyAlignment="1">
      <alignment horizontal="left" vertical="center" wrapText="1" shrinkToFit="1"/>
    </xf>
    <xf numFmtId="0" fontId="147" fillId="0" borderId="2" xfId="0" applyNumberFormat="1" applyFont="1" applyFill="1" applyBorder="1" applyAlignment="1">
      <alignment horizontal="center" vertical="center" wrapText="1" shrinkToFit="1"/>
    </xf>
    <xf numFmtId="0" fontId="139" fillId="0" borderId="2" xfId="0" applyNumberFormat="1" applyFont="1" applyFill="1" applyBorder="1" applyAlignment="1">
      <alignment horizontal="center" vertical="center" wrapText="1" shrinkToFit="1"/>
    </xf>
    <xf numFmtId="180" fontId="139" fillId="3" borderId="2" xfId="0" applyNumberFormat="1" applyFont="1" applyFill="1" applyBorder="1" applyAlignment="1">
      <alignment horizontal="center" vertical="center" wrapText="1"/>
    </xf>
    <xf numFmtId="0" fontId="136" fillId="0" borderId="2" xfId="0" applyNumberFormat="1" applyFont="1" applyFill="1" applyBorder="1" applyAlignment="1">
      <alignment horizontal="center" vertical="center"/>
    </xf>
    <xf numFmtId="184" fontId="149" fillId="0" borderId="2" xfId="0" applyNumberFormat="1" applyFont="1" applyFill="1" applyBorder="1" applyAlignment="1">
      <alignment horizontal="center" vertical="center" wrapText="1" shrinkToFit="1"/>
    </xf>
    <xf numFmtId="0" fontId="136" fillId="0" borderId="3" xfId="0" applyNumberFormat="1" applyFont="1" applyFill="1" applyBorder="1" applyAlignment="1">
      <alignment horizontal="center" vertical="center"/>
    </xf>
    <xf numFmtId="184" fontId="111" fillId="0" borderId="0" xfId="0" applyNumberFormat="1" applyFont="1" applyFill="1" applyAlignment="1">
      <alignment horizontal="center" vertical="center" wrapText="1" shrinkToFit="1"/>
    </xf>
    <xf numFmtId="184" fontId="149" fillId="0" borderId="0" xfId="0" applyNumberFormat="1" applyFont="1" applyFill="1" applyAlignment="1">
      <alignment horizontal="center" vertical="center" wrapText="1" shrinkToFit="1"/>
    </xf>
    <xf numFmtId="178" fontId="180" fillId="0" borderId="3" xfId="0" applyNumberFormat="1" applyFont="1" applyFill="1" applyBorder="1" applyAlignment="1">
      <alignment horizontal="center" vertical="center"/>
    </xf>
    <xf numFmtId="0" fontId="181" fillId="0" borderId="3" xfId="0" applyFont="1" applyFill="1" applyBorder="1" applyAlignment="1">
      <alignment horizontal="center" vertical="center" wrapText="1"/>
    </xf>
    <xf numFmtId="0" fontId="13" fillId="0" borderId="3" xfId="0" applyFont="1" applyFill="1" applyBorder="1" applyAlignment="1">
      <alignment horizontal="center" vertical="center" wrapText="1" shrinkToFit="1"/>
    </xf>
    <xf numFmtId="179" fontId="12" fillId="2" borderId="2" xfId="0" applyNumberFormat="1" applyFont="1" applyFill="1" applyBorder="1" applyAlignment="1">
      <alignment horizontal="center" vertical="center" shrinkToFit="1"/>
    </xf>
    <xf numFmtId="0" fontId="1" fillId="2" borderId="2" xfId="0" applyNumberFormat="1" applyFont="1" applyFill="1" applyBorder="1" applyAlignment="1">
      <alignment horizontal="center" vertical="center" shrinkToFit="1"/>
    </xf>
    <xf numFmtId="192" fontId="1" fillId="0" borderId="0" xfId="0" applyNumberFormat="1" applyFont="1" applyFill="1" applyAlignment="1">
      <alignment horizontal="center" vertical="center" wrapText="1"/>
    </xf>
    <xf numFmtId="0" fontId="31" fillId="0" borderId="2" xfId="0" applyNumberFormat="1" applyFont="1" applyFill="1" applyBorder="1" applyAlignment="1">
      <alignment horizontal="center" vertical="center" wrapText="1"/>
    </xf>
    <xf numFmtId="180" fontId="80" fillId="2" borderId="2" xfId="0" applyNumberFormat="1" applyFont="1" applyFill="1" applyBorder="1" applyAlignment="1">
      <alignment horizontal="center" vertical="center" wrapText="1"/>
    </xf>
    <xf numFmtId="180" fontId="80" fillId="2" borderId="4" xfId="0" applyNumberFormat="1" applyFont="1" applyFill="1" applyBorder="1" applyAlignment="1">
      <alignment horizontal="center" vertical="center" wrapText="1"/>
    </xf>
    <xf numFmtId="0" fontId="31" fillId="2" borderId="2" xfId="0" applyNumberFormat="1" applyFont="1" applyFill="1" applyBorder="1" applyAlignment="1">
      <alignment horizontal="center" vertical="center" wrapText="1"/>
    </xf>
    <xf numFmtId="0" fontId="106" fillId="2" borderId="2" xfId="0" applyNumberFormat="1" applyFont="1" applyFill="1" applyBorder="1" applyAlignment="1">
      <alignment horizontal="center" vertical="center" wrapText="1"/>
    </xf>
    <xf numFmtId="0" fontId="31" fillId="2" borderId="2" xfId="0" applyNumberFormat="1" applyFont="1" applyFill="1" applyBorder="1" applyAlignment="1">
      <alignment horizontal="center" vertical="center" wrapText="1" shrinkToFit="1"/>
    </xf>
    <xf numFmtId="0" fontId="89" fillId="0" borderId="0" xfId="0" applyNumberFormat="1" applyFont="1" applyFill="1" applyAlignment="1">
      <alignment horizontal="center" vertical="center"/>
    </xf>
    <xf numFmtId="185" fontId="1" fillId="2" borderId="0" xfId="0" applyNumberFormat="1" applyFont="1" applyFill="1" applyAlignment="1">
      <alignment horizontal="center" vertical="center"/>
    </xf>
    <xf numFmtId="185" fontId="89" fillId="0" borderId="0" xfId="0" applyNumberFormat="1" applyFont="1" applyFill="1" applyAlignment="1">
      <alignment horizontal="center" vertical="center"/>
    </xf>
    <xf numFmtId="0" fontId="0" fillId="0" borderId="0" xfId="0" applyFont="1" applyFill="1">
      <alignment vertical="center"/>
    </xf>
    <xf numFmtId="0" fontId="95" fillId="0" borderId="2" xfId="0" applyNumberFormat="1" applyFont="1" applyFill="1" applyBorder="1" applyAlignment="1" quotePrefix="1">
      <alignment horizontal="center" vertical="center" wrapText="1"/>
    </xf>
    <xf numFmtId="0" fontId="95" fillId="0" borderId="3" xfId="0" applyNumberFormat="1" applyFont="1" applyFill="1" applyBorder="1" applyAlignment="1" quotePrefix="1">
      <alignment horizontal="center" vertical="center" wrapText="1"/>
    </xf>
    <xf numFmtId="0" fontId="95" fillId="0" borderId="2" xfId="0" applyNumberFormat="1" applyFont="1" applyFill="1" applyBorder="1" applyAlignment="1" quotePrefix="1">
      <alignment horizontal="center" vertical="center"/>
    </xf>
    <xf numFmtId="0" fontId="101" fillId="0" borderId="3" xfId="0" applyFont="1" applyFill="1" applyBorder="1" applyAlignment="1" quotePrefix="1">
      <alignment horizontal="center" vertical="center" wrapText="1"/>
    </xf>
    <xf numFmtId="0" fontId="97" fillId="0" borderId="3" xfId="0" applyNumberFormat="1" applyFont="1" applyFill="1" applyBorder="1" applyAlignment="1" quotePrefix="1">
      <alignment horizontal="center" vertical="center" wrapText="1"/>
    </xf>
    <xf numFmtId="0" fontId="98" fillId="0" borderId="2" xfId="0" applyNumberFormat="1" applyFont="1" applyFill="1" applyBorder="1" applyAlignment="1" quotePrefix="1">
      <alignment horizontal="center" vertical="center" wrapText="1"/>
    </xf>
    <xf numFmtId="0" fontId="36" fillId="0" borderId="2" xfId="0" applyNumberFormat="1" applyFont="1" applyFill="1" applyBorder="1" applyAlignment="1" quotePrefix="1">
      <alignment horizontal="center" vertical="center" shrinkToFit="1"/>
    </xf>
    <xf numFmtId="0" fontId="31" fillId="0" borderId="2" xfId="0" applyFont="1" applyFill="1" applyBorder="1" applyAlignment="1" quotePrefix="1">
      <alignment horizontal="center" vertical="center" wrapText="1" shrinkToFit="1"/>
    </xf>
    <xf numFmtId="0" fontId="52" fillId="0" borderId="2" xfId="0" applyFont="1" applyFill="1" applyBorder="1" applyAlignment="1" applyProtection="1" quotePrefix="1">
      <alignment horizontal="center" vertical="center" wrapText="1" shrinkToFit="1"/>
      <protection locked="0"/>
    </xf>
    <xf numFmtId="0" fontId="36" fillId="0" borderId="2" xfId="0" applyNumberFormat="1" applyFont="1" applyFill="1" applyBorder="1" applyAlignment="1" applyProtection="1" quotePrefix="1">
      <alignment horizontal="center" vertical="center" shrinkToFit="1"/>
      <protection locked="0"/>
    </xf>
    <xf numFmtId="0" fontId="129" fillId="0" borderId="2" xfId="0" applyFont="1" applyFill="1" applyBorder="1" applyAlignment="1" quotePrefix="1">
      <alignment horizontal="center" vertical="center" wrapText="1"/>
    </xf>
    <xf numFmtId="0" fontId="130" fillId="0" borderId="2" xfId="0" applyFont="1" applyBorder="1" quotePrefix="1">
      <alignment vertical="center"/>
    </xf>
    <xf numFmtId="0" fontId="0" fillId="0" borderId="2" xfId="0" applyBorder="1" applyAlignment="1" quotePrefix="1">
      <alignment horizontal="center" vertical="center"/>
    </xf>
    <xf numFmtId="0" fontId="0" fillId="0" borderId="2" xfId="0" applyBorder="1" applyAlignment="1" quotePrefix="1">
      <alignment horizontal="left" vertical="center"/>
    </xf>
    <xf numFmtId="0" fontId="75" fillId="0" borderId="2" xfId="0" applyNumberFormat="1" applyFont="1" applyFill="1" applyBorder="1" applyAlignment="1" quotePrefix="1">
      <alignment horizontal="center" vertical="center" wrapText="1"/>
    </xf>
    <xf numFmtId="0" fontId="12" fillId="0" borderId="2" xfId="0" applyNumberFormat="1" applyFont="1" applyFill="1" applyBorder="1" applyAlignment="1" quotePrefix="1">
      <alignment horizontal="center" vertical="center" wrapText="1"/>
    </xf>
    <xf numFmtId="0" fontId="12" fillId="0" borderId="3" xfId="0" applyNumberFormat="1" applyFont="1" applyFill="1" applyBorder="1" applyAlignment="1" quotePrefix="1">
      <alignment horizontal="center" vertical="center" wrapText="1"/>
    </xf>
    <xf numFmtId="0" fontId="75" fillId="0" borderId="3" xfId="0" applyNumberFormat="1" applyFont="1" applyFill="1" applyBorder="1" applyAlignment="1" quotePrefix="1">
      <alignment horizontal="center" vertical="center" wrapText="1"/>
    </xf>
    <xf numFmtId="0" fontId="74" fillId="0" borderId="2" xfId="0" applyFont="1" applyFill="1" applyBorder="1" applyAlignment="1" applyProtection="1" quotePrefix="1">
      <alignment horizontal="center" vertical="center" wrapText="1" shrinkToFit="1"/>
      <protection locked="0"/>
    </xf>
    <xf numFmtId="0" fontId="8" fillId="2" borderId="3" xfId="0" applyNumberFormat="1" applyFont="1" applyFill="1" applyBorder="1" applyAlignment="1" quotePrefix="1">
      <alignment horizontal="center" vertical="center" wrapText="1"/>
    </xf>
    <xf numFmtId="0" fontId="8" fillId="2" borderId="2" xfId="0" applyNumberFormat="1" applyFont="1" applyFill="1" applyBorder="1" applyAlignment="1" quotePrefix="1">
      <alignment horizontal="center" vertical="center" wrapText="1"/>
    </xf>
    <xf numFmtId="0" fontId="15" fillId="2" borderId="3" xfId="0" applyNumberFormat="1" applyFont="1" applyFill="1" applyBorder="1" applyAlignment="1" quotePrefix="1">
      <alignment horizontal="center" vertical="center" wrapText="1"/>
    </xf>
    <xf numFmtId="0" fontId="18" fillId="2" borderId="3" xfId="0" applyNumberFormat="1" applyFont="1" applyFill="1" applyBorder="1" applyAlignment="1" quotePrefix="1">
      <alignment horizontal="center" vertical="center" wrapText="1"/>
    </xf>
  </cellXfs>
  <cellStyles count="6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9" xfId="49"/>
    <cellStyle name="常规 3 2" xfId="50"/>
    <cellStyle name="常规 2 2 2 9" xfId="51"/>
    <cellStyle name="常规 10" xfId="52"/>
    <cellStyle name="常规_MA Inventory list" xfId="53"/>
    <cellStyle name="20% - 强调文字颜色 4 2 3 117" xfId="54"/>
    <cellStyle name="常规 5 6" xfId="55"/>
    <cellStyle name="常规 2" xfId="56"/>
    <cellStyle name="千位分隔 2" xfId="57"/>
    <cellStyle name="常规 4" xfId="58"/>
    <cellStyle name="常规 97" xfId="59"/>
    <cellStyle name="40% - 着色 1 2" xfId="60"/>
    <cellStyle name="常规 4 3" xfId="61"/>
    <cellStyle name="常规 5" xfId="62"/>
    <cellStyle name="常规 3 5" xfId="63"/>
    <cellStyle name="常规 17" xfId="64"/>
    <cellStyle name="常规 4 2 3" xfId="65"/>
    <cellStyle name="百分比 3" xfId="66"/>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323E7"/>
      <color rgb="000FB7FD"/>
      <color rgb="001028E0"/>
      <color rgb="000000FF"/>
      <color rgb="00FFFFFF"/>
      <color rgb="00FF0000"/>
      <color rgb="001C05ED"/>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6.xml"/><Relationship Id="rId18" Type="http://schemas.openxmlformats.org/officeDocument/2006/relationships/externalLink" Target="externalLinks/externalLink5.xml"/><Relationship Id="rId17" Type="http://schemas.openxmlformats.org/officeDocument/2006/relationships/externalLink" Target="externalLinks/externalLink4.xml"/><Relationship Id="rId16" Type="http://schemas.openxmlformats.org/officeDocument/2006/relationships/externalLink" Target="externalLinks/externalLink3.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0.png"/><Relationship Id="rId8" Type="http://schemas.openxmlformats.org/officeDocument/2006/relationships/image" Target="../media/image19.png"/><Relationship Id="rId7" Type="http://schemas.openxmlformats.org/officeDocument/2006/relationships/image" Target="../media/image18.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3" Type="http://schemas.openxmlformats.org/officeDocument/2006/relationships/image" Target="../media/image14.png"/><Relationship Id="rId2" Type="http://schemas.openxmlformats.org/officeDocument/2006/relationships/image" Target="../media/image13.png"/><Relationship Id="rId11" Type="http://schemas.openxmlformats.org/officeDocument/2006/relationships/image" Target="../media/image22.png"/><Relationship Id="rId10" Type="http://schemas.openxmlformats.org/officeDocument/2006/relationships/image" Target="../media/image21.png"/><Relationship Id="rId1" Type="http://schemas.openxmlformats.org/officeDocument/2006/relationships/image" Target="../media/image1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298814</xdr:colOff>
      <xdr:row>4</xdr:row>
      <xdr:rowOff>316775</xdr:rowOff>
    </xdr:from>
    <xdr:to>
      <xdr:col>3</xdr:col>
      <xdr:colOff>1875519</xdr:colOff>
      <xdr:row>4</xdr:row>
      <xdr:rowOff>1132115</xdr:rowOff>
    </xdr:to>
    <xdr:pic>
      <xdr:nvPicPr>
        <xdr:cNvPr id="2" name="图片 1"/>
        <xdr:cNvPicPr>
          <a:picLocks noChangeAspect="1"/>
        </xdr:cNvPicPr>
      </xdr:nvPicPr>
      <xdr:blipFill>
        <a:blip r:embed="rId1"/>
        <a:stretch>
          <a:fillRect/>
        </a:stretch>
      </xdr:blipFill>
      <xdr:spPr>
        <a:xfrm>
          <a:off x="3912235" y="3655060"/>
          <a:ext cx="1576705" cy="815340"/>
        </a:xfrm>
        <a:prstGeom prst="rect">
          <a:avLst/>
        </a:prstGeom>
      </xdr:spPr>
    </xdr:pic>
    <xdr:clientData/>
  </xdr:twoCellAnchor>
  <xdr:twoCellAnchor editAs="oneCell">
    <xdr:from>
      <xdr:col>3</xdr:col>
      <xdr:colOff>437606</xdr:colOff>
      <xdr:row>6</xdr:row>
      <xdr:rowOff>289016</xdr:rowOff>
    </xdr:from>
    <xdr:to>
      <xdr:col>3</xdr:col>
      <xdr:colOff>1664426</xdr:colOff>
      <xdr:row>6</xdr:row>
      <xdr:rowOff>1218656</xdr:rowOff>
    </xdr:to>
    <xdr:pic>
      <xdr:nvPicPr>
        <xdr:cNvPr id="3" name="图片 2"/>
        <xdr:cNvPicPr>
          <a:picLocks noChangeAspect="1"/>
        </xdr:cNvPicPr>
      </xdr:nvPicPr>
      <xdr:blipFill>
        <a:blip r:embed="rId2"/>
        <a:stretch>
          <a:fillRect/>
        </a:stretch>
      </xdr:blipFill>
      <xdr:spPr>
        <a:xfrm>
          <a:off x="4051300" y="6166485"/>
          <a:ext cx="1226820" cy="929640"/>
        </a:xfrm>
        <a:prstGeom prst="rect">
          <a:avLst/>
        </a:prstGeom>
      </xdr:spPr>
    </xdr:pic>
    <xdr:clientData/>
  </xdr:twoCellAnchor>
  <xdr:twoCellAnchor editAs="oneCell">
    <xdr:from>
      <xdr:col>3</xdr:col>
      <xdr:colOff>310244</xdr:colOff>
      <xdr:row>7</xdr:row>
      <xdr:rowOff>192133</xdr:rowOff>
    </xdr:from>
    <xdr:to>
      <xdr:col>3</xdr:col>
      <xdr:colOff>1719944</xdr:colOff>
      <xdr:row>7</xdr:row>
      <xdr:rowOff>1168128</xdr:rowOff>
    </xdr:to>
    <xdr:pic>
      <xdr:nvPicPr>
        <xdr:cNvPr id="4" name="图片 3"/>
        <xdr:cNvPicPr>
          <a:picLocks noChangeAspect="1"/>
        </xdr:cNvPicPr>
      </xdr:nvPicPr>
      <xdr:blipFill>
        <a:blip r:embed="rId3"/>
        <a:stretch>
          <a:fillRect/>
        </a:stretch>
      </xdr:blipFill>
      <xdr:spPr>
        <a:xfrm>
          <a:off x="3923665" y="7338695"/>
          <a:ext cx="1409700" cy="975995"/>
        </a:xfrm>
        <a:prstGeom prst="rect">
          <a:avLst/>
        </a:prstGeom>
      </xdr:spPr>
    </xdr:pic>
    <xdr:clientData/>
  </xdr:twoCellAnchor>
  <xdr:twoCellAnchor editAs="oneCell">
    <xdr:from>
      <xdr:col>3</xdr:col>
      <xdr:colOff>91439</xdr:colOff>
      <xdr:row>8</xdr:row>
      <xdr:rowOff>86542</xdr:rowOff>
    </xdr:from>
    <xdr:to>
      <xdr:col>3</xdr:col>
      <xdr:colOff>1729739</xdr:colOff>
      <xdr:row>8</xdr:row>
      <xdr:rowOff>1145722</xdr:rowOff>
    </xdr:to>
    <xdr:pic>
      <xdr:nvPicPr>
        <xdr:cNvPr id="5" name="图片 4"/>
        <xdr:cNvPicPr>
          <a:picLocks noChangeAspect="1"/>
        </xdr:cNvPicPr>
      </xdr:nvPicPr>
      <xdr:blipFill>
        <a:blip r:embed="rId4"/>
        <a:stretch>
          <a:fillRect/>
        </a:stretch>
      </xdr:blipFill>
      <xdr:spPr>
        <a:xfrm>
          <a:off x="3704590" y="8502650"/>
          <a:ext cx="1638300" cy="1059180"/>
        </a:xfrm>
        <a:prstGeom prst="rect">
          <a:avLst/>
        </a:prstGeom>
      </xdr:spPr>
    </xdr:pic>
    <xdr:clientData/>
  </xdr:twoCellAnchor>
  <xdr:twoCellAnchor editAs="oneCell">
    <xdr:from>
      <xdr:col>3</xdr:col>
      <xdr:colOff>175260</xdr:colOff>
      <xdr:row>9</xdr:row>
      <xdr:rowOff>60961</xdr:rowOff>
    </xdr:from>
    <xdr:to>
      <xdr:col>3</xdr:col>
      <xdr:colOff>1684020</xdr:colOff>
      <xdr:row>9</xdr:row>
      <xdr:rowOff>1045211</xdr:rowOff>
    </xdr:to>
    <xdr:pic>
      <xdr:nvPicPr>
        <xdr:cNvPr id="6" name="图片 5"/>
        <xdr:cNvPicPr>
          <a:picLocks noChangeAspect="1"/>
        </xdr:cNvPicPr>
      </xdr:nvPicPr>
      <xdr:blipFill>
        <a:blip r:embed="rId5"/>
        <a:stretch>
          <a:fillRect/>
        </a:stretch>
      </xdr:blipFill>
      <xdr:spPr>
        <a:xfrm>
          <a:off x="3789045" y="9746615"/>
          <a:ext cx="1508760" cy="984250"/>
        </a:xfrm>
        <a:prstGeom prst="rect">
          <a:avLst/>
        </a:prstGeom>
      </xdr:spPr>
    </xdr:pic>
    <xdr:clientData/>
  </xdr:twoCellAnchor>
  <xdr:twoCellAnchor editAs="oneCell">
    <xdr:from>
      <xdr:col>3</xdr:col>
      <xdr:colOff>76200</xdr:colOff>
      <xdr:row>11</xdr:row>
      <xdr:rowOff>76200</xdr:rowOff>
    </xdr:from>
    <xdr:to>
      <xdr:col>3</xdr:col>
      <xdr:colOff>1737360</xdr:colOff>
      <xdr:row>11</xdr:row>
      <xdr:rowOff>934085</xdr:rowOff>
    </xdr:to>
    <xdr:pic>
      <xdr:nvPicPr>
        <xdr:cNvPr id="7" name="图片 6"/>
        <xdr:cNvPicPr>
          <a:picLocks noChangeAspect="1"/>
        </xdr:cNvPicPr>
      </xdr:nvPicPr>
      <xdr:blipFill>
        <a:blip r:embed="rId6"/>
        <a:stretch>
          <a:fillRect/>
        </a:stretch>
      </xdr:blipFill>
      <xdr:spPr>
        <a:xfrm>
          <a:off x="3689985" y="12300585"/>
          <a:ext cx="1661160" cy="857885"/>
        </a:xfrm>
        <a:prstGeom prst="rect">
          <a:avLst/>
        </a:prstGeom>
      </xdr:spPr>
    </xdr:pic>
    <xdr:clientData/>
  </xdr:twoCellAnchor>
  <xdr:twoCellAnchor editAs="oneCell">
    <xdr:from>
      <xdr:col>3</xdr:col>
      <xdr:colOff>350520</xdr:colOff>
      <xdr:row>12</xdr:row>
      <xdr:rowOff>68579</xdr:rowOff>
    </xdr:from>
    <xdr:to>
      <xdr:col>3</xdr:col>
      <xdr:colOff>1470660</xdr:colOff>
      <xdr:row>12</xdr:row>
      <xdr:rowOff>1083944</xdr:rowOff>
    </xdr:to>
    <xdr:pic>
      <xdr:nvPicPr>
        <xdr:cNvPr id="8" name="图片 7"/>
        <xdr:cNvPicPr>
          <a:picLocks noChangeAspect="1"/>
        </xdr:cNvPicPr>
      </xdr:nvPicPr>
      <xdr:blipFill>
        <a:blip r:embed="rId7"/>
        <a:stretch>
          <a:fillRect/>
        </a:stretch>
      </xdr:blipFill>
      <xdr:spPr>
        <a:xfrm>
          <a:off x="3964305" y="13561695"/>
          <a:ext cx="1120140" cy="1015365"/>
        </a:xfrm>
        <a:prstGeom prst="rect">
          <a:avLst/>
        </a:prstGeom>
      </xdr:spPr>
    </xdr:pic>
    <xdr:clientData/>
  </xdr:twoCellAnchor>
  <xdr:twoCellAnchor editAs="oneCell">
    <xdr:from>
      <xdr:col>3</xdr:col>
      <xdr:colOff>561703</xdr:colOff>
      <xdr:row>2</xdr:row>
      <xdr:rowOff>205740</xdr:rowOff>
    </xdr:from>
    <xdr:to>
      <xdr:col>3</xdr:col>
      <xdr:colOff>1636123</xdr:colOff>
      <xdr:row>2</xdr:row>
      <xdr:rowOff>1226820</xdr:rowOff>
    </xdr:to>
    <xdr:pic>
      <xdr:nvPicPr>
        <xdr:cNvPr id="9" name="图片 8"/>
        <xdr:cNvPicPr>
          <a:picLocks noChangeAspect="1"/>
        </xdr:cNvPicPr>
      </xdr:nvPicPr>
      <xdr:blipFill>
        <a:blip r:embed="rId8"/>
        <a:stretch>
          <a:fillRect/>
        </a:stretch>
      </xdr:blipFill>
      <xdr:spPr>
        <a:xfrm>
          <a:off x="4175125" y="1005840"/>
          <a:ext cx="1074420" cy="1021080"/>
        </a:xfrm>
        <a:prstGeom prst="rect">
          <a:avLst/>
        </a:prstGeom>
      </xdr:spPr>
    </xdr:pic>
    <xdr:clientData/>
  </xdr:twoCellAnchor>
  <xdr:twoCellAnchor editAs="oneCell">
    <xdr:from>
      <xdr:col>3</xdr:col>
      <xdr:colOff>668928</xdr:colOff>
      <xdr:row>3</xdr:row>
      <xdr:rowOff>151313</xdr:rowOff>
    </xdr:from>
    <xdr:to>
      <xdr:col>3</xdr:col>
      <xdr:colOff>1550308</xdr:colOff>
      <xdr:row>3</xdr:row>
      <xdr:rowOff>1111433</xdr:rowOff>
    </xdr:to>
    <xdr:pic>
      <xdr:nvPicPr>
        <xdr:cNvPr id="10" name="图片 9"/>
        <xdr:cNvPicPr>
          <a:picLocks noChangeAspect="1"/>
        </xdr:cNvPicPr>
      </xdr:nvPicPr>
      <xdr:blipFill>
        <a:blip r:embed="rId9"/>
        <a:stretch>
          <a:fillRect/>
        </a:stretch>
      </xdr:blipFill>
      <xdr:spPr>
        <a:xfrm>
          <a:off x="4282440" y="2220595"/>
          <a:ext cx="881380" cy="960120"/>
        </a:xfrm>
        <a:prstGeom prst="rect">
          <a:avLst/>
        </a:prstGeom>
      </xdr:spPr>
    </xdr:pic>
    <xdr:clientData/>
  </xdr:twoCellAnchor>
  <xdr:twoCellAnchor editAs="oneCell">
    <xdr:from>
      <xdr:col>3</xdr:col>
      <xdr:colOff>501833</xdr:colOff>
      <xdr:row>5</xdr:row>
      <xdr:rowOff>232954</xdr:rowOff>
    </xdr:from>
    <xdr:to>
      <xdr:col>3</xdr:col>
      <xdr:colOff>1652453</xdr:colOff>
      <xdr:row>5</xdr:row>
      <xdr:rowOff>1161324</xdr:rowOff>
    </xdr:to>
    <xdr:pic>
      <xdr:nvPicPr>
        <xdr:cNvPr id="11" name="图片 10"/>
        <xdr:cNvPicPr>
          <a:picLocks noChangeAspect="1"/>
        </xdr:cNvPicPr>
      </xdr:nvPicPr>
      <xdr:blipFill>
        <a:blip r:embed="rId10"/>
        <a:stretch>
          <a:fillRect/>
        </a:stretch>
      </xdr:blipFill>
      <xdr:spPr>
        <a:xfrm>
          <a:off x="4115435" y="4840605"/>
          <a:ext cx="1150620" cy="928370"/>
        </a:xfrm>
        <a:prstGeom prst="rect">
          <a:avLst/>
        </a:prstGeom>
      </xdr:spPr>
    </xdr:pic>
    <xdr:clientData/>
  </xdr:twoCellAnchor>
  <xdr:twoCellAnchor editAs="oneCell">
    <xdr:from>
      <xdr:col>3</xdr:col>
      <xdr:colOff>385356</xdr:colOff>
      <xdr:row>10</xdr:row>
      <xdr:rowOff>269421</xdr:rowOff>
    </xdr:from>
    <xdr:to>
      <xdr:col>3</xdr:col>
      <xdr:colOff>1604556</xdr:colOff>
      <xdr:row>10</xdr:row>
      <xdr:rowOff>1170486</xdr:rowOff>
    </xdr:to>
    <xdr:pic>
      <xdr:nvPicPr>
        <xdr:cNvPr id="12" name="图片 11"/>
        <xdr:cNvPicPr>
          <a:picLocks noChangeAspect="1"/>
        </xdr:cNvPicPr>
      </xdr:nvPicPr>
      <xdr:blipFill>
        <a:blip r:embed="rId11"/>
        <a:stretch>
          <a:fillRect/>
        </a:stretch>
      </xdr:blipFill>
      <xdr:spPr>
        <a:xfrm>
          <a:off x="3998595" y="11224260"/>
          <a:ext cx="1219200" cy="90106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201083</xdr:colOff>
      <xdr:row>2</xdr:row>
      <xdr:rowOff>74083</xdr:rowOff>
    </xdr:from>
    <xdr:to>
      <xdr:col>3</xdr:col>
      <xdr:colOff>1302173</xdr:colOff>
      <xdr:row>2</xdr:row>
      <xdr:rowOff>916093</xdr:rowOff>
    </xdr:to>
    <xdr:pic>
      <xdr:nvPicPr>
        <xdr:cNvPr id="2" name="图片 1"/>
        <xdr:cNvPicPr>
          <a:picLocks noChangeAspect="1"/>
        </xdr:cNvPicPr>
      </xdr:nvPicPr>
      <xdr:blipFill>
        <a:blip r:embed="rId1"/>
        <a:stretch>
          <a:fillRect/>
        </a:stretch>
      </xdr:blipFill>
      <xdr:spPr>
        <a:xfrm>
          <a:off x="5190490" y="1153160"/>
          <a:ext cx="1101090" cy="842010"/>
        </a:xfrm>
        <a:prstGeom prst="rect">
          <a:avLst/>
        </a:prstGeom>
      </xdr:spPr>
    </xdr:pic>
    <xdr:clientData/>
  </xdr:twoCellAnchor>
  <xdr:twoCellAnchor editAs="oneCell">
    <xdr:from>
      <xdr:col>3</xdr:col>
      <xdr:colOff>243418</xdr:colOff>
      <xdr:row>3</xdr:row>
      <xdr:rowOff>116417</xdr:rowOff>
    </xdr:from>
    <xdr:to>
      <xdr:col>3</xdr:col>
      <xdr:colOff>1286723</xdr:colOff>
      <xdr:row>3</xdr:row>
      <xdr:rowOff>864447</xdr:rowOff>
    </xdr:to>
    <xdr:pic>
      <xdr:nvPicPr>
        <xdr:cNvPr id="3" name="图片 2"/>
        <xdr:cNvPicPr>
          <a:picLocks noChangeAspect="1"/>
        </xdr:cNvPicPr>
      </xdr:nvPicPr>
      <xdr:blipFill>
        <a:blip r:embed="rId2"/>
        <a:stretch>
          <a:fillRect/>
        </a:stretch>
      </xdr:blipFill>
      <xdr:spPr>
        <a:xfrm>
          <a:off x="5233035" y="2122805"/>
          <a:ext cx="1043305" cy="748030"/>
        </a:xfrm>
        <a:prstGeom prst="rect">
          <a:avLst/>
        </a:prstGeom>
      </xdr:spPr>
    </xdr:pic>
    <xdr:clientData/>
  </xdr:twoCellAnchor>
  <xdr:twoCellAnchor editAs="oneCell">
    <xdr:from>
      <xdr:col>3</xdr:col>
      <xdr:colOff>359835</xdr:colOff>
      <xdr:row>4</xdr:row>
      <xdr:rowOff>105833</xdr:rowOff>
    </xdr:from>
    <xdr:to>
      <xdr:col>3</xdr:col>
      <xdr:colOff>1245660</xdr:colOff>
      <xdr:row>4</xdr:row>
      <xdr:rowOff>828463</xdr:rowOff>
    </xdr:to>
    <xdr:pic>
      <xdr:nvPicPr>
        <xdr:cNvPr id="4" name="图片 3"/>
        <xdr:cNvPicPr>
          <a:picLocks noChangeAspect="1"/>
        </xdr:cNvPicPr>
      </xdr:nvPicPr>
      <xdr:blipFill>
        <a:blip r:embed="rId3"/>
        <a:stretch>
          <a:fillRect/>
        </a:stretch>
      </xdr:blipFill>
      <xdr:spPr>
        <a:xfrm>
          <a:off x="5349240" y="3039110"/>
          <a:ext cx="885825" cy="722630"/>
        </a:xfrm>
        <a:prstGeom prst="rect">
          <a:avLst/>
        </a:prstGeom>
      </xdr:spPr>
    </xdr:pic>
    <xdr:clientData/>
  </xdr:twoCellAnchor>
  <xdr:twoCellAnchor editAs="oneCell">
    <xdr:from>
      <xdr:col>3</xdr:col>
      <xdr:colOff>211667</xdr:colOff>
      <xdr:row>5</xdr:row>
      <xdr:rowOff>74084</xdr:rowOff>
    </xdr:from>
    <xdr:to>
      <xdr:col>3</xdr:col>
      <xdr:colOff>1305137</xdr:colOff>
      <xdr:row>5</xdr:row>
      <xdr:rowOff>879264</xdr:rowOff>
    </xdr:to>
    <xdr:pic>
      <xdr:nvPicPr>
        <xdr:cNvPr id="5" name="图片 4"/>
        <xdr:cNvPicPr>
          <a:picLocks noChangeAspect="1"/>
        </xdr:cNvPicPr>
      </xdr:nvPicPr>
      <xdr:blipFill>
        <a:blip r:embed="rId4"/>
        <a:stretch>
          <a:fillRect/>
        </a:stretch>
      </xdr:blipFill>
      <xdr:spPr>
        <a:xfrm>
          <a:off x="5201285" y="3934460"/>
          <a:ext cx="1093470" cy="805180"/>
        </a:xfrm>
        <a:prstGeom prst="rect">
          <a:avLst/>
        </a:prstGeom>
      </xdr:spPr>
    </xdr:pic>
    <xdr:clientData/>
  </xdr:twoCellAnchor>
  <xdr:twoCellAnchor editAs="oneCell">
    <xdr:from>
      <xdr:col>3</xdr:col>
      <xdr:colOff>222250</xdr:colOff>
      <xdr:row>6</xdr:row>
      <xdr:rowOff>95250</xdr:rowOff>
    </xdr:from>
    <xdr:to>
      <xdr:col>3</xdr:col>
      <xdr:colOff>1209675</xdr:colOff>
      <xdr:row>6</xdr:row>
      <xdr:rowOff>885825</xdr:rowOff>
    </xdr:to>
    <xdr:pic>
      <xdr:nvPicPr>
        <xdr:cNvPr id="6" name="图片 5"/>
        <xdr:cNvPicPr>
          <a:picLocks noChangeAspect="1"/>
        </xdr:cNvPicPr>
      </xdr:nvPicPr>
      <xdr:blipFill>
        <a:blip r:embed="rId5"/>
        <a:stretch>
          <a:fillRect/>
        </a:stretch>
      </xdr:blipFill>
      <xdr:spPr>
        <a:xfrm>
          <a:off x="5212080" y="4883150"/>
          <a:ext cx="987425" cy="790575"/>
        </a:xfrm>
        <a:prstGeom prst="rect">
          <a:avLst/>
        </a:prstGeom>
      </xdr:spPr>
    </xdr:pic>
    <xdr:clientData/>
  </xdr:twoCellAnchor>
  <xdr:twoCellAnchor editAs="oneCell">
    <xdr:from>
      <xdr:col>3</xdr:col>
      <xdr:colOff>211666</xdr:colOff>
      <xdr:row>7</xdr:row>
      <xdr:rowOff>84666</xdr:rowOff>
    </xdr:from>
    <xdr:to>
      <xdr:col>3</xdr:col>
      <xdr:colOff>1287356</xdr:colOff>
      <xdr:row>7</xdr:row>
      <xdr:rowOff>860001</xdr:rowOff>
    </xdr:to>
    <xdr:pic>
      <xdr:nvPicPr>
        <xdr:cNvPr id="7" name="图片 6"/>
        <xdr:cNvPicPr>
          <a:picLocks noChangeAspect="1"/>
        </xdr:cNvPicPr>
      </xdr:nvPicPr>
      <xdr:blipFill>
        <a:blip r:embed="rId6"/>
        <a:stretch>
          <a:fillRect/>
        </a:stretch>
      </xdr:blipFill>
      <xdr:spPr>
        <a:xfrm>
          <a:off x="5201285" y="5799455"/>
          <a:ext cx="1075690" cy="775335"/>
        </a:xfrm>
        <a:prstGeom prst="rect">
          <a:avLst/>
        </a:prstGeom>
      </xdr:spPr>
    </xdr:pic>
    <xdr:clientData/>
  </xdr:twoCellAnchor>
  <xdr:twoCellAnchor editAs="oneCell">
    <xdr:from>
      <xdr:col>3</xdr:col>
      <xdr:colOff>190500</xdr:colOff>
      <xdr:row>8</xdr:row>
      <xdr:rowOff>84667</xdr:rowOff>
    </xdr:from>
    <xdr:to>
      <xdr:col>3</xdr:col>
      <xdr:colOff>1407160</xdr:colOff>
      <xdr:row>8</xdr:row>
      <xdr:rowOff>831427</xdr:rowOff>
    </xdr:to>
    <xdr:pic>
      <xdr:nvPicPr>
        <xdr:cNvPr id="8" name="图片 7"/>
        <xdr:cNvPicPr>
          <a:picLocks noChangeAspect="1"/>
        </xdr:cNvPicPr>
      </xdr:nvPicPr>
      <xdr:blipFill>
        <a:blip r:embed="rId7"/>
        <a:stretch>
          <a:fillRect/>
        </a:stretch>
      </xdr:blipFill>
      <xdr:spPr>
        <a:xfrm>
          <a:off x="5180330" y="6726555"/>
          <a:ext cx="1216660" cy="746760"/>
        </a:xfrm>
        <a:prstGeom prst="rect">
          <a:avLst/>
        </a:prstGeom>
      </xdr:spPr>
    </xdr:pic>
    <xdr:clientData/>
  </xdr:twoCellAnchor>
  <xdr:twoCellAnchor editAs="oneCell">
    <xdr:from>
      <xdr:col>3</xdr:col>
      <xdr:colOff>359833</xdr:colOff>
      <xdr:row>9</xdr:row>
      <xdr:rowOff>21167</xdr:rowOff>
    </xdr:from>
    <xdr:to>
      <xdr:col>3</xdr:col>
      <xdr:colOff>1264073</xdr:colOff>
      <xdr:row>9</xdr:row>
      <xdr:rowOff>849842</xdr:rowOff>
    </xdr:to>
    <xdr:pic>
      <xdr:nvPicPr>
        <xdr:cNvPr id="9" name="图片 8"/>
        <xdr:cNvPicPr>
          <a:picLocks noChangeAspect="1"/>
        </xdr:cNvPicPr>
      </xdr:nvPicPr>
      <xdr:blipFill>
        <a:blip r:embed="rId8"/>
        <a:stretch>
          <a:fillRect/>
        </a:stretch>
      </xdr:blipFill>
      <xdr:spPr>
        <a:xfrm>
          <a:off x="5349240" y="7590155"/>
          <a:ext cx="904240" cy="828675"/>
        </a:xfrm>
        <a:prstGeom prst="rect">
          <a:avLst/>
        </a:prstGeom>
      </xdr:spPr>
    </xdr:pic>
    <xdr:clientData/>
  </xdr:twoCellAnchor>
  <xdr:twoCellAnchor editAs="oneCell">
    <xdr:from>
      <xdr:col>3</xdr:col>
      <xdr:colOff>243417</xdr:colOff>
      <xdr:row>10</xdr:row>
      <xdr:rowOff>42333</xdr:rowOff>
    </xdr:from>
    <xdr:to>
      <xdr:col>3</xdr:col>
      <xdr:colOff>1263862</xdr:colOff>
      <xdr:row>10</xdr:row>
      <xdr:rowOff>913553</xdr:rowOff>
    </xdr:to>
    <xdr:pic>
      <xdr:nvPicPr>
        <xdr:cNvPr id="10" name="图片 9"/>
        <xdr:cNvPicPr>
          <a:picLocks noChangeAspect="1"/>
        </xdr:cNvPicPr>
      </xdr:nvPicPr>
      <xdr:blipFill>
        <a:blip r:embed="rId9"/>
        <a:stretch>
          <a:fillRect/>
        </a:stretch>
      </xdr:blipFill>
      <xdr:spPr>
        <a:xfrm>
          <a:off x="5233035" y="8538210"/>
          <a:ext cx="1020445" cy="871220"/>
        </a:xfrm>
        <a:prstGeom prst="rect">
          <a:avLst/>
        </a:prstGeom>
      </xdr:spPr>
    </xdr:pic>
    <xdr:clientData/>
  </xdr:twoCellAnchor>
  <xdr:twoCellAnchor editAs="oneCell">
    <xdr:from>
      <xdr:col>3</xdr:col>
      <xdr:colOff>179916</xdr:colOff>
      <xdr:row>11</xdr:row>
      <xdr:rowOff>84667</xdr:rowOff>
    </xdr:from>
    <xdr:to>
      <xdr:col>3</xdr:col>
      <xdr:colOff>1410546</xdr:colOff>
      <xdr:row>11</xdr:row>
      <xdr:rowOff>821902</xdr:rowOff>
    </xdr:to>
    <xdr:pic>
      <xdr:nvPicPr>
        <xdr:cNvPr id="11" name="图片 10"/>
        <xdr:cNvPicPr>
          <a:picLocks noChangeAspect="1"/>
        </xdr:cNvPicPr>
      </xdr:nvPicPr>
      <xdr:blipFill>
        <a:blip r:embed="rId10"/>
        <a:stretch>
          <a:fillRect/>
        </a:stretch>
      </xdr:blipFill>
      <xdr:spPr>
        <a:xfrm>
          <a:off x="5169535" y="9507855"/>
          <a:ext cx="1230630" cy="737235"/>
        </a:xfrm>
        <a:prstGeom prst="rect">
          <a:avLst/>
        </a:prstGeom>
      </xdr:spPr>
    </xdr:pic>
    <xdr:clientData/>
  </xdr:twoCellAnchor>
  <xdr:twoCellAnchor editAs="oneCell">
    <xdr:from>
      <xdr:col>3</xdr:col>
      <xdr:colOff>169333</xdr:colOff>
      <xdr:row>12</xdr:row>
      <xdr:rowOff>116417</xdr:rowOff>
    </xdr:from>
    <xdr:to>
      <xdr:col>3</xdr:col>
      <xdr:colOff>1380278</xdr:colOff>
      <xdr:row>12</xdr:row>
      <xdr:rowOff>835872</xdr:rowOff>
    </xdr:to>
    <xdr:pic>
      <xdr:nvPicPr>
        <xdr:cNvPr id="12" name="图片 11"/>
        <xdr:cNvPicPr>
          <a:picLocks noChangeAspect="1"/>
        </xdr:cNvPicPr>
      </xdr:nvPicPr>
      <xdr:blipFill>
        <a:blip r:embed="rId11"/>
        <a:stretch>
          <a:fillRect/>
        </a:stretch>
      </xdr:blipFill>
      <xdr:spPr>
        <a:xfrm>
          <a:off x="5158740" y="10466705"/>
          <a:ext cx="1210945" cy="7194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ARED\FORMS\RND\RNDFOR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URU\5%20SUPRISE\&#36855;&#20320;&#39135;&#29289;&#31995;&#21015;%20#77262\&#20869;&#37096;&#25253;&#20215;\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MC\&#27880;&#22609;&#36164;&#26009;Hannah\&#20116;&#37329;&#20214;&#36164;&#26009;\2020&#24180;\&#20116;&#37329;&#25187;&#25968;&#34920;%202019-4-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istrator\AppData\Roaming\Foxmail7\Temp-5340-20231225081240\Attach\MA-RR-1021(Mini%20Brands-Master%20Chef#77515%20Produc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istrator\AppData\Roaming\Foxmail7\Temp-4396-20240115080339\Attach\MA-RR-1065%20(Mini%20Brands-Master%20Chef#77515%20Produc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R\AppData\Roaming\Foxmail7\Temp-27736-20250820080403\Attach\MA-RR-1842%20(Mini%20Brands-Master%20Chef%20S2#77773%20Productio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003"/>
      <sheetName val="Form-004"/>
      <sheetName val="Sheet2"/>
      <sheetName val="Sheet3"/>
      <sheetName val="Form_003"/>
      <sheetName val="COG&amp;Quote-asst"/>
      <sheetName val="COST"/>
      <sheetName val="StandardParts"/>
      <sheetName val="CQS Code(rev 38)"/>
      <sheetName val="基础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put notes"/>
      <sheetName val="Photo"/>
      <sheetName val="Q-P4025(5K)"/>
      <sheetName val="CQS Code(rev 38)"/>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基础表"/>
      <sheetName val="TTRDQQT"/>
      <sheetName val="MQKVOTOHA"/>
      <sheetName val="OVNQMQPRR"/>
      <sheetName val="RRJJYNMTX"/>
      <sheetName val="NTMTYJNVY"/>
      <sheetName val="NNCTPJNBZ"/>
      <sheetName val="YYNLZMRMC"/>
      <sheetName val="SRMTSTQTY"/>
      <sheetName val="RNQSLRQSN"/>
      <sheetName val="DNPPMPJPQV"/>
      <sheetName val="SOOJMNFYQM"/>
      <sheetName val="SOLJTAYMCN"/>
      <sheetName val="MPNNPTNSSN"/>
      <sheetName val="PSOIOKSLMY"/>
      <sheetName val="EPXSRQMVQJ"/>
      <sheetName val="RLDQRRKTOX"/>
      <sheetName val="RVYTVYLOMP"/>
      <sheetName val="YQHYJCZSYO"/>
      <sheetName val="RJHOETVROI"/>
      <sheetName val="POBYCLKELP"/>
      <sheetName val="SXLNPSDSQN"/>
      <sheetName val="ROJLTYRITL"/>
      <sheetName val="RRNTSVFMRM"/>
      <sheetName val="WYPSVNMOBI"/>
      <sheetName val="MNIYSSXJJO"/>
      <sheetName val="LTBFYSRILJ"/>
      <sheetName val="EVPYRSYJOH"/>
      <sheetName val="SNMORINPSP"/>
      <sheetName val="LHSWPNEBAJ"/>
      <sheetName val="LPQTRYMSLO"/>
      <sheetName val="NJMOYRXYWY"/>
      <sheetName val="FYYMTQOPLO"/>
      <sheetName val="RPATRMTYVP"/>
      <sheetName val="JLJLNROSEE"/>
      <sheetName val="PWSVQYORRM"/>
      <sheetName val="BRSNIVYYJM"/>
      <sheetName val="OTZVSBPHFQ"/>
      <sheetName val="JSYMJLTPQP"/>
      <sheetName val="SSRFYXJNYO"/>
      <sheetName val="BQJJRTQFVL"/>
      <sheetName val="MYOPNINFDZ"/>
      <sheetName val="OPRYZBWLTT"/>
      <sheetName val="VLESVRPVPW"/>
      <sheetName val="XQWOKQQYYM"/>
      <sheetName val="QYQRVEIOTX"/>
      <sheetName val="HOZPSRSZDI"/>
      <sheetName val="QBXQQTTZNR"/>
      <sheetName val="CQNMRODTJR"/>
      <sheetName val="NJVORROYQX"/>
      <sheetName val="QHNKSJANQZ"/>
      <sheetName val="PJOQJPPIMT"/>
      <sheetName val="HOPYNMCYZJ"/>
      <sheetName val="EJPOMPYMHP"/>
      <sheetName val="PAHPLNTJTN"/>
      <sheetName val="BJPDLPONOY"/>
      <sheetName val="QJJORHRHOR"/>
      <sheetName val="QSTHBWRPXN"/>
      <sheetName val="JPJMLORKDT"/>
      <sheetName val="WPLNMZHYYL"/>
      <sheetName val="HJYYYIYBZO"/>
      <sheetName val="EVZMOQRQJL"/>
      <sheetName val="BOMYRXVOTP"/>
      <sheetName val="VSPJEQYJQX"/>
      <sheetName val="XZZMIQIYMM"/>
      <sheetName val="XNDTNRVPRR"/>
      <sheetName val="WQNYQRPQQT"/>
      <sheetName val="TITADJYNST"/>
      <sheetName val="BMZFYPMOOJ"/>
      <sheetName val="LNWJPEZSRV"/>
      <sheetName val="POLVJPQLQL"/>
      <sheetName val="MYYLPEKNNC"/>
      <sheetName val="HJMNOLMNME"/>
      <sheetName val="NHBYPSYNTO"/>
      <sheetName val="MQQZWRWSTP"/>
      <sheetName val="HVSZONMRSY"/>
      <sheetName val="LVRKVMATQI"/>
      <sheetName val="RRQLIBVZNH"/>
      <sheetName val="MPYOSPSPEV"/>
      <sheetName val="REIOYNIXVQ"/>
      <sheetName val="ORRXQTRSRY"/>
      <sheetName val="RAQOLNOKHH"/>
      <sheetName val="YPNSYOPTMJ"/>
      <sheetName val="OHRMBRORQT"/>
      <sheetName val="JOONQVLEJV"/>
      <sheetName val="OYINBOPJNT"/>
      <sheetName val="JRLYPSSOET"/>
      <sheetName val="SYLXHMTTVR"/>
      <sheetName val="SOSVMJRSNY"/>
      <sheetName val="IESROVOOSI"/>
      <sheetName val="gxxUn472fK"/>
      <sheetName val="LYOTOVLPIY"/>
      <sheetName val="VOTNRAYSOL"/>
      <sheetName val="SVLKOYZYOE"/>
      <sheetName val="IRJJTEJSNZ"/>
      <sheetName val="NTSXNSOPRS"/>
      <sheetName val="QRDMQMSWPY"/>
      <sheetName val="DNZQEJENYP"/>
      <sheetName val="JNYTMQOPXP"/>
      <sheetName val="YZYRNYLTRD"/>
      <sheetName val="TYLPBYWZNTL"/>
      <sheetName val="PXXDQPJCONR"/>
      <sheetName val="IQLLLOYTJOY"/>
      <sheetName val="QYRPJYZOSHX"/>
      <sheetName val="JTHYOEXREOC"/>
      <sheetName val="YNSOPZSNJCT"/>
      <sheetName val="WQTMYWNEIOY"/>
      <sheetName val="XDQRMLOJSPZ"/>
      <sheetName val="JRSPJIQQNYJ"/>
      <sheetName val="ONOJYYQEOZS"/>
      <sheetName val="SCMVWOYYYYQ"/>
      <sheetName val="YNTYTMYENHE"/>
      <sheetName val="OSTPSVQBRTK"/>
      <sheetName val="HQNPYTEQTLR"/>
      <sheetName val="QIHRSQQRKKV"/>
      <sheetName val="XSTSRPYQMTS"/>
      <sheetName val="PZONMNSQJVD"/>
      <sheetName val="QZMRYRSEWEO"/>
      <sheetName val="DPHYQPWROQM"/>
      <sheetName val="VPTWPDKOOWO"/>
      <sheetName val="RKPRRRLXXRO"/>
      <sheetName val="SBHROTSYYOW"/>
      <sheetName val="OMMOLTCMITQ"/>
      <sheetName val="WCQEPXSJSFN"/>
      <sheetName val="IHYWPTORXQY"/>
      <sheetName val="VZXOTMTPMMY"/>
      <sheetName val="SLTTCTOTRJJ"/>
      <sheetName val="DONYBNKQYKN"/>
      <sheetName val="MSLPWZKOPPK"/>
      <sheetName val="XVEQOSNNYJR"/>
      <sheetName val="QZWJMCRQCPW"/>
      <sheetName val="RYPMJRNTTRT"/>
      <sheetName val="VNYNSYSYXQW"/>
      <sheetName val="QLMSWQTORMP"/>
      <sheetName val="WRBVOTNNPYS"/>
      <sheetName val="RYXFQENTNDO"/>
      <sheetName val="SYXNTTMVIEN"/>
      <sheetName val="ASOQSNRXSJR"/>
      <sheetName val="NROVMNMMVSR"/>
      <sheetName val="工厂调料"/>
      <sheetName val="SMT 多发数1"/>
      <sheetName val="Sheet1"/>
      <sheetName val="欠料 (2)"/>
      <sheetName val="周欠料表"/>
      <sheetName val="供应商库存"/>
      <sheetName val="Sheet8"/>
      <sheetName val="排期"/>
      <sheetName val="未交"/>
      <sheetName val="Sheet9"/>
      <sheetName val="下单记录"/>
      <sheetName val="Sheet4"/>
      <sheetName val="Sheet12"/>
      <sheetName val="Sheet5"/>
      <sheetName val="排期2"/>
      <sheetName val="Sheet3"/>
      <sheetName val="Sheet6"/>
      <sheetName val="Sheet7"/>
      <sheetName val="Sheet2"/>
      <sheetName val="Sheet10"/>
      <sheetName val="Sheet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_RR_1021"/>
      <sheetName val="Data"/>
      <sheetName val="Application"/>
      <sheetName val="基础表"/>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_RR_1065"/>
      <sheetName val="MA Summary"/>
      <sheetName val="配件数量"/>
      <sheetName val="Ratio"/>
      <sheetName val="Data"/>
      <sheetName val="Application"/>
      <sheetName val="基础表"/>
    </sheetNames>
    <sheetDataSet>
      <sheetData sheetId="0"/>
      <sheetData sheetId="1"/>
      <sheetData sheetId="2"/>
      <sheetData sheetId="3"/>
      <sheetData sheetId="4"/>
      <sheetData sheetId="5"/>
      <sheetData sheetId="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Application "/>
      <sheetName val="MA_RR_1842"/>
      <sheetName val="MA Summary"/>
      <sheetName val="配件数量"/>
      <sheetName val="Packing Spec"/>
      <sheetName val="Data"/>
      <sheetName val="Application"/>
    </sheetNames>
    <sheetDataSet>
      <sheetData sheetId="0"/>
      <sheetData sheetId="1"/>
      <sheetData sheetId="2"/>
      <sheetData sheetId="3">
        <row r="9">
          <cell r="AB9">
            <v>220000</v>
          </cell>
        </row>
        <row r="10">
          <cell r="AB10">
            <v>220000</v>
          </cell>
        </row>
        <row r="11">
          <cell r="AB11">
            <v>197120</v>
          </cell>
        </row>
        <row r="12">
          <cell r="AB12">
            <v>197120</v>
          </cell>
        </row>
        <row r="13">
          <cell r="AB13">
            <v>197120</v>
          </cell>
        </row>
        <row r="14">
          <cell r="AB14">
            <v>197120</v>
          </cell>
        </row>
        <row r="15">
          <cell r="AB15">
            <v>197120</v>
          </cell>
        </row>
        <row r="16">
          <cell r="AB16">
            <v>220000</v>
          </cell>
        </row>
        <row r="17">
          <cell r="AB17">
            <v>154660</v>
          </cell>
        </row>
        <row r="18">
          <cell r="AB18">
            <v>117172</v>
          </cell>
        </row>
        <row r="19">
          <cell r="AB19">
            <v>43890</v>
          </cell>
        </row>
        <row r="20">
          <cell r="AB20">
            <v>37488</v>
          </cell>
        </row>
        <row r="21">
          <cell r="AB21">
            <v>19580</v>
          </cell>
        </row>
        <row r="22">
          <cell r="AB22">
            <v>22880</v>
          </cell>
        </row>
        <row r="23">
          <cell r="AB23">
            <v>22880</v>
          </cell>
        </row>
        <row r="24">
          <cell r="AB24">
            <v>21010</v>
          </cell>
        </row>
        <row r="25">
          <cell r="AB25">
            <v>19580</v>
          </cell>
        </row>
        <row r="26">
          <cell r="AB26">
            <v>22880</v>
          </cell>
        </row>
        <row r="27">
          <cell r="AB27">
            <v>22880</v>
          </cell>
        </row>
        <row r="28">
          <cell r="AB28">
            <v>45760</v>
          </cell>
        </row>
        <row r="29">
          <cell r="AB29">
            <v>73282</v>
          </cell>
        </row>
        <row r="30">
          <cell r="AB30">
            <v>65010</v>
          </cell>
        </row>
        <row r="31">
          <cell r="AB31">
            <v>22880</v>
          </cell>
        </row>
        <row r="32">
          <cell r="AB32">
            <v>21010</v>
          </cell>
        </row>
        <row r="33">
          <cell r="AB33">
            <v>6512</v>
          </cell>
        </row>
        <row r="34">
          <cell r="AB34">
            <v>66770</v>
          </cell>
        </row>
        <row r="35">
          <cell r="AB35">
            <v>66770</v>
          </cell>
        </row>
        <row r="36">
          <cell r="AB36">
            <v>19580</v>
          </cell>
        </row>
        <row r="37">
          <cell r="AB37">
            <v>62634</v>
          </cell>
        </row>
        <row r="38">
          <cell r="AB38">
            <v>62634</v>
          </cell>
        </row>
        <row r="39">
          <cell r="AB39">
            <v>37488</v>
          </cell>
        </row>
        <row r="40">
          <cell r="AB40">
            <v>37488</v>
          </cell>
        </row>
        <row r="41">
          <cell r="AB41">
            <v>45760</v>
          </cell>
        </row>
        <row r="42">
          <cell r="AB42">
            <v>22880</v>
          </cell>
        </row>
        <row r="43">
          <cell r="AB43">
            <v>27522</v>
          </cell>
        </row>
        <row r="44">
          <cell r="AB44">
            <v>27522</v>
          </cell>
        </row>
        <row r="45">
          <cell r="AB45">
            <v>89650</v>
          </cell>
        </row>
        <row r="46">
          <cell r="AB46">
            <v>89650</v>
          </cell>
        </row>
        <row r="47">
          <cell r="AB47">
            <v>197120</v>
          </cell>
        </row>
        <row r="48">
          <cell r="AB48">
            <v>137280</v>
          </cell>
        </row>
        <row r="49">
          <cell r="AB49">
            <v>137280</v>
          </cell>
        </row>
        <row r="50">
          <cell r="AB50">
            <v>137280</v>
          </cell>
        </row>
        <row r="51">
          <cell r="AB51">
            <v>91520</v>
          </cell>
        </row>
        <row r="52">
          <cell r="AB52">
            <v>18744</v>
          </cell>
        </row>
        <row r="53">
          <cell r="AB53">
            <v>18744</v>
          </cell>
        </row>
        <row r="54">
          <cell r="AB54">
            <v>18744</v>
          </cell>
        </row>
        <row r="55">
          <cell r="AB55">
            <v>22880</v>
          </cell>
        </row>
        <row r="56">
          <cell r="AB56">
            <v>63030</v>
          </cell>
        </row>
        <row r="57">
          <cell r="AB57">
            <v>274560</v>
          </cell>
        </row>
        <row r="58">
          <cell r="AB58">
            <v>45760</v>
          </cell>
        </row>
        <row r="59">
          <cell r="AB59">
            <v>63030</v>
          </cell>
        </row>
        <row r="60">
          <cell r="AB60">
            <v>18744</v>
          </cell>
        </row>
        <row r="61">
          <cell r="AB61">
            <v>18744</v>
          </cell>
        </row>
        <row r="62">
          <cell r="AB62">
            <v>18744</v>
          </cell>
        </row>
        <row r="63">
          <cell r="AB63">
            <v>45760</v>
          </cell>
        </row>
        <row r="64">
          <cell r="AB64">
            <v>45760</v>
          </cell>
        </row>
        <row r="65">
          <cell r="AB65">
            <v>45760</v>
          </cell>
        </row>
        <row r="66">
          <cell r="AB66">
            <v>204050</v>
          </cell>
        </row>
        <row r="67">
          <cell r="AB67">
            <v>312840</v>
          </cell>
        </row>
        <row r="68">
          <cell r="AB68">
            <v>228800</v>
          </cell>
        </row>
        <row r="69">
          <cell r="AB69">
            <v>282480</v>
          </cell>
        </row>
        <row r="70">
          <cell r="AB70">
            <v>343200</v>
          </cell>
        </row>
        <row r="71">
          <cell r="AB71">
            <v>183040</v>
          </cell>
        </row>
        <row r="72">
          <cell r="AB72">
            <v>583660</v>
          </cell>
        </row>
        <row r="73">
          <cell r="AB73">
            <v>604670</v>
          </cell>
        </row>
        <row r="74">
          <cell r="AB74">
            <v>604670</v>
          </cell>
        </row>
        <row r="75">
          <cell r="AB75">
            <v>343200</v>
          </cell>
        </row>
        <row r="76">
          <cell r="AB76">
            <v>39160</v>
          </cell>
        </row>
        <row r="77">
          <cell r="AB77">
            <v>13024</v>
          </cell>
        </row>
        <row r="78">
          <cell r="AB78">
            <v>21010</v>
          </cell>
        </row>
        <row r="79">
          <cell r="AB79">
            <v>42020</v>
          </cell>
        </row>
        <row r="80">
          <cell r="AB80">
            <v>63030</v>
          </cell>
        </row>
        <row r="81">
          <cell r="AB81">
            <v>37488</v>
          </cell>
        </row>
        <row r="82">
          <cell r="AB82">
            <v>37488</v>
          </cell>
        </row>
        <row r="83">
          <cell r="AB83">
            <v>37488</v>
          </cell>
        </row>
        <row r="84">
          <cell r="AB84">
            <v>18744</v>
          </cell>
        </row>
        <row r="85">
          <cell r="AB85">
            <v>18744</v>
          </cell>
        </row>
        <row r="86">
          <cell r="AB86">
            <v>18744</v>
          </cell>
        </row>
        <row r="87">
          <cell r="AB87">
            <v>45760</v>
          </cell>
        </row>
        <row r="88">
          <cell r="AB88">
            <v>45760</v>
          </cell>
        </row>
        <row r="89">
          <cell r="AB89">
            <v>45760</v>
          </cell>
        </row>
        <row r="90">
          <cell r="AB90">
            <v>6512</v>
          </cell>
        </row>
        <row r="91">
          <cell r="AB91">
            <v>6512</v>
          </cell>
        </row>
        <row r="92">
          <cell r="AB92">
            <v>18744</v>
          </cell>
        </row>
        <row r="93">
          <cell r="AB93">
            <v>18744</v>
          </cell>
        </row>
        <row r="94">
          <cell r="AB94">
            <v>19580</v>
          </cell>
        </row>
        <row r="95">
          <cell r="AB95">
            <v>19580</v>
          </cell>
        </row>
        <row r="96">
          <cell r="AB96">
            <v>19580</v>
          </cell>
        </row>
        <row r="97">
          <cell r="AB97">
            <v>91520</v>
          </cell>
        </row>
        <row r="98">
          <cell r="AB98">
            <v>42020</v>
          </cell>
        </row>
        <row r="99">
          <cell r="AB99">
            <v>19580</v>
          </cell>
        </row>
        <row r="100">
          <cell r="AB100">
            <v>22880</v>
          </cell>
        </row>
        <row r="101">
          <cell r="AB101">
            <v>162800</v>
          </cell>
        </row>
        <row r="102">
          <cell r="AB102">
            <v>148148</v>
          </cell>
        </row>
        <row r="103">
          <cell r="AB103">
            <v>19580</v>
          </cell>
        </row>
        <row r="104">
          <cell r="AB104">
            <v>89650</v>
          </cell>
        </row>
        <row r="105">
          <cell r="AB105">
            <v>66770</v>
          </cell>
        </row>
        <row r="106">
          <cell r="AB106">
            <v>37488</v>
          </cell>
        </row>
        <row r="107">
          <cell r="AB107">
            <v>62634</v>
          </cell>
        </row>
        <row r="108">
          <cell r="AB108">
            <v>27522</v>
          </cell>
        </row>
        <row r="109">
          <cell r="AB109">
            <v>45760</v>
          </cell>
        </row>
        <row r="110">
          <cell r="AB110">
            <v>22880</v>
          </cell>
        </row>
        <row r="111">
          <cell r="AB111">
            <v>19580</v>
          </cell>
        </row>
      </sheetData>
      <sheetData sheetId="4"/>
      <sheetData sheetId="5"/>
      <sheetData sheetId="6"/>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hyperlink" Target="mailto:jessi@zuru.com" TargetMode="External"/><Relationship Id="rId2" Type="http://schemas.openxmlformats.org/officeDocument/2006/relationships/vmlDrawing" Target="../drawings/vmlDrawing7.vml"/><Relationship Id="rId1"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791"/>
  <sheetViews>
    <sheetView zoomScale="70" zoomScaleNormal="70" workbookViewId="0">
      <pane xSplit="13" ySplit="3" topLeftCell="N4" activePane="bottomRight" state="frozen"/>
      <selection/>
      <selection pane="topRight"/>
      <selection pane="bottomLeft"/>
      <selection pane="bottomRight" activeCell="H17" sqref="H17"/>
    </sheetView>
  </sheetViews>
  <sheetFormatPr defaultColWidth="8.96666666666667" defaultRowHeight="14.25"/>
  <cols>
    <col min="4" max="4" width="17.3166666666667" customWidth="1"/>
    <col min="7" max="7" width="13.3083333333333" customWidth="1"/>
    <col min="8" max="8" width="19.3666666666667" customWidth="1"/>
    <col min="13" max="14" width="14.9916666666667" customWidth="1"/>
    <col min="21" max="21" width="25.1833333333333" customWidth="1"/>
    <col min="25" max="25" width="21.35" customWidth="1"/>
  </cols>
  <sheetData>
    <row r="1" s="3" customFormat="1" ht="30" customHeight="1" spans="1:68">
      <c r="A1" s="1439" t="s">
        <v>0</v>
      </c>
      <c r="B1" s="1439"/>
      <c r="C1" s="1440"/>
      <c r="D1" s="1439"/>
      <c r="E1" s="1439"/>
      <c r="F1" s="1441"/>
      <c r="G1" s="1439"/>
      <c r="H1" s="444" t="s">
        <v>1</v>
      </c>
      <c r="I1" s="1439"/>
      <c r="J1" s="1445"/>
      <c r="K1" s="1445"/>
      <c r="L1" s="418" t="s">
        <v>2</v>
      </c>
      <c r="M1" s="1445"/>
      <c r="N1" s="1445"/>
      <c r="O1" s="1441"/>
      <c r="P1" s="1440"/>
      <c r="Q1" s="1440"/>
      <c r="R1" s="1445"/>
      <c r="S1" s="1445"/>
      <c r="T1" s="1448"/>
      <c r="U1" s="1449"/>
      <c r="V1" s="1450"/>
      <c r="W1" s="1445"/>
      <c r="X1" s="1445"/>
      <c r="Y1" s="1441"/>
      <c r="Z1" s="1441"/>
      <c r="AA1" s="1441"/>
      <c r="AB1" s="1452"/>
      <c r="AC1" s="1452"/>
      <c r="AD1" s="1452"/>
      <c r="AE1" s="1440"/>
      <c r="AF1" s="1440"/>
      <c r="AG1" s="1452"/>
      <c r="AH1" s="1452"/>
      <c r="AI1" s="1452"/>
      <c r="AJ1" s="1452"/>
      <c r="AK1" s="1455"/>
      <c r="AL1" s="1456"/>
      <c r="AM1" s="1457"/>
      <c r="AN1" s="1457"/>
      <c r="AO1" s="1456"/>
      <c r="AP1" s="1456"/>
      <c r="AQ1" s="1456"/>
      <c r="AR1" s="1456"/>
      <c r="AS1" s="1456"/>
      <c r="AT1" s="1459"/>
      <c r="AU1" s="1459"/>
      <c r="AV1" s="1459"/>
      <c r="AW1" s="1459"/>
      <c r="AX1" s="1459"/>
      <c r="AY1" s="1459"/>
      <c r="AZ1" s="1459"/>
      <c r="BA1" s="1459"/>
      <c r="BB1" s="1459"/>
      <c r="BC1" s="1459"/>
      <c r="BD1" s="1459"/>
      <c r="BE1" s="1459"/>
      <c r="BF1" s="1459"/>
      <c r="BG1" s="1459"/>
      <c r="BH1" s="1459"/>
      <c r="BI1" s="1459"/>
      <c r="BJ1" s="1459"/>
      <c r="BK1" s="1459"/>
      <c r="BL1" s="1459"/>
      <c r="BM1" s="1469"/>
      <c r="BO1" s="196"/>
      <c r="BP1" s="196"/>
    </row>
    <row r="2" s="399" customFormat="1" ht="24.95" customHeight="1" spans="1:71">
      <c r="A2" s="1442"/>
      <c r="B2" s="1443"/>
      <c r="C2" s="414"/>
      <c r="D2" s="415"/>
      <c r="E2" s="416"/>
      <c r="F2" s="417"/>
      <c r="G2" s="1444"/>
      <c r="H2" s="1444"/>
      <c r="I2" s="1444"/>
      <c r="J2" s="433"/>
      <c r="K2" s="433"/>
      <c r="L2" s="433"/>
      <c r="M2" s="433"/>
      <c r="N2" s="433"/>
      <c r="O2" s="435"/>
      <c r="P2" s="414"/>
      <c r="Q2" s="414"/>
      <c r="R2" s="433"/>
      <c r="S2" s="433"/>
      <c r="T2" s="443"/>
      <c r="U2" s="1451"/>
      <c r="V2" s="461"/>
      <c r="W2" s="433"/>
      <c r="X2" s="462"/>
      <c r="Y2" s="463"/>
      <c r="Z2" s="463"/>
      <c r="AA2" s="463"/>
      <c r="AB2" s="463"/>
      <c r="AC2" s="463"/>
      <c r="AD2" s="463"/>
      <c r="AE2" s="414"/>
      <c r="AF2" s="414"/>
      <c r="AG2" s="463">
        <v>77515</v>
      </c>
      <c r="AH2" s="463"/>
      <c r="AI2" s="463"/>
      <c r="AJ2" s="463"/>
      <c r="AK2" s="495" t="s">
        <v>3</v>
      </c>
      <c r="AL2" s="496"/>
      <c r="AM2" s="496"/>
      <c r="AN2" s="497"/>
      <c r="AO2" s="1460" t="s">
        <v>4</v>
      </c>
      <c r="AP2" s="1461"/>
      <c r="AQ2" s="1461"/>
      <c r="AR2" s="1462"/>
      <c r="AS2" s="1463" t="s">
        <v>5</v>
      </c>
      <c r="AT2" s="1463"/>
      <c r="AU2" s="1463"/>
      <c r="AV2" s="1463"/>
      <c r="AW2" s="1463"/>
      <c r="AX2" s="1466"/>
      <c r="AY2" s="1466"/>
      <c r="AZ2" s="1466"/>
      <c r="BA2" s="1466"/>
      <c r="BB2" s="1466"/>
      <c r="BC2" s="1466"/>
      <c r="BD2" s="1466"/>
      <c r="BE2" s="1467"/>
      <c r="BF2" s="1468"/>
      <c r="BG2" s="1468"/>
      <c r="BH2" s="1468"/>
      <c r="BI2" s="1468"/>
      <c r="BJ2" s="1468"/>
      <c r="BK2" s="1463">
        <v>77516</v>
      </c>
      <c r="BL2" s="1463"/>
      <c r="BM2" s="1470"/>
      <c r="BO2" s="1471"/>
      <c r="BP2" s="1472"/>
      <c r="BS2" s="1"/>
    </row>
    <row r="3" s="1" customFormat="1" ht="81" customHeight="1" spans="1:70">
      <c r="A3" s="7" t="s">
        <v>6</v>
      </c>
      <c r="B3" s="8" t="s">
        <v>7</v>
      </c>
      <c r="C3" s="8" t="s">
        <v>8</v>
      </c>
      <c r="D3" s="8" t="s">
        <v>9</v>
      </c>
      <c r="E3" s="9" t="s">
        <v>10</v>
      </c>
      <c r="F3" s="8" t="s">
        <v>11</v>
      </c>
      <c r="G3" s="8" t="s">
        <v>12</v>
      </c>
      <c r="H3" s="10" t="s">
        <v>13</v>
      </c>
      <c r="I3" s="10" t="s">
        <v>14</v>
      </c>
      <c r="J3" s="10" t="s">
        <v>15</v>
      </c>
      <c r="K3" s="8" t="s">
        <v>16</v>
      </c>
      <c r="L3" s="8" t="s">
        <v>17</v>
      </c>
      <c r="M3" s="82" t="s">
        <v>18</v>
      </c>
      <c r="N3" s="82" t="s">
        <v>19</v>
      </c>
      <c r="O3" s="83" t="s">
        <v>20</v>
      </c>
      <c r="P3" s="8" t="s">
        <v>21</v>
      </c>
      <c r="Q3" s="8" t="s">
        <v>22</v>
      </c>
      <c r="R3" s="8" t="s">
        <v>23</v>
      </c>
      <c r="S3" s="9" t="s">
        <v>24</v>
      </c>
      <c r="T3" s="83" t="s">
        <v>25</v>
      </c>
      <c r="U3" s="107" t="s">
        <v>26</v>
      </c>
      <c r="V3" s="8" t="s">
        <v>27</v>
      </c>
      <c r="W3" s="8" t="s">
        <v>28</v>
      </c>
      <c r="X3" s="108" t="s">
        <v>29</v>
      </c>
      <c r="Y3" s="148" t="s">
        <v>30</v>
      </c>
      <c r="Z3" s="465" t="s">
        <v>31</v>
      </c>
      <c r="AA3" s="149" t="s">
        <v>32</v>
      </c>
      <c r="AB3" s="149" t="s">
        <v>33</v>
      </c>
      <c r="AC3" s="149" t="s">
        <v>34</v>
      </c>
      <c r="AD3" s="149" t="s">
        <v>35</v>
      </c>
      <c r="AE3" s="9" t="s">
        <v>36</v>
      </c>
      <c r="AF3" s="9"/>
      <c r="AG3" s="481" t="s">
        <v>37</v>
      </c>
      <c r="AH3" s="481" t="s">
        <v>38</v>
      </c>
      <c r="AI3" s="481" t="s">
        <v>39</v>
      </c>
      <c r="AJ3" s="8" t="s">
        <v>40</v>
      </c>
      <c r="AK3" s="8" t="s">
        <v>41</v>
      </c>
      <c r="AL3" s="168" t="s">
        <v>42</v>
      </c>
      <c r="AM3" s="169" t="s">
        <v>43</v>
      </c>
      <c r="AN3" s="169" t="s">
        <v>44</v>
      </c>
      <c r="AO3" s="8" t="s">
        <v>45</v>
      </c>
      <c r="AP3" s="1464" t="s">
        <v>46</v>
      </c>
      <c r="AQ3" s="1464" t="s">
        <v>47</v>
      </c>
      <c r="AR3" s="1464" t="s">
        <v>48</v>
      </c>
      <c r="AS3" s="170" t="s">
        <v>49</v>
      </c>
      <c r="AT3" s="100" t="s">
        <v>50</v>
      </c>
      <c r="AU3" s="1465" t="s">
        <v>51</v>
      </c>
      <c r="AV3" s="1465" t="s">
        <v>52</v>
      </c>
      <c r="AW3" s="170" t="s">
        <v>53</v>
      </c>
      <c r="AX3" s="100" t="s">
        <v>54</v>
      </c>
      <c r="AY3" s="170" t="s">
        <v>55</v>
      </c>
      <c r="AZ3" s="100" t="s">
        <v>56</v>
      </c>
      <c r="BA3" s="170" t="s">
        <v>57</v>
      </c>
      <c r="BB3" s="100" t="s">
        <v>58</v>
      </c>
      <c r="BC3" s="170" t="s">
        <v>59</v>
      </c>
      <c r="BD3" s="170" t="s">
        <v>60</v>
      </c>
      <c r="BE3" s="100" t="s">
        <v>61</v>
      </c>
      <c r="BF3" s="188" t="s">
        <v>62</v>
      </c>
      <c r="BG3" s="16" t="s">
        <v>63</v>
      </c>
      <c r="BH3" s="224" t="s">
        <v>64</v>
      </c>
      <c r="BI3" s="16" t="s">
        <v>65</v>
      </c>
      <c r="BJ3" s="170" t="s">
        <v>66</v>
      </c>
      <c r="BK3" s="189" t="s">
        <v>67</v>
      </c>
      <c r="BL3" s="189" t="s">
        <v>68</v>
      </c>
      <c r="BM3" s="189" t="s">
        <v>69</v>
      </c>
      <c r="BN3" s="190"/>
      <c r="BO3" s="192"/>
      <c r="BP3" s="193"/>
      <c r="BQ3" s="194"/>
      <c r="BR3" s="194"/>
    </row>
    <row r="4" s="200" customFormat="1" ht="36" customHeight="1" spans="1:68">
      <c r="A4" s="533">
        <v>45252</v>
      </c>
      <c r="B4" s="527" t="s">
        <v>70</v>
      </c>
      <c r="C4" s="528" t="s">
        <v>71</v>
      </c>
      <c r="D4" s="534" t="s">
        <v>72</v>
      </c>
      <c r="E4" s="530"/>
      <c r="F4" s="534"/>
      <c r="G4" s="531" t="s">
        <v>73</v>
      </c>
      <c r="H4" s="532" t="s">
        <v>74</v>
      </c>
      <c r="I4" s="401">
        <v>1000</v>
      </c>
      <c r="J4" s="562">
        <v>0</v>
      </c>
      <c r="K4" s="531">
        <v>24</v>
      </c>
      <c r="L4" s="401">
        <f t="shared" ref="L4:L9" si="0">I4/K4</f>
        <v>41.6666666666667</v>
      </c>
      <c r="M4" s="563">
        <v>45252</v>
      </c>
      <c r="N4" s="563">
        <v>45248</v>
      </c>
      <c r="O4" s="564"/>
      <c r="P4" s="564" t="s">
        <v>75</v>
      </c>
      <c r="Q4" s="564"/>
      <c r="R4" s="564" t="s">
        <v>76</v>
      </c>
      <c r="S4" s="564" t="s">
        <v>77</v>
      </c>
      <c r="T4" s="564" t="s">
        <v>77</v>
      </c>
      <c r="U4" s="530" t="s">
        <v>78</v>
      </c>
      <c r="V4" s="596"/>
      <c r="W4" s="592"/>
      <c r="X4" s="593"/>
      <c r="Y4" s="401" t="s">
        <v>79</v>
      </c>
      <c r="Z4" s="610" t="s">
        <v>77</v>
      </c>
      <c r="AA4" s="1453"/>
      <c r="AB4" s="608"/>
      <c r="AC4" s="608"/>
      <c r="AD4" s="608"/>
      <c r="AE4" s="564" t="s">
        <v>80</v>
      </c>
      <c r="AF4" s="564"/>
      <c r="AG4" s="608">
        <f t="shared" ref="AG4:AG9" si="1">I4</f>
        <v>1000</v>
      </c>
      <c r="AH4" s="608"/>
      <c r="AI4" s="608"/>
      <c r="AJ4" s="608"/>
      <c r="AK4" s="609"/>
      <c r="AL4" s="401"/>
      <c r="AM4" s="609"/>
      <c r="AN4" s="609"/>
      <c r="AO4" s="609"/>
      <c r="AP4" s="609"/>
      <c r="AQ4" s="609"/>
      <c r="AR4" s="609"/>
      <c r="AS4" s="609"/>
      <c r="AT4" s="633"/>
      <c r="AU4" s="633"/>
      <c r="AV4" s="633"/>
      <c r="AW4" s="633"/>
      <c r="AX4" s="633"/>
      <c r="AY4" s="633"/>
      <c r="AZ4" s="633"/>
      <c r="BA4" s="633"/>
      <c r="BB4" s="633"/>
      <c r="BC4" s="633"/>
      <c r="BD4" s="633"/>
      <c r="BE4" s="633"/>
      <c r="BF4" s="633"/>
      <c r="BG4" s="633"/>
      <c r="BH4" s="633"/>
      <c r="BI4" s="633"/>
      <c r="BJ4" s="633"/>
      <c r="BK4" s="633"/>
      <c r="BL4" s="633"/>
      <c r="BM4" s="401">
        <f t="shared" ref="BM4:BM67" si="2">AG4+AH4+AI4</f>
        <v>1000</v>
      </c>
      <c r="BO4" s="1473"/>
      <c r="BP4" s="1473"/>
    </row>
    <row r="5" s="200" customFormat="1" ht="36" customHeight="1" spans="1:68">
      <c r="A5" s="533">
        <v>45252</v>
      </c>
      <c r="B5" s="527" t="s">
        <v>70</v>
      </c>
      <c r="C5" s="528" t="s">
        <v>71</v>
      </c>
      <c r="D5" s="534" t="s">
        <v>72</v>
      </c>
      <c r="E5" s="530"/>
      <c r="F5" s="534" t="s">
        <v>81</v>
      </c>
      <c r="G5" s="531" t="s">
        <v>73</v>
      </c>
      <c r="H5" s="532" t="s">
        <v>74</v>
      </c>
      <c r="I5" s="401" t="s">
        <v>82</v>
      </c>
      <c r="J5" s="562">
        <v>0</v>
      </c>
      <c r="K5" s="531">
        <v>24</v>
      </c>
      <c r="L5" s="401">
        <v>1</v>
      </c>
      <c r="M5" s="563">
        <v>45252</v>
      </c>
      <c r="N5" s="563">
        <v>45248</v>
      </c>
      <c r="O5" s="564"/>
      <c r="P5" s="564" t="s">
        <v>75</v>
      </c>
      <c r="Q5" s="564"/>
      <c r="R5" s="564" t="s">
        <v>76</v>
      </c>
      <c r="S5" s="564" t="s">
        <v>77</v>
      </c>
      <c r="T5" s="564" t="s">
        <v>77</v>
      </c>
      <c r="U5" s="530" t="s">
        <v>83</v>
      </c>
      <c r="V5" s="596"/>
      <c r="W5" s="592"/>
      <c r="X5" s="593"/>
      <c r="Y5" s="401" t="s">
        <v>79</v>
      </c>
      <c r="Z5" s="610" t="s">
        <v>77</v>
      </c>
      <c r="AA5" s="1453"/>
      <c r="AB5" s="608"/>
      <c r="AC5" s="608"/>
      <c r="AD5" s="608"/>
      <c r="AE5" s="564" t="s">
        <v>80</v>
      </c>
      <c r="AF5" s="564"/>
      <c r="AG5" s="608"/>
      <c r="AH5" s="608"/>
      <c r="AI5" s="608"/>
      <c r="AJ5" s="608"/>
      <c r="AK5" s="609"/>
      <c r="AL5" s="401"/>
      <c r="AM5" s="609"/>
      <c r="AN5" s="609"/>
      <c r="AO5" s="609"/>
      <c r="AP5" s="609"/>
      <c r="AQ5" s="609"/>
      <c r="AR5" s="609"/>
      <c r="AS5" s="609"/>
      <c r="AT5" s="633"/>
      <c r="AU5" s="633"/>
      <c r="AV5" s="633"/>
      <c r="AW5" s="633"/>
      <c r="AX5" s="633"/>
      <c r="AY5" s="633"/>
      <c r="AZ5" s="633"/>
      <c r="BA5" s="633"/>
      <c r="BB5" s="633"/>
      <c r="BC5" s="633"/>
      <c r="BD5" s="633"/>
      <c r="BE5" s="633"/>
      <c r="BF5" s="633"/>
      <c r="BG5" s="633"/>
      <c r="BH5" s="633"/>
      <c r="BI5" s="633"/>
      <c r="BJ5" s="633"/>
      <c r="BK5" s="633"/>
      <c r="BL5" s="633"/>
      <c r="BM5" s="401">
        <f t="shared" si="2"/>
        <v>0</v>
      </c>
      <c r="BO5" s="1473"/>
      <c r="BP5" s="1473"/>
    </row>
    <row r="6" s="200" customFormat="1" ht="36" customHeight="1" spans="1:71">
      <c r="A6" s="533">
        <v>45252</v>
      </c>
      <c r="B6" s="527" t="s">
        <v>70</v>
      </c>
      <c r="C6" s="528" t="s">
        <v>71</v>
      </c>
      <c r="D6" s="534" t="s">
        <v>84</v>
      </c>
      <c r="E6" s="530"/>
      <c r="F6" s="534"/>
      <c r="G6" s="531" t="s">
        <v>73</v>
      </c>
      <c r="H6" s="532" t="s">
        <v>74</v>
      </c>
      <c r="I6" s="401">
        <v>510</v>
      </c>
      <c r="J6" s="562">
        <v>0</v>
      </c>
      <c r="K6" s="531">
        <v>24</v>
      </c>
      <c r="L6" s="401">
        <f t="shared" si="0"/>
        <v>21.25</v>
      </c>
      <c r="M6" s="563">
        <v>45272</v>
      </c>
      <c r="N6" s="563">
        <v>45268</v>
      </c>
      <c r="O6" s="564"/>
      <c r="P6" s="564" t="s">
        <v>75</v>
      </c>
      <c r="Q6" s="564"/>
      <c r="R6" s="564" t="s">
        <v>76</v>
      </c>
      <c r="S6" s="564" t="s">
        <v>77</v>
      </c>
      <c r="T6" s="564" t="s">
        <v>77</v>
      </c>
      <c r="U6" s="530"/>
      <c r="V6" s="596"/>
      <c r="W6" s="592"/>
      <c r="X6" s="593"/>
      <c r="Y6" s="401"/>
      <c r="Z6" s="610" t="s">
        <v>77</v>
      </c>
      <c r="AA6" s="1453"/>
      <c r="AB6" s="608"/>
      <c r="AC6" s="608"/>
      <c r="AD6" s="608"/>
      <c r="AE6" s="564" t="s">
        <v>80</v>
      </c>
      <c r="AF6" s="564"/>
      <c r="AG6" s="608">
        <f t="shared" si="1"/>
        <v>510</v>
      </c>
      <c r="AH6" s="608"/>
      <c r="AI6" s="608"/>
      <c r="AJ6" s="608"/>
      <c r="AK6" s="609"/>
      <c r="AL6" s="401"/>
      <c r="AM6" s="609"/>
      <c r="AN6" s="609"/>
      <c r="AO6" s="609"/>
      <c r="AP6" s="609"/>
      <c r="AQ6" s="609"/>
      <c r="AR6" s="609"/>
      <c r="AS6" s="609"/>
      <c r="AT6" s="633"/>
      <c r="AU6" s="633"/>
      <c r="AV6" s="633"/>
      <c r="AW6" s="633"/>
      <c r="AX6" s="633"/>
      <c r="AY6" s="633"/>
      <c r="AZ6" s="633"/>
      <c r="BA6" s="633"/>
      <c r="BB6" s="633"/>
      <c r="BC6" s="633"/>
      <c r="BD6" s="633"/>
      <c r="BE6" s="633"/>
      <c r="BF6" s="633"/>
      <c r="BG6" s="633"/>
      <c r="BH6" s="633"/>
      <c r="BI6" s="633"/>
      <c r="BJ6" s="633"/>
      <c r="BK6" s="633"/>
      <c r="BL6" s="633"/>
      <c r="BM6" s="401">
        <f t="shared" si="2"/>
        <v>510</v>
      </c>
      <c r="BN6" s="200">
        <f>BN5+BM6</f>
        <v>510</v>
      </c>
      <c r="BO6" s="1473">
        <f>$BO$3-BN6</f>
        <v>-510</v>
      </c>
      <c r="BP6" s="1473"/>
      <c r="BQ6" s="200">
        <f>AS6+AT6+BA6+BB6</f>
        <v>0</v>
      </c>
      <c r="BR6" s="200">
        <f>BR5+BQ6</f>
        <v>0</v>
      </c>
      <c r="BS6" s="200">
        <f>$BS$3-BR6</f>
        <v>0</v>
      </c>
    </row>
    <row r="7" s="200" customFormat="1" ht="36" customHeight="1" spans="1:70">
      <c r="A7" s="533">
        <v>45279</v>
      </c>
      <c r="B7" s="527" t="s">
        <v>70</v>
      </c>
      <c r="C7" s="528" t="s">
        <v>71</v>
      </c>
      <c r="D7" s="534" t="s">
        <v>85</v>
      </c>
      <c r="E7" s="530"/>
      <c r="F7" s="534"/>
      <c r="G7" s="531" t="s">
        <v>73</v>
      </c>
      <c r="H7" s="532" t="s">
        <v>74</v>
      </c>
      <c r="I7" s="401" t="s">
        <v>86</v>
      </c>
      <c r="J7" s="562">
        <v>0</v>
      </c>
      <c r="K7" s="531">
        <v>24</v>
      </c>
      <c r="L7" s="401">
        <v>1</v>
      </c>
      <c r="M7" s="563">
        <v>45288</v>
      </c>
      <c r="N7" s="563">
        <v>45285</v>
      </c>
      <c r="O7" s="564"/>
      <c r="P7" s="564" t="s">
        <v>75</v>
      </c>
      <c r="Q7" s="564" t="s">
        <v>87</v>
      </c>
      <c r="R7" s="564" t="s">
        <v>76</v>
      </c>
      <c r="S7" s="564" t="s">
        <v>77</v>
      </c>
      <c r="T7" s="564" t="s">
        <v>77</v>
      </c>
      <c r="U7" s="530" t="s">
        <v>88</v>
      </c>
      <c r="V7" s="596"/>
      <c r="W7" s="592"/>
      <c r="X7" s="593"/>
      <c r="Y7" s="401" t="s">
        <v>89</v>
      </c>
      <c r="Z7" s="610" t="s">
        <v>77</v>
      </c>
      <c r="AA7" s="1453"/>
      <c r="AB7" s="608"/>
      <c r="AC7" s="608"/>
      <c r="AD7" s="608"/>
      <c r="AE7" s="564" t="s">
        <v>80</v>
      </c>
      <c r="AF7" s="564"/>
      <c r="AG7" s="608"/>
      <c r="AH7" s="608"/>
      <c r="AI7" s="608"/>
      <c r="AJ7" s="608"/>
      <c r="AK7" s="609"/>
      <c r="AL7" s="401"/>
      <c r="AM7" s="609"/>
      <c r="AN7" s="609"/>
      <c r="AO7" s="609"/>
      <c r="AP7" s="609"/>
      <c r="AQ7" s="609"/>
      <c r="AR7" s="609"/>
      <c r="AS7" s="609"/>
      <c r="AT7" s="633"/>
      <c r="AU7" s="633"/>
      <c r="AV7" s="633"/>
      <c r="AW7" s="633"/>
      <c r="AX7" s="633"/>
      <c r="AY7" s="633"/>
      <c r="AZ7" s="633"/>
      <c r="BA7" s="633"/>
      <c r="BB7" s="633"/>
      <c r="BC7" s="633"/>
      <c r="BD7" s="633"/>
      <c r="BE7" s="633"/>
      <c r="BF7" s="633"/>
      <c r="BG7" s="633"/>
      <c r="BH7" s="633"/>
      <c r="BI7" s="633"/>
      <c r="BJ7" s="633"/>
      <c r="BK7" s="633"/>
      <c r="BL7" s="633"/>
      <c r="BM7" s="201">
        <f t="shared" si="2"/>
        <v>0</v>
      </c>
      <c r="BN7" s="199"/>
      <c r="BO7" s="1473"/>
      <c r="BP7" s="1473"/>
      <c r="BR7" s="199"/>
    </row>
    <row r="8" s="200" customFormat="1" ht="36" customHeight="1" spans="1:71">
      <c r="A8" s="533">
        <v>45279</v>
      </c>
      <c r="B8" s="527" t="s">
        <v>70</v>
      </c>
      <c r="C8" s="528" t="s">
        <v>71</v>
      </c>
      <c r="D8" s="534" t="s">
        <v>85</v>
      </c>
      <c r="E8" s="530"/>
      <c r="F8" s="534"/>
      <c r="G8" s="531" t="s">
        <v>73</v>
      </c>
      <c r="H8" s="532" t="s">
        <v>74</v>
      </c>
      <c r="I8" s="401" t="s">
        <v>86</v>
      </c>
      <c r="J8" s="562">
        <v>0</v>
      </c>
      <c r="K8" s="531">
        <v>24</v>
      </c>
      <c r="L8" s="401">
        <v>1</v>
      </c>
      <c r="M8" s="563">
        <v>45288</v>
      </c>
      <c r="N8" s="563">
        <v>45285</v>
      </c>
      <c r="O8" s="564"/>
      <c r="P8" s="564" t="s">
        <v>75</v>
      </c>
      <c r="Q8" s="564" t="s">
        <v>87</v>
      </c>
      <c r="R8" s="564" t="s">
        <v>76</v>
      </c>
      <c r="S8" s="564" t="s">
        <v>77</v>
      </c>
      <c r="T8" s="564" t="s">
        <v>77</v>
      </c>
      <c r="U8" s="530" t="s">
        <v>90</v>
      </c>
      <c r="V8" s="596"/>
      <c r="W8" s="592"/>
      <c r="X8" s="593"/>
      <c r="Y8" s="401"/>
      <c r="Z8" s="610" t="s">
        <v>77</v>
      </c>
      <c r="AA8" s="1453"/>
      <c r="AB8" s="608"/>
      <c r="AC8" s="608"/>
      <c r="AD8" s="608"/>
      <c r="AE8" s="564" t="s">
        <v>80</v>
      </c>
      <c r="AF8" s="564"/>
      <c r="AG8" s="608"/>
      <c r="AH8" s="608"/>
      <c r="AI8" s="608"/>
      <c r="AJ8" s="608"/>
      <c r="AK8" s="609"/>
      <c r="AL8" s="401"/>
      <c r="AM8" s="609"/>
      <c r="AN8" s="609"/>
      <c r="AO8" s="609"/>
      <c r="AP8" s="609"/>
      <c r="AQ8" s="609"/>
      <c r="AR8" s="609"/>
      <c r="AS8" s="609"/>
      <c r="AT8" s="633"/>
      <c r="AU8" s="633"/>
      <c r="AV8" s="633"/>
      <c r="AW8" s="633"/>
      <c r="AX8" s="633"/>
      <c r="AY8" s="633"/>
      <c r="AZ8" s="633"/>
      <c r="BA8" s="633"/>
      <c r="BB8" s="633"/>
      <c r="BC8" s="633"/>
      <c r="BD8" s="633"/>
      <c r="BE8" s="633"/>
      <c r="BF8" s="633"/>
      <c r="BG8" s="633"/>
      <c r="BH8" s="633"/>
      <c r="BI8" s="633"/>
      <c r="BJ8" s="633"/>
      <c r="BK8" s="633"/>
      <c r="BL8" s="633"/>
      <c r="BM8" s="201">
        <f t="shared" si="2"/>
        <v>0</v>
      </c>
      <c r="BN8" s="199">
        <f>BN7+BM8</f>
        <v>0</v>
      </c>
      <c r="BO8" s="1473">
        <f>$BO$3-BN8</f>
        <v>0</v>
      </c>
      <c r="BP8" s="1473"/>
      <c r="BQ8" s="200">
        <f>AS8+AT8+BA8+BB8</f>
        <v>0</v>
      </c>
      <c r="BR8" s="199">
        <f>BR7+BQ8</f>
        <v>0</v>
      </c>
      <c r="BS8" s="200">
        <f>$BS$3-BR8</f>
        <v>0</v>
      </c>
    </row>
    <row r="9" s="200" customFormat="1" ht="36" customHeight="1" spans="1:70">
      <c r="A9" s="533">
        <v>45275</v>
      </c>
      <c r="B9" s="527" t="s">
        <v>70</v>
      </c>
      <c r="C9" s="528" t="s">
        <v>71</v>
      </c>
      <c r="D9" s="534" t="s">
        <v>91</v>
      </c>
      <c r="E9" s="530"/>
      <c r="F9" s="534"/>
      <c r="G9" s="531" t="s">
        <v>73</v>
      </c>
      <c r="H9" s="532" t="s">
        <v>74</v>
      </c>
      <c r="I9" s="401">
        <v>2000</v>
      </c>
      <c r="J9" s="562">
        <v>0</v>
      </c>
      <c r="K9" s="531">
        <v>24</v>
      </c>
      <c r="L9" s="401">
        <f t="shared" si="0"/>
        <v>83.3333333333333</v>
      </c>
      <c r="M9" s="563">
        <v>45300</v>
      </c>
      <c r="N9" s="563">
        <v>45296</v>
      </c>
      <c r="O9" s="564"/>
      <c r="P9" s="1446" t="s">
        <v>92</v>
      </c>
      <c r="Q9" s="564" t="s">
        <v>93</v>
      </c>
      <c r="R9" s="564" t="s">
        <v>76</v>
      </c>
      <c r="S9" s="564" t="s">
        <v>77</v>
      </c>
      <c r="T9" s="564" t="s">
        <v>77</v>
      </c>
      <c r="U9" s="530" t="s">
        <v>94</v>
      </c>
      <c r="V9" s="596"/>
      <c r="W9" s="592"/>
      <c r="X9" s="593"/>
      <c r="Y9" s="401" t="s">
        <v>95</v>
      </c>
      <c r="Z9" s="610" t="s">
        <v>77</v>
      </c>
      <c r="AA9" s="1453"/>
      <c r="AB9" s="608"/>
      <c r="AC9" s="608"/>
      <c r="AD9" s="608"/>
      <c r="AE9" s="564" t="s">
        <v>80</v>
      </c>
      <c r="AF9" s="564"/>
      <c r="AG9" s="608">
        <f t="shared" si="1"/>
        <v>2000</v>
      </c>
      <c r="AH9" s="608"/>
      <c r="AI9" s="608"/>
      <c r="AJ9" s="608"/>
      <c r="AK9" s="609">
        <f>AG9</f>
        <v>2000</v>
      </c>
      <c r="AL9" s="401"/>
      <c r="AM9" s="609"/>
      <c r="AN9" s="609"/>
      <c r="AO9" s="609">
        <f>AG9</f>
        <v>2000</v>
      </c>
      <c r="AP9" s="609"/>
      <c r="AQ9" s="609"/>
      <c r="AR9" s="609"/>
      <c r="AS9" s="609"/>
      <c r="AT9" s="633"/>
      <c r="AU9" s="633"/>
      <c r="AV9" s="633"/>
      <c r="AW9" s="633"/>
      <c r="AX9" s="633"/>
      <c r="AY9" s="633"/>
      <c r="AZ9" s="633"/>
      <c r="BA9" s="633"/>
      <c r="BB9" s="633"/>
      <c r="BC9" s="633"/>
      <c r="BD9" s="633"/>
      <c r="BE9" s="633"/>
      <c r="BF9" s="633"/>
      <c r="BG9" s="633"/>
      <c r="BH9" s="633"/>
      <c r="BI9" s="633"/>
      <c r="BJ9" s="633"/>
      <c r="BK9" s="633"/>
      <c r="BL9" s="633"/>
      <c r="BM9" s="201">
        <f t="shared" si="2"/>
        <v>2000</v>
      </c>
      <c r="BN9" s="199"/>
      <c r="BO9" s="1473"/>
      <c r="BP9" s="1473"/>
      <c r="BR9" s="199"/>
    </row>
    <row r="10" s="200" customFormat="1" ht="36" customHeight="1" spans="1:70">
      <c r="A10" s="533">
        <v>45275</v>
      </c>
      <c r="B10" s="527" t="s">
        <v>70</v>
      </c>
      <c r="C10" s="528" t="s">
        <v>71</v>
      </c>
      <c r="D10" s="534" t="s">
        <v>91</v>
      </c>
      <c r="E10" s="530"/>
      <c r="F10" s="534"/>
      <c r="G10" s="531" t="s">
        <v>96</v>
      </c>
      <c r="H10" s="532" t="s">
        <v>74</v>
      </c>
      <c r="I10" s="401">
        <v>2000</v>
      </c>
      <c r="J10" s="562">
        <v>0</v>
      </c>
      <c r="K10" s="531">
        <v>50</v>
      </c>
      <c r="L10" s="401">
        <f>2000/25</f>
        <v>80</v>
      </c>
      <c r="M10" s="563">
        <v>45300</v>
      </c>
      <c r="N10" s="563">
        <v>45296</v>
      </c>
      <c r="O10" s="564"/>
      <c r="P10" s="1446" t="s">
        <v>92</v>
      </c>
      <c r="Q10" s="564"/>
      <c r="R10" s="564" t="s">
        <v>76</v>
      </c>
      <c r="S10" s="564" t="s">
        <v>77</v>
      </c>
      <c r="T10" s="564" t="s">
        <v>77</v>
      </c>
      <c r="U10" s="530" t="s">
        <v>97</v>
      </c>
      <c r="V10" s="596"/>
      <c r="W10" s="592"/>
      <c r="X10" s="593"/>
      <c r="Y10" s="401" t="s">
        <v>95</v>
      </c>
      <c r="Z10" s="610" t="s">
        <v>77</v>
      </c>
      <c r="AA10" s="1453"/>
      <c r="AB10" s="608"/>
      <c r="AC10" s="608"/>
      <c r="AD10" s="608"/>
      <c r="AE10" s="564" t="s">
        <v>80</v>
      </c>
      <c r="AF10" s="564"/>
      <c r="AG10" s="608">
        <f>80*25</f>
        <v>2000</v>
      </c>
      <c r="AH10" s="608"/>
      <c r="AI10" s="608"/>
      <c r="AJ10" s="608"/>
      <c r="AK10" s="609">
        <f>AG10</f>
        <v>2000</v>
      </c>
      <c r="AL10" s="401"/>
      <c r="AM10" s="609"/>
      <c r="AN10" s="609"/>
      <c r="AO10" s="609">
        <f>AG10</f>
        <v>2000</v>
      </c>
      <c r="AP10" s="609"/>
      <c r="AQ10" s="609"/>
      <c r="AR10" s="609"/>
      <c r="AS10" s="609"/>
      <c r="AT10" s="633"/>
      <c r="AU10" s="633"/>
      <c r="AV10" s="633"/>
      <c r="AW10" s="633"/>
      <c r="AX10" s="633"/>
      <c r="AY10" s="633"/>
      <c r="AZ10" s="633"/>
      <c r="BA10" s="633">
        <v>80</v>
      </c>
      <c r="BD10" s="633"/>
      <c r="BE10" s="633"/>
      <c r="BF10" s="633"/>
      <c r="BG10" s="633"/>
      <c r="BH10" s="633"/>
      <c r="BI10" s="633"/>
      <c r="BJ10" s="633"/>
      <c r="BK10" s="633"/>
      <c r="BL10" s="633"/>
      <c r="BM10" s="201">
        <f t="shared" si="2"/>
        <v>2000</v>
      </c>
      <c r="BN10" s="199"/>
      <c r="BO10" s="1473"/>
      <c r="BP10" s="1473"/>
      <c r="BQ10" s="3"/>
      <c r="BR10" s="199"/>
    </row>
    <row r="11" s="3" customFormat="1" ht="36" customHeight="1" spans="1:70">
      <c r="A11" s="74">
        <v>45293</v>
      </c>
      <c r="B11" s="75" t="s">
        <v>70</v>
      </c>
      <c r="C11" s="76" t="s">
        <v>71</v>
      </c>
      <c r="D11" s="77" t="s">
        <v>98</v>
      </c>
      <c r="E11" s="114"/>
      <c r="F11" s="77"/>
      <c r="G11" s="23" t="s">
        <v>73</v>
      </c>
      <c r="H11" s="24" t="s">
        <v>74</v>
      </c>
      <c r="I11" s="88" t="s">
        <v>99</v>
      </c>
      <c r="J11" s="89">
        <v>0</v>
      </c>
      <c r="K11" s="23">
        <v>24</v>
      </c>
      <c r="L11" s="88">
        <v>1</v>
      </c>
      <c r="M11" s="90">
        <v>45307</v>
      </c>
      <c r="N11" s="90">
        <v>45303</v>
      </c>
      <c r="O11" s="91"/>
      <c r="P11" s="564" t="s">
        <v>75</v>
      </c>
      <c r="Q11" s="91" t="s">
        <v>87</v>
      </c>
      <c r="R11" s="91" t="s">
        <v>76</v>
      </c>
      <c r="S11" s="91" t="s">
        <v>77</v>
      </c>
      <c r="T11" s="91" t="s">
        <v>77</v>
      </c>
      <c r="U11" s="114" t="s">
        <v>100</v>
      </c>
      <c r="V11" s="139"/>
      <c r="W11" s="116"/>
      <c r="X11" s="117"/>
      <c r="Y11" s="88" t="s">
        <v>101</v>
      </c>
      <c r="Z11" s="153" t="s">
        <v>77</v>
      </c>
      <c r="AA11" s="154"/>
      <c r="AB11" s="155"/>
      <c r="AC11" s="155"/>
      <c r="AD11" s="155"/>
      <c r="AE11" s="91" t="s">
        <v>80</v>
      </c>
      <c r="AF11" s="91"/>
      <c r="AG11" s="155">
        <v>150</v>
      </c>
      <c r="AH11" s="155"/>
      <c r="AI11" s="155"/>
      <c r="AJ11" s="155"/>
      <c r="AK11" s="175"/>
      <c r="AL11" s="88"/>
      <c r="AM11" s="175"/>
      <c r="AN11" s="175"/>
      <c r="AO11" s="175"/>
      <c r="AP11" s="175"/>
      <c r="AQ11" s="175"/>
      <c r="AR11" s="175"/>
      <c r="AS11" s="175"/>
      <c r="AT11" s="181"/>
      <c r="AU11" s="181"/>
      <c r="AV11" s="181"/>
      <c r="AW11" s="181"/>
      <c r="AX11" s="181"/>
      <c r="AY11" s="181"/>
      <c r="AZ11" s="181"/>
      <c r="BA11" s="181"/>
      <c r="BB11" s="181"/>
      <c r="BC11" s="181"/>
      <c r="BD11" s="181"/>
      <c r="BE11" s="181"/>
      <c r="BF11" s="181"/>
      <c r="BG11" s="181"/>
      <c r="BH11" s="181"/>
      <c r="BI11" s="181"/>
      <c r="BJ11" s="181"/>
      <c r="BK11" s="181"/>
      <c r="BL11" s="181"/>
      <c r="BM11" s="201">
        <f t="shared" si="2"/>
        <v>150</v>
      </c>
      <c r="BN11" s="199"/>
      <c r="BO11" s="196"/>
      <c r="BP11" s="196"/>
      <c r="BR11" s="199"/>
    </row>
    <row r="12" s="200" customFormat="1" ht="36" customHeight="1" spans="1:71">
      <c r="A12" s="533">
        <v>45302</v>
      </c>
      <c r="B12" s="527" t="s">
        <v>70</v>
      </c>
      <c r="C12" s="528" t="s">
        <v>71</v>
      </c>
      <c r="D12" s="534" t="s">
        <v>102</v>
      </c>
      <c r="E12" s="530"/>
      <c r="F12" s="534"/>
      <c r="G12" s="531" t="s">
        <v>73</v>
      </c>
      <c r="H12" s="532" t="s">
        <v>74</v>
      </c>
      <c r="I12" s="401">
        <v>1400</v>
      </c>
      <c r="J12" s="562">
        <v>0</v>
      </c>
      <c r="K12" s="531">
        <v>24</v>
      </c>
      <c r="L12" s="401">
        <f t="shared" ref="L12:L75" si="3">I12/K12</f>
        <v>58.3333333333333</v>
      </c>
      <c r="M12" s="563">
        <v>45314</v>
      </c>
      <c r="N12" s="563">
        <v>45310</v>
      </c>
      <c r="O12" s="564"/>
      <c r="P12" s="564" t="s">
        <v>75</v>
      </c>
      <c r="Q12" s="564"/>
      <c r="R12" s="564" t="s">
        <v>76</v>
      </c>
      <c r="S12" s="564" t="s">
        <v>77</v>
      </c>
      <c r="T12" s="564" t="s">
        <v>77</v>
      </c>
      <c r="U12" s="530" t="s">
        <v>103</v>
      </c>
      <c r="V12" s="596"/>
      <c r="W12" s="592"/>
      <c r="X12" s="593"/>
      <c r="Y12" s="401" t="s">
        <v>104</v>
      </c>
      <c r="Z12" s="610" t="s">
        <v>77</v>
      </c>
      <c r="AA12" s="1453"/>
      <c r="AB12" s="608"/>
      <c r="AC12" s="608"/>
      <c r="AD12" s="608"/>
      <c r="AE12" s="564" t="s">
        <v>80</v>
      </c>
      <c r="AF12" s="564"/>
      <c r="AG12" s="608"/>
      <c r="AH12" s="608"/>
      <c r="AI12" s="608"/>
      <c r="AJ12" s="608"/>
      <c r="AK12" s="609"/>
      <c r="AL12" s="401"/>
      <c r="AM12" s="609"/>
      <c r="AN12" s="609"/>
      <c r="AO12" s="609"/>
      <c r="AP12" s="609"/>
      <c r="AQ12" s="609"/>
      <c r="AR12" s="609"/>
      <c r="AS12" s="609"/>
      <c r="AT12" s="633"/>
      <c r="AU12" s="633"/>
      <c r="AV12" s="633"/>
      <c r="AW12" s="633"/>
      <c r="AX12" s="633"/>
      <c r="AY12" s="633"/>
      <c r="AZ12" s="633"/>
      <c r="BA12" s="633"/>
      <c r="BB12" s="633"/>
      <c r="BC12" s="633"/>
      <c r="BD12" s="633"/>
      <c r="BE12" s="633"/>
      <c r="BF12" s="633"/>
      <c r="BG12" s="633"/>
      <c r="BH12" s="633"/>
      <c r="BI12" s="633"/>
      <c r="BJ12" s="633"/>
      <c r="BK12" s="633"/>
      <c r="BL12" s="633"/>
      <c r="BM12" s="201">
        <f t="shared" si="2"/>
        <v>0</v>
      </c>
      <c r="BN12" s="199"/>
      <c r="BO12" s="1473"/>
      <c r="BP12" s="1473"/>
      <c r="BQ12" s="3"/>
      <c r="BR12" s="199"/>
      <c r="BS12" s="3"/>
    </row>
    <row r="13" s="200" customFormat="1" ht="36" customHeight="1" spans="1:71">
      <c r="A13" s="533">
        <v>45302</v>
      </c>
      <c r="B13" s="527" t="s">
        <v>70</v>
      </c>
      <c r="C13" s="528" t="s">
        <v>71</v>
      </c>
      <c r="D13" s="534" t="s">
        <v>102</v>
      </c>
      <c r="E13" s="530"/>
      <c r="F13" s="534"/>
      <c r="G13" s="531" t="s">
        <v>73</v>
      </c>
      <c r="H13" s="532" t="s">
        <v>74</v>
      </c>
      <c r="I13" s="401">
        <v>800</v>
      </c>
      <c r="J13" s="562">
        <v>0</v>
      </c>
      <c r="K13" s="531">
        <v>24</v>
      </c>
      <c r="L13" s="401">
        <f t="shared" si="3"/>
        <v>33.3333333333333</v>
      </c>
      <c r="M13" s="563">
        <v>45314</v>
      </c>
      <c r="N13" s="563">
        <v>45310</v>
      </c>
      <c r="O13" s="564"/>
      <c r="P13" s="564" t="s">
        <v>75</v>
      </c>
      <c r="Q13" s="564"/>
      <c r="R13" s="564" t="s">
        <v>76</v>
      </c>
      <c r="S13" s="564" t="s">
        <v>77</v>
      </c>
      <c r="T13" s="564" t="s">
        <v>77</v>
      </c>
      <c r="U13" s="530" t="s">
        <v>105</v>
      </c>
      <c r="V13" s="596"/>
      <c r="W13" s="592"/>
      <c r="X13" s="593"/>
      <c r="Y13" s="401" t="s">
        <v>104</v>
      </c>
      <c r="Z13" s="610" t="s">
        <v>77</v>
      </c>
      <c r="AA13" s="1453"/>
      <c r="AB13" s="608"/>
      <c r="AC13" s="608"/>
      <c r="AD13" s="608"/>
      <c r="AE13" s="564" t="s">
        <v>80</v>
      </c>
      <c r="AF13" s="564"/>
      <c r="AG13" s="608"/>
      <c r="AH13" s="608"/>
      <c r="AI13" s="608"/>
      <c r="AJ13" s="608"/>
      <c r="AK13" s="609"/>
      <c r="AL13" s="401"/>
      <c r="AM13" s="609"/>
      <c r="AN13" s="609"/>
      <c r="AO13" s="609"/>
      <c r="AP13" s="609"/>
      <c r="AQ13" s="609"/>
      <c r="AR13" s="609"/>
      <c r="AS13" s="609"/>
      <c r="AT13" s="633"/>
      <c r="AU13" s="633"/>
      <c r="AV13" s="633"/>
      <c r="AW13" s="633"/>
      <c r="AX13" s="633"/>
      <c r="AY13" s="633"/>
      <c r="AZ13" s="633"/>
      <c r="BA13" s="633"/>
      <c r="BB13" s="633"/>
      <c r="BC13" s="633"/>
      <c r="BD13" s="633"/>
      <c r="BE13" s="633"/>
      <c r="BF13" s="633"/>
      <c r="BG13" s="633"/>
      <c r="BH13" s="633"/>
      <c r="BI13" s="633"/>
      <c r="BJ13" s="633"/>
      <c r="BK13" s="633"/>
      <c r="BL13" s="633"/>
      <c r="BM13" s="201">
        <f t="shared" si="2"/>
        <v>0</v>
      </c>
      <c r="BN13" s="199"/>
      <c r="BO13" s="1473"/>
      <c r="BP13" s="1473"/>
      <c r="BQ13" s="3"/>
      <c r="BR13" s="199"/>
      <c r="BS13" s="3"/>
    </row>
    <row r="14" s="200" customFormat="1" ht="36" customHeight="1" spans="1:71">
      <c r="A14" s="533">
        <v>45315</v>
      </c>
      <c r="B14" s="527" t="s">
        <v>70</v>
      </c>
      <c r="C14" s="528" t="s">
        <v>71</v>
      </c>
      <c r="D14" s="534" t="s">
        <v>106</v>
      </c>
      <c r="E14" s="530"/>
      <c r="F14" s="534"/>
      <c r="G14" s="531" t="s">
        <v>107</v>
      </c>
      <c r="H14" s="532" t="s">
        <v>74</v>
      </c>
      <c r="I14" s="511" t="s">
        <v>108</v>
      </c>
      <c r="J14" s="562">
        <v>0</v>
      </c>
      <c r="K14" s="531">
        <v>30</v>
      </c>
      <c r="L14" s="401" t="e">
        <f t="shared" si="3"/>
        <v>#VALUE!</v>
      </c>
      <c r="M14" s="563">
        <v>45348</v>
      </c>
      <c r="N14" s="563" t="s">
        <v>109</v>
      </c>
      <c r="O14" s="564"/>
      <c r="P14" s="564"/>
      <c r="Q14" s="564" t="s">
        <v>110</v>
      </c>
      <c r="R14" s="564" t="s">
        <v>76</v>
      </c>
      <c r="S14" s="564" t="s">
        <v>77</v>
      </c>
      <c r="T14" s="564" t="s">
        <v>77</v>
      </c>
      <c r="U14" s="530" t="s">
        <v>111</v>
      </c>
      <c r="V14" s="596"/>
      <c r="W14" s="592"/>
      <c r="X14" s="593"/>
      <c r="Y14" s="401" t="s">
        <v>112</v>
      </c>
      <c r="Z14" s="610" t="s">
        <v>77</v>
      </c>
      <c r="AA14" s="1453"/>
      <c r="AB14" s="608"/>
      <c r="AC14" s="608"/>
      <c r="AD14" s="608"/>
      <c r="AE14" s="564" t="s">
        <v>80</v>
      </c>
      <c r="AF14" s="564"/>
      <c r="AG14" s="608">
        <f>5*30</f>
        <v>150</v>
      </c>
      <c r="AH14" s="608"/>
      <c r="AI14" s="608"/>
      <c r="AJ14" s="608"/>
      <c r="AK14" s="609"/>
      <c r="AL14" s="609"/>
      <c r="AM14" s="609"/>
      <c r="AN14" s="609"/>
      <c r="AO14" s="609"/>
      <c r="AP14" s="609"/>
      <c r="AQ14" s="609"/>
      <c r="AR14" s="609"/>
      <c r="AS14" s="609"/>
      <c r="AT14" s="633"/>
      <c r="AU14" s="633"/>
      <c r="AV14" s="633"/>
      <c r="AW14" s="633"/>
      <c r="AX14" s="633"/>
      <c r="AY14" s="633"/>
      <c r="AZ14" s="633"/>
      <c r="BA14" s="633"/>
      <c r="BB14" s="633"/>
      <c r="BC14" s="633"/>
      <c r="BE14" s="401"/>
      <c r="BF14" s="633">
        <f>5</f>
        <v>5</v>
      </c>
      <c r="BG14" s="401"/>
      <c r="BH14" s="401">
        <f>BF14</f>
        <v>5</v>
      </c>
      <c r="BI14" s="401"/>
      <c r="BJ14" s="633"/>
      <c r="BK14" s="633"/>
      <c r="BL14" s="633"/>
      <c r="BM14" s="201">
        <f t="shared" si="2"/>
        <v>150</v>
      </c>
      <c r="BN14" s="199"/>
      <c r="BO14" s="1473"/>
      <c r="BP14" s="1473"/>
      <c r="BQ14" s="3"/>
      <c r="BR14" s="199"/>
      <c r="BS14" s="3"/>
    </row>
    <row r="15" s="3" customFormat="1" ht="36" customHeight="1" spans="1:71">
      <c r="A15" s="74">
        <v>45317</v>
      </c>
      <c r="B15" s="75" t="s">
        <v>70</v>
      </c>
      <c r="C15" s="76" t="s">
        <v>71</v>
      </c>
      <c r="D15" s="77" t="s">
        <v>113</v>
      </c>
      <c r="E15" s="114"/>
      <c r="F15" s="77"/>
      <c r="G15" s="23" t="s">
        <v>73</v>
      </c>
      <c r="H15" s="24" t="s">
        <v>74</v>
      </c>
      <c r="I15" s="88" t="s">
        <v>114</v>
      </c>
      <c r="J15" s="89">
        <v>0</v>
      </c>
      <c r="K15" s="23">
        <v>24</v>
      </c>
      <c r="L15" s="88" t="e">
        <f t="shared" si="3"/>
        <v>#VALUE!</v>
      </c>
      <c r="M15" s="90">
        <v>45351</v>
      </c>
      <c r="N15" s="90">
        <v>45348</v>
      </c>
      <c r="O15" s="91"/>
      <c r="P15" s="91"/>
      <c r="Q15" s="91"/>
      <c r="R15" s="91" t="s">
        <v>76</v>
      </c>
      <c r="S15" s="91" t="s">
        <v>77</v>
      </c>
      <c r="T15" s="91" t="s">
        <v>77</v>
      </c>
      <c r="U15" s="114" t="s">
        <v>115</v>
      </c>
      <c r="V15" s="139"/>
      <c r="W15" s="116"/>
      <c r="X15" s="117"/>
      <c r="Y15" s="189"/>
      <c r="Z15" s="153" t="s">
        <v>77</v>
      </c>
      <c r="AA15" s="154"/>
      <c r="AB15" s="155"/>
      <c r="AC15" s="155"/>
      <c r="AD15" s="155"/>
      <c r="AE15" s="91" t="s">
        <v>80</v>
      </c>
      <c r="AF15" s="91"/>
      <c r="AG15" s="155">
        <v>200</v>
      </c>
      <c r="AH15" s="155"/>
      <c r="AI15" s="155"/>
      <c r="AJ15" s="155"/>
      <c r="AK15" s="175"/>
      <c r="AL15" s="175"/>
      <c r="AM15" s="1458"/>
      <c r="AN15" s="1458"/>
      <c r="AO15" s="175"/>
      <c r="AP15" s="175"/>
      <c r="AQ15" s="175"/>
      <c r="AR15" s="175"/>
      <c r="AS15" s="175"/>
      <c r="AT15" s="181"/>
      <c r="AU15" s="181"/>
      <c r="AV15" s="181"/>
      <c r="AW15" s="88"/>
      <c r="AX15" s="181"/>
      <c r="AY15" s="181"/>
      <c r="AZ15" s="181"/>
      <c r="BA15" s="181"/>
      <c r="BB15" s="181"/>
      <c r="BC15" s="181"/>
      <c r="BD15" s="181"/>
      <c r="BE15" s="181"/>
      <c r="BF15" s="181"/>
      <c r="BG15" s="181"/>
      <c r="BH15" s="181"/>
      <c r="BI15" s="181"/>
      <c r="BJ15" s="181"/>
      <c r="BK15" s="181"/>
      <c r="BL15" s="181"/>
      <c r="BM15" s="201">
        <f t="shared" si="2"/>
        <v>200</v>
      </c>
      <c r="BN15" s="199">
        <f>BN14+BM15</f>
        <v>200</v>
      </c>
      <c r="BO15" s="196">
        <f>$BO$3-BN15</f>
        <v>-200</v>
      </c>
      <c r="BP15" s="196"/>
      <c r="BQ15" s="3">
        <f>AS15+AT15+BA15+BB15</f>
        <v>0</v>
      </c>
      <c r="BR15" s="199">
        <f>BR14+BQ15</f>
        <v>0</v>
      </c>
      <c r="BS15" s="3">
        <f>$BS$3-BR15</f>
        <v>0</v>
      </c>
    </row>
    <row r="16" s="200" customFormat="1" ht="36" customHeight="1" spans="1:68">
      <c r="A16" s="533">
        <v>45254</v>
      </c>
      <c r="B16" s="527" t="s">
        <v>116</v>
      </c>
      <c r="C16" s="528" t="s">
        <v>117</v>
      </c>
      <c r="D16" s="534">
        <v>4500119549</v>
      </c>
      <c r="E16" s="530" t="s">
        <v>118</v>
      </c>
      <c r="F16" s="534" t="s">
        <v>119</v>
      </c>
      <c r="G16" s="531" t="s">
        <v>120</v>
      </c>
      <c r="H16" s="532" t="s">
        <v>74</v>
      </c>
      <c r="I16" s="401">
        <v>24465</v>
      </c>
      <c r="J16" s="562">
        <v>0</v>
      </c>
      <c r="K16" s="531">
        <v>21</v>
      </c>
      <c r="L16" s="401">
        <f t="shared" si="3"/>
        <v>1165</v>
      </c>
      <c r="M16" s="563">
        <v>45320</v>
      </c>
      <c r="N16" s="563">
        <v>45316</v>
      </c>
      <c r="O16" s="564"/>
      <c r="P16" s="564" t="s">
        <v>121</v>
      </c>
      <c r="Q16" s="564" t="s">
        <v>122</v>
      </c>
      <c r="R16" s="564">
        <v>45654</v>
      </c>
      <c r="S16" s="564" t="s">
        <v>123</v>
      </c>
      <c r="T16" s="564" t="s">
        <v>124</v>
      </c>
      <c r="U16" s="530" t="s">
        <v>125</v>
      </c>
      <c r="V16" s="596" t="s">
        <v>126</v>
      </c>
      <c r="W16" s="592">
        <v>1.75</v>
      </c>
      <c r="X16" s="593">
        <f t="shared" ref="X16:X42" si="4">I16*W16</f>
        <v>42813.75</v>
      </c>
      <c r="Y16" s="401" t="s">
        <v>127</v>
      </c>
      <c r="Z16" s="531" t="s">
        <v>120</v>
      </c>
      <c r="AA16" s="1453" t="s">
        <v>128</v>
      </c>
      <c r="AB16" s="608"/>
      <c r="AC16" s="608"/>
      <c r="AD16" s="608"/>
      <c r="AE16" s="564" t="s">
        <v>80</v>
      </c>
      <c r="AF16" s="564"/>
      <c r="AG16" s="608">
        <f t="shared" ref="AG16:AG79" si="5">I16</f>
        <v>24465</v>
      </c>
      <c r="AH16" s="608"/>
      <c r="AI16" s="608"/>
      <c r="AJ16" s="608"/>
      <c r="AK16" s="609">
        <f t="shared" ref="AK16:AK31" si="6">AG16</f>
        <v>24465</v>
      </c>
      <c r="AL16" s="609"/>
      <c r="AM16" s="609"/>
      <c r="AN16" s="609"/>
      <c r="AO16" s="609">
        <f t="shared" ref="AO16:AO52" si="7">AG16</f>
        <v>24465</v>
      </c>
      <c r="AP16" s="609"/>
      <c r="AQ16" s="609"/>
      <c r="AR16" s="609"/>
      <c r="AS16" s="609">
        <f t="shared" ref="AS16:AS22" si="8">I16/21</f>
        <v>1165</v>
      </c>
      <c r="AT16" s="633"/>
      <c r="AU16" s="633"/>
      <c r="AV16" s="633"/>
      <c r="AW16" s="633"/>
      <c r="AX16" s="633"/>
      <c r="AY16" s="633"/>
      <c r="AZ16" s="633"/>
      <c r="BA16" s="633"/>
      <c r="BB16" s="633"/>
      <c r="BC16" s="633"/>
      <c r="BD16" s="633"/>
      <c r="BE16" s="633"/>
      <c r="BF16" s="633"/>
      <c r="BG16" s="633"/>
      <c r="BH16" s="633"/>
      <c r="BI16" s="633"/>
      <c r="BJ16" s="633"/>
      <c r="BK16" s="633"/>
      <c r="BL16" s="633"/>
      <c r="BM16" s="401">
        <f t="shared" si="2"/>
        <v>24465</v>
      </c>
      <c r="BO16" s="1473"/>
      <c r="BP16" s="1473"/>
    </row>
    <row r="17" s="200" customFormat="1" ht="36" customHeight="1" spans="1:68">
      <c r="A17" s="533">
        <v>45254</v>
      </c>
      <c r="B17" s="527" t="s">
        <v>116</v>
      </c>
      <c r="C17" s="528" t="s">
        <v>117</v>
      </c>
      <c r="D17" s="534">
        <v>4500119550</v>
      </c>
      <c r="E17" s="530" t="s">
        <v>129</v>
      </c>
      <c r="F17" s="534" t="s">
        <v>130</v>
      </c>
      <c r="G17" s="531" t="s">
        <v>120</v>
      </c>
      <c r="H17" s="532" t="s">
        <v>74</v>
      </c>
      <c r="I17" s="401">
        <v>35532</v>
      </c>
      <c r="J17" s="562">
        <v>0</v>
      </c>
      <c r="K17" s="531">
        <v>21</v>
      </c>
      <c r="L17" s="401">
        <f t="shared" si="3"/>
        <v>1692</v>
      </c>
      <c r="M17" s="563">
        <v>45320</v>
      </c>
      <c r="N17" s="563">
        <v>45316</v>
      </c>
      <c r="O17" s="564"/>
      <c r="P17" s="564" t="s">
        <v>92</v>
      </c>
      <c r="Q17" s="564" t="s">
        <v>122</v>
      </c>
      <c r="R17" s="564">
        <v>45654</v>
      </c>
      <c r="S17" s="564" t="s">
        <v>123</v>
      </c>
      <c r="T17" s="564" t="s">
        <v>124</v>
      </c>
      <c r="U17" s="530" t="s">
        <v>125</v>
      </c>
      <c r="V17" s="596" t="s">
        <v>126</v>
      </c>
      <c r="W17" s="592">
        <v>1.75</v>
      </c>
      <c r="X17" s="593">
        <f t="shared" si="4"/>
        <v>62181</v>
      </c>
      <c r="Y17" s="401" t="s">
        <v>131</v>
      </c>
      <c r="Z17" s="531" t="s">
        <v>120</v>
      </c>
      <c r="AA17" s="1453" t="s">
        <v>128</v>
      </c>
      <c r="AB17" s="608"/>
      <c r="AC17" s="608"/>
      <c r="AD17" s="608"/>
      <c r="AE17" s="564" t="s">
        <v>80</v>
      </c>
      <c r="AF17" s="564"/>
      <c r="AG17" s="608">
        <f t="shared" si="5"/>
        <v>35532</v>
      </c>
      <c r="AH17" s="608"/>
      <c r="AI17" s="608"/>
      <c r="AJ17" s="608"/>
      <c r="AK17" s="609">
        <f t="shared" si="6"/>
        <v>35532</v>
      </c>
      <c r="AL17" s="609"/>
      <c r="AM17" s="609"/>
      <c r="AN17" s="609"/>
      <c r="AO17" s="609">
        <f t="shared" si="7"/>
        <v>35532</v>
      </c>
      <c r="AP17" s="609"/>
      <c r="AQ17" s="609"/>
      <c r="AR17" s="609"/>
      <c r="AS17" s="609">
        <f t="shared" si="8"/>
        <v>1692</v>
      </c>
      <c r="AT17" s="633"/>
      <c r="AU17" s="633"/>
      <c r="AV17" s="633"/>
      <c r="AW17" s="633"/>
      <c r="AX17" s="633"/>
      <c r="AY17" s="633"/>
      <c r="AZ17" s="633"/>
      <c r="BA17" s="633"/>
      <c r="BB17" s="633"/>
      <c r="BC17" s="633"/>
      <c r="BD17" s="633"/>
      <c r="BE17" s="633"/>
      <c r="BF17" s="633"/>
      <c r="BG17" s="633"/>
      <c r="BH17" s="633"/>
      <c r="BI17" s="633"/>
      <c r="BJ17" s="633"/>
      <c r="BK17" s="633"/>
      <c r="BL17" s="633"/>
      <c r="BM17" s="401">
        <f t="shared" si="2"/>
        <v>35532</v>
      </c>
      <c r="BO17" s="1473"/>
      <c r="BP17" s="1473"/>
    </row>
    <row r="18" s="200" customFormat="1" ht="36" customHeight="1" spans="1:68">
      <c r="A18" s="533">
        <v>45254</v>
      </c>
      <c r="B18" s="527" t="s">
        <v>116</v>
      </c>
      <c r="C18" s="528" t="s">
        <v>117</v>
      </c>
      <c r="D18" s="534">
        <v>4500119551</v>
      </c>
      <c r="E18" s="530" t="s">
        <v>132</v>
      </c>
      <c r="F18" s="534" t="s">
        <v>133</v>
      </c>
      <c r="G18" s="531" t="s">
        <v>120</v>
      </c>
      <c r="H18" s="532" t="s">
        <v>74</v>
      </c>
      <c r="I18" s="401">
        <v>38955</v>
      </c>
      <c r="J18" s="562">
        <v>0</v>
      </c>
      <c r="K18" s="531">
        <v>21</v>
      </c>
      <c r="L18" s="401">
        <f t="shared" si="3"/>
        <v>1855</v>
      </c>
      <c r="M18" s="563">
        <v>45320</v>
      </c>
      <c r="N18" s="563">
        <v>45316</v>
      </c>
      <c r="O18" s="564"/>
      <c r="P18" s="564" t="s">
        <v>92</v>
      </c>
      <c r="Q18" s="564" t="s">
        <v>134</v>
      </c>
      <c r="R18" s="564">
        <v>45654</v>
      </c>
      <c r="S18" s="564" t="s">
        <v>123</v>
      </c>
      <c r="T18" s="564" t="s">
        <v>124</v>
      </c>
      <c r="U18" s="530" t="s">
        <v>135</v>
      </c>
      <c r="V18" s="596" t="s">
        <v>126</v>
      </c>
      <c r="W18" s="592">
        <v>1.75</v>
      </c>
      <c r="X18" s="593">
        <f t="shared" si="4"/>
        <v>68171.25</v>
      </c>
      <c r="Y18" s="401" t="s">
        <v>136</v>
      </c>
      <c r="Z18" s="531" t="s">
        <v>120</v>
      </c>
      <c r="AA18" s="1453" t="s">
        <v>128</v>
      </c>
      <c r="AB18" s="608"/>
      <c r="AC18" s="608"/>
      <c r="AD18" s="608"/>
      <c r="AE18" s="564" t="s">
        <v>80</v>
      </c>
      <c r="AF18" s="564"/>
      <c r="AG18" s="608">
        <f t="shared" si="5"/>
        <v>38955</v>
      </c>
      <c r="AH18" s="608"/>
      <c r="AI18" s="608"/>
      <c r="AJ18" s="608"/>
      <c r="AK18" s="609">
        <f t="shared" si="6"/>
        <v>38955</v>
      </c>
      <c r="AL18" s="609"/>
      <c r="AM18" s="609"/>
      <c r="AN18" s="609"/>
      <c r="AO18" s="609">
        <f t="shared" si="7"/>
        <v>38955</v>
      </c>
      <c r="AP18" s="609"/>
      <c r="AQ18" s="609"/>
      <c r="AR18" s="609"/>
      <c r="AS18" s="609">
        <f t="shared" si="8"/>
        <v>1855</v>
      </c>
      <c r="AT18" s="633"/>
      <c r="AU18" s="633"/>
      <c r="AV18" s="633"/>
      <c r="AW18" s="633"/>
      <c r="AX18" s="633"/>
      <c r="AY18" s="633"/>
      <c r="AZ18" s="633"/>
      <c r="BA18" s="633"/>
      <c r="BB18" s="633"/>
      <c r="BC18" s="633"/>
      <c r="BD18" s="633"/>
      <c r="BE18" s="633"/>
      <c r="BF18" s="633"/>
      <c r="BG18" s="633"/>
      <c r="BH18" s="633"/>
      <c r="BI18" s="633"/>
      <c r="BJ18" s="633"/>
      <c r="BK18" s="633"/>
      <c r="BL18" s="633"/>
      <c r="BM18" s="401">
        <f t="shared" si="2"/>
        <v>38955</v>
      </c>
      <c r="BO18" s="1473"/>
      <c r="BP18" s="1473"/>
    </row>
    <row r="19" s="200" customFormat="1" ht="36" customHeight="1" spans="1:68">
      <c r="A19" s="533">
        <v>45254</v>
      </c>
      <c r="B19" s="527" t="s">
        <v>116</v>
      </c>
      <c r="C19" s="528" t="s">
        <v>117</v>
      </c>
      <c r="D19" s="534">
        <v>4500119557</v>
      </c>
      <c r="E19" s="530" t="s">
        <v>137</v>
      </c>
      <c r="F19" s="534" t="s">
        <v>138</v>
      </c>
      <c r="G19" s="531" t="s">
        <v>120</v>
      </c>
      <c r="H19" s="532" t="s">
        <v>74</v>
      </c>
      <c r="I19" s="401">
        <v>45003</v>
      </c>
      <c r="J19" s="562">
        <v>0</v>
      </c>
      <c r="K19" s="531">
        <v>21</v>
      </c>
      <c r="L19" s="401">
        <f t="shared" si="3"/>
        <v>2143</v>
      </c>
      <c r="M19" s="563">
        <v>45321</v>
      </c>
      <c r="N19" s="563">
        <v>45317</v>
      </c>
      <c r="O19" s="564"/>
      <c r="P19" s="564" t="s">
        <v>92</v>
      </c>
      <c r="Q19" s="564" t="s">
        <v>134</v>
      </c>
      <c r="R19" s="564">
        <v>45654</v>
      </c>
      <c r="S19" s="564" t="s">
        <v>123</v>
      </c>
      <c r="T19" s="564" t="s">
        <v>124</v>
      </c>
      <c r="U19" s="530" t="s">
        <v>135</v>
      </c>
      <c r="V19" s="596" t="s">
        <v>126</v>
      </c>
      <c r="W19" s="592">
        <v>1.75</v>
      </c>
      <c r="X19" s="593">
        <f t="shared" si="4"/>
        <v>78755.25</v>
      </c>
      <c r="Y19" s="401" t="s">
        <v>139</v>
      </c>
      <c r="Z19" s="531" t="s">
        <v>120</v>
      </c>
      <c r="AA19" s="1453" t="s">
        <v>128</v>
      </c>
      <c r="AB19" s="608"/>
      <c r="AC19" s="608"/>
      <c r="AD19" s="608"/>
      <c r="AE19" s="564" t="s">
        <v>80</v>
      </c>
      <c r="AF19" s="564"/>
      <c r="AG19" s="608">
        <f t="shared" si="5"/>
        <v>45003</v>
      </c>
      <c r="AH19" s="608"/>
      <c r="AI19" s="608"/>
      <c r="AJ19" s="608"/>
      <c r="AK19" s="609">
        <f t="shared" si="6"/>
        <v>45003</v>
      </c>
      <c r="AL19" s="609"/>
      <c r="AM19" s="609"/>
      <c r="AN19" s="609"/>
      <c r="AO19" s="609">
        <f t="shared" si="7"/>
        <v>45003</v>
      </c>
      <c r="AP19" s="609"/>
      <c r="AQ19" s="609"/>
      <c r="AR19" s="609"/>
      <c r="AS19" s="609">
        <f t="shared" si="8"/>
        <v>2143</v>
      </c>
      <c r="AT19" s="633"/>
      <c r="AU19" s="633"/>
      <c r="AV19" s="633"/>
      <c r="AW19" s="633"/>
      <c r="AX19" s="633"/>
      <c r="AY19" s="633"/>
      <c r="AZ19" s="633"/>
      <c r="BA19" s="633"/>
      <c r="BB19" s="633"/>
      <c r="BC19" s="633"/>
      <c r="BD19" s="633"/>
      <c r="BE19" s="633"/>
      <c r="BF19" s="633"/>
      <c r="BG19" s="633"/>
      <c r="BH19" s="633"/>
      <c r="BI19" s="633"/>
      <c r="BJ19" s="633"/>
      <c r="BK19" s="633"/>
      <c r="BL19" s="633"/>
      <c r="BM19" s="401">
        <f t="shared" si="2"/>
        <v>45003</v>
      </c>
      <c r="BO19" s="1473"/>
      <c r="BP19" s="1473"/>
    </row>
    <row r="20" s="200" customFormat="1" ht="36" customHeight="1" spans="1:68">
      <c r="A20" s="533">
        <v>45254</v>
      </c>
      <c r="B20" s="527" t="s">
        <v>116</v>
      </c>
      <c r="C20" s="528" t="s">
        <v>117</v>
      </c>
      <c r="D20" s="534">
        <v>4500119555</v>
      </c>
      <c r="E20" s="530" t="s">
        <v>140</v>
      </c>
      <c r="F20" s="534" t="s">
        <v>141</v>
      </c>
      <c r="G20" s="531" t="s">
        <v>120</v>
      </c>
      <c r="H20" s="532" t="s">
        <v>74</v>
      </c>
      <c r="I20" s="401">
        <v>20013</v>
      </c>
      <c r="J20" s="562">
        <v>0</v>
      </c>
      <c r="K20" s="531">
        <v>21</v>
      </c>
      <c r="L20" s="401">
        <f t="shared" si="3"/>
        <v>953</v>
      </c>
      <c r="M20" s="563">
        <v>45320</v>
      </c>
      <c r="N20" s="563">
        <v>45316</v>
      </c>
      <c r="O20" s="564"/>
      <c r="P20" s="564" t="s">
        <v>92</v>
      </c>
      <c r="Q20" s="564" t="s">
        <v>142</v>
      </c>
      <c r="R20" s="564">
        <v>45654</v>
      </c>
      <c r="S20" s="564" t="s">
        <v>123</v>
      </c>
      <c r="T20" s="564" t="s">
        <v>124</v>
      </c>
      <c r="U20" s="530" t="s">
        <v>135</v>
      </c>
      <c r="V20" s="596" t="s">
        <v>126</v>
      </c>
      <c r="W20" s="592">
        <v>1.75</v>
      </c>
      <c r="X20" s="593">
        <f t="shared" si="4"/>
        <v>35022.75</v>
      </c>
      <c r="Y20" s="401" t="s">
        <v>143</v>
      </c>
      <c r="Z20" s="531" t="s">
        <v>120</v>
      </c>
      <c r="AA20" s="1453" t="s">
        <v>128</v>
      </c>
      <c r="AB20" s="608"/>
      <c r="AC20" s="608"/>
      <c r="AD20" s="608"/>
      <c r="AE20" s="564" t="s">
        <v>80</v>
      </c>
      <c r="AF20" s="564"/>
      <c r="AG20" s="608">
        <f t="shared" si="5"/>
        <v>20013</v>
      </c>
      <c r="AH20" s="608"/>
      <c r="AI20" s="608"/>
      <c r="AJ20" s="608"/>
      <c r="AK20" s="609">
        <f t="shared" si="6"/>
        <v>20013</v>
      </c>
      <c r="AL20" s="609"/>
      <c r="AM20" s="609"/>
      <c r="AN20" s="609"/>
      <c r="AO20" s="609">
        <f t="shared" si="7"/>
        <v>20013</v>
      </c>
      <c r="AP20" s="609"/>
      <c r="AQ20" s="609"/>
      <c r="AR20" s="609"/>
      <c r="AS20" s="609">
        <f t="shared" si="8"/>
        <v>953</v>
      </c>
      <c r="AT20" s="633"/>
      <c r="AU20" s="633"/>
      <c r="AV20" s="633"/>
      <c r="AW20" s="633"/>
      <c r="AX20" s="633"/>
      <c r="AY20" s="633"/>
      <c r="AZ20" s="633"/>
      <c r="BA20" s="633"/>
      <c r="BB20" s="633"/>
      <c r="BC20" s="633"/>
      <c r="BD20" s="633"/>
      <c r="BE20" s="633"/>
      <c r="BF20" s="633"/>
      <c r="BG20" s="633"/>
      <c r="BH20" s="633"/>
      <c r="BI20" s="633"/>
      <c r="BJ20" s="633"/>
      <c r="BK20" s="633"/>
      <c r="BL20" s="633"/>
      <c r="BM20" s="401">
        <f t="shared" si="2"/>
        <v>20013</v>
      </c>
      <c r="BO20" s="1473"/>
      <c r="BP20" s="1473"/>
    </row>
    <row r="21" s="200" customFormat="1" ht="36" customHeight="1" spans="1:68">
      <c r="A21" s="533">
        <v>45254</v>
      </c>
      <c r="B21" s="527" t="s">
        <v>116</v>
      </c>
      <c r="C21" s="528" t="s">
        <v>117</v>
      </c>
      <c r="D21" s="534">
        <v>4500119558</v>
      </c>
      <c r="E21" s="530" t="s">
        <v>144</v>
      </c>
      <c r="F21" s="534" t="s">
        <v>145</v>
      </c>
      <c r="G21" s="531" t="s">
        <v>120</v>
      </c>
      <c r="H21" s="532" t="s">
        <v>74</v>
      </c>
      <c r="I21" s="401">
        <v>29988</v>
      </c>
      <c r="J21" s="562">
        <v>0</v>
      </c>
      <c r="K21" s="531">
        <v>21</v>
      </c>
      <c r="L21" s="401">
        <f t="shared" si="3"/>
        <v>1428</v>
      </c>
      <c r="M21" s="563">
        <v>45320</v>
      </c>
      <c r="N21" s="563">
        <v>45316</v>
      </c>
      <c r="O21" s="564"/>
      <c r="P21" s="564" t="s">
        <v>92</v>
      </c>
      <c r="Q21" s="564" t="s">
        <v>142</v>
      </c>
      <c r="R21" s="564">
        <v>45654</v>
      </c>
      <c r="S21" s="564" t="s">
        <v>123</v>
      </c>
      <c r="T21" s="564" t="s">
        <v>124</v>
      </c>
      <c r="U21" s="530" t="s">
        <v>135</v>
      </c>
      <c r="V21" s="596" t="s">
        <v>126</v>
      </c>
      <c r="W21" s="592">
        <v>1.75</v>
      </c>
      <c r="X21" s="593">
        <f t="shared" si="4"/>
        <v>52479</v>
      </c>
      <c r="Y21" s="401" t="s">
        <v>146</v>
      </c>
      <c r="Z21" s="531" t="s">
        <v>120</v>
      </c>
      <c r="AA21" s="1453" t="s">
        <v>128</v>
      </c>
      <c r="AB21" s="608"/>
      <c r="AC21" s="608"/>
      <c r="AD21" s="608"/>
      <c r="AE21" s="564" t="s">
        <v>80</v>
      </c>
      <c r="AF21" s="564"/>
      <c r="AG21" s="608">
        <f t="shared" si="5"/>
        <v>29988</v>
      </c>
      <c r="AH21" s="608"/>
      <c r="AI21" s="608"/>
      <c r="AJ21" s="608"/>
      <c r="AK21" s="609">
        <f t="shared" si="6"/>
        <v>29988</v>
      </c>
      <c r="AL21" s="609"/>
      <c r="AM21" s="609"/>
      <c r="AN21" s="609"/>
      <c r="AO21" s="609">
        <f t="shared" si="7"/>
        <v>29988</v>
      </c>
      <c r="AP21" s="609"/>
      <c r="AQ21" s="609"/>
      <c r="AR21" s="609"/>
      <c r="AS21" s="609">
        <f t="shared" si="8"/>
        <v>1428</v>
      </c>
      <c r="AT21" s="633"/>
      <c r="AU21" s="633"/>
      <c r="AV21" s="633"/>
      <c r="AW21" s="633"/>
      <c r="AX21" s="633"/>
      <c r="AY21" s="633"/>
      <c r="AZ21" s="633"/>
      <c r="BA21" s="633"/>
      <c r="BB21" s="633"/>
      <c r="BC21" s="633"/>
      <c r="BD21" s="633"/>
      <c r="BE21" s="633"/>
      <c r="BF21" s="633"/>
      <c r="BG21" s="633"/>
      <c r="BH21" s="633"/>
      <c r="BI21" s="633"/>
      <c r="BJ21" s="633"/>
      <c r="BK21" s="633"/>
      <c r="BL21" s="633"/>
      <c r="BM21" s="401">
        <f t="shared" si="2"/>
        <v>29988</v>
      </c>
      <c r="BO21" s="1473"/>
      <c r="BP21" s="1473"/>
    </row>
    <row r="22" s="200" customFormat="1" ht="36" customHeight="1" spans="1:68">
      <c r="A22" s="533">
        <v>45254</v>
      </c>
      <c r="B22" s="527" t="s">
        <v>116</v>
      </c>
      <c r="C22" s="528" t="s">
        <v>117</v>
      </c>
      <c r="D22" s="534">
        <v>4500119553</v>
      </c>
      <c r="E22" s="530" t="s">
        <v>147</v>
      </c>
      <c r="F22" s="534" t="s">
        <v>148</v>
      </c>
      <c r="G22" s="531" t="s">
        <v>120</v>
      </c>
      <c r="H22" s="532" t="s">
        <v>74</v>
      </c>
      <c r="I22" s="401">
        <v>26040</v>
      </c>
      <c r="J22" s="562">
        <v>0</v>
      </c>
      <c r="K22" s="531">
        <v>21</v>
      </c>
      <c r="L22" s="401">
        <f t="shared" si="3"/>
        <v>1240</v>
      </c>
      <c r="M22" s="563">
        <v>45320</v>
      </c>
      <c r="N22" s="563">
        <v>45316</v>
      </c>
      <c r="O22" s="564"/>
      <c r="P22" s="564" t="s">
        <v>92</v>
      </c>
      <c r="Q22" s="564" t="s">
        <v>149</v>
      </c>
      <c r="R22" s="564">
        <v>45654</v>
      </c>
      <c r="S22" s="564" t="s">
        <v>123</v>
      </c>
      <c r="T22" s="564" t="s">
        <v>124</v>
      </c>
      <c r="U22" s="530" t="s">
        <v>135</v>
      </c>
      <c r="V22" s="596" t="s">
        <v>126</v>
      </c>
      <c r="W22" s="592">
        <v>1.75</v>
      </c>
      <c r="X22" s="593">
        <f t="shared" si="4"/>
        <v>45570</v>
      </c>
      <c r="Y22" s="401" t="s">
        <v>150</v>
      </c>
      <c r="Z22" s="531" t="s">
        <v>120</v>
      </c>
      <c r="AA22" s="1453" t="s">
        <v>128</v>
      </c>
      <c r="AB22" s="608"/>
      <c r="AC22" s="608"/>
      <c r="AD22" s="608"/>
      <c r="AE22" s="564" t="s">
        <v>80</v>
      </c>
      <c r="AF22" s="564"/>
      <c r="AG22" s="608">
        <f t="shared" si="5"/>
        <v>26040</v>
      </c>
      <c r="AH22" s="608"/>
      <c r="AI22" s="608"/>
      <c r="AJ22" s="608"/>
      <c r="AK22" s="609">
        <f t="shared" si="6"/>
        <v>26040</v>
      </c>
      <c r="AL22" s="609"/>
      <c r="AM22" s="609"/>
      <c r="AN22" s="609"/>
      <c r="AO22" s="609">
        <f t="shared" si="7"/>
        <v>26040</v>
      </c>
      <c r="AP22" s="609"/>
      <c r="AQ22" s="609"/>
      <c r="AR22" s="609"/>
      <c r="AS22" s="609">
        <f t="shared" si="8"/>
        <v>1240</v>
      </c>
      <c r="AT22" s="633"/>
      <c r="AU22" s="633"/>
      <c r="AV22" s="633"/>
      <c r="AW22" s="633"/>
      <c r="AX22" s="633"/>
      <c r="AY22" s="633"/>
      <c r="AZ22" s="633"/>
      <c r="BA22" s="633"/>
      <c r="BB22" s="633"/>
      <c r="BC22" s="633"/>
      <c r="BD22" s="633"/>
      <c r="BE22" s="633"/>
      <c r="BF22" s="633"/>
      <c r="BG22" s="633"/>
      <c r="BH22" s="633"/>
      <c r="BI22" s="633"/>
      <c r="BJ22" s="633"/>
      <c r="BK22" s="633"/>
      <c r="BL22" s="633"/>
      <c r="BM22" s="401">
        <f t="shared" si="2"/>
        <v>26040</v>
      </c>
      <c r="BO22" s="1473"/>
      <c r="BP22" s="1473"/>
    </row>
    <row r="23" s="200" customFormat="1" ht="36" customHeight="1" spans="1:68">
      <c r="A23" s="533">
        <v>45285</v>
      </c>
      <c r="B23" s="527" t="s">
        <v>151</v>
      </c>
      <c r="C23" s="528" t="s">
        <v>117</v>
      </c>
      <c r="D23" s="534">
        <v>4500122098</v>
      </c>
      <c r="E23" s="530"/>
      <c r="F23" s="534" t="s">
        <v>152</v>
      </c>
      <c r="G23" s="531" t="s">
        <v>73</v>
      </c>
      <c r="H23" s="532" t="s">
        <v>74</v>
      </c>
      <c r="I23" s="401">
        <v>9264</v>
      </c>
      <c r="J23" s="562">
        <v>0</v>
      </c>
      <c r="K23" s="531">
        <v>24</v>
      </c>
      <c r="L23" s="401">
        <f t="shared" si="3"/>
        <v>386</v>
      </c>
      <c r="M23" s="563">
        <v>45321</v>
      </c>
      <c r="N23" s="563">
        <v>45317</v>
      </c>
      <c r="O23" s="564"/>
      <c r="P23" s="564" t="s">
        <v>121</v>
      </c>
      <c r="Q23" s="564" t="s">
        <v>153</v>
      </c>
      <c r="R23" s="564" t="s">
        <v>154</v>
      </c>
      <c r="S23" s="564" t="s">
        <v>123</v>
      </c>
      <c r="T23" s="564">
        <v>45314</v>
      </c>
      <c r="U23" s="530" t="s">
        <v>155</v>
      </c>
      <c r="V23" s="596" t="s">
        <v>156</v>
      </c>
      <c r="W23" s="592">
        <v>1.19</v>
      </c>
      <c r="X23" s="593">
        <f t="shared" si="4"/>
        <v>11024.16</v>
      </c>
      <c r="Y23" s="401" t="s">
        <v>157</v>
      </c>
      <c r="Z23" s="531" t="s">
        <v>73</v>
      </c>
      <c r="AA23" s="1453" t="s">
        <v>128</v>
      </c>
      <c r="AB23" s="608"/>
      <c r="AC23" s="608"/>
      <c r="AD23" s="608"/>
      <c r="AE23" s="564" t="s">
        <v>80</v>
      </c>
      <c r="AF23" s="564"/>
      <c r="AG23" s="608">
        <f t="shared" si="5"/>
        <v>9264</v>
      </c>
      <c r="AH23" s="608"/>
      <c r="AI23" s="608"/>
      <c r="AJ23" s="608"/>
      <c r="AK23" s="609">
        <f t="shared" si="6"/>
        <v>9264</v>
      </c>
      <c r="AL23" s="401"/>
      <c r="AM23" s="609"/>
      <c r="AN23" s="609"/>
      <c r="AO23" s="609">
        <f t="shared" si="7"/>
        <v>9264</v>
      </c>
      <c r="AP23" s="609"/>
      <c r="AQ23" s="609"/>
      <c r="AR23" s="609"/>
      <c r="AS23" s="609"/>
      <c r="AT23" s="633"/>
      <c r="AU23" s="633"/>
      <c r="AV23" s="633"/>
      <c r="AW23" s="633"/>
      <c r="AX23" s="633"/>
      <c r="AY23" s="633"/>
      <c r="AZ23" s="633"/>
      <c r="BA23" s="633"/>
      <c r="BB23" s="633"/>
      <c r="BC23" s="633"/>
      <c r="BD23" s="633"/>
      <c r="BE23" s="633"/>
      <c r="BF23" s="633"/>
      <c r="BG23" s="633"/>
      <c r="BH23" s="633"/>
      <c r="BI23" s="633"/>
      <c r="BJ23" s="633"/>
      <c r="BK23" s="633"/>
      <c r="BL23" s="633"/>
      <c r="BM23" s="401">
        <f t="shared" si="2"/>
        <v>9264</v>
      </c>
      <c r="BO23" s="1473"/>
      <c r="BP23" s="1473"/>
    </row>
    <row r="24" s="200" customFormat="1" ht="36" customHeight="1" spans="1:68">
      <c r="A24" s="533">
        <v>45271</v>
      </c>
      <c r="B24" s="527" t="s">
        <v>158</v>
      </c>
      <c r="C24" s="528" t="s">
        <v>117</v>
      </c>
      <c r="D24" s="534">
        <v>4500120916</v>
      </c>
      <c r="E24" s="530">
        <v>215358810</v>
      </c>
      <c r="F24" s="534" t="s">
        <v>159</v>
      </c>
      <c r="G24" s="531" t="s">
        <v>160</v>
      </c>
      <c r="H24" s="532" t="s">
        <v>74</v>
      </c>
      <c r="I24" s="401">
        <v>416</v>
      </c>
      <c r="J24" s="562">
        <v>0</v>
      </c>
      <c r="K24" s="531">
        <v>13</v>
      </c>
      <c r="L24" s="401">
        <f t="shared" si="3"/>
        <v>32</v>
      </c>
      <c r="M24" s="563">
        <v>45321</v>
      </c>
      <c r="N24" s="563">
        <v>45317</v>
      </c>
      <c r="O24" s="564"/>
      <c r="P24" s="564" t="s">
        <v>92</v>
      </c>
      <c r="Q24" s="564" t="s">
        <v>161</v>
      </c>
      <c r="R24" s="564">
        <v>45647</v>
      </c>
      <c r="S24" s="564" t="s">
        <v>77</v>
      </c>
      <c r="T24" s="564" t="s">
        <v>77</v>
      </c>
      <c r="U24" s="530" t="s">
        <v>162</v>
      </c>
      <c r="V24" s="596" t="s">
        <v>163</v>
      </c>
      <c r="W24" s="592">
        <v>1.7</v>
      </c>
      <c r="X24" s="593">
        <f t="shared" si="4"/>
        <v>707.2</v>
      </c>
      <c r="Y24" s="401" t="s">
        <v>164</v>
      </c>
      <c r="Z24" s="531" t="s">
        <v>160</v>
      </c>
      <c r="AA24" s="1453" t="s">
        <v>128</v>
      </c>
      <c r="AB24" s="608"/>
      <c r="AC24" s="608"/>
      <c r="AD24" s="608"/>
      <c r="AE24" s="564" t="s">
        <v>80</v>
      </c>
      <c r="AF24" s="564"/>
      <c r="AG24" s="608">
        <f t="shared" si="5"/>
        <v>416</v>
      </c>
      <c r="AH24" s="608"/>
      <c r="AI24" s="608"/>
      <c r="AJ24" s="608"/>
      <c r="AK24" s="609">
        <f t="shared" si="6"/>
        <v>416</v>
      </c>
      <c r="AL24" s="609"/>
      <c r="AM24" s="609"/>
      <c r="AN24" s="609"/>
      <c r="AO24" s="609">
        <f t="shared" si="7"/>
        <v>416</v>
      </c>
      <c r="AP24" s="609"/>
      <c r="AQ24" s="609"/>
      <c r="AR24" s="609"/>
      <c r="AS24" s="609"/>
      <c r="AT24" s="633"/>
      <c r="AU24" s="633"/>
      <c r="AV24" s="633"/>
      <c r="AW24" s="633"/>
      <c r="AX24" s="633"/>
      <c r="AY24" s="633">
        <f t="shared" ref="AY24:AY31" si="9">I24/13</f>
        <v>32</v>
      </c>
      <c r="AZ24" s="633"/>
      <c r="BA24" s="633"/>
      <c r="BB24" s="633"/>
      <c r="BC24" s="633"/>
      <c r="BD24" s="633"/>
      <c r="BE24" s="633"/>
      <c r="BF24" s="633"/>
      <c r="BG24" s="633"/>
      <c r="BH24" s="633"/>
      <c r="BI24" s="633"/>
      <c r="BJ24" s="633"/>
      <c r="BK24" s="633"/>
      <c r="BL24" s="633"/>
      <c r="BM24" s="401">
        <f t="shared" si="2"/>
        <v>416</v>
      </c>
      <c r="BO24" s="1473"/>
      <c r="BP24" s="1473"/>
    </row>
    <row r="25" s="200" customFormat="1" ht="36" customHeight="1" spans="1:68">
      <c r="A25" s="533">
        <v>45271</v>
      </c>
      <c r="B25" s="527" t="s">
        <v>158</v>
      </c>
      <c r="C25" s="528" t="s">
        <v>117</v>
      </c>
      <c r="D25" s="534">
        <v>4500120919</v>
      </c>
      <c r="E25" s="530">
        <v>215358821</v>
      </c>
      <c r="F25" s="534" t="s">
        <v>165</v>
      </c>
      <c r="G25" s="531" t="s">
        <v>160</v>
      </c>
      <c r="H25" s="532" t="s">
        <v>74</v>
      </c>
      <c r="I25" s="401">
        <v>806</v>
      </c>
      <c r="J25" s="562">
        <v>0</v>
      </c>
      <c r="K25" s="531">
        <v>13</v>
      </c>
      <c r="L25" s="401">
        <f t="shared" si="3"/>
        <v>62</v>
      </c>
      <c r="M25" s="563">
        <v>45321</v>
      </c>
      <c r="N25" s="563">
        <v>45317</v>
      </c>
      <c r="O25" s="564"/>
      <c r="P25" s="564" t="s">
        <v>92</v>
      </c>
      <c r="Q25" s="564" t="s">
        <v>161</v>
      </c>
      <c r="R25" s="564">
        <v>45647</v>
      </c>
      <c r="S25" s="564" t="s">
        <v>77</v>
      </c>
      <c r="T25" s="564" t="s">
        <v>77</v>
      </c>
      <c r="U25" s="530" t="s">
        <v>162</v>
      </c>
      <c r="V25" s="596" t="s">
        <v>163</v>
      </c>
      <c r="W25" s="592">
        <v>1.7</v>
      </c>
      <c r="X25" s="593">
        <f t="shared" si="4"/>
        <v>1370.2</v>
      </c>
      <c r="Y25" s="401" t="s">
        <v>166</v>
      </c>
      <c r="Z25" s="531" t="s">
        <v>160</v>
      </c>
      <c r="AA25" s="1453" t="s">
        <v>128</v>
      </c>
      <c r="AB25" s="608"/>
      <c r="AC25" s="608"/>
      <c r="AD25" s="608"/>
      <c r="AE25" s="564" t="s">
        <v>80</v>
      </c>
      <c r="AF25" s="564"/>
      <c r="AG25" s="608">
        <f t="shared" si="5"/>
        <v>806</v>
      </c>
      <c r="AH25" s="608"/>
      <c r="AI25" s="608"/>
      <c r="AJ25" s="608"/>
      <c r="AK25" s="609">
        <f t="shared" si="6"/>
        <v>806</v>
      </c>
      <c r="AL25" s="609"/>
      <c r="AM25" s="609"/>
      <c r="AN25" s="609"/>
      <c r="AO25" s="609">
        <f t="shared" si="7"/>
        <v>806</v>
      </c>
      <c r="AP25" s="609"/>
      <c r="AQ25" s="609"/>
      <c r="AR25" s="609"/>
      <c r="AS25" s="609"/>
      <c r="AT25" s="633"/>
      <c r="AU25" s="633"/>
      <c r="AV25" s="633"/>
      <c r="AW25" s="633"/>
      <c r="AX25" s="633"/>
      <c r="AY25" s="633">
        <f t="shared" si="9"/>
        <v>62</v>
      </c>
      <c r="AZ25" s="633"/>
      <c r="BA25" s="633"/>
      <c r="BB25" s="633"/>
      <c r="BC25" s="633"/>
      <c r="BD25" s="633"/>
      <c r="BE25" s="633"/>
      <c r="BF25" s="633"/>
      <c r="BG25" s="633"/>
      <c r="BH25" s="633"/>
      <c r="BI25" s="633"/>
      <c r="BJ25" s="633"/>
      <c r="BK25" s="633"/>
      <c r="BL25" s="633"/>
      <c r="BM25" s="401">
        <f t="shared" si="2"/>
        <v>806</v>
      </c>
      <c r="BO25" s="1473"/>
      <c r="BP25" s="1473"/>
    </row>
    <row r="26" s="200" customFormat="1" ht="36" customHeight="1" spans="1:68">
      <c r="A26" s="533">
        <v>45271</v>
      </c>
      <c r="B26" s="527" t="s">
        <v>158</v>
      </c>
      <c r="C26" s="528" t="s">
        <v>117</v>
      </c>
      <c r="D26" s="534">
        <v>4500120905</v>
      </c>
      <c r="E26" s="530">
        <v>215358737</v>
      </c>
      <c r="F26" s="534" t="s">
        <v>167</v>
      </c>
      <c r="G26" s="531" t="s">
        <v>160</v>
      </c>
      <c r="H26" s="532" t="s">
        <v>74</v>
      </c>
      <c r="I26" s="401">
        <v>4017</v>
      </c>
      <c r="J26" s="562">
        <v>0</v>
      </c>
      <c r="K26" s="531">
        <v>13</v>
      </c>
      <c r="L26" s="401">
        <f t="shared" si="3"/>
        <v>309</v>
      </c>
      <c r="M26" s="563">
        <v>45321</v>
      </c>
      <c r="N26" s="563">
        <v>45317</v>
      </c>
      <c r="O26" s="564"/>
      <c r="P26" s="564" t="s">
        <v>92</v>
      </c>
      <c r="Q26" s="564" t="s">
        <v>161</v>
      </c>
      <c r="R26" s="564">
        <v>45647</v>
      </c>
      <c r="S26" s="564" t="s">
        <v>77</v>
      </c>
      <c r="T26" s="564" t="s">
        <v>77</v>
      </c>
      <c r="U26" s="530" t="s">
        <v>162</v>
      </c>
      <c r="V26" s="596" t="s">
        <v>163</v>
      </c>
      <c r="W26" s="592">
        <v>1.7</v>
      </c>
      <c r="X26" s="593">
        <f t="shared" si="4"/>
        <v>6828.9</v>
      </c>
      <c r="Y26" s="401" t="s">
        <v>168</v>
      </c>
      <c r="Z26" s="531" t="s">
        <v>160</v>
      </c>
      <c r="AA26" s="1453" t="s">
        <v>128</v>
      </c>
      <c r="AB26" s="608"/>
      <c r="AC26" s="608"/>
      <c r="AD26" s="608"/>
      <c r="AE26" s="564" t="s">
        <v>80</v>
      </c>
      <c r="AF26" s="564"/>
      <c r="AG26" s="608">
        <f t="shared" si="5"/>
        <v>4017</v>
      </c>
      <c r="AH26" s="608"/>
      <c r="AI26" s="608"/>
      <c r="AJ26" s="608"/>
      <c r="AK26" s="609">
        <f t="shared" si="6"/>
        <v>4017</v>
      </c>
      <c r="AL26" s="609"/>
      <c r="AM26" s="609"/>
      <c r="AN26" s="609"/>
      <c r="AO26" s="609">
        <f t="shared" si="7"/>
        <v>4017</v>
      </c>
      <c r="AP26" s="609"/>
      <c r="AQ26" s="609"/>
      <c r="AR26" s="609"/>
      <c r="AS26" s="609"/>
      <c r="AT26" s="633"/>
      <c r="AU26" s="633"/>
      <c r="AV26" s="633"/>
      <c r="AW26" s="633"/>
      <c r="AX26" s="633"/>
      <c r="AY26" s="633">
        <f t="shared" si="9"/>
        <v>309</v>
      </c>
      <c r="AZ26" s="633"/>
      <c r="BA26" s="633"/>
      <c r="BB26" s="633"/>
      <c r="BC26" s="633"/>
      <c r="BD26" s="633"/>
      <c r="BE26" s="633"/>
      <c r="BF26" s="633"/>
      <c r="BG26" s="633"/>
      <c r="BH26" s="633"/>
      <c r="BI26" s="633"/>
      <c r="BJ26" s="633"/>
      <c r="BK26" s="633"/>
      <c r="BL26" s="633"/>
      <c r="BM26" s="401">
        <f t="shared" si="2"/>
        <v>4017</v>
      </c>
      <c r="BO26" s="1473"/>
      <c r="BP26" s="1473"/>
    </row>
    <row r="27" s="200" customFormat="1" ht="36" customHeight="1" spans="1:68">
      <c r="A27" s="533">
        <v>45271</v>
      </c>
      <c r="B27" s="527" t="s">
        <v>158</v>
      </c>
      <c r="C27" s="528" t="s">
        <v>117</v>
      </c>
      <c r="D27" s="534">
        <v>4500120910</v>
      </c>
      <c r="E27" s="530">
        <v>215358772</v>
      </c>
      <c r="F27" s="534" t="s">
        <v>169</v>
      </c>
      <c r="G27" s="531" t="s">
        <v>160</v>
      </c>
      <c r="H27" s="532" t="s">
        <v>74</v>
      </c>
      <c r="I27" s="401">
        <v>1612</v>
      </c>
      <c r="J27" s="562">
        <v>0</v>
      </c>
      <c r="K27" s="531">
        <v>13</v>
      </c>
      <c r="L27" s="401">
        <f t="shared" si="3"/>
        <v>124</v>
      </c>
      <c r="M27" s="563">
        <v>45321</v>
      </c>
      <c r="N27" s="563">
        <v>45317</v>
      </c>
      <c r="O27" s="564"/>
      <c r="P27" s="564" t="s">
        <v>92</v>
      </c>
      <c r="Q27" s="564" t="s">
        <v>161</v>
      </c>
      <c r="R27" s="564">
        <v>45647</v>
      </c>
      <c r="S27" s="564" t="s">
        <v>77</v>
      </c>
      <c r="T27" s="564" t="s">
        <v>77</v>
      </c>
      <c r="U27" s="530" t="s">
        <v>162</v>
      </c>
      <c r="V27" s="596" t="s">
        <v>163</v>
      </c>
      <c r="W27" s="592">
        <v>1.7</v>
      </c>
      <c r="X27" s="593">
        <f t="shared" si="4"/>
        <v>2740.4</v>
      </c>
      <c r="Y27" s="401" t="s">
        <v>170</v>
      </c>
      <c r="Z27" s="531" t="s">
        <v>160</v>
      </c>
      <c r="AA27" s="1453" t="s">
        <v>128</v>
      </c>
      <c r="AB27" s="608"/>
      <c r="AC27" s="608"/>
      <c r="AD27" s="608"/>
      <c r="AE27" s="564" t="s">
        <v>80</v>
      </c>
      <c r="AF27" s="564"/>
      <c r="AG27" s="608">
        <f t="shared" si="5"/>
        <v>1612</v>
      </c>
      <c r="AH27" s="608"/>
      <c r="AI27" s="608"/>
      <c r="AJ27" s="608"/>
      <c r="AK27" s="609">
        <f t="shared" si="6"/>
        <v>1612</v>
      </c>
      <c r="AL27" s="609"/>
      <c r="AM27" s="609"/>
      <c r="AN27" s="609"/>
      <c r="AO27" s="609">
        <f t="shared" si="7"/>
        <v>1612</v>
      </c>
      <c r="AP27" s="609"/>
      <c r="AQ27" s="609"/>
      <c r="AR27" s="609"/>
      <c r="AS27" s="609"/>
      <c r="AT27" s="633"/>
      <c r="AU27" s="633"/>
      <c r="AV27" s="633"/>
      <c r="AW27" s="633"/>
      <c r="AX27" s="633"/>
      <c r="AY27" s="633">
        <f t="shared" si="9"/>
        <v>124</v>
      </c>
      <c r="AZ27" s="633"/>
      <c r="BA27" s="633"/>
      <c r="BB27" s="633"/>
      <c r="BC27" s="633"/>
      <c r="BD27" s="633"/>
      <c r="BE27" s="633"/>
      <c r="BF27" s="633"/>
      <c r="BG27" s="633"/>
      <c r="BH27" s="633"/>
      <c r="BI27" s="633"/>
      <c r="BJ27" s="633"/>
      <c r="BK27" s="633"/>
      <c r="BL27" s="633"/>
      <c r="BM27" s="401">
        <f t="shared" si="2"/>
        <v>1612</v>
      </c>
      <c r="BO27" s="1473"/>
      <c r="BP27" s="1473"/>
    </row>
    <row r="28" s="200" customFormat="1" ht="36" customHeight="1" spans="1:68">
      <c r="A28" s="533">
        <v>45271</v>
      </c>
      <c r="B28" s="527" t="s">
        <v>158</v>
      </c>
      <c r="C28" s="528" t="s">
        <v>117</v>
      </c>
      <c r="D28" s="534">
        <v>4500120915</v>
      </c>
      <c r="E28" s="530">
        <v>215358800</v>
      </c>
      <c r="F28" s="534" t="s">
        <v>171</v>
      </c>
      <c r="G28" s="531" t="s">
        <v>160</v>
      </c>
      <c r="H28" s="532" t="s">
        <v>74</v>
      </c>
      <c r="I28" s="401">
        <v>806</v>
      </c>
      <c r="J28" s="562">
        <v>0</v>
      </c>
      <c r="K28" s="531">
        <v>13</v>
      </c>
      <c r="L28" s="401">
        <f t="shared" si="3"/>
        <v>62</v>
      </c>
      <c r="M28" s="563">
        <v>45321</v>
      </c>
      <c r="N28" s="563">
        <v>45317</v>
      </c>
      <c r="O28" s="564"/>
      <c r="P28" s="564" t="s">
        <v>92</v>
      </c>
      <c r="Q28" s="564" t="s">
        <v>161</v>
      </c>
      <c r="R28" s="564">
        <v>45647</v>
      </c>
      <c r="S28" s="564" t="s">
        <v>77</v>
      </c>
      <c r="T28" s="564" t="s">
        <v>77</v>
      </c>
      <c r="U28" s="530" t="s">
        <v>162</v>
      </c>
      <c r="V28" s="596" t="s">
        <v>163</v>
      </c>
      <c r="W28" s="592">
        <v>1.7</v>
      </c>
      <c r="X28" s="593">
        <f t="shared" si="4"/>
        <v>1370.2</v>
      </c>
      <c r="Y28" s="401" t="s">
        <v>172</v>
      </c>
      <c r="Z28" s="531" t="s">
        <v>160</v>
      </c>
      <c r="AA28" s="1453" t="s">
        <v>128</v>
      </c>
      <c r="AB28" s="608"/>
      <c r="AC28" s="608"/>
      <c r="AD28" s="608"/>
      <c r="AE28" s="564" t="s">
        <v>80</v>
      </c>
      <c r="AF28" s="564"/>
      <c r="AG28" s="608">
        <f t="shared" si="5"/>
        <v>806</v>
      </c>
      <c r="AH28" s="608"/>
      <c r="AI28" s="608"/>
      <c r="AJ28" s="608"/>
      <c r="AK28" s="609">
        <f t="shared" si="6"/>
        <v>806</v>
      </c>
      <c r="AL28" s="609"/>
      <c r="AM28" s="609"/>
      <c r="AN28" s="609"/>
      <c r="AO28" s="609">
        <f t="shared" si="7"/>
        <v>806</v>
      </c>
      <c r="AP28" s="609"/>
      <c r="AQ28" s="609"/>
      <c r="AR28" s="609"/>
      <c r="AS28" s="609"/>
      <c r="AT28" s="633"/>
      <c r="AU28" s="633"/>
      <c r="AV28" s="633"/>
      <c r="AW28" s="633"/>
      <c r="AX28" s="633"/>
      <c r="AY28" s="633">
        <f t="shared" si="9"/>
        <v>62</v>
      </c>
      <c r="AZ28" s="633"/>
      <c r="BA28" s="633"/>
      <c r="BB28" s="633"/>
      <c r="BC28" s="633"/>
      <c r="BD28" s="633"/>
      <c r="BE28" s="633"/>
      <c r="BF28" s="633"/>
      <c r="BG28" s="633"/>
      <c r="BH28" s="633"/>
      <c r="BI28" s="633"/>
      <c r="BJ28" s="633"/>
      <c r="BK28" s="633"/>
      <c r="BL28" s="633"/>
      <c r="BM28" s="401">
        <f t="shared" si="2"/>
        <v>806</v>
      </c>
      <c r="BO28" s="1473"/>
      <c r="BP28" s="1473"/>
    </row>
    <row r="29" s="200" customFormat="1" ht="36" customHeight="1" spans="1:68">
      <c r="A29" s="533">
        <v>45271</v>
      </c>
      <c r="B29" s="527" t="s">
        <v>158</v>
      </c>
      <c r="C29" s="528" t="s">
        <v>117</v>
      </c>
      <c r="D29" s="534">
        <v>4500120914</v>
      </c>
      <c r="E29" s="530">
        <v>215358783</v>
      </c>
      <c r="F29" s="534" t="s">
        <v>173</v>
      </c>
      <c r="G29" s="531" t="s">
        <v>160</v>
      </c>
      <c r="H29" s="532" t="s">
        <v>74</v>
      </c>
      <c r="I29" s="401">
        <v>806</v>
      </c>
      <c r="J29" s="562">
        <v>0</v>
      </c>
      <c r="K29" s="531">
        <v>13</v>
      </c>
      <c r="L29" s="401">
        <f t="shared" si="3"/>
        <v>62</v>
      </c>
      <c r="M29" s="563">
        <v>45321</v>
      </c>
      <c r="N29" s="563">
        <v>45317</v>
      </c>
      <c r="O29" s="564"/>
      <c r="P29" s="564" t="s">
        <v>92</v>
      </c>
      <c r="Q29" s="564" t="s">
        <v>161</v>
      </c>
      <c r="R29" s="564">
        <v>45647</v>
      </c>
      <c r="S29" s="564" t="s">
        <v>77</v>
      </c>
      <c r="T29" s="564" t="s">
        <v>77</v>
      </c>
      <c r="U29" s="530" t="s">
        <v>162</v>
      </c>
      <c r="V29" s="596" t="s">
        <v>163</v>
      </c>
      <c r="W29" s="592">
        <v>1.7</v>
      </c>
      <c r="X29" s="593">
        <f t="shared" si="4"/>
        <v>1370.2</v>
      </c>
      <c r="Y29" s="401" t="s">
        <v>174</v>
      </c>
      <c r="Z29" s="531" t="s">
        <v>160</v>
      </c>
      <c r="AA29" s="1453" t="s">
        <v>128</v>
      </c>
      <c r="AB29" s="608"/>
      <c r="AC29" s="608"/>
      <c r="AD29" s="608"/>
      <c r="AE29" s="564" t="s">
        <v>80</v>
      </c>
      <c r="AF29" s="564"/>
      <c r="AG29" s="608">
        <f t="shared" si="5"/>
        <v>806</v>
      </c>
      <c r="AH29" s="608"/>
      <c r="AI29" s="608"/>
      <c r="AJ29" s="608"/>
      <c r="AK29" s="609">
        <f t="shared" si="6"/>
        <v>806</v>
      </c>
      <c r="AL29" s="609"/>
      <c r="AM29" s="609"/>
      <c r="AN29" s="609"/>
      <c r="AO29" s="609">
        <f t="shared" si="7"/>
        <v>806</v>
      </c>
      <c r="AP29" s="609"/>
      <c r="AQ29" s="609"/>
      <c r="AR29" s="609"/>
      <c r="AS29" s="609"/>
      <c r="AT29" s="633"/>
      <c r="AU29" s="633"/>
      <c r="AV29" s="633"/>
      <c r="AW29" s="633"/>
      <c r="AX29" s="633"/>
      <c r="AY29" s="633">
        <f t="shared" si="9"/>
        <v>62</v>
      </c>
      <c r="AZ29" s="633"/>
      <c r="BA29" s="633"/>
      <c r="BB29" s="633"/>
      <c r="BC29" s="633"/>
      <c r="BD29" s="633"/>
      <c r="BE29" s="633"/>
      <c r="BF29" s="633"/>
      <c r="BG29" s="633"/>
      <c r="BH29" s="633"/>
      <c r="BI29" s="633"/>
      <c r="BJ29" s="633"/>
      <c r="BK29" s="633"/>
      <c r="BL29" s="633"/>
      <c r="BM29" s="401">
        <f t="shared" si="2"/>
        <v>806</v>
      </c>
      <c r="BO29" s="1473"/>
      <c r="BP29" s="1473"/>
    </row>
    <row r="30" s="200" customFormat="1" ht="36" customHeight="1" spans="1:68">
      <c r="A30" s="533">
        <v>45271</v>
      </c>
      <c r="B30" s="527" t="s">
        <v>158</v>
      </c>
      <c r="C30" s="528" t="s">
        <v>117</v>
      </c>
      <c r="D30" s="534">
        <v>4500120920</v>
      </c>
      <c r="E30" s="530">
        <v>215358830</v>
      </c>
      <c r="F30" s="534" t="s">
        <v>175</v>
      </c>
      <c r="G30" s="531" t="s">
        <v>160</v>
      </c>
      <c r="H30" s="532" t="s">
        <v>74</v>
      </c>
      <c r="I30" s="401">
        <v>416</v>
      </c>
      <c r="J30" s="562">
        <v>0</v>
      </c>
      <c r="K30" s="531">
        <v>13</v>
      </c>
      <c r="L30" s="401">
        <f t="shared" si="3"/>
        <v>32</v>
      </c>
      <c r="M30" s="563">
        <v>45321</v>
      </c>
      <c r="N30" s="563">
        <v>45317</v>
      </c>
      <c r="O30" s="564"/>
      <c r="P30" s="564" t="s">
        <v>92</v>
      </c>
      <c r="Q30" s="564" t="s">
        <v>161</v>
      </c>
      <c r="R30" s="564">
        <v>45647</v>
      </c>
      <c r="S30" s="564" t="s">
        <v>77</v>
      </c>
      <c r="T30" s="564" t="s">
        <v>77</v>
      </c>
      <c r="U30" s="530" t="s">
        <v>162</v>
      </c>
      <c r="V30" s="596" t="s">
        <v>163</v>
      </c>
      <c r="W30" s="592">
        <v>1.7</v>
      </c>
      <c r="X30" s="593">
        <f t="shared" si="4"/>
        <v>707.2</v>
      </c>
      <c r="Y30" s="401" t="s">
        <v>176</v>
      </c>
      <c r="Z30" s="531" t="s">
        <v>160</v>
      </c>
      <c r="AA30" s="1453" t="s">
        <v>128</v>
      </c>
      <c r="AB30" s="608"/>
      <c r="AC30" s="608"/>
      <c r="AD30" s="608"/>
      <c r="AE30" s="564" t="s">
        <v>80</v>
      </c>
      <c r="AF30" s="564"/>
      <c r="AG30" s="608">
        <f t="shared" si="5"/>
        <v>416</v>
      </c>
      <c r="AH30" s="608"/>
      <c r="AI30" s="608"/>
      <c r="AJ30" s="608"/>
      <c r="AK30" s="609">
        <f t="shared" si="6"/>
        <v>416</v>
      </c>
      <c r="AL30" s="609"/>
      <c r="AM30" s="609"/>
      <c r="AN30" s="609"/>
      <c r="AO30" s="609">
        <f t="shared" si="7"/>
        <v>416</v>
      </c>
      <c r="AP30" s="609"/>
      <c r="AQ30" s="609"/>
      <c r="AR30" s="609"/>
      <c r="AS30" s="609"/>
      <c r="AT30" s="633"/>
      <c r="AU30" s="633"/>
      <c r="AV30" s="633"/>
      <c r="AW30" s="633"/>
      <c r="AX30" s="633"/>
      <c r="AY30" s="633">
        <f t="shared" si="9"/>
        <v>32</v>
      </c>
      <c r="AZ30" s="633"/>
      <c r="BA30" s="633"/>
      <c r="BB30" s="633"/>
      <c r="BC30" s="633"/>
      <c r="BD30" s="633"/>
      <c r="BE30" s="633"/>
      <c r="BF30" s="633"/>
      <c r="BG30" s="633"/>
      <c r="BH30" s="633"/>
      <c r="BI30" s="633"/>
      <c r="BJ30" s="633"/>
      <c r="BK30" s="633"/>
      <c r="BL30" s="633"/>
      <c r="BM30" s="401">
        <f t="shared" si="2"/>
        <v>416</v>
      </c>
      <c r="BO30" s="1473"/>
      <c r="BP30" s="1473"/>
    </row>
    <row r="31" s="200" customFormat="1" ht="36" customHeight="1" spans="1:68">
      <c r="A31" s="533">
        <v>45271</v>
      </c>
      <c r="B31" s="527" t="s">
        <v>158</v>
      </c>
      <c r="C31" s="528" t="s">
        <v>117</v>
      </c>
      <c r="D31" s="534">
        <v>4500120909</v>
      </c>
      <c r="E31" s="530">
        <v>215358756</v>
      </c>
      <c r="F31" s="534" t="s">
        <v>177</v>
      </c>
      <c r="G31" s="531" t="s">
        <v>160</v>
      </c>
      <c r="H31" s="532" t="s">
        <v>74</v>
      </c>
      <c r="I31" s="401">
        <v>1989</v>
      </c>
      <c r="J31" s="562">
        <v>0</v>
      </c>
      <c r="K31" s="531">
        <v>13</v>
      </c>
      <c r="L31" s="401">
        <f t="shared" si="3"/>
        <v>153</v>
      </c>
      <c r="M31" s="563">
        <v>45321</v>
      </c>
      <c r="N31" s="563">
        <v>45317</v>
      </c>
      <c r="O31" s="564"/>
      <c r="P31" s="564" t="s">
        <v>92</v>
      </c>
      <c r="Q31" s="564" t="s">
        <v>161</v>
      </c>
      <c r="R31" s="564">
        <v>45647</v>
      </c>
      <c r="S31" s="564" t="s">
        <v>77</v>
      </c>
      <c r="T31" s="564" t="s">
        <v>77</v>
      </c>
      <c r="U31" s="530" t="s">
        <v>162</v>
      </c>
      <c r="V31" s="596" t="s">
        <v>163</v>
      </c>
      <c r="W31" s="592">
        <v>1.7</v>
      </c>
      <c r="X31" s="593">
        <f t="shared" si="4"/>
        <v>3381.3</v>
      </c>
      <c r="Y31" s="401" t="s">
        <v>178</v>
      </c>
      <c r="Z31" s="531" t="s">
        <v>160</v>
      </c>
      <c r="AA31" s="1453" t="s">
        <v>128</v>
      </c>
      <c r="AB31" s="608"/>
      <c r="AC31" s="608"/>
      <c r="AD31" s="608"/>
      <c r="AE31" s="564" t="s">
        <v>80</v>
      </c>
      <c r="AF31" s="564"/>
      <c r="AG31" s="608">
        <f t="shared" si="5"/>
        <v>1989</v>
      </c>
      <c r="AH31" s="608"/>
      <c r="AI31" s="608"/>
      <c r="AJ31" s="608"/>
      <c r="AK31" s="609">
        <f t="shared" si="6"/>
        <v>1989</v>
      </c>
      <c r="AL31" s="609"/>
      <c r="AM31" s="609"/>
      <c r="AN31" s="609"/>
      <c r="AO31" s="609">
        <f t="shared" si="7"/>
        <v>1989</v>
      </c>
      <c r="AP31" s="609"/>
      <c r="AQ31" s="609"/>
      <c r="AR31" s="609"/>
      <c r="AS31" s="609"/>
      <c r="AT31" s="633"/>
      <c r="AU31" s="633"/>
      <c r="AV31" s="633"/>
      <c r="AW31" s="633"/>
      <c r="AX31" s="633"/>
      <c r="AY31" s="633">
        <f t="shared" si="9"/>
        <v>153</v>
      </c>
      <c r="AZ31" s="633"/>
      <c r="BA31" s="633"/>
      <c r="BB31" s="633"/>
      <c r="BC31" s="633"/>
      <c r="BD31" s="633"/>
      <c r="BE31" s="633"/>
      <c r="BF31" s="633"/>
      <c r="BG31" s="633"/>
      <c r="BH31" s="633"/>
      <c r="BI31" s="633"/>
      <c r="BJ31" s="633"/>
      <c r="BK31" s="633"/>
      <c r="BL31" s="633"/>
      <c r="BM31" s="401">
        <f t="shared" si="2"/>
        <v>1989</v>
      </c>
      <c r="BO31" s="1473"/>
      <c r="BP31" s="1473"/>
    </row>
    <row r="32" s="200" customFormat="1" ht="36" customHeight="1" spans="1:68">
      <c r="A32" s="533">
        <v>45222</v>
      </c>
      <c r="B32" s="527" t="s">
        <v>179</v>
      </c>
      <c r="C32" s="528" t="s">
        <v>180</v>
      </c>
      <c r="D32" s="534">
        <v>4500116508</v>
      </c>
      <c r="E32" s="530" t="s">
        <v>181</v>
      </c>
      <c r="F32" s="534" t="s">
        <v>182</v>
      </c>
      <c r="G32" s="531" t="s">
        <v>73</v>
      </c>
      <c r="H32" s="532" t="s">
        <v>74</v>
      </c>
      <c r="I32" s="401">
        <v>984</v>
      </c>
      <c r="J32" s="562">
        <v>0</v>
      </c>
      <c r="K32" s="531">
        <v>24</v>
      </c>
      <c r="L32" s="401">
        <f t="shared" si="3"/>
        <v>41</v>
      </c>
      <c r="M32" s="563">
        <v>45324</v>
      </c>
      <c r="N32" s="563">
        <v>45320</v>
      </c>
      <c r="O32" s="564"/>
      <c r="P32" s="564" t="s">
        <v>92</v>
      </c>
      <c r="Q32" s="564" t="s">
        <v>161</v>
      </c>
      <c r="R32" s="564" t="s">
        <v>183</v>
      </c>
      <c r="S32" s="564" t="s">
        <v>123</v>
      </c>
      <c r="T32" s="564" t="s">
        <v>184</v>
      </c>
      <c r="U32" s="530" t="s">
        <v>185</v>
      </c>
      <c r="V32" s="596" t="s">
        <v>186</v>
      </c>
      <c r="W32" s="592">
        <v>1.19</v>
      </c>
      <c r="X32" s="593">
        <f t="shared" si="4"/>
        <v>1170.96</v>
      </c>
      <c r="Y32" s="401" t="s">
        <v>187</v>
      </c>
      <c r="Z32" s="531" t="s">
        <v>188</v>
      </c>
      <c r="AA32" s="1453" t="s">
        <v>128</v>
      </c>
      <c r="AB32" s="608"/>
      <c r="AC32" s="608"/>
      <c r="AD32" s="608"/>
      <c r="AE32" s="564" t="s">
        <v>80</v>
      </c>
      <c r="AF32" s="564"/>
      <c r="AG32" s="608">
        <f t="shared" si="5"/>
        <v>984</v>
      </c>
      <c r="AH32" s="608"/>
      <c r="AI32" s="608"/>
      <c r="AJ32" s="608"/>
      <c r="AK32" s="401"/>
      <c r="AL32" s="609">
        <f>AG32</f>
        <v>984</v>
      </c>
      <c r="AM32" s="609"/>
      <c r="AN32" s="609"/>
      <c r="AO32" s="609">
        <f t="shared" si="7"/>
        <v>984</v>
      </c>
      <c r="AP32" s="609"/>
      <c r="AQ32" s="609"/>
      <c r="AR32" s="609"/>
      <c r="AS32" s="609"/>
      <c r="AT32" s="633"/>
      <c r="AU32" s="633"/>
      <c r="AV32" s="633"/>
      <c r="AW32" s="633"/>
      <c r="AX32" s="633"/>
      <c r="AY32" s="633"/>
      <c r="AZ32" s="633"/>
      <c r="BA32" s="633"/>
      <c r="BB32" s="633"/>
      <c r="BC32" s="633"/>
      <c r="BD32" s="633"/>
      <c r="BE32" s="633"/>
      <c r="BF32" s="633"/>
      <c r="BG32" s="633"/>
      <c r="BH32" s="633"/>
      <c r="BI32" s="633"/>
      <c r="BJ32" s="633"/>
      <c r="BK32" s="633"/>
      <c r="BL32" s="633"/>
      <c r="BM32" s="401">
        <f t="shared" si="2"/>
        <v>984</v>
      </c>
      <c r="BO32" s="1473"/>
      <c r="BP32" s="1473"/>
    </row>
    <row r="33" s="200" customFormat="1" ht="36" customHeight="1" spans="1:68">
      <c r="A33" s="533">
        <v>45282</v>
      </c>
      <c r="B33" s="527" t="s">
        <v>189</v>
      </c>
      <c r="C33" s="528" t="s">
        <v>190</v>
      </c>
      <c r="D33" s="534">
        <v>4500121356</v>
      </c>
      <c r="E33" s="530">
        <v>19789620</v>
      </c>
      <c r="F33" s="534" t="s">
        <v>191</v>
      </c>
      <c r="G33" s="531" t="s">
        <v>160</v>
      </c>
      <c r="H33" s="532" t="s">
        <v>74</v>
      </c>
      <c r="I33" s="401">
        <v>5928</v>
      </c>
      <c r="J33" s="562">
        <v>0</v>
      </c>
      <c r="K33" s="531">
        <v>13</v>
      </c>
      <c r="L33" s="401">
        <f t="shared" si="3"/>
        <v>456</v>
      </c>
      <c r="M33" s="563">
        <v>45342</v>
      </c>
      <c r="N33" s="563">
        <v>45338</v>
      </c>
      <c r="O33" s="564"/>
      <c r="P33" s="564" t="s">
        <v>92</v>
      </c>
      <c r="Q33" s="564" t="s">
        <v>192</v>
      </c>
      <c r="R33" s="564">
        <v>45655</v>
      </c>
      <c r="S33" s="564" t="s">
        <v>123</v>
      </c>
      <c r="T33" s="564">
        <v>45299</v>
      </c>
      <c r="U33" s="530" t="s">
        <v>193</v>
      </c>
      <c r="V33" s="596" t="s">
        <v>194</v>
      </c>
      <c r="W33" s="592">
        <v>1.7</v>
      </c>
      <c r="X33" s="593">
        <f t="shared" si="4"/>
        <v>10077.6</v>
      </c>
      <c r="Y33" s="401" t="s">
        <v>195</v>
      </c>
      <c r="Z33" s="607" t="s">
        <v>160</v>
      </c>
      <c r="AA33" s="1453" t="s">
        <v>128</v>
      </c>
      <c r="AB33" s="608"/>
      <c r="AC33" s="608"/>
      <c r="AD33" s="608"/>
      <c r="AE33" s="564" t="s">
        <v>80</v>
      </c>
      <c r="AF33" s="564"/>
      <c r="AG33" s="608">
        <f t="shared" si="5"/>
        <v>5928</v>
      </c>
      <c r="AH33" s="608"/>
      <c r="AI33" s="608"/>
      <c r="AJ33" s="608"/>
      <c r="AK33" s="609">
        <f t="shared" ref="AK33:AK36" si="10">AG33</f>
        <v>5928</v>
      </c>
      <c r="AL33" s="609"/>
      <c r="AM33" s="609"/>
      <c r="AN33" s="609"/>
      <c r="AO33" s="609">
        <f t="shared" si="7"/>
        <v>5928</v>
      </c>
      <c r="AP33" s="609"/>
      <c r="AQ33" s="609"/>
      <c r="AR33" s="609"/>
      <c r="AS33" s="609"/>
      <c r="AT33" s="633"/>
      <c r="AU33" s="633"/>
      <c r="AV33" s="633"/>
      <c r="AW33" s="633"/>
      <c r="AX33" s="633"/>
      <c r="AY33" s="633">
        <f>I33/13</f>
        <v>456</v>
      </c>
      <c r="AZ33" s="633"/>
      <c r="BA33" s="633"/>
      <c r="BB33" s="633"/>
      <c r="BC33" s="633"/>
      <c r="BD33" s="633"/>
      <c r="BE33" s="633"/>
      <c r="BF33" s="633"/>
      <c r="BG33" s="633"/>
      <c r="BH33" s="633"/>
      <c r="BI33" s="633"/>
      <c r="BJ33" s="633"/>
      <c r="BK33" s="633"/>
      <c r="BL33" s="633"/>
      <c r="BM33" s="401">
        <f t="shared" si="2"/>
        <v>5928</v>
      </c>
      <c r="BO33" s="1473"/>
      <c r="BP33" s="1473"/>
    </row>
    <row r="34" s="200" customFormat="1" ht="36" customHeight="1" spans="1:68">
      <c r="A34" s="533">
        <v>45282</v>
      </c>
      <c r="B34" s="527" t="s">
        <v>116</v>
      </c>
      <c r="C34" s="528" t="s">
        <v>117</v>
      </c>
      <c r="D34" s="534">
        <v>4500121729</v>
      </c>
      <c r="E34" s="530" t="s">
        <v>196</v>
      </c>
      <c r="F34" s="534" t="s">
        <v>197</v>
      </c>
      <c r="G34" s="531" t="s">
        <v>120</v>
      </c>
      <c r="H34" s="532" t="s">
        <v>74</v>
      </c>
      <c r="I34" s="401">
        <v>35007</v>
      </c>
      <c r="J34" s="562">
        <v>0</v>
      </c>
      <c r="K34" s="531">
        <v>21</v>
      </c>
      <c r="L34" s="401">
        <f t="shared" si="3"/>
        <v>1667</v>
      </c>
      <c r="M34" s="563">
        <v>45342</v>
      </c>
      <c r="N34" s="563">
        <v>45338</v>
      </c>
      <c r="O34" s="564"/>
      <c r="P34" s="564" t="s">
        <v>92</v>
      </c>
      <c r="Q34" s="564" t="s">
        <v>198</v>
      </c>
      <c r="R34" s="564">
        <v>45296</v>
      </c>
      <c r="S34" s="564" t="s">
        <v>123</v>
      </c>
      <c r="T34" s="564" t="s">
        <v>199</v>
      </c>
      <c r="U34" s="530" t="s">
        <v>200</v>
      </c>
      <c r="V34" s="596" t="s">
        <v>126</v>
      </c>
      <c r="W34" s="592">
        <v>1.75</v>
      </c>
      <c r="X34" s="593">
        <f t="shared" si="4"/>
        <v>61262.25</v>
      </c>
      <c r="Y34" s="401" t="s">
        <v>201</v>
      </c>
      <c r="Z34" s="531" t="s">
        <v>120</v>
      </c>
      <c r="AA34" s="1453" t="s">
        <v>128</v>
      </c>
      <c r="AB34" s="608"/>
      <c r="AC34" s="608"/>
      <c r="AD34" s="608"/>
      <c r="AE34" s="564" t="s">
        <v>80</v>
      </c>
      <c r="AF34" s="564"/>
      <c r="AG34" s="608">
        <f t="shared" si="5"/>
        <v>35007</v>
      </c>
      <c r="AH34" s="608"/>
      <c r="AI34" s="608"/>
      <c r="AJ34" s="608"/>
      <c r="AK34" s="609">
        <f t="shared" si="10"/>
        <v>35007</v>
      </c>
      <c r="AL34" s="401"/>
      <c r="AM34" s="609"/>
      <c r="AN34" s="609"/>
      <c r="AO34" s="609">
        <f t="shared" si="7"/>
        <v>35007</v>
      </c>
      <c r="AP34" s="609"/>
      <c r="AQ34" s="609"/>
      <c r="AR34" s="609"/>
      <c r="AS34" s="609">
        <f>I34/21</f>
        <v>1667</v>
      </c>
      <c r="AT34" s="633"/>
      <c r="AU34" s="633"/>
      <c r="AV34" s="633"/>
      <c r="AW34" s="633"/>
      <c r="AX34" s="633"/>
      <c r="AY34" s="633"/>
      <c r="AZ34" s="633"/>
      <c r="BA34" s="633"/>
      <c r="BB34" s="633"/>
      <c r="BC34" s="633"/>
      <c r="BD34" s="633"/>
      <c r="BE34" s="633"/>
      <c r="BF34" s="633"/>
      <c r="BG34" s="633"/>
      <c r="BH34" s="633"/>
      <c r="BI34" s="633"/>
      <c r="BJ34" s="633"/>
      <c r="BK34" s="633"/>
      <c r="BL34" s="633"/>
      <c r="BM34" s="401">
        <f t="shared" si="2"/>
        <v>35007</v>
      </c>
      <c r="BO34" s="1473"/>
      <c r="BP34" s="1473"/>
    </row>
    <row r="35" s="200" customFormat="1" ht="36" customHeight="1" spans="1:68">
      <c r="A35" s="533">
        <v>45282</v>
      </c>
      <c r="B35" s="527" t="s">
        <v>116</v>
      </c>
      <c r="C35" s="528" t="s">
        <v>117</v>
      </c>
      <c r="D35" s="534">
        <v>4500121728</v>
      </c>
      <c r="E35" s="530" t="s">
        <v>202</v>
      </c>
      <c r="F35" s="534" t="s">
        <v>203</v>
      </c>
      <c r="G35" s="531" t="s">
        <v>120</v>
      </c>
      <c r="H35" s="532" t="s">
        <v>74</v>
      </c>
      <c r="I35" s="401">
        <v>9996</v>
      </c>
      <c r="J35" s="562">
        <v>0</v>
      </c>
      <c r="K35" s="531">
        <v>21</v>
      </c>
      <c r="L35" s="401">
        <f t="shared" si="3"/>
        <v>476</v>
      </c>
      <c r="M35" s="563">
        <v>45342</v>
      </c>
      <c r="N35" s="563">
        <v>45338</v>
      </c>
      <c r="O35" s="564"/>
      <c r="P35" s="564" t="s">
        <v>92</v>
      </c>
      <c r="Q35" s="564" t="s">
        <v>204</v>
      </c>
      <c r="R35" s="564">
        <v>45296</v>
      </c>
      <c r="S35" s="564" t="s">
        <v>123</v>
      </c>
      <c r="T35" s="564" t="s">
        <v>199</v>
      </c>
      <c r="U35" s="530" t="s">
        <v>200</v>
      </c>
      <c r="V35" s="596" t="s">
        <v>126</v>
      </c>
      <c r="W35" s="592">
        <v>1.75</v>
      </c>
      <c r="X35" s="593">
        <f t="shared" si="4"/>
        <v>17493</v>
      </c>
      <c r="Y35" s="401" t="s">
        <v>205</v>
      </c>
      <c r="Z35" s="531" t="s">
        <v>120</v>
      </c>
      <c r="AA35" s="1453" t="s">
        <v>128</v>
      </c>
      <c r="AB35" s="608"/>
      <c r="AC35" s="608"/>
      <c r="AD35" s="608"/>
      <c r="AE35" s="564" t="s">
        <v>80</v>
      </c>
      <c r="AF35" s="564"/>
      <c r="AG35" s="608">
        <f t="shared" si="5"/>
        <v>9996</v>
      </c>
      <c r="AH35" s="608"/>
      <c r="AI35" s="608"/>
      <c r="AJ35" s="608"/>
      <c r="AK35" s="609">
        <f t="shared" si="10"/>
        <v>9996</v>
      </c>
      <c r="AL35" s="401"/>
      <c r="AM35" s="609"/>
      <c r="AN35" s="609"/>
      <c r="AO35" s="609">
        <f t="shared" si="7"/>
        <v>9996</v>
      </c>
      <c r="AP35" s="609"/>
      <c r="AQ35" s="609"/>
      <c r="AR35" s="609"/>
      <c r="AS35" s="609">
        <f>I35/21</f>
        <v>476</v>
      </c>
      <c r="AT35" s="633"/>
      <c r="AU35" s="633"/>
      <c r="AV35" s="633"/>
      <c r="AW35" s="633"/>
      <c r="AX35" s="633"/>
      <c r="AY35" s="633"/>
      <c r="AZ35" s="633"/>
      <c r="BA35" s="633"/>
      <c r="BB35" s="633"/>
      <c r="BC35" s="633"/>
      <c r="BD35" s="633"/>
      <c r="BE35" s="633"/>
      <c r="BF35" s="633"/>
      <c r="BG35" s="633"/>
      <c r="BH35" s="633"/>
      <c r="BI35" s="633"/>
      <c r="BJ35" s="633"/>
      <c r="BK35" s="633"/>
      <c r="BL35" s="633"/>
      <c r="BM35" s="401">
        <f t="shared" si="2"/>
        <v>9996</v>
      </c>
      <c r="BO35" s="1473"/>
      <c r="BP35" s="1473"/>
    </row>
    <row r="36" s="200" customFormat="1" ht="36" customHeight="1" spans="1:68">
      <c r="A36" s="533">
        <v>45285</v>
      </c>
      <c r="B36" s="527" t="s">
        <v>70</v>
      </c>
      <c r="C36" s="528" t="s">
        <v>71</v>
      </c>
      <c r="D36" s="534" t="s">
        <v>206</v>
      </c>
      <c r="E36" s="530"/>
      <c r="F36" s="534"/>
      <c r="G36" s="531" t="s">
        <v>207</v>
      </c>
      <c r="H36" s="532" t="s">
        <v>74</v>
      </c>
      <c r="I36" s="401">
        <v>7200</v>
      </c>
      <c r="J36" s="562">
        <v>0</v>
      </c>
      <c r="K36" s="531">
        <v>36</v>
      </c>
      <c r="L36" s="401">
        <f t="shared" si="3"/>
        <v>200</v>
      </c>
      <c r="M36" s="563">
        <v>45345</v>
      </c>
      <c r="N36" s="563">
        <v>45341</v>
      </c>
      <c r="O36" s="564"/>
      <c r="P36" s="564" t="s">
        <v>92</v>
      </c>
      <c r="Q36" s="564" t="s">
        <v>208</v>
      </c>
      <c r="R36" s="564" t="s">
        <v>76</v>
      </c>
      <c r="S36" s="564" t="s">
        <v>77</v>
      </c>
      <c r="T36" s="564">
        <v>45306</v>
      </c>
      <c r="U36" s="530" t="s">
        <v>209</v>
      </c>
      <c r="V36" s="596" t="s">
        <v>210</v>
      </c>
      <c r="W36" s="592">
        <v>1.6</v>
      </c>
      <c r="X36" s="593">
        <f t="shared" si="4"/>
        <v>11520</v>
      </c>
      <c r="Y36" s="401" t="s">
        <v>211</v>
      </c>
      <c r="Z36" s="607" t="s">
        <v>207</v>
      </c>
      <c r="AA36" s="1453" t="s">
        <v>128</v>
      </c>
      <c r="AB36" s="608"/>
      <c r="AC36" s="608"/>
      <c r="AD36" s="608"/>
      <c r="AE36" s="564" t="s">
        <v>80</v>
      </c>
      <c r="AF36" s="564"/>
      <c r="AG36" s="608">
        <f t="shared" si="5"/>
        <v>7200</v>
      </c>
      <c r="AH36" s="608"/>
      <c r="AI36" s="608"/>
      <c r="AJ36" s="608"/>
      <c r="AK36" s="609">
        <f t="shared" si="10"/>
        <v>7200</v>
      </c>
      <c r="AL36" s="401"/>
      <c r="AM36" s="609"/>
      <c r="AN36" s="609"/>
      <c r="AO36" s="609">
        <f t="shared" si="7"/>
        <v>7200</v>
      </c>
      <c r="AP36" s="609"/>
      <c r="AQ36" s="609"/>
      <c r="AR36" s="609"/>
      <c r="AS36" s="609"/>
      <c r="AT36" s="633"/>
      <c r="AU36" s="633"/>
      <c r="AV36" s="633"/>
      <c r="AW36" s="401">
        <f>I36/12</f>
        <v>600</v>
      </c>
      <c r="AX36" s="633"/>
      <c r="AY36" s="633"/>
      <c r="AZ36" s="633"/>
      <c r="BA36" s="633"/>
      <c r="BB36" s="633"/>
      <c r="BC36" s="633"/>
      <c r="BD36" s="633"/>
      <c r="BE36" s="633"/>
      <c r="BF36" s="633"/>
      <c r="BG36" s="633"/>
      <c r="BH36" s="633"/>
      <c r="BI36" s="633"/>
      <c r="BJ36" s="633"/>
      <c r="BK36" s="633"/>
      <c r="BL36" s="633"/>
      <c r="BM36" s="401">
        <f t="shared" si="2"/>
        <v>7200</v>
      </c>
      <c r="BO36" s="1473"/>
      <c r="BP36" s="1473"/>
    </row>
    <row r="37" s="200" customFormat="1" ht="36" customHeight="1" spans="1:68">
      <c r="A37" s="533">
        <v>45258</v>
      </c>
      <c r="B37" s="527" t="s">
        <v>212</v>
      </c>
      <c r="C37" s="528" t="s">
        <v>213</v>
      </c>
      <c r="D37" s="534">
        <v>4500119795</v>
      </c>
      <c r="E37" s="530">
        <v>4400364357</v>
      </c>
      <c r="F37" s="534" t="s">
        <v>214</v>
      </c>
      <c r="G37" s="531" t="s">
        <v>215</v>
      </c>
      <c r="H37" s="532" t="s">
        <v>74</v>
      </c>
      <c r="I37" s="401">
        <v>10038</v>
      </c>
      <c r="J37" s="562">
        <v>0</v>
      </c>
      <c r="K37" s="531">
        <v>42</v>
      </c>
      <c r="L37" s="401">
        <f t="shared" si="3"/>
        <v>239</v>
      </c>
      <c r="M37" s="563">
        <v>45349</v>
      </c>
      <c r="N37" s="563">
        <v>45345</v>
      </c>
      <c r="O37" s="564"/>
      <c r="P37" s="564" t="s">
        <v>92</v>
      </c>
      <c r="Q37" s="564" t="s">
        <v>216</v>
      </c>
      <c r="R37" s="564">
        <v>45287</v>
      </c>
      <c r="S37" s="564" t="s">
        <v>77</v>
      </c>
      <c r="T37" s="564">
        <v>45299</v>
      </c>
      <c r="U37" s="530" t="s">
        <v>217</v>
      </c>
      <c r="V37" s="596" t="s">
        <v>218</v>
      </c>
      <c r="W37" s="592">
        <v>1.649</v>
      </c>
      <c r="X37" s="593">
        <f t="shared" si="4"/>
        <v>16552.662</v>
      </c>
      <c r="Y37" s="401" t="s">
        <v>219</v>
      </c>
      <c r="Z37" s="607" t="s">
        <v>220</v>
      </c>
      <c r="AA37" s="1453" t="s">
        <v>128</v>
      </c>
      <c r="AB37" s="608"/>
      <c r="AC37" s="608"/>
      <c r="AD37" s="608"/>
      <c r="AE37" s="564" t="s">
        <v>80</v>
      </c>
      <c r="AF37" s="564"/>
      <c r="AG37" s="608">
        <f t="shared" si="5"/>
        <v>10038</v>
      </c>
      <c r="AH37" s="608"/>
      <c r="AI37" s="608"/>
      <c r="AJ37" s="608"/>
      <c r="AK37" s="609"/>
      <c r="AL37" s="609">
        <f t="shared" ref="AL37:AL39" si="11">I37</f>
        <v>10038</v>
      </c>
      <c r="AM37" s="609"/>
      <c r="AN37" s="609"/>
      <c r="AO37" s="609">
        <f t="shared" si="7"/>
        <v>10038</v>
      </c>
      <c r="AP37" s="609"/>
      <c r="AQ37" s="609"/>
      <c r="AR37" s="609"/>
      <c r="AS37" s="609"/>
      <c r="AT37" s="633">
        <f t="shared" ref="AT37:AT39" si="12">I37/21</f>
        <v>478</v>
      </c>
      <c r="AU37" s="633"/>
      <c r="AV37" s="633"/>
      <c r="AW37" s="633"/>
      <c r="AX37" s="633"/>
      <c r="AY37" s="633"/>
      <c r="AZ37" s="633"/>
      <c r="BA37" s="633"/>
      <c r="BB37" s="633"/>
      <c r="BC37" s="633"/>
      <c r="BD37" s="633"/>
      <c r="BE37" s="633"/>
      <c r="BF37" s="633"/>
      <c r="BG37" s="633"/>
      <c r="BH37" s="633"/>
      <c r="BI37" s="633"/>
      <c r="BJ37" s="633"/>
      <c r="BK37" s="633"/>
      <c r="BL37" s="633"/>
      <c r="BM37" s="401">
        <f t="shared" si="2"/>
        <v>10038</v>
      </c>
      <c r="BO37" s="1473"/>
      <c r="BP37" s="1473"/>
    </row>
    <row r="38" s="200" customFormat="1" ht="36" customHeight="1" spans="1:68">
      <c r="A38" s="533">
        <v>45258</v>
      </c>
      <c r="B38" s="527" t="s">
        <v>212</v>
      </c>
      <c r="C38" s="528" t="s">
        <v>221</v>
      </c>
      <c r="D38" s="534">
        <v>4500119796</v>
      </c>
      <c r="E38" s="530">
        <v>4400364358</v>
      </c>
      <c r="F38" s="534" t="s">
        <v>222</v>
      </c>
      <c r="G38" s="531" t="s">
        <v>215</v>
      </c>
      <c r="H38" s="532" t="s">
        <v>74</v>
      </c>
      <c r="I38" s="401">
        <v>3108</v>
      </c>
      <c r="J38" s="562">
        <v>0</v>
      </c>
      <c r="K38" s="531">
        <v>42</v>
      </c>
      <c r="L38" s="401">
        <f t="shared" si="3"/>
        <v>74</v>
      </c>
      <c r="M38" s="563">
        <v>45349</v>
      </c>
      <c r="N38" s="563">
        <v>45345</v>
      </c>
      <c r="O38" s="564"/>
      <c r="P38" s="564" t="s">
        <v>92</v>
      </c>
      <c r="Q38" s="564" t="s">
        <v>216</v>
      </c>
      <c r="R38" s="564">
        <v>45287</v>
      </c>
      <c r="S38" s="564" t="s">
        <v>77</v>
      </c>
      <c r="T38" s="564">
        <v>45299</v>
      </c>
      <c r="U38" s="530" t="s">
        <v>223</v>
      </c>
      <c r="V38" s="596" t="s">
        <v>218</v>
      </c>
      <c r="W38" s="592">
        <v>1.649</v>
      </c>
      <c r="X38" s="593">
        <f t="shared" si="4"/>
        <v>5125.092</v>
      </c>
      <c r="Y38" s="401" t="s">
        <v>224</v>
      </c>
      <c r="Z38" s="607" t="s">
        <v>220</v>
      </c>
      <c r="AA38" s="1453" t="s">
        <v>128</v>
      </c>
      <c r="AB38" s="608"/>
      <c r="AC38" s="608"/>
      <c r="AD38" s="608"/>
      <c r="AE38" s="564" t="s">
        <v>80</v>
      </c>
      <c r="AF38" s="564"/>
      <c r="AG38" s="608">
        <f t="shared" si="5"/>
        <v>3108</v>
      </c>
      <c r="AH38" s="608"/>
      <c r="AI38" s="608"/>
      <c r="AJ38" s="608"/>
      <c r="AK38" s="609"/>
      <c r="AL38" s="609">
        <f t="shared" si="11"/>
        <v>3108</v>
      </c>
      <c r="AM38" s="609"/>
      <c r="AN38" s="609"/>
      <c r="AO38" s="609">
        <f t="shared" si="7"/>
        <v>3108</v>
      </c>
      <c r="AP38" s="609"/>
      <c r="AQ38" s="609"/>
      <c r="AR38" s="609"/>
      <c r="AS38" s="609"/>
      <c r="AT38" s="633">
        <f t="shared" si="12"/>
        <v>148</v>
      </c>
      <c r="AU38" s="633"/>
      <c r="AV38" s="633"/>
      <c r="AW38" s="633"/>
      <c r="AX38" s="633"/>
      <c r="AY38" s="633"/>
      <c r="AZ38" s="633"/>
      <c r="BA38" s="633"/>
      <c r="BB38" s="633"/>
      <c r="BC38" s="633"/>
      <c r="BD38" s="633"/>
      <c r="BE38" s="633"/>
      <c r="BF38" s="633"/>
      <c r="BG38" s="633"/>
      <c r="BH38" s="633"/>
      <c r="BI38" s="633"/>
      <c r="BJ38" s="633"/>
      <c r="BK38" s="633"/>
      <c r="BL38" s="633"/>
      <c r="BM38" s="401">
        <f t="shared" si="2"/>
        <v>3108</v>
      </c>
      <c r="BO38" s="1473"/>
      <c r="BP38" s="1473"/>
    </row>
    <row r="39" s="200" customFormat="1" ht="36" customHeight="1" spans="1:68">
      <c r="A39" s="533">
        <v>45279</v>
      </c>
      <c r="B39" s="527" t="s">
        <v>225</v>
      </c>
      <c r="C39" s="528" t="s">
        <v>213</v>
      </c>
      <c r="D39" s="534">
        <v>4500121348</v>
      </c>
      <c r="E39" s="530" t="s">
        <v>226</v>
      </c>
      <c r="F39" s="534" t="s">
        <v>227</v>
      </c>
      <c r="G39" s="531" t="s">
        <v>215</v>
      </c>
      <c r="H39" s="532" t="s">
        <v>74</v>
      </c>
      <c r="I39" s="401">
        <v>14028</v>
      </c>
      <c r="J39" s="562">
        <v>0</v>
      </c>
      <c r="K39" s="531">
        <v>42</v>
      </c>
      <c r="L39" s="401">
        <f t="shared" si="3"/>
        <v>334</v>
      </c>
      <c r="M39" s="563">
        <v>45350</v>
      </c>
      <c r="N39" s="563">
        <v>45346</v>
      </c>
      <c r="O39" s="564"/>
      <c r="P39" s="564" t="s">
        <v>92</v>
      </c>
      <c r="Q39" s="564" t="s">
        <v>228</v>
      </c>
      <c r="R39" s="564">
        <v>45651</v>
      </c>
      <c r="S39" s="564" t="s">
        <v>77</v>
      </c>
      <c r="T39" s="564">
        <v>45294</v>
      </c>
      <c r="U39" s="530" t="s">
        <v>229</v>
      </c>
      <c r="V39" s="596" t="s">
        <v>230</v>
      </c>
      <c r="W39" s="592">
        <v>1.649</v>
      </c>
      <c r="X39" s="593">
        <f t="shared" si="4"/>
        <v>23132.172</v>
      </c>
      <c r="Y39" s="401" t="s">
        <v>231</v>
      </c>
      <c r="Z39" s="607" t="s">
        <v>220</v>
      </c>
      <c r="AA39" s="1453" t="s">
        <v>128</v>
      </c>
      <c r="AB39" s="608"/>
      <c r="AC39" s="608"/>
      <c r="AD39" s="608"/>
      <c r="AE39" s="564" t="s">
        <v>80</v>
      </c>
      <c r="AF39" s="564"/>
      <c r="AG39" s="608">
        <f t="shared" si="5"/>
        <v>14028</v>
      </c>
      <c r="AH39" s="608"/>
      <c r="AI39" s="608"/>
      <c r="AJ39" s="608"/>
      <c r="AK39" s="609"/>
      <c r="AL39" s="609">
        <f t="shared" si="11"/>
        <v>14028</v>
      </c>
      <c r="AM39" s="609"/>
      <c r="AN39" s="609"/>
      <c r="AO39" s="609">
        <f t="shared" si="7"/>
        <v>14028</v>
      </c>
      <c r="AP39" s="609"/>
      <c r="AQ39" s="609"/>
      <c r="AR39" s="609"/>
      <c r="AS39" s="609"/>
      <c r="AT39" s="633">
        <f t="shared" si="12"/>
        <v>668</v>
      </c>
      <c r="AU39" s="633"/>
      <c r="AV39" s="633"/>
      <c r="AW39" s="633"/>
      <c r="AX39" s="633"/>
      <c r="AY39" s="633"/>
      <c r="AZ39" s="633"/>
      <c r="BA39" s="633"/>
      <c r="BB39" s="633"/>
      <c r="BC39" s="633"/>
      <c r="BD39" s="633"/>
      <c r="BE39" s="633"/>
      <c r="BF39" s="633"/>
      <c r="BG39" s="633"/>
      <c r="BH39" s="633"/>
      <c r="BI39" s="633"/>
      <c r="BJ39" s="633"/>
      <c r="BK39" s="633"/>
      <c r="BL39" s="633"/>
      <c r="BM39" s="401">
        <f t="shared" si="2"/>
        <v>14028</v>
      </c>
      <c r="BO39" s="1473"/>
      <c r="BP39" s="1473"/>
    </row>
    <row r="40" s="200" customFormat="1" ht="36" customHeight="1" spans="1:68">
      <c r="A40" s="533">
        <v>45285</v>
      </c>
      <c r="B40" s="527" t="s">
        <v>232</v>
      </c>
      <c r="C40" s="528" t="s">
        <v>233</v>
      </c>
      <c r="D40" s="534">
        <v>4500122071</v>
      </c>
      <c r="E40" s="530">
        <v>19631979</v>
      </c>
      <c r="F40" s="534" t="s">
        <v>234</v>
      </c>
      <c r="G40" s="531" t="s">
        <v>160</v>
      </c>
      <c r="H40" s="532" t="s">
        <v>74</v>
      </c>
      <c r="I40" s="401">
        <v>1495</v>
      </c>
      <c r="J40" s="562">
        <v>0</v>
      </c>
      <c r="K40" s="531">
        <v>13</v>
      </c>
      <c r="L40" s="401">
        <f t="shared" si="3"/>
        <v>115</v>
      </c>
      <c r="M40" s="563">
        <v>45348</v>
      </c>
      <c r="N40" s="563" t="s">
        <v>109</v>
      </c>
      <c r="O40" s="564"/>
      <c r="P40" s="564" t="s">
        <v>235</v>
      </c>
      <c r="Q40" s="564" t="s">
        <v>236</v>
      </c>
      <c r="R40" s="564">
        <v>45294</v>
      </c>
      <c r="S40" s="564" t="s">
        <v>123</v>
      </c>
      <c r="T40" s="564">
        <v>45307</v>
      </c>
      <c r="U40" s="530" t="s">
        <v>237</v>
      </c>
      <c r="V40" s="596" t="s">
        <v>194</v>
      </c>
      <c r="W40" s="592">
        <v>1.7</v>
      </c>
      <c r="X40" s="593">
        <f t="shared" si="4"/>
        <v>2541.5</v>
      </c>
      <c r="Y40" s="401" t="s">
        <v>238</v>
      </c>
      <c r="Z40" s="607" t="s">
        <v>239</v>
      </c>
      <c r="AA40" s="1453" t="s">
        <v>128</v>
      </c>
      <c r="AB40" s="608"/>
      <c r="AC40" s="608"/>
      <c r="AD40" s="608"/>
      <c r="AE40" s="564" t="s">
        <v>80</v>
      </c>
      <c r="AF40" s="564"/>
      <c r="AG40" s="608">
        <f t="shared" si="5"/>
        <v>1495</v>
      </c>
      <c r="AH40" s="608"/>
      <c r="AI40" s="608"/>
      <c r="AJ40" s="608"/>
      <c r="AK40" s="401"/>
      <c r="AL40" s="609">
        <f>AG40</f>
        <v>1495</v>
      </c>
      <c r="AM40" s="609"/>
      <c r="AN40" s="609"/>
      <c r="AO40" s="609">
        <f t="shared" si="7"/>
        <v>1495</v>
      </c>
      <c r="AP40" s="609"/>
      <c r="AQ40" s="609"/>
      <c r="AR40" s="609"/>
      <c r="AS40" s="609"/>
      <c r="AT40" s="633"/>
      <c r="AU40" s="633"/>
      <c r="AV40" s="633"/>
      <c r="AW40" s="633"/>
      <c r="AX40" s="633"/>
      <c r="AY40" s="633">
        <f>I40/13</f>
        <v>115</v>
      </c>
      <c r="AZ40" s="633"/>
      <c r="BA40" s="633"/>
      <c r="BB40" s="633"/>
      <c r="BC40" s="633"/>
      <c r="BD40" s="633"/>
      <c r="BE40" s="633"/>
      <c r="BF40" s="633"/>
      <c r="BG40" s="633"/>
      <c r="BH40" s="633"/>
      <c r="BI40" s="633"/>
      <c r="BJ40" s="633"/>
      <c r="BK40" s="633"/>
      <c r="BL40" s="633"/>
      <c r="BM40" s="401">
        <f t="shared" si="2"/>
        <v>1495</v>
      </c>
      <c r="BO40" s="1473"/>
      <c r="BP40" s="1473"/>
    </row>
    <row r="41" s="200" customFormat="1" ht="36" customHeight="1" spans="1:68">
      <c r="A41" s="533">
        <v>45285</v>
      </c>
      <c r="B41" s="527" t="s">
        <v>189</v>
      </c>
      <c r="C41" s="528" t="s">
        <v>190</v>
      </c>
      <c r="D41" s="534">
        <v>4500122070</v>
      </c>
      <c r="E41" s="530">
        <v>19631975</v>
      </c>
      <c r="F41" s="534" t="s">
        <v>240</v>
      </c>
      <c r="G41" s="531" t="s">
        <v>160</v>
      </c>
      <c r="H41" s="532" t="s">
        <v>74</v>
      </c>
      <c r="I41" s="401">
        <v>14989</v>
      </c>
      <c r="J41" s="562">
        <v>0</v>
      </c>
      <c r="K41" s="531">
        <v>13</v>
      </c>
      <c r="L41" s="401">
        <f t="shared" si="3"/>
        <v>1153</v>
      </c>
      <c r="M41" s="563">
        <v>45348</v>
      </c>
      <c r="N41" s="563" t="s">
        <v>109</v>
      </c>
      <c r="O41" s="564"/>
      <c r="P41" s="564" t="s">
        <v>235</v>
      </c>
      <c r="Q41" s="564" t="s">
        <v>236</v>
      </c>
      <c r="R41" s="564">
        <v>45294</v>
      </c>
      <c r="S41" s="564" t="s">
        <v>123</v>
      </c>
      <c r="T41" s="564">
        <v>45307</v>
      </c>
      <c r="U41" s="530" t="s">
        <v>241</v>
      </c>
      <c r="V41" s="596" t="s">
        <v>194</v>
      </c>
      <c r="W41" s="592">
        <v>1.7</v>
      </c>
      <c r="X41" s="593">
        <f t="shared" si="4"/>
        <v>25481.3</v>
      </c>
      <c r="Y41" s="401" t="s">
        <v>242</v>
      </c>
      <c r="Z41" s="607" t="s">
        <v>160</v>
      </c>
      <c r="AA41" s="1453" t="s">
        <v>128</v>
      </c>
      <c r="AB41" s="608"/>
      <c r="AC41" s="608"/>
      <c r="AD41" s="608"/>
      <c r="AE41" s="564" t="s">
        <v>80</v>
      </c>
      <c r="AF41" s="564"/>
      <c r="AG41" s="608">
        <f t="shared" si="5"/>
        <v>14989</v>
      </c>
      <c r="AH41" s="608"/>
      <c r="AI41" s="608"/>
      <c r="AJ41" s="608"/>
      <c r="AK41" s="609">
        <f t="shared" ref="AK41:AK52" si="13">AG41</f>
        <v>14989</v>
      </c>
      <c r="AL41" s="609"/>
      <c r="AM41" s="609"/>
      <c r="AN41" s="609"/>
      <c r="AO41" s="609">
        <f t="shared" si="7"/>
        <v>14989</v>
      </c>
      <c r="AP41" s="609"/>
      <c r="AQ41" s="609"/>
      <c r="AR41" s="609"/>
      <c r="AS41" s="609"/>
      <c r="AT41" s="633"/>
      <c r="AU41" s="633"/>
      <c r="AV41" s="633"/>
      <c r="AW41" s="633"/>
      <c r="AX41" s="633"/>
      <c r="AY41" s="633">
        <f>I41/13</f>
        <v>1153</v>
      </c>
      <c r="AZ41" s="633"/>
      <c r="BA41" s="633"/>
      <c r="BB41" s="633"/>
      <c r="BC41" s="633"/>
      <c r="BD41" s="633"/>
      <c r="BE41" s="633"/>
      <c r="BF41" s="633"/>
      <c r="BG41" s="633"/>
      <c r="BH41" s="633"/>
      <c r="BI41" s="633"/>
      <c r="BJ41" s="633"/>
      <c r="BK41" s="633"/>
      <c r="BL41" s="633"/>
      <c r="BM41" s="401">
        <f t="shared" si="2"/>
        <v>14989</v>
      </c>
      <c r="BO41" s="1473"/>
      <c r="BP41" s="1473"/>
    </row>
    <row r="42" s="200" customFormat="1" ht="36" customHeight="1" spans="1:71">
      <c r="A42" s="533">
        <v>45280</v>
      </c>
      <c r="B42" s="527" t="s">
        <v>243</v>
      </c>
      <c r="C42" s="528" t="s">
        <v>213</v>
      </c>
      <c r="D42" s="534">
        <v>4500121807</v>
      </c>
      <c r="E42" s="530">
        <v>2950863982</v>
      </c>
      <c r="F42" s="534" t="s">
        <v>244</v>
      </c>
      <c r="G42" s="531" t="s">
        <v>245</v>
      </c>
      <c r="H42" s="532" t="s">
        <v>74</v>
      </c>
      <c r="I42" s="401">
        <v>3840</v>
      </c>
      <c r="J42" s="562">
        <v>0</v>
      </c>
      <c r="K42" s="531">
        <v>12</v>
      </c>
      <c r="L42" s="401">
        <f t="shared" si="3"/>
        <v>320</v>
      </c>
      <c r="M42" s="563">
        <v>45350</v>
      </c>
      <c r="N42" s="563">
        <v>45346</v>
      </c>
      <c r="O42" s="564"/>
      <c r="P42" s="1447" t="s">
        <v>92</v>
      </c>
      <c r="Q42" s="564" t="s">
        <v>246</v>
      </c>
      <c r="R42" s="564">
        <v>45295</v>
      </c>
      <c r="S42" s="564" t="s">
        <v>123</v>
      </c>
      <c r="T42" s="564">
        <v>45295</v>
      </c>
      <c r="U42" s="530" t="s">
        <v>247</v>
      </c>
      <c r="V42" s="596" t="s">
        <v>218</v>
      </c>
      <c r="W42" s="592">
        <v>1.53</v>
      </c>
      <c r="X42" s="593">
        <f t="shared" si="4"/>
        <v>5875.2</v>
      </c>
      <c r="Y42" s="401" t="s">
        <v>248</v>
      </c>
      <c r="Z42" s="607" t="s">
        <v>249</v>
      </c>
      <c r="AA42" s="1453" t="s">
        <v>128</v>
      </c>
      <c r="AB42" s="608"/>
      <c r="AC42" s="608"/>
      <c r="AD42" s="608"/>
      <c r="AE42" s="564" t="s">
        <v>80</v>
      </c>
      <c r="AF42" s="564"/>
      <c r="AG42" s="608">
        <f t="shared" si="5"/>
        <v>3840</v>
      </c>
      <c r="AH42" s="608"/>
      <c r="AI42" s="608"/>
      <c r="AJ42" s="608"/>
      <c r="AK42" s="609">
        <f>I42</f>
        <v>3840</v>
      </c>
      <c r="AL42" s="401"/>
      <c r="AM42" s="609"/>
      <c r="AN42" s="609"/>
      <c r="AO42" s="609">
        <f t="shared" si="7"/>
        <v>3840</v>
      </c>
      <c r="AP42" s="609"/>
      <c r="AQ42" s="609"/>
      <c r="AR42" s="609"/>
      <c r="AS42" s="609"/>
      <c r="AT42" s="633"/>
      <c r="AU42" s="633"/>
      <c r="AV42" s="633"/>
      <c r="AW42" s="633">
        <f>I42/12</f>
        <v>320</v>
      </c>
      <c r="AX42" s="401"/>
      <c r="AY42" s="633"/>
      <c r="AZ42" s="633"/>
      <c r="BA42" s="633"/>
      <c r="BB42" s="633"/>
      <c r="BC42" s="633"/>
      <c r="BD42" s="633"/>
      <c r="BE42" s="633"/>
      <c r="BF42" s="633"/>
      <c r="BG42" s="633"/>
      <c r="BH42" s="633"/>
      <c r="BI42" s="633"/>
      <c r="BJ42" s="633"/>
      <c r="BK42" s="633"/>
      <c r="BL42" s="633"/>
      <c r="BM42" s="201">
        <f t="shared" si="2"/>
        <v>3840</v>
      </c>
      <c r="BN42" s="199"/>
      <c r="BO42" s="196"/>
      <c r="BP42" s="198"/>
      <c r="BQ42" s="199"/>
      <c r="BR42" s="199"/>
      <c r="BS42" s="199"/>
    </row>
    <row r="43" s="200" customFormat="1" ht="36" customHeight="1" spans="1:71">
      <c r="A43" s="533">
        <v>45288</v>
      </c>
      <c r="B43" s="527" t="s">
        <v>250</v>
      </c>
      <c r="C43" s="528" t="s">
        <v>180</v>
      </c>
      <c r="D43" s="534">
        <v>4500122374</v>
      </c>
      <c r="E43" s="530">
        <v>5200003307</v>
      </c>
      <c r="F43" s="534" t="s">
        <v>251</v>
      </c>
      <c r="G43" s="531" t="s">
        <v>252</v>
      </c>
      <c r="H43" s="532" t="s">
        <v>74</v>
      </c>
      <c r="I43" s="401">
        <v>3990</v>
      </c>
      <c r="J43" s="562">
        <v>0</v>
      </c>
      <c r="K43" s="531">
        <v>21</v>
      </c>
      <c r="L43" s="401">
        <f t="shared" si="3"/>
        <v>190</v>
      </c>
      <c r="M43" s="563">
        <v>45350</v>
      </c>
      <c r="N43" s="563">
        <v>45346</v>
      </c>
      <c r="O43" s="564"/>
      <c r="P43" s="1447" t="s">
        <v>92</v>
      </c>
      <c r="Q43" s="564" t="s">
        <v>253</v>
      </c>
      <c r="R43" s="564">
        <v>45654</v>
      </c>
      <c r="S43" s="564" t="s">
        <v>77</v>
      </c>
      <c r="T43" s="564">
        <v>45296</v>
      </c>
      <c r="U43" s="530" t="s">
        <v>254</v>
      </c>
      <c r="V43" s="596" t="s">
        <v>255</v>
      </c>
      <c r="W43" s="592">
        <v>1.8</v>
      </c>
      <c r="X43" s="593">
        <f>W43*L43</f>
        <v>342</v>
      </c>
      <c r="Y43" s="401" t="s">
        <v>256</v>
      </c>
      <c r="Z43" s="607" t="s">
        <v>257</v>
      </c>
      <c r="AA43" s="1453" t="s">
        <v>128</v>
      </c>
      <c r="AB43" s="608"/>
      <c r="AC43" s="608"/>
      <c r="AD43" s="608"/>
      <c r="AE43" s="564" t="s">
        <v>80</v>
      </c>
      <c r="AF43" s="564"/>
      <c r="AG43" s="608">
        <f t="shared" si="5"/>
        <v>3990</v>
      </c>
      <c r="AH43" s="608"/>
      <c r="AI43" s="608"/>
      <c r="AJ43" s="608"/>
      <c r="AK43" s="609"/>
      <c r="AL43" s="609">
        <f>I43</f>
        <v>3990</v>
      </c>
      <c r="AM43" s="609"/>
      <c r="AN43" s="609"/>
      <c r="AO43" s="609">
        <f t="shared" si="7"/>
        <v>3990</v>
      </c>
      <c r="AP43" s="609"/>
      <c r="AQ43" s="609"/>
      <c r="AR43" s="609"/>
      <c r="AS43" s="401"/>
      <c r="AT43" s="633">
        <f>I43/21</f>
        <v>190</v>
      </c>
      <c r="AU43" s="633"/>
      <c r="AV43" s="633"/>
      <c r="AW43" s="633"/>
      <c r="AX43" s="633"/>
      <c r="AY43" s="633"/>
      <c r="AZ43" s="633"/>
      <c r="BA43" s="633"/>
      <c r="BB43" s="633"/>
      <c r="BC43" s="633"/>
      <c r="BD43" s="633"/>
      <c r="BE43" s="633"/>
      <c r="BF43" s="633"/>
      <c r="BG43" s="633"/>
      <c r="BH43" s="633"/>
      <c r="BI43" s="633"/>
      <c r="BJ43" s="633"/>
      <c r="BK43" s="633"/>
      <c r="BL43" s="633"/>
      <c r="BM43" s="201">
        <f t="shared" si="2"/>
        <v>3990</v>
      </c>
      <c r="BN43" s="199"/>
      <c r="BO43" s="196"/>
      <c r="BP43" s="198"/>
      <c r="BQ43" s="199"/>
      <c r="BR43" s="199"/>
      <c r="BS43" s="199"/>
    </row>
    <row r="44" s="200" customFormat="1" ht="36" customHeight="1" spans="1:71">
      <c r="A44" s="533">
        <v>45288</v>
      </c>
      <c r="B44" s="527" t="s">
        <v>250</v>
      </c>
      <c r="C44" s="528" t="s">
        <v>180</v>
      </c>
      <c r="D44" s="534">
        <v>4500122374</v>
      </c>
      <c r="E44" s="530">
        <v>5200003307</v>
      </c>
      <c r="F44" s="534" t="s">
        <v>258</v>
      </c>
      <c r="G44" s="531" t="s">
        <v>259</v>
      </c>
      <c r="H44" s="532" t="s">
        <v>74</v>
      </c>
      <c r="I44" s="401">
        <v>3996</v>
      </c>
      <c r="J44" s="562">
        <v>0</v>
      </c>
      <c r="K44" s="531">
        <v>12</v>
      </c>
      <c r="L44" s="401">
        <f t="shared" si="3"/>
        <v>333</v>
      </c>
      <c r="M44" s="563">
        <v>45350</v>
      </c>
      <c r="N44" s="563">
        <v>45346</v>
      </c>
      <c r="O44" s="564"/>
      <c r="P44" s="1447" t="s">
        <v>92</v>
      </c>
      <c r="Q44" s="564" t="s">
        <v>253</v>
      </c>
      <c r="R44" s="564">
        <v>45654</v>
      </c>
      <c r="S44" s="564" t="s">
        <v>77</v>
      </c>
      <c r="T44" s="564">
        <v>45296</v>
      </c>
      <c r="U44" s="530" t="s">
        <v>260</v>
      </c>
      <c r="V44" s="596" t="s">
        <v>255</v>
      </c>
      <c r="W44" s="592">
        <v>1.53</v>
      </c>
      <c r="X44" s="593">
        <f>W44*L44</f>
        <v>509.49</v>
      </c>
      <c r="Y44" s="401" t="s">
        <v>256</v>
      </c>
      <c r="Z44" s="607" t="s">
        <v>249</v>
      </c>
      <c r="AA44" s="1453" t="s">
        <v>128</v>
      </c>
      <c r="AB44" s="608"/>
      <c r="AC44" s="608"/>
      <c r="AD44" s="608"/>
      <c r="AE44" s="564" t="s">
        <v>80</v>
      </c>
      <c r="AF44" s="564"/>
      <c r="AG44" s="608">
        <f t="shared" si="5"/>
        <v>3996</v>
      </c>
      <c r="AH44" s="608"/>
      <c r="AI44" s="608"/>
      <c r="AJ44" s="608"/>
      <c r="AK44" s="609"/>
      <c r="AL44" s="609">
        <f>AG44</f>
        <v>3996</v>
      </c>
      <c r="AM44" s="609"/>
      <c r="AN44" s="609"/>
      <c r="AO44" s="609">
        <f t="shared" si="7"/>
        <v>3996</v>
      </c>
      <c r="AP44" s="609"/>
      <c r="AQ44" s="609"/>
      <c r="AR44" s="609"/>
      <c r="AS44" s="609"/>
      <c r="AT44" s="633"/>
      <c r="AU44" s="633"/>
      <c r="AV44" s="633"/>
      <c r="AW44" s="401"/>
      <c r="AX44" s="633">
        <f>I44/12</f>
        <v>333</v>
      </c>
      <c r="AY44" s="633"/>
      <c r="AZ44" s="633"/>
      <c r="BA44" s="633"/>
      <c r="BB44" s="633"/>
      <c r="BC44" s="633"/>
      <c r="BD44" s="633"/>
      <c r="BE44" s="633"/>
      <c r="BF44" s="633"/>
      <c r="BG44" s="633"/>
      <c r="BH44" s="633"/>
      <c r="BI44" s="633"/>
      <c r="BJ44" s="633"/>
      <c r="BK44" s="633"/>
      <c r="BL44" s="633"/>
      <c r="BM44" s="201">
        <f t="shared" si="2"/>
        <v>3996</v>
      </c>
      <c r="BN44" s="199"/>
      <c r="BO44" s="196"/>
      <c r="BP44" s="198"/>
      <c r="BQ44" s="199"/>
      <c r="BR44" s="199"/>
      <c r="BS44" s="199"/>
    </row>
    <row r="45" s="200" customFormat="1" ht="36" customHeight="1" spans="1:71">
      <c r="A45" s="533">
        <v>45293</v>
      </c>
      <c r="B45" s="527" t="s">
        <v>151</v>
      </c>
      <c r="C45" s="528" t="s">
        <v>117</v>
      </c>
      <c r="D45" s="534">
        <v>4500122521</v>
      </c>
      <c r="E45" s="530" t="s">
        <v>261</v>
      </c>
      <c r="F45" s="534" t="s">
        <v>262</v>
      </c>
      <c r="G45" s="531" t="s">
        <v>73</v>
      </c>
      <c r="H45" s="532" t="s">
        <v>74</v>
      </c>
      <c r="I45" s="401">
        <v>2088</v>
      </c>
      <c r="J45" s="562">
        <v>0</v>
      </c>
      <c r="K45" s="531">
        <v>24</v>
      </c>
      <c r="L45" s="401">
        <f t="shared" si="3"/>
        <v>87</v>
      </c>
      <c r="M45" s="563">
        <v>45355</v>
      </c>
      <c r="N45" s="563">
        <v>45351</v>
      </c>
      <c r="O45" s="564"/>
      <c r="P45" s="1447" t="s">
        <v>92</v>
      </c>
      <c r="Q45" s="564" t="s">
        <v>263</v>
      </c>
      <c r="R45" s="564" t="s">
        <v>154</v>
      </c>
      <c r="S45" s="564" t="s">
        <v>123</v>
      </c>
      <c r="T45" s="564">
        <v>45314</v>
      </c>
      <c r="U45" s="530" t="s">
        <v>264</v>
      </c>
      <c r="V45" s="596" t="s">
        <v>156</v>
      </c>
      <c r="W45" s="592">
        <v>1.19</v>
      </c>
      <c r="X45" s="593">
        <f t="shared" ref="X45:X52" si="14">I45*W45</f>
        <v>2484.72</v>
      </c>
      <c r="Y45" s="1454" t="s">
        <v>265</v>
      </c>
      <c r="Z45" s="607" t="s">
        <v>73</v>
      </c>
      <c r="AA45" s="1453" t="s">
        <v>128</v>
      </c>
      <c r="AB45" s="608"/>
      <c r="AC45" s="608"/>
      <c r="AD45" s="608"/>
      <c r="AE45" s="564" t="s">
        <v>80</v>
      </c>
      <c r="AF45" s="564"/>
      <c r="AG45" s="608">
        <f t="shared" si="5"/>
        <v>2088</v>
      </c>
      <c r="AH45" s="608"/>
      <c r="AI45" s="608"/>
      <c r="AJ45" s="608"/>
      <c r="AK45" s="609">
        <f t="shared" si="13"/>
        <v>2088</v>
      </c>
      <c r="AL45" s="609"/>
      <c r="AM45" s="609"/>
      <c r="AN45" s="609"/>
      <c r="AO45" s="609">
        <f t="shared" si="7"/>
        <v>2088</v>
      </c>
      <c r="AP45" s="609"/>
      <c r="AQ45" s="609"/>
      <c r="AR45" s="609"/>
      <c r="AS45" s="609"/>
      <c r="AT45" s="633"/>
      <c r="AU45" s="633"/>
      <c r="AV45" s="633"/>
      <c r="AW45" s="633"/>
      <c r="AX45" s="633"/>
      <c r="AY45" s="633"/>
      <c r="AZ45" s="633"/>
      <c r="BA45" s="633"/>
      <c r="BB45" s="633"/>
      <c r="BC45" s="633"/>
      <c r="BD45" s="633"/>
      <c r="BE45" s="633"/>
      <c r="BF45" s="633"/>
      <c r="BG45" s="633"/>
      <c r="BH45" s="633"/>
      <c r="BI45" s="633"/>
      <c r="BJ45" s="633"/>
      <c r="BK45" s="633"/>
      <c r="BL45" s="633"/>
      <c r="BM45" s="201">
        <f t="shared" si="2"/>
        <v>2088</v>
      </c>
      <c r="BN45" s="199"/>
      <c r="BO45" s="196"/>
      <c r="BP45" s="198"/>
      <c r="BQ45" s="199"/>
      <c r="BR45" s="199"/>
      <c r="BS45" s="199"/>
    </row>
    <row r="46" s="200" customFormat="1" ht="36" customHeight="1" spans="1:71">
      <c r="A46" s="533">
        <v>45293</v>
      </c>
      <c r="B46" s="527" t="s">
        <v>151</v>
      </c>
      <c r="C46" s="528" t="s">
        <v>117</v>
      </c>
      <c r="D46" s="534">
        <v>4500122521</v>
      </c>
      <c r="E46" s="530" t="s">
        <v>266</v>
      </c>
      <c r="F46" s="534" t="s">
        <v>267</v>
      </c>
      <c r="G46" s="531" t="s">
        <v>73</v>
      </c>
      <c r="H46" s="532" t="s">
        <v>74</v>
      </c>
      <c r="I46" s="401">
        <v>2016</v>
      </c>
      <c r="J46" s="562">
        <v>0</v>
      </c>
      <c r="K46" s="531">
        <v>24</v>
      </c>
      <c r="L46" s="401">
        <f t="shared" si="3"/>
        <v>84</v>
      </c>
      <c r="M46" s="563">
        <v>45355</v>
      </c>
      <c r="N46" s="563">
        <v>45351</v>
      </c>
      <c r="O46" s="564"/>
      <c r="P46" s="1447" t="s">
        <v>92</v>
      </c>
      <c r="Q46" s="564" t="s">
        <v>263</v>
      </c>
      <c r="R46" s="564" t="s">
        <v>154</v>
      </c>
      <c r="S46" s="564" t="s">
        <v>123</v>
      </c>
      <c r="T46" s="564">
        <v>45314</v>
      </c>
      <c r="U46" s="530" t="s">
        <v>264</v>
      </c>
      <c r="V46" s="596" t="s">
        <v>156</v>
      </c>
      <c r="W46" s="592">
        <v>1.19</v>
      </c>
      <c r="X46" s="593">
        <f t="shared" si="14"/>
        <v>2399.04</v>
      </c>
      <c r="Y46" s="1454" t="s">
        <v>265</v>
      </c>
      <c r="Z46" s="607" t="s">
        <v>73</v>
      </c>
      <c r="AA46" s="1453" t="s">
        <v>128</v>
      </c>
      <c r="AB46" s="608"/>
      <c r="AC46" s="608"/>
      <c r="AD46" s="608"/>
      <c r="AE46" s="564" t="s">
        <v>80</v>
      </c>
      <c r="AF46" s="564"/>
      <c r="AG46" s="608">
        <f t="shared" si="5"/>
        <v>2016</v>
      </c>
      <c r="AH46" s="608"/>
      <c r="AI46" s="608"/>
      <c r="AJ46" s="608"/>
      <c r="AK46" s="609">
        <f t="shared" si="13"/>
        <v>2016</v>
      </c>
      <c r="AL46" s="609"/>
      <c r="AM46" s="609"/>
      <c r="AN46" s="609"/>
      <c r="AO46" s="609">
        <f t="shared" si="7"/>
        <v>2016</v>
      </c>
      <c r="AP46" s="609"/>
      <c r="AQ46" s="609"/>
      <c r="AR46" s="609"/>
      <c r="AS46" s="609"/>
      <c r="AT46" s="633"/>
      <c r="AU46" s="633"/>
      <c r="AV46" s="633"/>
      <c r="AW46" s="633"/>
      <c r="AX46" s="633"/>
      <c r="AY46" s="633"/>
      <c r="AZ46" s="633"/>
      <c r="BA46" s="633"/>
      <c r="BB46" s="633"/>
      <c r="BC46" s="633"/>
      <c r="BD46" s="633"/>
      <c r="BE46" s="633"/>
      <c r="BF46" s="633"/>
      <c r="BG46" s="633"/>
      <c r="BH46" s="633"/>
      <c r="BI46" s="633"/>
      <c r="BJ46" s="633"/>
      <c r="BK46" s="633"/>
      <c r="BL46" s="633"/>
      <c r="BM46" s="201">
        <f t="shared" si="2"/>
        <v>2016</v>
      </c>
      <c r="BN46" s="199"/>
      <c r="BO46" s="196"/>
      <c r="BP46" s="198"/>
      <c r="BQ46" s="199"/>
      <c r="BR46" s="199"/>
      <c r="BS46" s="199"/>
    </row>
    <row r="47" s="200" customFormat="1" ht="36" customHeight="1" spans="1:71">
      <c r="A47" s="533">
        <v>45293</v>
      </c>
      <c r="B47" s="527" t="s">
        <v>151</v>
      </c>
      <c r="C47" s="528" t="s">
        <v>117</v>
      </c>
      <c r="D47" s="534">
        <v>4500122521</v>
      </c>
      <c r="E47" s="530" t="s">
        <v>268</v>
      </c>
      <c r="F47" s="534" t="s">
        <v>269</v>
      </c>
      <c r="G47" s="531" t="s">
        <v>73</v>
      </c>
      <c r="H47" s="532" t="s">
        <v>74</v>
      </c>
      <c r="I47" s="401">
        <v>1344</v>
      </c>
      <c r="J47" s="562">
        <v>0</v>
      </c>
      <c r="K47" s="531">
        <v>24</v>
      </c>
      <c r="L47" s="401">
        <f t="shared" si="3"/>
        <v>56</v>
      </c>
      <c r="M47" s="563">
        <v>45355</v>
      </c>
      <c r="N47" s="563">
        <v>45351</v>
      </c>
      <c r="O47" s="564"/>
      <c r="P47" s="1447" t="s">
        <v>92</v>
      </c>
      <c r="Q47" s="564" t="s">
        <v>263</v>
      </c>
      <c r="R47" s="564" t="s">
        <v>154</v>
      </c>
      <c r="S47" s="564" t="s">
        <v>123</v>
      </c>
      <c r="T47" s="564">
        <v>45314</v>
      </c>
      <c r="U47" s="530" t="s">
        <v>264</v>
      </c>
      <c r="V47" s="596" t="s">
        <v>156</v>
      </c>
      <c r="W47" s="592">
        <v>1.19</v>
      </c>
      <c r="X47" s="593">
        <f t="shared" si="14"/>
        <v>1599.36</v>
      </c>
      <c r="Y47" s="1454" t="s">
        <v>265</v>
      </c>
      <c r="Z47" s="607" t="s">
        <v>73</v>
      </c>
      <c r="AA47" s="1453" t="s">
        <v>128</v>
      </c>
      <c r="AB47" s="608"/>
      <c r="AC47" s="608"/>
      <c r="AD47" s="608"/>
      <c r="AE47" s="564" t="s">
        <v>80</v>
      </c>
      <c r="AF47" s="564"/>
      <c r="AG47" s="608">
        <f t="shared" si="5"/>
        <v>1344</v>
      </c>
      <c r="AH47" s="608"/>
      <c r="AI47" s="608"/>
      <c r="AJ47" s="608"/>
      <c r="AK47" s="609">
        <f t="shared" si="13"/>
        <v>1344</v>
      </c>
      <c r="AL47" s="609"/>
      <c r="AM47" s="609"/>
      <c r="AN47" s="609"/>
      <c r="AO47" s="609">
        <f t="shared" si="7"/>
        <v>1344</v>
      </c>
      <c r="AP47" s="609"/>
      <c r="AQ47" s="609"/>
      <c r="AR47" s="609"/>
      <c r="AS47" s="609"/>
      <c r="AT47" s="633"/>
      <c r="AU47" s="633"/>
      <c r="AV47" s="633"/>
      <c r="AW47" s="633"/>
      <c r="AX47" s="633"/>
      <c r="AY47" s="633"/>
      <c r="AZ47" s="633"/>
      <c r="BA47" s="633"/>
      <c r="BB47" s="633"/>
      <c r="BC47" s="633"/>
      <c r="BD47" s="633"/>
      <c r="BE47" s="633"/>
      <c r="BF47" s="633"/>
      <c r="BG47" s="633"/>
      <c r="BH47" s="633"/>
      <c r="BI47" s="633"/>
      <c r="BJ47" s="633"/>
      <c r="BK47" s="633"/>
      <c r="BL47" s="633"/>
      <c r="BM47" s="201">
        <f t="shared" si="2"/>
        <v>1344</v>
      </c>
      <c r="BN47" s="199"/>
      <c r="BO47" s="196"/>
      <c r="BP47" s="198"/>
      <c r="BQ47" s="199"/>
      <c r="BR47" s="199"/>
      <c r="BS47" s="199"/>
    </row>
    <row r="48" s="200" customFormat="1" ht="36" customHeight="1" spans="1:71">
      <c r="A48" s="533">
        <v>45293</v>
      </c>
      <c r="B48" s="527" t="s">
        <v>151</v>
      </c>
      <c r="C48" s="528" t="s">
        <v>117</v>
      </c>
      <c r="D48" s="534">
        <v>4500122521</v>
      </c>
      <c r="E48" s="530" t="s">
        <v>270</v>
      </c>
      <c r="F48" s="534" t="s">
        <v>271</v>
      </c>
      <c r="G48" s="531" t="s">
        <v>73</v>
      </c>
      <c r="H48" s="532" t="s">
        <v>74</v>
      </c>
      <c r="I48" s="401">
        <v>888</v>
      </c>
      <c r="J48" s="562">
        <v>0</v>
      </c>
      <c r="K48" s="531">
        <v>24</v>
      </c>
      <c r="L48" s="401">
        <f t="shared" si="3"/>
        <v>37</v>
      </c>
      <c r="M48" s="563">
        <v>45355</v>
      </c>
      <c r="N48" s="563">
        <v>45351</v>
      </c>
      <c r="O48" s="564"/>
      <c r="P48" s="1447" t="s">
        <v>92</v>
      </c>
      <c r="Q48" s="564" t="s">
        <v>263</v>
      </c>
      <c r="R48" s="564" t="s">
        <v>154</v>
      </c>
      <c r="S48" s="564" t="s">
        <v>123</v>
      </c>
      <c r="T48" s="564">
        <v>45314</v>
      </c>
      <c r="U48" s="530" t="s">
        <v>264</v>
      </c>
      <c r="V48" s="596" t="s">
        <v>156</v>
      </c>
      <c r="W48" s="592">
        <v>1.19</v>
      </c>
      <c r="X48" s="593">
        <f t="shared" si="14"/>
        <v>1056.72</v>
      </c>
      <c r="Y48" s="1454" t="s">
        <v>265</v>
      </c>
      <c r="Z48" s="607" t="s">
        <v>73</v>
      </c>
      <c r="AA48" s="1453" t="s">
        <v>128</v>
      </c>
      <c r="AB48" s="608"/>
      <c r="AC48" s="608"/>
      <c r="AD48" s="608"/>
      <c r="AE48" s="564" t="s">
        <v>80</v>
      </c>
      <c r="AF48" s="564"/>
      <c r="AG48" s="608">
        <f t="shared" si="5"/>
        <v>888</v>
      </c>
      <c r="AH48" s="608"/>
      <c r="AI48" s="608"/>
      <c r="AJ48" s="608"/>
      <c r="AK48" s="609">
        <f t="shared" si="13"/>
        <v>888</v>
      </c>
      <c r="AL48" s="609"/>
      <c r="AM48" s="609"/>
      <c r="AN48" s="609"/>
      <c r="AO48" s="609">
        <f t="shared" si="7"/>
        <v>888</v>
      </c>
      <c r="AP48" s="609"/>
      <c r="AQ48" s="609"/>
      <c r="AR48" s="609"/>
      <c r="AS48" s="609"/>
      <c r="AT48" s="633"/>
      <c r="AU48" s="633"/>
      <c r="AV48" s="633"/>
      <c r="AW48" s="633"/>
      <c r="AX48" s="633"/>
      <c r="AY48" s="633"/>
      <c r="AZ48" s="633"/>
      <c r="BA48" s="633"/>
      <c r="BB48" s="633"/>
      <c r="BC48" s="633"/>
      <c r="BD48" s="633"/>
      <c r="BE48" s="633"/>
      <c r="BF48" s="633"/>
      <c r="BG48" s="633"/>
      <c r="BH48" s="633"/>
      <c r="BI48" s="633"/>
      <c r="BJ48" s="633"/>
      <c r="BK48" s="633"/>
      <c r="BL48" s="633"/>
      <c r="BM48" s="201">
        <f t="shared" si="2"/>
        <v>888</v>
      </c>
      <c r="BN48" s="199"/>
      <c r="BO48" s="196"/>
      <c r="BP48" s="198"/>
      <c r="BQ48" s="199"/>
      <c r="BR48" s="199"/>
      <c r="BS48" s="199"/>
    </row>
    <row r="49" s="200" customFormat="1" ht="36" customHeight="1" spans="1:71">
      <c r="A49" s="533">
        <v>45293</v>
      </c>
      <c r="B49" s="527" t="s">
        <v>151</v>
      </c>
      <c r="C49" s="528" t="s">
        <v>117</v>
      </c>
      <c r="D49" s="534">
        <v>4500122521</v>
      </c>
      <c r="E49" s="530" t="s">
        <v>272</v>
      </c>
      <c r="F49" s="534" t="s">
        <v>273</v>
      </c>
      <c r="G49" s="531" t="s">
        <v>73</v>
      </c>
      <c r="H49" s="532" t="s">
        <v>74</v>
      </c>
      <c r="I49" s="401">
        <v>3120</v>
      </c>
      <c r="J49" s="562">
        <v>0</v>
      </c>
      <c r="K49" s="531">
        <v>24</v>
      </c>
      <c r="L49" s="401">
        <f t="shared" si="3"/>
        <v>130</v>
      </c>
      <c r="M49" s="563">
        <v>45355</v>
      </c>
      <c r="N49" s="563">
        <v>45351</v>
      </c>
      <c r="O49" s="564"/>
      <c r="P49" s="1447" t="s">
        <v>92</v>
      </c>
      <c r="Q49" s="564" t="s">
        <v>263</v>
      </c>
      <c r="R49" s="564" t="s">
        <v>154</v>
      </c>
      <c r="S49" s="564" t="s">
        <v>123</v>
      </c>
      <c r="T49" s="564">
        <v>45314</v>
      </c>
      <c r="U49" s="530" t="s">
        <v>264</v>
      </c>
      <c r="V49" s="596" t="s">
        <v>156</v>
      </c>
      <c r="W49" s="592">
        <v>1.19</v>
      </c>
      <c r="X49" s="593">
        <f t="shared" si="14"/>
        <v>3712.8</v>
      </c>
      <c r="Y49" s="1454" t="s">
        <v>265</v>
      </c>
      <c r="Z49" s="607" t="s">
        <v>73</v>
      </c>
      <c r="AA49" s="1453" t="s">
        <v>128</v>
      </c>
      <c r="AB49" s="608"/>
      <c r="AC49" s="608"/>
      <c r="AD49" s="608"/>
      <c r="AE49" s="564" t="s">
        <v>80</v>
      </c>
      <c r="AF49" s="564"/>
      <c r="AG49" s="608">
        <f t="shared" si="5"/>
        <v>3120</v>
      </c>
      <c r="AH49" s="608"/>
      <c r="AI49" s="608"/>
      <c r="AJ49" s="608"/>
      <c r="AK49" s="609">
        <f t="shared" si="13"/>
        <v>3120</v>
      </c>
      <c r="AL49" s="609"/>
      <c r="AM49" s="609"/>
      <c r="AN49" s="609"/>
      <c r="AO49" s="609">
        <f t="shared" si="7"/>
        <v>3120</v>
      </c>
      <c r="AP49" s="609"/>
      <c r="AQ49" s="609"/>
      <c r="AR49" s="609"/>
      <c r="AS49" s="609"/>
      <c r="AT49" s="633"/>
      <c r="AU49" s="633"/>
      <c r="AV49" s="633"/>
      <c r="AW49" s="633"/>
      <c r="AX49" s="633"/>
      <c r="AY49" s="633"/>
      <c r="AZ49" s="633"/>
      <c r="BA49" s="633"/>
      <c r="BB49" s="633"/>
      <c r="BC49" s="633"/>
      <c r="BD49" s="633"/>
      <c r="BE49" s="633"/>
      <c r="BF49" s="633"/>
      <c r="BG49" s="633"/>
      <c r="BH49" s="633"/>
      <c r="BI49" s="633"/>
      <c r="BJ49" s="633"/>
      <c r="BK49" s="633"/>
      <c r="BL49" s="633"/>
      <c r="BM49" s="201">
        <f t="shared" si="2"/>
        <v>3120</v>
      </c>
      <c r="BN49" s="199"/>
      <c r="BO49" s="196"/>
      <c r="BP49" s="198"/>
      <c r="BQ49" s="199"/>
      <c r="BR49" s="199"/>
      <c r="BS49" s="199"/>
    </row>
    <row r="50" s="200" customFormat="1" ht="36" customHeight="1" spans="1:71">
      <c r="A50" s="533">
        <v>45293</v>
      </c>
      <c r="B50" s="527" t="s">
        <v>151</v>
      </c>
      <c r="C50" s="528" t="s">
        <v>117</v>
      </c>
      <c r="D50" s="534">
        <v>4500122521</v>
      </c>
      <c r="E50" s="530" t="s">
        <v>274</v>
      </c>
      <c r="F50" s="534" t="s">
        <v>275</v>
      </c>
      <c r="G50" s="531" t="s">
        <v>73</v>
      </c>
      <c r="H50" s="532" t="s">
        <v>74</v>
      </c>
      <c r="I50" s="401">
        <v>6168</v>
      </c>
      <c r="J50" s="562">
        <v>0</v>
      </c>
      <c r="K50" s="531">
        <v>24</v>
      </c>
      <c r="L50" s="401">
        <f t="shared" si="3"/>
        <v>257</v>
      </c>
      <c r="M50" s="563">
        <v>45355</v>
      </c>
      <c r="N50" s="563">
        <v>45351</v>
      </c>
      <c r="O50" s="564"/>
      <c r="P50" s="1447" t="s">
        <v>92</v>
      </c>
      <c r="Q50" s="564" t="s">
        <v>263</v>
      </c>
      <c r="R50" s="564" t="s">
        <v>154</v>
      </c>
      <c r="S50" s="564" t="s">
        <v>123</v>
      </c>
      <c r="T50" s="564">
        <v>45314</v>
      </c>
      <c r="U50" s="530" t="s">
        <v>264</v>
      </c>
      <c r="V50" s="596" t="s">
        <v>156</v>
      </c>
      <c r="W50" s="592">
        <v>1.19</v>
      </c>
      <c r="X50" s="593">
        <f t="shared" si="14"/>
        <v>7339.92</v>
      </c>
      <c r="Y50" s="1454" t="s">
        <v>265</v>
      </c>
      <c r="Z50" s="607" t="s">
        <v>73</v>
      </c>
      <c r="AA50" s="1453" t="s">
        <v>128</v>
      </c>
      <c r="AB50" s="608"/>
      <c r="AC50" s="608"/>
      <c r="AD50" s="608"/>
      <c r="AE50" s="564" t="s">
        <v>80</v>
      </c>
      <c r="AF50" s="564"/>
      <c r="AG50" s="608">
        <f t="shared" si="5"/>
        <v>6168</v>
      </c>
      <c r="AH50" s="608"/>
      <c r="AI50" s="608"/>
      <c r="AJ50" s="608"/>
      <c r="AK50" s="609">
        <f t="shared" si="13"/>
        <v>6168</v>
      </c>
      <c r="AL50" s="609"/>
      <c r="AM50" s="609"/>
      <c r="AN50" s="609"/>
      <c r="AO50" s="609">
        <f t="shared" si="7"/>
        <v>6168</v>
      </c>
      <c r="AP50" s="609"/>
      <c r="AQ50" s="609"/>
      <c r="AR50" s="609"/>
      <c r="AS50" s="609"/>
      <c r="AT50" s="633"/>
      <c r="AU50" s="633"/>
      <c r="AV50" s="633"/>
      <c r="AW50" s="633"/>
      <c r="AX50" s="633"/>
      <c r="AY50" s="633"/>
      <c r="AZ50" s="633"/>
      <c r="BA50" s="633"/>
      <c r="BB50" s="633"/>
      <c r="BC50" s="633"/>
      <c r="BD50" s="633"/>
      <c r="BE50" s="633"/>
      <c r="BF50" s="633"/>
      <c r="BG50" s="633"/>
      <c r="BH50" s="633"/>
      <c r="BI50" s="633"/>
      <c r="BJ50" s="633"/>
      <c r="BK50" s="633"/>
      <c r="BL50" s="633"/>
      <c r="BM50" s="201">
        <f t="shared" si="2"/>
        <v>6168</v>
      </c>
      <c r="BN50" s="199"/>
      <c r="BO50" s="196"/>
      <c r="BP50" s="198"/>
      <c r="BQ50" s="199"/>
      <c r="BR50" s="199"/>
      <c r="BS50" s="199"/>
    </row>
    <row r="51" s="200" customFormat="1" ht="36" customHeight="1" spans="1:71">
      <c r="A51" s="533">
        <v>45293</v>
      </c>
      <c r="B51" s="527" t="s">
        <v>151</v>
      </c>
      <c r="C51" s="528" t="s">
        <v>117</v>
      </c>
      <c r="D51" s="534">
        <v>4500122521</v>
      </c>
      <c r="E51" s="530" t="s">
        <v>276</v>
      </c>
      <c r="F51" s="534" t="s">
        <v>277</v>
      </c>
      <c r="G51" s="531" t="s">
        <v>73</v>
      </c>
      <c r="H51" s="532" t="s">
        <v>74</v>
      </c>
      <c r="I51" s="401">
        <v>1344</v>
      </c>
      <c r="J51" s="562">
        <v>0</v>
      </c>
      <c r="K51" s="531">
        <v>24</v>
      </c>
      <c r="L51" s="401">
        <f t="shared" si="3"/>
        <v>56</v>
      </c>
      <c r="M51" s="563">
        <v>45355</v>
      </c>
      <c r="N51" s="563">
        <v>45351</v>
      </c>
      <c r="O51" s="564"/>
      <c r="P51" s="1447" t="s">
        <v>92</v>
      </c>
      <c r="Q51" s="564" t="s">
        <v>263</v>
      </c>
      <c r="R51" s="564" t="s">
        <v>154</v>
      </c>
      <c r="S51" s="564" t="s">
        <v>123</v>
      </c>
      <c r="T51" s="564">
        <v>45314</v>
      </c>
      <c r="U51" s="530" t="s">
        <v>264</v>
      </c>
      <c r="V51" s="596" t="s">
        <v>156</v>
      </c>
      <c r="W51" s="592">
        <v>1.19</v>
      </c>
      <c r="X51" s="593">
        <f t="shared" si="14"/>
        <v>1599.36</v>
      </c>
      <c r="Y51" s="1454" t="s">
        <v>265</v>
      </c>
      <c r="Z51" s="607" t="s">
        <v>73</v>
      </c>
      <c r="AA51" s="1453" t="s">
        <v>128</v>
      </c>
      <c r="AB51" s="608"/>
      <c r="AC51" s="608"/>
      <c r="AD51" s="608"/>
      <c r="AE51" s="564" t="s">
        <v>80</v>
      </c>
      <c r="AF51" s="564"/>
      <c r="AG51" s="608">
        <f t="shared" si="5"/>
        <v>1344</v>
      </c>
      <c r="AH51" s="608"/>
      <c r="AI51" s="608"/>
      <c r="AJ51" s="608"/>
      <c r="AK51" s="609">
        <f t="shared" si="13"/>
        <v>1344</v>
      </c>
      <c r="AL51" s="609"/>
      <c r="AM51" s="609"/>
      <c r="AN51" s="609"/>
      <c r="AO51" s="609">
        <f t="shared" si="7"/>
        <v>1344</v>
      </c>
      <c r="AP51" s="609"/>
      <c r="AQ51" s="609"/>
      <c r="AR51" s="609"/>
      <c r="AS51" s="609"/>
      <c r="AT51" s="633"/>
      <c r="AU51" s="633"/>
      <c r="AV51" s="633"/>
      <c r="AW51" s="633"/>
      <c r="AX51" s="633"/>
      <c r="AY51" s="633"/>
      <c r="AZ51" s="633"/>
      <c r="BA51" s="633"/>
      <c r="BB51" s="633"/>
      <c r="BC51" s="633"/>
      <c r="BD51" s="633"/>
      <c r="BE51" s="633"/>
      <c r="BF51" s="633"/>
      <c r="BG51" s="633"/>
      <c r="BH51" s="633"/>
      <c r="BI51" s="633"/>
      <c r="BJ51" s="633"/>
      <c r="BK51" s="633"/>
      <c r="BL51" s="633"/>
      <c r="BM51" s="201">
        <f t="shared" si="2"/>
        <v>1344</v>
      </c>
      <c r="BN51" s="199"/>
      <c r="BO51" s="196"/>
      <c r="BP51" s="198"/>
      <c r="BQ51" s="199"/>
      <c r="BR51" s="199"/>
      <c r="BS51" s="199"/>
    </row>
    <row r="52" s="200" customFormat="1" ht="36" customHeight="1" spans="1:71">
      <c r="A52" s="533">
        <v>45271</v>
      </c>
      <c r="B52" s="527" t="s">
        <v>278</v>
      </c>
      <c r="C52" s="528" t="s">
        <v>117</v>
      </c>
      <c r="D52" s="534">
        <v>4500119117</v>
      </c>
      <c r="E52" s="530">
        <v>2510756</v>
      </c>
      <c r="F52" s="534" t="s">
        <v>279</v>
      </c>
      <c r="G52" s="531" t="s">
        <v>245</v>
      </c>
      <c r="H52" s="532" t="s">
        <v>74</v>
      </c>
      <c r="I52" s="401">
        <v>5172</v>
      </c>
      <c r="J52" s="562">
        <v>0</v>
      </c>
      <c r="K52" s="531">
        <v>12</v>
      </c>
      <c r="L52" s="401">
        <f t="shared" si="3"/>
        <v>431</v>
      </c>
      <c r="M52" s="563">
        <v>45350</v>
      </c>
      <c r="N52" s="563">
        <v>45346</v>
      </c>
      <c r="O52" s="564" t="s">
        <v>280</v>
      </c>
      <c r="P52" s="1447" t="s">
        <v>92</v>
      </c>
      <c r="Q52" s="564" t="s">
        <v>281</v>
      </c>
      <c r="R52" s="564">
        <v>45637</v>
      </c>
      <c r="S52" s="564" t="s">
        <v>77</v>
      </c>
      <c r="T52" s="564">
        <v>45637</v>
      </c>
      <c r="U52" s="530" t="s">
        <v>282</v>
      </c>
      <c r="V52" s="596" t="s">
        <v>283</v>
      </c>
      <c r="W52" s="592">
        <v>1.53</v>
      </c>
      <c r="X52" s="593">
        <f t="shared" si="14"/>
        <v>7913.16</v>
      </c>
      <c r="Y52" s="401" t="s">
        <v>284</v>
      </c>
      <c r="Z52" s="607" t="s">
        <v>245</v>
      </c>
      <c r="AA52" s="1453" t="s">
        <v>128</v>
      </c>
      <c r="AB52" s="608"/>
      <c r="AC52" s="608"/>
      <c r="AD52" s="608"/>
      <c r="AE52" s="564" t="s">
        <v>80</v>
      </c>
      <c r="AF52" s="564"/>
      <c r="AG52" s="608">
        <f t="shared" si="5"/>
        <v>5172</v>
      </c>
      <c r="AH52" s="608"/>
      <c r="AI52" s="608"/>
      <c r="AJ52" s="608"/>
      <c r="AK52" s="609">
        <f t="shared" si="13"/>
        <v>5172</v>
      </c>
      <c r="AL52" s="401"/>
      <c r="AM52" s="609"/>
      <c r="AN52" s="609"/>
      <c r="AO52" s="609">
        <f t="shared" si="7"/>
        <v>5172</v>
      </c>
      <c r="AP52" s="609"/>
      <c r="AQ52" s="609"/>
      <c r="AR52" s="609"/>
      <c r="AS52" s="609"/>
      <c r="AT52" s="633"/>
      <c r="AU52" s="633"/>
      <c r="AV52" s="633"/>
      <c r="AW52" s="633">
        <f>I52/12</f>
        <v>431</v>
      </c>
      <c r="AX52" s="633"/>
      <c r="AY52" s="633"/>
      <c r="AZ52" s="633"/>
      <c r="BA52" s="633"/>
      <c r="BB52" s="633"/>
      <c r="BC52" s="633"/>
      <c r="BD52" s="633"/>
      <c r="BE52" s="633"/>
      <c r="BF52" s="633"/>
      <c r="BG52" s="633"/>
      <c r="BH52" s="633"/>
      <c r="BI52" s="633"/>
      <c r="BJ52" s="633"/>
      <c r="BK52" s="633"/>
      <c r="BL52" s="633"/>
      <c r="BM52" s="201">
        <f t="shared" si="2"/>
        <v>5172</v>
      </c>
      <c r="BN52" s="199"/>
      <c r="BO52" s="196"/>
      <c r="BP52" s="198"/>
      <c r="BQ52" s="199"/>
      <c r="BR52" s="199"/>
      <c r="BS52" s="199"/>
    </row>
    <row r="53" s="200" customFormat="1" ht="36" customHeight="1" spans="1:68">
      <c r="A53" s="533">
        <v>45280</v>
      </c>
      <c r="B53" s="527" t="s">
        <v>285</v>
      </c>
      <c r="C53" s="528" t="s">
        <v>286</v>
      </c>
      <c r="D53" s="534">
        <v>4500121718</v>
      </c>
      <c r="E53" s="530">
        <v>61821817</v>
      </c>
      <c r="F53" s="534" t="s">
        <v>287</v>
      </c>
      <c r="G53" s="531" t="s">
        <v>96</v>
      </c>
      <c r="H53" s="532" t="s">
        <v>74</v>
      </c>
      <c r="I53" s="401">
        <v>5000</v>
      </c>
      <c r="J53" s="562">
        <v>0</v>
      </c>
      <c r="K53" s="531">
        <v>50</v>
      </c>
      <c r="L53" s="401">
        <f t="shared" si="3"/>
        <v>100</v>
      </c>
      <c r="M53" s="563">
        <v>45355</v>
      </c>
      <c r="N53" s="563">
        <v>45351</v>
      </c>
      <c r="O53" s="564"/>
      <c r="P53" s="1447" t="s">
        <v>92</v>
      </c>
      <c r="Q53" s="564" t="s">
        <v>288</v>
      </c>
      <c r="R53" s="564">
        <v>45293</v>
      </c>
      <c r="S53" s="564" t="s">
        <v>77</v>
      </c>
      <c r="T53" s="564">
        <v>45323</v>
      </c>
      <c r="U53" s="530" t="s">
        <v>289</v>
      </c>
      <c r="V53" s="596" t="s">
        <v>290</v>
      </c>
      <c r="W53" s="592">
        <v>1.5806</v>
      </c>
      <c r="X53" s="593">
        <f>W53*I53</f>
        <v>7903</v>
      </c>
      <c r="Y53" s="401" t="s">
        <v>291</v>
      </c>
      <c r="Z53" s="607" t="s">
        <v>292</v>
      </c>
      <c r="AA53" s="1453" t="s">
        <v>128</v>
      </c>
      <c r="AB53" s="608"/>
      <c r="AC53" s="608"/>
      <c r="AD53" s="608"/>
      <c r="AE53" s="564" t="s">
        <v>80</v>
      </c>
      <c r="AF53" s="564"/>
      <c r="AG53" s="608">
        <f t="shared" si="5"/>
        <v>5000</v>
      </c>
      <c r="AH53" s="608"/>
      <c r="AI53" s="608"/>
      <c r="AJ53" s="608"/>
      <c r="AK53" s="609"/>
      <c r="AL53" s="609">
        <f>I53</f>
        <v>5000</v>
      </c>
      <c r="AM53" s="609"/>
      <c r="AN53" s="609"/>
      <c r="AO53" s="609">
        <f>I53</f>
        <v>5000</v>
      </c>
      <c r="AP53" s="609"/>
      <c r="AQ53" s="609"/>
      <c r="AR53" s="609"/>
      <c r="AS53" s="609"/>
      <c r="AT53" s="633"/>
      <c r="AU53" s="633"/>
      <c r="AV53" s="633"/>
      <c r="AW53" s="633"/>
      <c r="AX53" s="633"/>
      <c r="AY53" s="633"/>
      <c r="AZ53" s="633"/>
      <c r="BA53" s="633"/>
      <c r="BB53" s="633">
        <f>I53/25</f>
        <v>200</v>
      </c>
      <c r="BC53" s="633"/>
      <c r="BD53" s="633"/>
      <c r="BE53" s="633"/>
      <c r="BF53" s="633"/>
      <c r="BG53" s="633"/>
      <c r="BH53" s="633"/>
      <c r="BI53" s="633"/>
      <c r="BJ53" s="633"/>
      <c r="BK53" s="633"/>
      <c r="BL53" s="633"/>
      <c r="BM53" s="401">
        <f t="shared" si="2"/>
        <v>5000</v>
      </c>
      <c r="BO53" s="1473"/>
      <c r="BP53" s="1473"/>
    </row>
    <row r="54" s="200" customFormat="1" ht="36" customHeight="1" spans="1:68">
      <c r="A54" s="533">
        <v>45288</v>
      </c>
      <c r="B54" s="527" t="s">
        <v>189</v>
      </c>
      <c r="C54" s="528" t="s">
        <v>190</v>
      </c>
      <c r="D54" s="534">
        <v>4500122379</v>
      </c>
      <c r="E54" s="530">
        <v>19631973</v>
      </c>
      <c r="F54" s="534" t="s">
        <v>293</v>
      </c>
      <c r="G54" s="531" t="s">
        <v>160</v>
      </c>
      <c r="H54" s="532" t="s">
        <v>74</v>
      </c>
      <c r="I54" s="401">
        <v>1391</v>
      </c>
      <c r="J54" s="562">
        <v>0</v>
      </c>
      <c r="K54" s="531">
        <v>13</v>
      </c>
      <c r="L54" s="401">
        <f t="shared" si="3"/>
        <v>107</v>
      </c>
      <c r="M54" s="563">
        <v>45355</v>
      </c>
      <c r="N54" s="563">
        <v>45351</v>
      </c>
      <c r="O54" s="564"/>
      <c r="P54" s="1447" t="s">
        <v>92</v>
      </c>
      <c r="Q54" s="564" t="s">
        <v>294</v>
      </c>
      <c r="R54" s="564">
        <v>45302</v>
      </c>
      <c r="S54" s="564" t="s">
        <v>123</v>
      </c>
      <c r="T54" s="564">
        <v>45314</v>
      </c>
      <c r="U54" s="530" t="s">
        <v>241</v>
      </c>
      <c r="V54" s="596" t="s">
        <v>194</v>
      </c>
      <c r="W54" s="592">
        <v>1.7</v>
      </c>
      <c r="X54" s="593">
        <f t="shared" ref="X54:X82" si="15">I54*W54</f>
        <v>2364.7</v>
      </c>
      <c r="Y54" s="401" t="s">
        <v>295</v>
      </c>
      <c r="Z54" s="607" t="s">
        <v>160</v>
      </c>
      <c r="AA54" s="1453" t="s">
        <v>128</v>
      </c>
      <c r="AB54" s="608"/>
      <c r="AC54" s="608"/>
      <c r="AD54" s="608"/>
      <c r="AE54" s="564" t="s">
        <v>80</v>
      </c>
      <c r="AF54" s="564"/>
      <c r="AG54" s="608">
        <f t="shared" si="5"/>
        <v>1391</v>
      </c>
      <c r="AH54" s="608"/>
      <c r="AI54" s="608"/>
      <c r="AJ54" s="608"/>
      <c r="AK54" s="609">
        <f t="shared" ref="AK54:AK73" si="16">AG54</f>
        <v>1391</v>
      </c>
      <c r="AL54" s="609"/>
      <c r="AM54" s="609"/>
      <c r="AN54" s="609"/>
      <c r="AO54" s="609">
        <f t="shared" ref="AO54:AO87" si="17">AG54</f>
        <v>1391</v>
      </c>
      <c r="AP54" s="609"/>
      <c r="AQ54" s="609"/>
      <c r="AR54" s="609"/>
      <c r="AS54" s="609"/>
      <c r="AT54" s="633"/>
      <c r="AU54" s="633"/>
      <c r="AV54" s="633"/>
      <c r="AW54" s="633"/>
      <c r="AX54" s="633"/>
      <c r="AY54" s="633">
        <f>I54/13</f>
        <v>107</v>
      </c>
      <c r="AZ54" s="633"/>
      <c r="BA54" s="633"/>
      <c r="BB54" s="633"/>
      <c r="BC54" s="633"/>
      <c r="BD54" s="633"/>
      <c r="BE54" s="633"/>
      <c r="BF54" s="633"/>
      <c r="BG54" s="633"/>
      <c r="BH54" s="633"/>
      <c r="BI54" s="633"/>
      <c r="BJ54" s="633"/>
      <c r="BK54" s="633"/>
      <c r="BL54" s="633"/>
      <c r="BM54" s="401">
        <f t="shared" si="2"/>
        <v>1391</v>
      </c>
      <c r="BO54" s="1473"/>
      <c r="BP54" s="1473"/>
    </row>
    <row r="55" s="200" customFormat="1" ht="36" customHeight="1" spans="1:68">
      <c r="A55" s="533">
        <v>45288</v>
      </c>
      <c r="B55" s="527" t="s">
        <v>232</v>
      </c>
      <c r="C55" s="528" t="s">
        <v>233</v>
      </c>
      <c r="D55" s="534">
        <v>4500122380</v>
      </c>
      <c r="E55" s="530">
        <v>19631978</v>
      </c>
      <c r="F55" s="534" t="s">
        <v>296</v>
      </c>
      <c r="G55" s="531" t="s">
        <v>160</v>
      </c>
      <c r="H55" s="532" t="s">
        <v>74</v>
      </c>
      <c r="I55" s="401">
        <v>130</v>
      </c>
      <c r="J55" s="562">
        <v>0</v>
      </c>
      <c r="K55" s="531">
        <v>13</v>
      </c>
      <c r="L55" s="401">
        <f t="shared" si="3"/>
        <v>10</v>
      </c>
      <c r="M55" s="563">
        <v>45355</v>
      </c>
      <c r="N55" s="563">
        <v>45351</v>
      </c>
      <c r="O55" s="564"/>
      <c r="P55" s="1447" t="s">
        <v>92</v>
      </c>
      <c r="Q55" s="564" t="s">
        <v>294</v>
      </c>
      <c r="R55" s="564">
        <v>45302</v>
      </c>
      <c r="S55" s="564" t="s">
        <v>123</v>
      </c>
      <c r="T55" s="564">
        <v>45314</v>
      </c>
      <c r="U55" s="530" t="s">
        <v>237</v>
      </c>
      <c r="V55" s="596" t="s">
        <v>194</v>
      </c>
      <c r="W55" s="592">
        <v>1.7</v>
      </c>
      <c r="X55" s="593">
        <f t="shared" si="15"/>
        <v>221</v>
      </c>
      <c r="Y55" s="401" t="s">
        <v>297</v>
      </c>
      <c r="Z55" s="607" t="s">
        <v>239</v>
      </c>
      <c r="AA55" s="1453" t="s">
        <v>128</v>
      </c>
      <c r="AB55" s="608"/>
      <c r="AC55" s="608"/>
      <c r="AD55" s="608"/>
      <c r="AE55" s="564" t="s">
        <v>80</v>
      </c>
      <c r="AF55" s="564"/>
      <c r="AG55" s="608">
        <f t="shared" si="5"/>
        <v>130</v>
      </c>
      <c r="AH55" s="608"/>
      <c r="AI55" s="608"/>
      <c r="AJ55" s="608"/>
      <c r="AK55" s="401"/>
      <c r="AL55" s="609">
        <f>AG55</f>
        <v>130</v>
      </c>
      <c r="AM55" s="609"/>
      <c r="AN55" s="609"/>
      <c r="AO55" s="609">
        <f t="shared" si="17"/>
        <v>130</v>
      </c>
      <c r="AP55" s="609"/>
      <c r="AQ55" s="609"/>
      <c r="AR55" s="609"/>
      <c r="AS55" s="609"/>
      <c r="AT55" s="633"/>
      <c r="AU55" s="633"/>
      <c r="AV55" s="633"/>
      <c r="AW55" s="633"/>
      <c r="AX55" s="633"/>
      <c r="AY55" s="633">
        <f>I55/13</f>
        <v>10</v>
      </c>
      <c r="AZ55" s="633"/>
      <c r="BA55" s="633"/>
      <c r="BB55" s="633"/>
      <c r="BC55" s="633"/>
      <c r="BD55" s="633"/>
      <c r="BE55" s="633"/>
      <c r="BF55" s="633"/>
      <c r="BG55" s="633"/>
      <c r="BH55" s="633"/>
      <c r="BI55" s="633"/>
      <c r="BJ55" s="633"/>
      <c r="BK55" s="633"/>
      <c r="BL55" s="633"/>
      <c r="BM55" s="401">
        <f t="shared" si="2"/>
        <v>130</v>
      </c>
      <c r="BO55" s="1473"/>
      <c r="BP55" s="1473"/>
    </row>
    <row r="56" s="200" customFormat="1" ht="36" customHeight="1" spans="1:71">
      <c r="A56" s="533">
        <v>45299</v>
      </c>
      <c r="B56" s="527" t="s">
        <v>116</v>
      </c>
      <c r="C56" s="528" t="s">
        <v>117</v>
      </c>
      <c r="D56" s="534">
        <v>4500122727</v>
      </c>
      <c r="E56" s="530" t="s">
        <v>298</v>
      </c>
      <c r="F56" s="534" t="s">
        <v>299</v>
      </c>
      <c r="G56" s="531" t="s">
        <v>120</v>
      </c>
      <c r="H56" s="532" t="s">
        <v>74</v>
      </c>
      <c r="I56" s="401">
        <v>9996</v>
      </c>
      <c r="J56" s="562">
        <v>0</v>
      </c>
      <c r="K56" s="531">
        <v>21</v>
      </c>
      <c r="L56" s="401">
        <f t="shared" si="3"/>
        <v>476</v>
      </c>
      <c r="M56" s="563">
        <v>45356</v>
      </c>
      <c r="N56" s="563">
        <v>45352</v>
      </c>
      <c r="O56" s="564"/>
      <c r="P56" s="1447" t="s">
        <v>92</v>
      </c>
      <c r="Q56" s="564" t="s">
        <v>300</v>
      </c>
      <c r="R56" s="564">
        <v>45303</v>
      </c>
      <c r="S56" s="564" t="s">
        <v>123</v>
      </c>
      <c r="T56" s="564">
        <v>45316</v>
      </c>
      <c r="U56" s="530" t="s">
        <v>200</v>
      </c>
      <c r="V56" s="596" t="s">
        <v>126</v>
      </c>
      <c r="W56" s="592">
        <v>1.75</v>
      </c>
      <c r="X56" s="593">
        <f t="shared" si="15"/>
        <v>17493</v>
      </c>
      <c r="Y56" s="401" t="s">
        <v>301</v>
      </c>
      <c r="Z56" s="607" t="s">
        <v>120</v>
      </c>
      <c r="AA56" s="1453" t="s">
        <v>128</v>
      </c>
      <c r="AB56" s="608"/>
      <c r="AC56" s="608"/>
      <c r="AD56" s="608"/>
      <c r="AE56" s="564" t="s">
        <v>80</v>
      </c>
      <c r="AF56" s="564"/>
      <c r="AG56" s="608">
        <f t="shared" si="5"/>
        <v>9996</v>
      </c>
      <c r="AH56" s="608"/>
      <c r="AI56" s="608"/>
      <c r="AJ56" s="608"/>
      <c r="AK56" s="609">
        <f t="shared" si="16"/>
        <v>9996</v>
      </c>
      <c r="AL56" s="609"/>
      <c r="AM56" s="609"/>
      <c r="AN56" s="609"/>
      <c r="AO56" s="609">
        <f t="shared" si="17"/>
        <v>9996</v>
      </c>
      <c r="AP56" s="609"/>
      <c r="AQ56" s="609"/>
      <c r="AR56" s="609"/>
      <c r="AS56" s="609">
        <f>I56/21</f>
        <v>476</v>
      </c>
      <c r="AT56" s="633"/>
      <c r="AU56" s="633"/>
      <c r="AV56" s="633"/>
      <c r="AW56" s="633"/>
      <c r="AX56" s="633"/>
      <c r="AY56" s="633"/>
      <c r="AZ56" s="633"/>
      <c r="BA56" s="633"/>
      <c r="BB56" s="633"/>
      <c r="BC56" s="633"/>
      <c r="BD56" s="633"/>
      <c r="BE56" s="633"/>
      <c r="BF56" s="633"/>
      <c r="BG56" s="633"/>
      <c r="BH56" s="633"/>
      <c r="BI56" s="633"/>
      <c r="BJ56" s="633"/>
      <c r="BK56" s="633"/>
      <c r="BL56" s="633"/>
      <c r="BM56" s="201">
        <f t="shared" si="2"/>
        <v>9996</v>
      </c>
      <c r="BN56" s="199"/>
      <c r="BO56" s="196"/>
      <c r="BP56" s="198"/>
      <c r="BQ56" s="199"/>
      <c r="BR56" s="199"/>
      <c r="BS56" s="199"/>
    </row>
    <row r="57" s="200" customFormat="1" ht="36" customHeight="1" spans="1:71">
      <c r="A57" s="533">
        <v>45295</v>
      </c>
      <c r="B57" s="527" t="s">
        <v>151</v>
      </c>
      <c r="C57" s="528" t="s">
        <v>117</v>
      </c>
      <c r="D57" s="534">
        <v>4500124758</v>
      </c>
      <c r="E57" s="530" t="s">
        <v>302</v>
      </c>
      <c r="F57" s="534" t="s">
        <v>303</v>
      </c>
      <c r="G57" s="531" t="s">
        <v>304</v>
      </c>
      <c r="H57" s="532" t="s">
        <v>74</v>
      </c>
      <c r="I57" s="401">
        <v>624</v>
      </c>
      <c r="J57" s="562">
        <v>0</v>
      </c>
      <c r="K57" s="531">
        <v>24</v>
      </c>
      <c r="L57" s="401">
        <f t="shared" si="3"/>
        <v>26</v>
      </c>
      <c r="M57" s="563">
        <v>45359</v>
      </c>
      <c r="N57" s="563">
        <v>45355</v>
      </c>
      <c r="O57" s="564"/>
      <c r="P57" s="1447" t="s">
        <v>92</v>
      </c>
      <c r="Q57" s="564" t="s">
        <v>305</v>
      </c>
      <c r="R57" s="564" t="s">
        <v>154</v>
      </c>
      <c r="S57" s="564" t="s">
        <v>123</v>
      </c>
      <c r="T57" s="564">
        <v>45313</v>
      </c>
      <c r="U57" s="530" t="s">
        <v>306</v>
      </c>
      <c r="V57" s="596" t="s">
        <v>156</v>
      </c>
      <c r="W57" s="592">
        <v>1.19</v>
      </c>
      <c r="X57" s="593">
        <f t="shared" si="15"/>
        <v>742.56</v>
      </c>
      <c r="Y57" s="401" t="s">
        <v>307</v>
      </c>
      <c r="Z57" s="607" t="s">
        <v>73</v>
      </c>
      <c r="AA57" s="1453" t="s">
        <v>128</v>
      </c>
      <c r="AB57" s="608"/>
      <c r="AC57" s="608"/>
      <c r="AD57" s="608"/>
      <c r="AE57" s="564" t="s">
        <v>80</v>
      </c>
      <c r="AF57" s="564"/>
      <c r="AG57" s="608">
        <f t="shared" si="5"/>
        <v>624</v>
      </c>
      <c r="AH57" s="608"/>
      <c r="AI57" s="608"/>
      <c r="AJ57" s="608"/>
      <c r="AK57" s="609">
        <f t="shared" si="16"/>
        <v>624</v>
      </c>
      <c r="AL57" s="609"/>
      <c r="AM57" s="609"/>
      <c r="AN57" s="609"/>
      <c r="AO57" s="609">
        <f t="shared" si="17"/>
        <v>624</v>
      </c>
      <c r="AP57" s="609"/>
      <c r="AQ57" s="609"/>
      <c r="AR57" s="609"/>
      <c r="AS57" s="609"/>
      <c r="AT57" s="633"/>
      <c r="AU57" s="633"/>
      <c r="AV57" s="633"/>
      <c r="AW57" s="633"/>
      <c r="AX57" s="633"/>
      <c r="AY57" s="633"/>
      <c r="AZ57" s="633"/>
      <c r="BA57" s="633"/>
      <c r="BB57" s="633"/>
      <c r="BC57" s="633"/>
      <c r="BD57" s="633"/>
      <c r="BE57" s="633"/>
      <c r="BF57" s="633"/>
      <c r="BG57" s="633"/>
      <c r="BH57" s="633"/>
      <c r="BI57" s="633"/>
      <c r="BJ57" s="633"/>
      <c r="BK57" s="633"/>
      <c r="BL57" s="633"/>
      <c r="BM57" s="201">
        <f t="shared" si="2"/>
        <v>624</v>
      </c>
      <c r="BN57" s="199"/>
      <c r="BO57" s="196"/>
      <c r="BP57" s="198"/>
      <c r="BQ57" s="199"/>
      <c r="BR57" s="199"/>
      <c r="BS57" s="199"/>
    </row>
    <row r="58" s="200" customFormat="1" ht="36" customHeight="1" spans="1:71">
      <c r="A58" s="533">
        <v>45295</v>
      </c>
      <c r="B58" s="527" t="s">
        <v>151</v>
      </c>
      <c r="C58" s="528" t="s">
        <v>117</v>
      </c>
      <c r="D58" s="534">
        <v>4500124758</v>
      </c>
      <c r="E58" s="530" t="s">
        <v>302</v>
      </c>
      <c r="F58" s="534" t="s">
        <v>308</v>
      </c>
      <c r="G58" s="531" t="s">
        <v>304</v>
      </c>
      <c r="H58" s="532" t="s">
        <v>74</v>
      </c>
      <c r="I58" s="401">
        <v>648</v>
      </c>
      <c r="J58" s="562">
        <v>0</v>
      </c>
      <c r="K58" s="531">
        <v>24</v>
      </c>
      <c r="L58" s="401">
        <f t="shared" si="3"/>
        <v>27</v>
      </c>
      <c r="M58" s="563">
        <v>45359</v>
      </c>
      <c r="N58" s="563">
        <v>45355</v>
      </c>
      <c r="O58" s="564"/>
      <c r="P58" s="1447" t="s">
        <v>92</v>
      </c>
      <c r="Q58" s="564" t="s">
        <v>305</v>
      </c>
      <c r="R58" s="564" t="s">
        <v>154</v>
      </c>
      <c r="S58" s="564" t="s">
        <v>123</v>
      </c>
      <c r="T58" s="564">
        <v>45313</v>
      </c>
      <c r="U58" s="530" t="s">
        <v>306</v>
      </c>
      <c r="V58" s="596" t="s">
        <v>156</v>
      </c>
      <c r="W58" s="592">
        <v>1.19</v>
      </c>
      <c r="X58" s="593">
        <f t="shared" si="15"/>
        <v>771.12</v>
      </c>
      <c r="Y58" s="401" t="s">
        <v>307</v>
      </c>
      <c r="Z58" s="607" t="s">
        <v>73</v>
      </c>
      <c r="AA58" s="1453" t="s">
        <v>128</v>
      </c>
      <c r="AB58" s="608"/>
      <c r="AC58" s="608"/>
      <c r="AD58" s="608"/>
      <c r="AE58" s="564" t="s">
        <v>80</v>
      </c>
      <c r="AF58" s="564"/>
      <c r="AG58" s="608">
        <f t="shared" si="5"/>
        <v>648</v>
      </c>
      <c r="AH58" s="608"/>
      <c r="AI58" s="608"/>
      <c r="AJ58" s="608"/>
      <c r="AK58" s="609">
        <f t="shared" si="16"/>
        <v>648</v>
      </c>
      <c r="AL58" s="609"/>
      <c r="AM58" s="609"/>
      <c r="AN58" s="609"/>
      <c r="AO58" s="609">
        <f t="shared" si="17"/>
        <v>648</v>
      </c>
      <c r="AP58" s="609"/>
      <c r="AQ58" s="609"/>
      <c r="AR58" s="609"/>
      <c r="AS58" s="609"/>
      <c r="AT58" s="633"/>
      <c r="AU58" s="633"/>
      <c r="AV58" s="633"/>
      <c r="AW58" s="633"/>
      <c r="AX58" s="633"/>
      <c r="AY58" s="633"/>
      <c r="AZ58" s="633"/>
      <c r="BA58" s="633"/>
      <c r="BB58" s="633"/>
      <c r="BC58" s="633"/>
      <c r="BD58" s="633"/>
      <c r="BE58" s="633"/>
      <c r="BF58" s="633"/>
      <c r="BG58" s="633"/>
      <c r="BH58" s="633"/>
      <c r="BI58" s="633"/>
      <c r="BJ58" s="633"/>
      <c r="BK58" s="633"/>
      <c r="BL58" s="633"/>
      <c r="BM58" s="201">
        <f t="shared" si="2"/>
        <v>648</v>
      </c>
      <c r="BN58" s="199"/>
      <c r="BO58" s="196"/>
      <c r="BP58" s="198"/>
      <c r="BQ58" s="199"/>
      <c r="BR58" s="199"/>
      <c r="BS58" s="199"/>
    </row>
    <row r="59" s="200" customFormat="1" ht="36" customHeight="1" spans="1:71">
      <c r="A59" s="533">
        <v>45295</v>
      </c>
      <c r="B59" s="527" t="s">
        <v>151</v>
      </c>
      <c r="C59" s="528" t="s">
        <v>117</v>
      </c>
      <c r="D59" s="534">
        <v>4500124758</v>
      </c>
      <c r="E59" s="530" t="s">
        <v>302</v>
      </c>
      <c r="F59" s="534" t="s">
        <v>309</v>
      </c>
      <c r="G59" s="531" t="s">
        <v>304</v>
      </c>
      <c r="H59" s="532" t="s">
        <v>74</v>
      </c>
      <c r="I59" s="401">
        <v>48</v>
      </c>
      <c r="J59" s="562">
        <v>0</v>
      </c>
      <c r="K59" s="531">
        <v>24</v>
      </c>
      <c r="L59" s="401">
        <f t="shared" si="3"/>
        <v>2</v>
      </c>
      <c r="M59" s="563">
        <v>45359</v>
      </c>
      <c r="N59" s="563">
        <v>45355</v>
      </c>
      <c r="O59" s="564"/>
      <c r="P59" s="1447" t="s">
        <v>92</v>
      </c>
      <c r="Q59" s="564" t="s">
        <v>305</v>
      </c>
      <c r="R59" s="564" t="s">
        <v>154</v>
      </c>
      <c r="S59" s="564" t="s">
        <v>123</v>
      </c>
      <c r="T59" s="564">
        <v>45313</v>
      </c>
      <c r="U59" s="530" t="s">
        <v>306</v>
      </c>
      <c r="V59" s="596" t="s">
        <v>156</v>
      </c>
      <c r="W59" s="592">
        <v>1.19</v>
      </c>
      <c r="X59" s="593">
        <f t="shared" si="15"/>
        <v>57.12</v>
      </c>
      <c r="Y59" s="401" t="s">
        <v>307</v>
      </c>
      <c r="Z59" s="607" t="s">
        <v>73</v>
      </c>
      <c r="AA59" s="1453" t="s">
        <v>128</v>
      </c>
      <c r="AB59" s="608"/>
      <c r="AC59" s="608"/>
      <c r="AD59" s="608"/>
      <c r="AE59" s="564" t="s">
        <v>80</v>
      </c>
      <c r="AF59" s="564"/>
      <c r="AG59" s="608">
        <f t="shared" si="5"/>
        <v>48</v>
      </c>
      <c r="AH59" s="608"/>
      <c r="AI59" s="608"/>
      <c r="AJ59" s="608"/>
      <c r="AK59" s="609">
        <f t="shared" si="16"/>
        <v>48</v>
      </c>
      <c r="AL59" s="609"/>
      <c r="AM59" s="609"/>
      <c r="AN59" s="609"/>
      <c r="AO59" s="609">
        <f t="shared" si="17"/>
        <v>48</v>
      </c>
      <c r="AP59" s="609"/>
      <c r="AQ59" s="609"/>
      <c r="AR59" s="609"/>
      <c r="AS59" s="609"/>
      <c r="AT59" s="633"/>
      <c r="AU59" s="633"/>
      <c r="AV59" s="633"/>
      <c r="AW59" s="633"/>
      <c r="AX59" s="633"/>
      <c r="AY59" s="633"/>
      <c r="AZ59" s="633"/>
      <c r="BA59" s="633"/>
      <c r="BB59" s="633"/>
      <c r="BC59" s="633"/>
      <c r="BD59" s="633"/>
      <c r="BE59" s="633"/>
      <c r="BF59" s="633"/>
      <c r="BG59" s="633"/>
      <c r="BH59" s="633"/>
      <c r="BI59" s="633"/>
      <c r="BJ59" s="633"/>
      <c r="BK59" s="633"/>
      <c r="BL59" s="633"/>
      <c r="BM59" s="201">
        <f t="shared" si="2"/>
        <v>48</v>
      </c>
      <c r="BN59" s="199"/>
      <c r="BO59" s="196"/>
      <c r="BP59" s="198"/>
      <c r="BQ59" s="199"/>
      <c r="BR59" s="199"/>
      <c r="BS59" s="199"/>
    </row>
    <row r="60" s="200" customFormat="1" ht="36" customHeight="1" spans="1:71">
      <c r="A60" s="533">
        <v>45295</v>
      </c>
      <c r="B60" s="527" t="s">
        <v>151</v>
      </c>
      <c r="C60" s="528" t="s">
        <v>117</v>
      </c>
      <c r="D60" s="534">
        <v>4500124758</v>
      </c>
      <c r="E60" s="530" t="s">
        <v>302</v>
      </c>
      <c r="F60" s="534" t="s">
        <v>310</v>
      </c>
      <c r="G60" s="531" t="s">
        <v>304</v>
      </c>
      <c r="H60" s="532" t="s">
        <v>74</v>
      </c>
      <c r="I60" s="401">
        <v>2760</v>
      </c>
      <c r="J60" s="562">
        <v>0</v>
      </c>
      <c r="K60" s="531">
        <v>24</v>
      </c>
      <c r="L60" s="401">
        <f t="shared" si="3"/>
        <v>115</v>
      </c>
      <c r="M60" s="563">
        <v>45359</v>
      </c>
      <c r="N60" s="563">
        <v>45355</v>
      </c>
      <c r="O60" s="564"/>
      <c r="P60" s="1447" t="s">
        <v>92</v>
      </c>
      <c r="Q60" s="564" t="s">
        <v>305</v>
      </c>
      <c r="R60" s="564" t="s">
        <v>154</v>
      </c>
      <c r="S60" s="564" t="s">
        <v>123</v>
      </c>
      <c r="T60" s="564">
        <v>45313</v>
      </c>
      <c r="U60" s="530" t="s">
        <v>306</v>
      </c>
      <c r="V60" s="596" t="s">
        <v>156</v>
      </c>
      <c r="W60" s="592">
        <v>1.19</v>
      </c>
      <c r="X60" s="593">
        <f t="shared" si="15"/>
        <v>3284.4</v>
      </c>
      <c r="Y60" s="401" t="s">
        <v>307</v>
      </c>
      <c r="Z60" s="607" t="s">
        <v>73</v>
      </c>
      <c r="AA60" s="1453" t="s">
        <v>128</v>
      </c>
      <c r="AB60" s="608"/>
      <c r="AC60" s="608"/>
      <c r="AD60" s="608"/>
      <c r="AE60" s="564" t="s">
        <v>80</v>
      </c>
      <c r="AF60" s="564"/>
      <c r="AG60" s="608">
        <f t="shared" si="5"/>
        <v>2760</v>
      </c>
      <c r="AH60" s="608"/>
      <c r="AI60" s="608"/>
      <c r="AJ60" s="608"/>
      <c r="AK60" s="609">
        <f t="shared" si="16"/>
        <v>2760</v>
      </c>
      <c r="AL60" s="609"/>
      <c r="AM60" s="609"/>
      <c r="AN60" s="609"/>
      <c r="AO60" s="609">
        <f t="shared" si="17"/>
        <v>2760</v>
      </c>
      <c r="AP60" s="609"/>
      <c r="AQ60" s="609"/>
      <c r="AR60" s="609"/>
      <c r="AS60" s="609"/>
      <c r="AT60" s="633"/>
      <c r="AU60" s="633"/>
      <c r="AV60" s="633"/>
      <c r="AW60" s="633"/>
      <c r="AX60" s="633"/>
      <c r="AY60" s="633"/>
      <c r="AZ60" s="633"/>
      <c r="BA60" s="633"/>
      <c r="BB60" s="633"/>
      <c r="BC60" s="633"/>
      <c r="BD60" s="633"/>
      <c r="BE60" s="633"/>
      <c r="BF60" s="633"/>
      <c r="BG60" s="633"/>
      <c r="BH60" s="633"/>
      <c r="BI60" s="633"/>
      <c r="BJ60" s="633"/>
      <c r="BK60" s="633"/>
      <c r="BL60" s="633"/>
      <c r="BM60" s="201">
        <f t="shared" si="2"/>
        <v>2760</v>
      </c>
      <c r="BN60" s="199"/>
      <c r="BO60" s="196"/>
      <c r="BP60" s="198"/>
      <c r="BQ60" s="199"/>
      <c r="BR60" s="199"/>
      <c r="BS60" s="199"/>
    </row>
    <row r="61" s="200" customFormat="1" ht="36" customHeight="1" spans="1:71">
      <c r="A61" s="533">
        <v>45295</v>
      </c>
      <c r="B61" s="527" t="s">
        <v>151</v>
      </c>
      <c r="C61" s="528" t="s">
        <v>117</v>
      </c>
      <c r="D61" s="534">
        <v>4500124758</v>
      </c>
      <c r="E61" s="530" t="s">
        <v>302</v>
      </c>
      <c r="F61" s="534" t="s">
        <v>311</v>
      </c>
      <c r="G61" s="531" t="s">
        <v>304</v>
      </c>
      <c r="H61" s="532" t="s">
        <v>74</v>
      </c>
      <c r="I61" s="401">
        <v>672</v>
      </c>
      <c r="J61" s="562">
        <v>0</v>
      </c>
      <c r="K61" s="531">
        <v>24</v>
      </c>
      <c r="L61" s="401">
        <f t="shared" si="3"/>
        <v>28</v>
      </c>
      <c r="M61" s="563">
        <v>45359</v>
      </c>
      <c r="N61" s="563">
        <v>45355</v>
      </c>
      <c r="O61" s="564"/>
      <c r="P61" s="1447" t="s">
        <v>92</v>
      </c>
      <c r="Q61" s="564" t="s">
        <v>305</v>
      </c>
      <c r="R61" s="564" t="s">
        <v>154</v>
      </c>
      <c r="S61" s="564" t="s">
        <v>123</v>
      </c>
      <c r="T61" s="564">
        <v>45313</v>
      </c>
      <c r="U61" s="530" t="s">
        <v>306</v>
      </c>
      <c r="V61" s="596" t="s">
        <v>156</v>
      </c>
      <c r="W61" s="592">
        <v>1.19</v>
      </c>
      <c r="X61" s="593">
        <f t="shared" si="15"/>
        <v>799.68</v>
      </c>
      <c r="Y61" s="401" t="s">
        <v>307</v>
      </c>
      <c r="Z61" s="607" t="s">
        <v>73</v>
      </c>
      <c r="AA61" s="1453" t="s">
        <v>128</v>
      </c>
      <c r="AB61" s="608"/>
      <c r="AC61" s="608"/>
      <c r="AD61" s="608"/>
      <c r="AE61" s="564" t="s">
        <v>80</v>
      </c>
      <c r="AF61" s="564"/>
      <c r="AG61" s="608">
        <f t="shared" si="5"/>
        <v>672</v>
      </c>
      <c r="AH61" s="608"/>
      <c r="AI61" s="608"/>
      <c r="AJ61" s="608"/>
      <c r="AK61" s="609">
        <f t="shared" si="16"/>
        <v>672</v>
      </c>
      <c r="AL61" s="609"/>
      <c r="AM61" s="609"/>
      <c r="AN61" s="609"/>
      <c r="AO61" s="609">
        <f t="shared" si="17"/>
        <v>672</v>
      </c>
      <c r="AP61" s="609"/>
      <c r="AQ61" s="609"/>
      <c r="AR61" s="609"/>
      <c r="AS61" s="609"/>
      <c r="AT61" s="633"/>
      <c r="AU61" s="633"/>
      <c r="AV61" s="633"/>
      <c r="AW61" s="633"/>
      <c r="AX61" s="633"/>
      <c r="AY61" s="633"/>
      <c r="AZ61" s="633"/>
      <c r="BA61" s="633"/>
      <c r="BB61" s="633"/>
      <c r="BC61" s="633"/>
      <c r="BD61" s="633"/>
      <c r="BE61" s="633"/>
      <c r="BF61" s="633"/>
      <c r="BG61" s="633"/>
      <c r="BH61" s="633"/>
      <c r="BI61" s="633"/>
      <c r="BJ61" s="633"/>
      <c r="BK61" s="633"/>
      <c r="BL61" s="633"/>
      <c r="BM61" s="201">
        <f t="shared" si="2"/>
        <v>672</v>
      </c>
      <c r="BN61" s="199"/>
      <c r="BO61" s="196"/>
      <c r="BP61" s="198"/>
      <c r="BQ61" s="199"/>
      <c r="BR61" s="199"/>
      <c r="BS61" s="199"/>
    </row>
    <row r="62" s="200" customFormat="1" ht="36" customHeight="1" spans="1:71">
      <c r="A62" s="533">
        <v>45295</v>
      </c>
      <c r="B62" s="527" t="s">
        <v>151</v>
      </c>
      <c r="C62" s="528" t="s">
        <v>117</v>
      </c>
      <c r="D62" s="534">
        <v>4500124758</v>
      </c>
      <c r="E62" s="530" t="s">
        <v>302</v>
      </c>
      <c r="F62" s="534" t="s">
        <v>312</v>
      </c>
      <c r="G62" s="531" t="s">
        <v>304</v>
      </c>
      <c r="H62" s="532" t="s">
        <v>74</v>
      </c>
      <c r="I62" s="401">
        <v>2736</v>
      </c>
      <c r="J62" s="562">
        <v>0</v>
      </c>
      <c r="K62" s="531">
        <v>24</v>
      </c>
      <c r="L62" s="401">
        <f t="shared" si="3"/>
        <v>114</v>
      </c>
      <c r="M62" s="563">
        <v>45359</v>
      </c>
      <c r="N62" s="563">
        <v>45355</v>
      </c>
      <c r="O62" s="564"/>
      <c r="P62" s="1447" t="s">
        <v>92</v>
      </c>
      <c r="Q62" s="564" t="s">
        <v>305</v>
      </c>
      <c r="R62" s="564" t="s">
        <v>154</v>
      </c>
      <c r="S62" s="564" t="s">
        <v>123</v>
      </c>
      <c r="T62" s="564">
        <v>45313</v>
      </c>
      <c r="U62" s="530" t="s">
        <v>306</v>
      </c>
      <c r="V62" s="596" t="s">
        <v>156</v>
      </c>
      <c r="W62" s="592">
        <v>1.19</v>
      </c>
      <c r="X62" s="593">
        <f t="shared" si="15"/>
        <v>3255.84</v>
      </c>
      <c r="Y62" s="401" t="s">
        <v>307</v>
      </c>
      <c r="Z62" s="607" t="s">
        <v>73</v>
      </c>
      <c r="AA62" s="1453" t="s">
        <v>128</v>
      </c>
      <c r="AB62" s="608"/>
      <c r="AC62" s="608"/>
      <c r="AD62" s="608"/>
      <c r="AE62" s="564" t="s">
        <v>80</v>
      </c>
      <c r="AF62" s="564"/>
      <c r="AG62" s="608">
        <f t="shared" si="5"/>
        <v>2736</v>
      </c>
      <c r="AH62" s="608"/>
      <c r="AI62" s="608"/>
      <c r="AJ62" s="608"/>
      <c r="AK62" s="609">
        <f t="shared" si="16"/>
        <v>2736</v>
      </c>
      <c r="AL62" s="609"/>
      <c r="AM62" s="609"/>
      <c r="AN62" s="609"/>
      <c r="AO62" s="609">
        <f t="shared" si="17"/>
        <v>2736</v>
      </c>
      <c r="AP62" s="609"/>
      <c r="AQ62" s="609"/>
      <c r="AR62" s="609"/>
      <c r="AS62" s="609"/>
      <c r="AT62" s="633"/>
      <c r="AU62" s="633"/>
      <c r="AV62" s="633"/>
      <c r="AW62" s="633"/>
      <c r="AX62" s="633"/>
      <c r="AY62" s="633"/>
      <c r="AZ62" s="633"/>
      <c r="BA62" s="633"/>
      <c r="BB62" s="633"/>
      <c r="BC62" s="633"/>
      <c r="BD62" s="633"/>
      <c r="BE62" s="633"/>
      <c r="BF62" s="633"/>
      <c r="BG62" s="633"/>
      <c r="BH62" s="633"/>
      <c r="BI62" s="633"/>
      <c r="BJ62" s="633"/>
      <c r="BK62" s="633"/>
      <c r="BL62" s="633"/>
      <c r="BM62" s="201">
        <f t="shared" si="2"/>
        <v>2736</v>
      </c>
      <c r="BN62" s="199"/>
      <c r="BO62" s="196"/>
      <c r="BP62" s="198"/>
      <c r="BQ62" s="199"/>
      <c r="BR62" s="199"/>
      <c r="BS62" s="199"/>
    </row>
    <row r="63" s="200" customFormat="1" ht="36" customHeight="1" spans="1:71">
      <c r="A63" s="533">
        <v>45295</v>
      </c>
      <c r="B63" s="527" t="s">
        <v>151</v>
      </c>
      <c r="C63" s="528" t="s">
        <v>117</v>
      </c>
      <c r="D63" s="534">
        <v>4500124758</v>
      </c>
      <c r="E63" s="530" t="s">
        <v>302</v>
      </c>
      <c r="F63" s="534" t="s">
        <v>313</v>
      </c>
      <c r="G63" s="531" t="s">
        <v>304</v>
      </c>
      <c r="H63" s="532" t="s">
        <v>74</v>
      </c>
      <c r="I63" s="401">
        <v>960</v>
      </c>
      <c r="J63" s="562">
        <v>0</v>
      </c>
      <c r="K63" s="531">
        <v>24</v>
      </c>
      <c r="L63" s="401">
        <f t="shared" si="3"/>
        <v>40</v>
      </c>
      <c r="M63" s="563">
        <v>45359</v>
      </c>
      <c r="N63" s="563">
        <v>45355</v>
      </c>
      <c r="O63" s="564"/>
      <c r="P63" s="1447" t="s">
        <v>92</v>
      </c>
      <c r="Q63" s="564" t="s">
        <v>305</v>
      </c>
      <c r="R63" s="564" t="s">
        <v>154</v>
      </c>
      <c r="S63" s="564" t="s">
        <v>123</v>
      </c>
      <c r="T63" s="564">
        <v>45313</v>
      </c>
      <c r="U63" s="530" t="s">
        <v>306</v>
      </c>
      <c r="V63" s="596" t="s">
        <v>156</v>
      </c>
      <c r="W63" s="592">
        <v>1.19</v>
      </c>
      <c r="X63" s="593">
        <f t="shared" si="15"/>
        <v>1142.4</v>
      </c>
      <c r="Y63" s="401" t="s">
        <v>307</v>
      </c>
      <c r="Z63" s="607" t="s">
        <v>73</v>
      </c>
      <c r="AA63" s="1453" t="s">
        <v>128</v>
      </c>
      <c r="AB63" s="608"/>
      <c r="AC63" s="608"/>
      <c r="AD63" s="608"/>
      <c r="AE63" s="564" t="s">
        <v>80</v>
      </c>
      <c r="AF63" s="564"/>
      <c r="AG63" s="608">
        <f t="shared" si="5"/>
        <v>960</v>
      </c>
      <c r="AH63" s="608"/>
      <c r="AI63" s="608"/>
      <c r="AJ63" s="608"/>
      <c r="AK63" s="609">
        <f t="shared" si="16"/>
        <v>960</v>
      </c>
      <c r="AL63" s="609"/>
      <c r="AM63" s="609"/>
      <c r="AN63" s="609"/>
      <c r="AO63" s="609">
        <f t="shared" si="17"/>
        <v>960</v>
      </c>
      <c r="AP63" s="609"/>
      <c r="AQ63" s="609"/>
      <c r="AR63" s="609"/>
      <c r="AS63" s="609"/>
      <c r="AT63" s="633"/>
      <c r="AU63" s="633"/>
      <c r="AV63" s="633"/>
      <c r="AW63" s="633"/>
      <c r="AX63" s="633"/>
      <c r="AY63" s="633"/>
      <c r="AZ63" s="633"/>
      <c r="BA63" s="633"/>
      <c r="BB63" s="633"/>
      <c r="BC63" s="633"/>
      <c r="BD63" s="633"/>
      <c r="BE63" s="633"/>
      <c r="BF63" s="633"/>
      <c r="BG63" s="633"/>
      <c r="BH63" s="633"/>
      <c r="BI63" s="633"/>
      <c r="BJ63" s="633"/>
      <c r="BK63" s="633"/>
      <c r="BL63" s="633"/>
      <c r="BM63" s="201">
        <f t="shared" si="2"/>
        <v>960</v>
      </c>
      <c r="BN63" s="199"/>
      <c r="BO63" s="196"/>
      <c r="BP63" s="198"/>
      <c r="BQ63" s="199"/>
      <c r="BR63" s="199"/>
      <c r="BS63" s="199"/>
    </row>
    <row r="64" s="200" customFormat="1" ht="36" customHeight="1" spans="1:71">
      <c r="A64" s="533">
        <v>45295</v>
      </c>
      <c r="B64" s="527" t="s">
        <v>151</v>
      </c>
      <c r="C64" s="528" t="s">
        <v>117</v>
      </c>
      <c r="D64" s="534">
        <v>4500124758</v>
      </c>
      <c r="E64" s="530" t="s">
        <v>302</v>
      </c>
      <c r="F64" s="534" t="s">
        <v>314</v>
      </c>
      <c r="G64" s="531" t="s">
        <v>304</v>
      </c>
      <c r="H64" s="532" t="s">
        <v>74</v>
      </c>
      <c r="I64" s="401">
        <v>312</v>
      </c>
      <c r="J64" s="562">
        <v>0</v>
      </c>
      <c r="K64" s="531">
        <v>24</v>
      </c>
      <c r="L64" s="401">
        <f t="shared" si="3"/>
        <v>13</v>
      </c>
      <c r="M64" s="563">
        <v>45359</v>
      </c>
      <c r="N64" s="563">
        <v>45355</v>
      </c>
      <c r="O64" s="564"/>
      <c r="P64" s="1447" t="s">
        <v>92</v>
      </c>
      <c r="Q64" s="564" t="s">
        <v>305</v>
      </c>
      <c r="R64" s="564" t="s">
        <v>154</v>
      </c>
      <c r="S64" s="564" t="s">
        <v>123</v>
      </c>
      <c r="T64" s="564">
        <v>45313</v>
      </c>
      <c r="U64" s="530" t="s">
        <v>306</v>
      </c>
      <c r="V64" s="596" t="s">
        <v>156</v>
      </c>
      <c r="W64" s="592">
        <v>1.19</v>
      </c>
      <c r="X64" s="593">
        <f t="shared" si="15"/>
        <v>371.28</v>
      </c>
      <c r="Y64" s="401" t="s">
        <v>307</v>
      </c>
      <c r="Z64" s="607" t="s">
        <v>73</v>
      </c>
      <c r="AA64" s="1453" t="s">
        <v>128</v>
      </c>
      <c r="AB64" s="608"/>
      <c r="AC64" s="608"/>
      <c r="AD64" s="608"/>
      <c r="AE64" s="564" t="s">
        <v>80</v>
      </c>
      <c r="AF64" s="564"/>
      <c r="AG64" s="608">
        <f t="shared" si="5"/>
        <v>312</v>
      </c>
      <c r="AH64" s="608"/>
      <c r="AI64" s="608"/>
      <c r="AJ64" s="608"/>
      <c r="AK64" s="609">
        <f t="shared" si="16"/>
        <v>312</v>
      </c>
      <c r="AL64" s="609"/>
      <c r="AM64" s="609"/>
      <c r="AN64" s="609"/>
      <c r="AO64" s="609">
        <f t="shared" si="17"/>
        <v>312</v>
      </c>
      <c r="AP64" s="609"/>
      <c r="AQ64" s="609"/>
      <c r="AR64" s="609"/>
      <c r="AS64" s="609"/>
      <c r="AT64" s="633"/>
      <c r="AU64" s="633"/>
      <c r="AV64" s="633"/>
      <c r="AW64" s="633"/>
      <c r="AX64" s="633"/>
      <c r="AY64" s="633"/>
      <c r="AZ64" s="633"/>
      <c r="BA64" s="633"/>
      <c r="BB64" s="633"/>
      <c r="BC64" s="633"/>
      <c r="BD64" s="633"/>
      <c r="BE64" s="633"/>
      <c r="BF64" s="633"/>
      <c r="BG64" s="633"/>
      <c r="BH64" s="633"/>
      <c r="BI64" s="633"/>
      <c r="BJ64" s="633"/>
      <c r="BK64" s="633"/>
      <c r="BL64" s="633"/>
      <c r="BM64" s="201">
        <f t="shared" si="2"/>
        <v>312</v>
      </c>
      <c r="BN64" s="199"/>
      <c r="BO64" s="196"/>
      <c r="BP64" s="198"/>
      <c r="BQ64" s="199"/>
      <c r="BR64" s="199"/>
      <c r="BS64" s="199"/>
    </row>
    <row r="65" s="200" customFormat="1" ht="36" customHeight="1" spans="1:71">
      <c r="A65" s="533">
        <v>45282</v>
      </c>
      <c r="B65" s="527" t="s">
        <v>315</v>
      </c>
      <c r="C65" s="528" t="s">
        <v>213</v>
      </c>
      <c r="D65" s="534">
        <v>4500122000</v>
      </c>
      <c r="E65" s="530" t="s">
        <v>316</v>
      </c>
      <c r="F65" s="534" t="s">
        <v>317</v>
      </c>
      <c r="G65" s="531" t="s">
        <v>73</v>
      </c>
      <c r="H65" s="532" t="s">
        <v>74</v>
      </c>
      <c r="I65" s="401">
        <v>504</v>
      </c>
      <c r="J65" s="562">
        <v>0</v>
      </c>
      <c r="K65" s="531">
        <v>24</v>
      </c>
      <c r="L65" s="401">
        <f t="shared" si="3"/>
        <v>21</v>
      </c>
      <c r="M65" s="563">
        <v>45359</v>
      </c>
      <c r="N65" s="563">
        <v>45355</v>
      </c>
      <c r="O65" s="564"/>
      <c r="P65" s="1447" t="s">
        <v>92</v>
      </c>
      <c r="Q65" s="564" t="s">
        <v>318</v>
      </c>
      <c r="R65" s="564" t="s">
        <v>319</v>
      </c>
      <c r="S65" s="564" t="s">
        <v>123</v>
      </c>
      <c r="T65" s="564">
        <v>45651</v>
      </c>
      <c r="U65" s="530" t="s">
        <v>320</v>
      </c>
      <c r="V65" s="596" t="s">
        <v>186</v>
      </c>
      <c r="W65" s="592">
        <v>1.19</v>
      </c>
      <c r="X65" s="593">
        <f t="shared" si="15"/>
        <v>599.76</v>
      </c>
      <c r="Y65" s="401" t="s">
        <v>321</v>
      </c>
      <c r="Z65" s="607" t="s">
        <v>73</v>
      </c>
      <c r="AA65" s="1453" t="s">
        <v>128</v>
      </c>
      <c r="AB65" s="608"/>
      <c r="AC65" s="608"/>
      <c r="AD65" s="608"/>
      <c r="AE65" s="564" t="s">
        <v>80</v>
      </c>
      <c r="AF65" s="564"/>
      <c r="AG65" s="608">
        <f t="shared" si="5"/>
        <v>504</v>
      </c>
      <c r="AH65" s="608"/>
      <c r="AI65" s="608"/>
      <c r="AJ65" s="608"/>
      <c r="AK65" s="609">
        <f t="shared" si="16"/>
        <v>504</v>
      </c>
      <c r="AL65" s="609"/>
      <c r="AM65" s="609"/>
      <c r="AN65" s="609"/>
      <c r="AO65" s="609">
        <f t="shared" si="17"/>
        <v>504</v>
      </c>
      <c r="AP65" s="609"/>
      <c r="AQ65" s="609"/>
      <c r="AR65" s="609"/>
      <c r="AS65" s="609"/>
      <c r="AT65" s="633"/>
      <c r="AU65" s="633"/>
      <c r="AV65" s="633"/>
      <c r="AW65" s="633"/>
      <c r="AX65" s="633"/>
      <c r="AY65" s="633"/>
      <c r="AZ65" s="633"/>
      <c r="BA65" s="633"/>
      <c r="BB65" s="633"/>
      <c r="BC65" s="633"/>
      <c r="BD65" s="633"/>
      <c r="BE65" s="633"/>
      <c r="BF65" s="633"/>
      <c r="BG65" s="633"/>
      <c r="BH65" s="633"/>
      <c r="BI65" s="633"/>
      <c r="BJ65" s="633"/>
      <c r="BK65" s="633"/>
      <c r="BL65" s="633"/>
      <c r="BM65" s="201">
        <f t="shared" si="2"/>
        <v>504</v>
      </c>
      <c r="BN65" s="199"/>
      <c r="BO65" s="196"/>
      <c r="BP65" s="198"/>
      <c r="BQ65" s="199"/>
      <c r="BR65" s="199"/>
      <c r="BS65" s="199"/>
    </row>
    <row r="66" s="200" customFormat="1" ht="36" customHeight="1" spans="1:71">
      <c r="A66" s="533">
        <v>45289</v>
      </c>
      <c r="B66" s="527" t="s">
        <v>322</v>
      </c>
      <c r="C66" s="528" t="s">
        <v>190</v>
      </c>
      <c r="D66" s="534">
        <v>4500122443</v>
      </c>
      <c r="E66" s="530">
        <v>47661066</v>
      </c>
      <c r="F66" s="534" t="s">
        <v>323</v>
      </c>
      <c r="G66" s="531" t="s">
        <v>207</v>
      </c>
      <c r="H66" s="532" t="s">
        <v>74</v>
      </c>
      <c r="I66" s="401">
        <v>1632</v>
      </c>
      <c r="J66" s="562">
        <v>0</v>
      </c>
      <c r="K66" s="531">
        <v>48</v>
      </c>
      <c r="L66" s="401">
        <f t="shared" si="3"/>
        <v>34</v>
      </c>
      <c r="M66" s="563">
        <v>45359</v>
      </c>
      <c r="N66" s="563">
        <v>45355</v>
      </c>
      <c r="O66" s="564"/>
      <c r="P66" s="1447" t="s">
        <v>92</v>
      </c>
      <c r="Q66" s="564" t="s">
        <v>324</v>
      </c>
      <c r="R66" s="564">
        <v>45302</v>
      </c>
      <c r="S66" s="564" t="s">
        <v>77</v>
      </c>
      <c r="T66" s="564">
        <v>45308</v>
      </c>
      <c r="U66" s="530" t="s">
        <v>325</v>
      </c>
      <c r="V66" s="596" t="s">
        <v>326</v>
      </c>
      <c r="W66" s="592">
        <v>1.47</v>
      </c>
      <c r="X66" s="593">
        <f t="shared" si="15"/>
        <v>2399.04</v>
      </c>
      <c r="Y66" s="401" t="s">
        <v>327</v>
      </c>
      <c r="Z66" s="607" t="s">
        <v>207</v>
      </c>
      <c r="AA66" s="1453" t="s">
        <v>128</v>
      </c>
      <c r="AB66" s="608"/>
      <c r="AC66" s="608"/>
      <c r="AD66" s="608"/>
      <c r="AE66" s="564" t="s">
        <v>80</v>
      </c>
      <c r="AF66" s="564"/>
      <c r="AG66" s="608">
        <f t="shared" si="5"/>
        <v>1632</v>
      </c>
      <c r="AH66" s="608"/>
      <c r="AI66" s="608"/>
      <c r="AJ66" s="608"/>
      <c r="AK66" s="609">
        <f t="shared" si="16"/>
        <v>1632</v>
      </c>
      <c r="AL66" s="609"/>
      <c r="AM66" s="609"/>
      <c r="AN66" s="609"/>
      <c r="AO66" s="609">
        <f t="shared" si="17"/>
        <v>1632</v>
      </c>
      <c r="AP66" s="609"/>
      <c r="AQ66" s="609"/>
      <c r="AR66" s="609"/>
      <c r="AS66" s="609"/>
      <c r="AT66" s="633"/>
      <c r="AU66" s="633"/>
      <c r="AV66" s="633"/>
      <c r="AW66" s="633">
        <f t="shared" ref="AW66:AW69" si="18">AG66/12</f>
        <v>136</v>
      </c>
      <c r="AX66" s="633"/>
      <c r="AY66" s="633"/>
      <c r="AZ66" s="633"/>
      <c r="BA66" s="633"/>
      <c r="BB66" s="633"/>
      <c r="BC66" s="633"/>
      <c r="BD66" s="633"/>
      <c r="BE66" s="633"/>
      <c r="BF66" s="633"/>
      <c r="BG66" s="633"/>
      <c r="BH66" s="633"/>
      <c r="BI66" s="633"/>
      <c r="BJ66" s="633"/>
      <c r="BK66" s="633"/>
      <c r="BL66" s="633"/>
      <c r="BM66" s="201">
        <f t="shared" si="2"/>
        <v>1632</v>
      </c>
      <c r="BN66" s="199"/>
      <c r="BO66" s="196"/>
      <c r="BP66" s="198"/>
      <c r="BQ66" s="199"/>
      <c r="BR66" s="199"/>
      <c r="BS66" s="199"/>
    </row>
    <row r="67" s="200" customFormat="1" ht="36" customHeight="1" spans="1:71">
      <c r="A67" s="533">
        <v>45289</v>
      </c>
      <c r="B67" s="527" t="s">
        <v>322</v>
      </c>
      <c r="C67" s="528" t="s">
        <v>190</v>
      </c>
      <c r="D67" s="534">
        <v>4500122443</v>
      </c>
      <c r="E67" s="530">
        <v>47661067</v>
      </c>
      <c r="F67" s="534" t="s">
        <v>328</v>
      </c>
      <c r="G67" s="531" t="s">
        <v>207</v>
      </c>
      <c r="H67" s="532" t="s">
        <v>74</v>
      </c>
      <c r="I67" s="401">
        <v>1440</v>
      </c>
      <c r="J67" s="562">
        <v>0</v>
      </c>
      <c r="K67" s="531">
        <v>48</v>
      </c>
      <c r="L67" s="401">
        <f t="shared" si="3"/>
        <v>30</v>
      </c>
      <c r="M67" s="563">
        <v>45359</v>
      </c>
      <c r="N67" s="563">
        <v>45355</v>
      </c>
      <c r="O67" s="564"/>
      <c r="P67" s="1447" t="s">
        <v>92</v>
      </c>
      <c r="Q67" s="564" t="s">
        <v>329</v>
      </c>
      <c r="R67" s="564">
        <v>45302</v>
      </c>
      <c r="S67" s="564" t="s">
        <v>77</v>
      </c>
      <c r="T67" s="564">
        <v>45308</v>
      </c>
      <c r="U67" s="530" t="s">
        <v>325</v>
      </c>
      <c r="V67" s="596" t="s">
        <v>326</v>
      </c>
      <c r="W67" s="592">
        <v>1.47</v>
      </c>
      <c r="X67" s="593">
        <f t="shared" si="15"/>
        <v>2116.8</v>
      </c>
      <c r="Y67" s="401" t="s">
        <v>327</v>
      </c>
      <c r="Z67" s="607" t="s">
        <v>207</v>
      </c>
      <c r="AA67" s="1453" t="s">
        <v>128</v>
      </c>
      <c r="AB67" s="608"/>
      <c r="AC67" s="608"/>
      <c r="AD67" s="608"/>
      <c r="AE67" s="564" t="s">
        <v>80</v>
      </c>
      <c r="AF67" s="564"/>
      <c r="AG67" s="608">
        <f t="shared" si="5"/>
        <v>1440</v>
      </c>
      <c r="AH67" s="608"/>
      <c r="AI67" s="608"/>
      <c r="AJ67" s="608"/>
      <c r="AK67" s="609">
        <f t="shared" si="16"/>
        <v>1440</v>
      </c>
      <c r="AL67" s="609"/>
      <c r="AM67" s="609"/>
      <c r="AN67" s="609"/>
      <c r="AO67" s="609">
        <f t="shared" si="17"/>
        <v>1440</v>
      </c>
      <c r="AP67" s="609"/>
      <c r="AQ67" s="609"/>
      <c r="AR67" s="609"/>
      <c r="AS67" s="609"/>
      <c r="AT67" s="633"/>
      <c r="AU67" s="633"/>
      <c r="AV67" s="633"/>
      <c r="AW67" s="633">
        <f t="shared" si="18"/>
        <v>120</v>
      </c>
      <c r="AX67" s="633"/>
      <c r="AY67" s="633"/>
      <c r="AZ67" s="633"/>
      <c r="BA67" s="633"/>
      <c r="BB67" s="633"/>
      <c r="BC67" s="633"/>
      <c r="BD67" s="633"/>
      <c r="BE67" s="633"/>
      <c r="BF67" s="633"/>
      <c r="BG67" s="633"/>
      <c r="BH67" s="633"/>
      <c r="BI67" s="633"/>
      <c r="BJ67" s="633"/>
      <c r="BK67" s="633"/>
      <c r="BL67" s="633"/>
      <c r="BM67" s="201">
        <f t="shared" si="2"/>
        <v>1440</v>
      </c>
      <c r="BN67" s="199"/>
      <c r="BO67" s="196"/>
      <c r="BP67" s="198"/>
      <c r="BQ67" s="199"/>
      <c r="BR67" s="199"/>
      <c r="BS67" s="199"/>
    </row>
    <row r="68" s="200" customFormat="1" ht="36" customHeight="1" spans="1:71">
      <c r="A68" s="533">
        <v>45289</v>
      </c>
      <c r="B68" s="527" t="s">
        <v>322</v>
      </c>
      <c r="C68" s="528" t="s">
        <v>190</v>
      </c>
      <c r="D68" s="534">
        <v>4500122443</v>
      </c>
      <c r="E68" s="530">
        <v>47661068</v>
      </c>
      <c r="F68" s="534" t="s">
        <v>330</v>
      </c>
      <c r="G68" s="531" t="s">
        <v>207</v>
      </c>
      <c r="H68" s="532" t="s">
        <v>74</v>
      </c>
      <c r="I68" s="401">
        <v>1152</v>
      </c>
      <c r="J68" s="562">
        <v>0</v>
      </c>
      <c r="K68" s="531">
        <v>48</v>
      </c>
      <c r="L68" s="401">
        <f t="shared" si="3"/>
        <v>24</v>
      </c>
      <c r="M68" s="563">
        <v>45359</v>
      </c>
      <c r="N68" s="563">
        <v>45355</v>
      </c>
      <c r="O68" s="564"/>
      <c r="P68" s="1447" t="s">
        <v>92</v>
      </c>
      <c r="Q68" s="564" t="s">
        <v>324</v>
      </c>
      <c r="R68" s="564">
        <v>45302</v>
      </c>
      <c r="S68" s="564" t="s">
        <v>77</v>
      </c>
      <c r="T68" s="564">
        <v>45308</v>
      </c>
      <c r="U68" s="530" t="s">
        <v>325</v>
      </c>
      <c r="V68" s="596" t="s">
        <v>326</v>
      </c>
      <c r="W68" s="592">
        <v>1.47</v>
      </c>
      <c r="X68" s="593">
        <f t="shared" si="15"/>
        <v>1693.44</v>
      </c>
      <c r="Y68" s="401" t="s">
        <v>327</v>
      </c>
      <c r="Z68" s="607" t="s">
        <v>207</v>
      </c>
      <c r="AA68" s="1453" t="s">
        <v>128</v>
      </c>
      <c r="AB68" s="608"/>
      <c r="AC68" s="608"/>
      <c r="AD68" s="608"/>
      <c r="AE68" s="564" t="s">
        <v>80</v>
      </c>
      <c r="AF68" s="564"/>
      <c r="AG68" s="608">
        <f t="shared" si="5"/>
        <v>1152</v>
      </c>
      <c r="AH68" s="608"/>
      <c r="AI68" s="608"/>
      <c r="AJ68" s="608"/>
      <c r="AK68" s="609">
        <f t="shared" si="16"/>
        <v>1152</v>
      </c>
      <c r="AL68" s="609"/>
      <c r="AM68" s="609"/>
      <c r="AN68" s="609"/>
      <c r="AO68" s="609">
        <f t="shared" si="17"/>
        <v>1152</v>
      </c>
      <c r="AP68" s="609"/>
      <c r="AQ68" s="609"/>
      <c r="AR68" s="609"/>
      <c r="AS68" s="609"/>
      <c r="AT68" s="633"/>
      <c r="AU68" s="633"/>
      <c r="AV68" s="633"/>
      <c r="AW68" s="633">
        <f t="shared" si="18"/>
        <v>96</v>
      </c>
      <c r="AX68" s="633"/>
      <c r="AY68" s="633"/>
      <c r="AZ68" s="633"/>
      <c r="BA68" s="633"/>
      <c r="BB68" s="633"/>
      <c r="BC68" s="633"/>
      <c r="BD68" s="633"/>
      <c r="BE68" s="633"/>
      <c r="BF68" s="633"/>
      <c r="BG68" s="633"/>
      <c r="BH68" s="633"/>
      <c r="BI68" s="633"/>
      <c r="BJ68" s="633"/>
      <c r="BK68" s="633"/>
      <c r="BL68" s="633"/>
      <c r="BM68" s="201">
        <f t="shared" ref="BM68:BM131" si="19">AG68+AH68+AI68</f>
        <v>1152</v>
      </c>
      <c r="BN68" s="199"/>
      <c r="BO68" s="196"/>
      <c r="BP68" s="198"/>
      <c r="BQ68" s="199"/>
      <c r="BR68" s="199"/>
      <c r="BS68" s="199"/>
    </row>
    <row r="69" s="200" customFormat="1" ht="36" customHeight="1" spans="1:71">
      <c r="A69" s="533">
        <v>45289</v>
      </c>
      <c r="B69" s="527" t="s">
        <v>322</v>
      </c>
      <c r="C69" s="528" t="s">
        <v>190</v>
      </c>
      <c r="D69" s="534">
        <v>4500122443</v>
      </c>
      <c r="E69" s="530">
        <v>47661069</v>
      </c>
      <c r="F69" s="534" t="s">
        <v>331</v>
      </c>
      <c r="G69" s="531" t="s">
        <v>207</v>
      </c>
      <c r="H69" s="532" t="s">
        <v>74</v>
      </c>
      <c r="I69" s="401">
        <v>480</v>
      </c>
      <c r="J69" s="562">
        <v>0</v>
      </c>
      <c r="K69" s="531">
        <v>48</v>
      </c>
      <c r="L69" s="401">
        <f t="shared" si="3"/>
        <v>10</v>
      </c>
      <c r="M69" s="563">
        <v>45359</v>
      </c>
      <c r="N69" s="563">
        <v>45355</v>
      </c>
      <c r="O69" s="564"/>
      <c r="P69" s="1447" t="s">
        <v>92</v>
      </c>
      <c r="Q69" s="564" t="s">
        <v>329</v>
      </c>
      <c r="R69" s="564">
        <v>45302</v>
      </c>
      <c r="S69" s="564" t="s">
        <v>77</v>
      </c>
      <c r="T69" s="564">
        <v>45308</v>
      </c>
      <c r="U69" s="530" t="s">
        <v>325</v>
      </c>
      <c r="V69" s="596" t="s">
        <v>326</v>
      </c>
      <c r="W69" s="592">
        <v>1.47</v>
      </c>
      <c r="X69" s="593">
        <f t="shared" si="15"/>
        <v>705.6</v>
      </c>
      <c r="Y69" s="401" t="s">
        <v>327</v>
      </c>
      <c r="Z69" s="607" t="s">
        <v>207</v>
      </c>
      <c r="AA69" s="1453" t="s">
        <v>128</v>
      </c>
      <c r="AB69" s="608"/>
      <c r="AC69" s="608"/>
      <c r="AD69" s="608"/>
      <c r="AE69" s="564" t="s">
        <v>80</v>
      </c>
      <c r="AF69" s="564"/>
      <c r="AG69" s="608">
        <f t="shared" si="5"/>
        <v>480</v>
      </c>
      <c r="AH69" s="608"/>
      <c r="AI69" s="608"/>
      <c r="AJ69" s="608"/>
      <c r="AK69" s="609">
        <f t="shared" si="16"/>
        <v>480</v>
      </c>
      <c r="AL69" s="609"/>
      <c r="AM69" s="609"/>
      <c r="AN69" s="609"/>
      <c r="AO69" s="609">
        <f t="shared" si="17"/>
        <v>480</v>
      </c>
      <c r="AP69" s="609"/>
      <c r="AQ69" s="609"/>
      <c r="AR69" s="609"/>
      <c r="AS69" s="609"/>
      <c r="AT69" s="633"/>
      <c r="AU69" s="633"/>
      <c r="AV69" s="633"/>
      <c r="AW69" s="633">
        <f t="shared" si="18"/>
        <v>40</v>
      </c>
      <c r="AX69" s="633"/>
      <c r="AY69" s="633"/>
      <c r="AZ69" s="633"/>
      <c r="BA69" s="633"/>
      <c r="BB69" s="633"/>
      <c r="BC69" s="633"/>
      <c r="BD69" s="633"/>
      <c r="BE69" s="633"/>
      <c r="BF69" s="633"/>
      <c r="BG69" s="633"/>
      <c r="BH69" s="633"/>
      <c r="BI69" s="633"/>
      <c r="BJ69" s="633"/>
      <c r="BK69" s="633"/>
      <c r="BL69" s="633"/>
      <c r="BM69" s="201">
        <f t="shared" si="19"/>
        <v>480</v>
      </c>
      <c r="BN69" s="199"/>
      <c r="BO69" s="196"/>
      <c r="BP69" s="198"/>
      <c r="BQ69" s="199"/>
      <c r="BR69" s="199"/>
      <c r="BS69" s="199"/>
    </row>
    <row r="70" s="200" customFormat="1" ht="36" customHeight="1" spans="1:71">
      <c r="A70" s="533">
        <v>45302</v>
      </c>
      <c r="B70" s="527" t="s">
        <v>332</v>
      </c>
      <c r="C70" s="528" t="s">
        <v>117</v>
      </c>
      <c r="D70" s="534">
        <v>4500123153</v>
      </c>
      <c r="E70" s="530">
        <v>5200003424</v>
      </c>
      <c r="F70" s="534" t="s">
        <v>333</v>
      </c>
      <c r="G70" s="531" t="s">
        <v>304</v>
      </c>
      <c r="H70" s="532" t="s">
        <v>74</v>
      </c>
      <c r="I70" s="401">
        <v>2496</v>
      </c>
      <c r="J70" s="562">
        <v>0</v>
      </c>
      <c r="K70" s="531">
        <v>24</v>
      </c>
      <c r="L70" s="401">
        <f t="shared" si="3"/>
        <v>104</v>
      </c>
      <c r="M70" s="563">
        <v>45362</v>
      </c>
      <c r="N70" s="563">
        <v>45358</v>
      </c>
      <c r="O70" s="564"/>
      <c r="P70" s="1447" t="s">
        <v>92</v>
      </c>
      <c r="Q70" s="564" t="s">
        <v>334</v>
      </c>
      <c r="R70" s="564">
        <v>45341</v>
      </c>
      <c r="S70" s="564" t="s">
        <v>77</v>
      </c>
      <c r="T70" s="564" t="s">
        <v>335</v>
      </c>
      <c r="U70" s="530" t="s">
        <v>336</v>
      </c>
      <c r="V70" s="596" t="s">
        <v>337</v>
      </c>
      <c r="W70" s="592">
        <v>1.19</v>
      </c>
      <c r="X70" s="593">
        <f t="shared" si="15"/>
        <v>2970.24</v>
      </c>
      <c r="Y70" s="1454" t="s">
        <v>338</v>
      </c>
      <c r="Z70" s="607" t="s">
        <v>73</v>
      </c>
      <c r="AA70" s="1453" t="s">
        <v>128</v>
      </c>
      <c r="AB70" s="608"/>
      <c r="AC70" s="608"/>
      <c r="AD70" s="608"/>
      <c r="AE70" s="564" t="s">
        <v>80</v>
      </c>
      <c r="AF70" s="564"/>
      <c r="AG70" s="608">
        <f t="shared" si="5"/>
        <v>2496</v>
      </c>
      <c r="AH70" s="608"/>
      <c r="AI70" s="608"/>
      <c r="AJ70" s="608"/>
      <c r="AK70" s="609">
        <f t="shared" si="16"/>
        <v>2496</v>
      </c>
      <c r="AL70" s="609"/>
      <c r="AM70" s="609"/>
      <c r="AN70" s="609"/>
      <c r="AO70" s="609">
        <f t="shared" si="17"/>
        <v>2496</v>
      </c>
      <c r="AP70" s="609"/>
      <c r="AQ70" s="609"/>
      <c r="AR70" s="609"/>
      <c r="AS70" s="609"/>
      <c r="AT70" s="633"/>
      <c r="AU70" s="633"/>
      <c r="AV70" s="633"/>
      <c r="AW70" s="633"/>
      <c r="AX70" s="633"/>
      <c r="AY70" s="633"/>
      <c r="AZ70" s="633"/>
      <c r="BA70" s="633"/>
      <c r="BB70" s="633"/>
      <c r="BC70" s="633"/>
      <c r="BD70" s="633"/>
      <c r="BE70" s="633"/>
      <c r="BF70" s="633"/>
      <c r="BG70" s="633"/>
      <c r="BH70" s="633"/>
      <c r="BI70" s="633"/>
      <c r="BJ70" s="633"/>
      <c r="BK70" s="633"/>
      <c r="BL70" s="633"/>
      <c r="BM70" s="201">
        <f t="shared" si="19"/>
        <v>2496</v>
      </c>
      <c r="BN70" s="199"/>
      <c r="BO70" s="196"/>
      <c r="BP70" s="198"/>
      <c r="BQ70" s="199"/>
      <c r="BR70" s="199"/>
      <c r="BS70" s="199"/>
    </row>
    <row r="71" s="200" customFormat="1" ht="36" customHeight="1" spans="1:71">
      <c r="A71" s="533">
        <v>45295</v>
      </c>
      <c r="B71" s="527" t="s">
        <v>232</v>
      </c>
      <c r="C71" s="528" t="s">
        <v>233</v>
      </c>
      <c r="D71" s="534">
        <v>4500122607</v>
      </c>
      <c r="E71" s="530">
        <v>19631977</v>
      </c>
      <c r="F71" s="534" t="s">
        <v>339</v>
      </c>
      <c r="G71" s="531" t="s">
        <v>160</v>
      </c>
      <c r="H71" s="532" t="s">
        <v>74</v>
      </c>
      <c r="I71" s="401">
        <v>130</v>
      </c>
      <c r="J71" s="562">
        <v>0</v>
      </c>
      <c r="K71" s="531">
        <v>13</v>
      </c>
      <c r="L71" s="401">
        <f t="shared" si="3"/>
        <v>10</v>
      </c>
      <c r="M71" s="563">
        <v>45362</v>
      </c>
      <c r="N71" s="563">
        <v>45358</v>
      </c>
      <c r="O71" s="564" t="s">
        <v>340</v>
      </c>
      <c r="P71" s="1447" t="s">
        <v>92</v>
      </c>
      <c r="Q71" s="564" t="s">
        <v>341</v>
      </c>
      <c r="R71" s="564">
        <v>45303</v>
      </c>
      <c r="S71" s="564" t="s">
        <v>123</v>
      </c>
      <c r="T71" s="564">
        <v>45341</v>
      </c>
      <c r="U71" s="530" t="s">
        <v>342</v>
      </c>
      <c r="V71" s="596" t="s">
        <v>194</v>
      </c>
      <c r="W71" s="592">
        <v>1.7</v>
      </c>
      <c r="X71" s="593">
        <f t="shared" si="15"/>
        <v>221</v>
      </c>
      <c r="Y71" s="1454" t="s">
        <v>343</v>
      </c>
      <c r="Z71" s="607" t="s">
        <v>160</v>
      </c>
      <c r="AA71" s="1453" t="s">
        <v>128</v>
      </c>
      <c r="AB71" s="608"/>
      <c r="AC71" s="608"/>
      <c r="AD71" s="608"/>
      <c r="AE71" s="564" t="s">
        <v>80</v>
      </c>
      <c r="AF71" s="564"/>
      <c r="AG71" s="608">
        <f t="shared" si="5"/>
        <v>130</v>
      </c>
      <c r="AH71" s="608"/>
      <c r="AI71" s="608"/>
      <c r="AJ71" s="608"/>
      <c r="AK71" s="609">
        <f t="shared" si="16"/>
        <v>130</v>
      </c>
      <c r="AL71" s="609"/>
      <c r="AM71" s="609"/>
      <c r="AN71" s="609"/>
      <c r="AO71" s="609">
        <f t="shared" si="17"/>
        <v>130</v>
      </c>
      <c r="AP71" s="609"/>
      <c r="AQ71" s="609"/>
      <c r="AR71" s="609"/>
      <c r="AS71" s="609"/>
      <c r="AT71" s="633"/>
      <c r="AU71" s="633"/>
      <c r="AV71" s="633"/>
      <c r="AW71" s="633"/>
      <c r="AX71" s="633"/>
      <c r="AY71" s="633">
        <f>I71/13</f>
        <v>10</v>
      </c>
      <c r="AZ71" s="633"/>
      <c r="BA71" s="633"/>
      <c r="BB71" s="633"/>
      <c r="BC71" s="633"/>
      <c r="BD71" s="633"/>
      <c r="BE71" s="633"/>
      <c r="BF71" s="633"/>
      <c r="BG71" s="633"/>
      <c r="BH71" s="633"/>
      <c r="BI71" s="633"/>
      <c r="BJ71" s="633"/>
      <c r="BK71" s="633"/>
      <c r="BL71" s="633"/>
      <c r="BM71" s="201">
        <f t="shared" si="19"/>
        <v>130</v>
      </c>
      <c r="BN71" s="199"/>
      <c r="BO71" s="196"/>
      <c r="BP71" s="198"/>
      <c r="BQ71" s="199"/>
      <c r="BR71" s="199"/>
      <c r="BS71" s="199"/>
    </row>
    <row r="72" s="200" customFormat="1" ht="36" customHeight="1" spans="1:71">
      <c r="A72" s="533">
        <v>45295</v>
      </c>
      <c r="B72" s="527" t="s">
        <v>189</v>
      </c>
      <c r="C72" s="528" t="s">
        <v>190</v>
      </c>
      <c r="D72" s="534">
        <v>4500122606</v>
      </c>
      <c r="E72" s="530">
        <v>19631976</v>
      </c>
      <c r="F72" s="534" t="s">
        <v>344</v>
      </c>
      <c r="G72" s="531" t="s">
        <v>160</v>
      </c>
      <c r="H72" s="532" t="s">
        <v>74</v>
      </c>
      <c r="I72" s="401">
        <v>1508</v>
      </c>
      <c r="J72" s="562">
        <v>0</v>
      </c>
      <c r="K72" s="531">
        <v>13</v>
      </c>
      <c r="L72" s="401">
        <f t="shared" si="3"/>
        <v>116</v>
      </c>
      <c r="M72" s="563">
        <v>45362</v>
      </c>
      <c r="N72" s="563">
        <v>45358</v>
      </c>
      <c r="O72" s="564"/>
      <c r="P72" s="1447" t="s">
        <v>92</v>
      </c>
      <c r="Q72" s="564" t="s">
        <v>341</v>
      </c>
      <c r="R72" s="564">
        <v>45303</v>
      </c>
      <c r="S72" s="564" t="s">
        <v>123</v>
      </c>
      <c r="T72" s="564">
        <v>45341</v>
      </c>
      <c r="U72" s="530" t="s">
        <v>241</v>
      </c>
      <c r="V72" s="596" t="s">
        <v>194</v>
      </c>
      <c r="W72" s="592">
        <v>1.7</v>
      </c>
      <c r="X72" s="593">
        <f t="shared" si="15"/>
        <v>2563.6</v>
      </c>
      <c r="Y72" s="401" t="s">
        <v>345</v>
      </c>
      <c r="Z72" s="607" t="s">
        <v>160</v>
      </c>
      <c r="AA72" s="1453" t="s">
        <v>128</v>
      </c>
      <c r="AB72" s="608"/>
      <c r="AC72" s="608"/>
      <c r="AD72" s="608"/>
      <c r="AE72" s="564" t="s">
        <v>80</v>
      </c>
      <c r="AF72" s="564"/>
      <c r="AG72" s="608">
        <f t="shared" si="5"/>
        <v>1508</v>
      </c>
      <c r="AH72" s="608"/>
      <c r="AI72" s="608"/>
      <c r="AJ72" s="608"/>
      <c r="AK72" s="609">
        <f t="shared" si="16"/>
        <v>1508</v>
      </c>
      <c r="AL72" s="609"/>
      <c r="AM72" s="609"/>
      <c r="AN72" s="609"/>
      <c r="AO72" s="609">
        <f t="shared" si="17"/>
        <v>1508</v>
      </c>
      <c r="AP72" s="609"/>
      <c r="AQ72" s="609"/>
      <c r="AR72" s="609"/>
      <c r="AS72" s="609"/>
      <c r="AT72" s="633"/>
      <c r="AU72" s="633"/>
      <c r="AV72" s="633"/>
      <c r="AW72" s="633"/>
      <c r="AX72" s="633"/>
      <c r="AY72" s="633">
        <f>I72/13</f>
        <v>116</v>
      </c>
      <c r="AZ72" s="633"/>
      <c r="BA72" s="633"/>
      <c r="BB72" s="633"/>
      <c r="BC72" s="633"/>
      <c r="BD72" s="633"/>
      <c r="BE72" s="633"/>
      <c r="BF72" s="633"/>
      <c r="BG72" s="633"/>
      <c r="BH72" s="633"/>
      <c r="BI72" s="633"/>
      <c r="BJ72" s="633"/>
      <c r="BK72" s="633"/>
      <c r="BL72" s="633"/>
      <c r="BM72" s="201">
        <f t="shared" si="19"/>
        <v>1508</v>
      </c>
      <c r="BN72" s="199"/>
      <c r="BO72" s="196"/>
      <c r="BP72" s="198"/>
      <c r="BQ72" s="199"/>
      <c r="BR72" s="199"/>
      <c r="BS72" s="199"/>
    </row>
    <row r="73" s="200" customFormat="1" ht="36" customHeight="1" spans="1:71">
      <c r="A73" s="533">
        <v>45300</v>
      </c>
      <c r="B73" s="527" t="s">
        <v>116</v>
      </c>
      <c r="C73" s="528" t="s">
        <v>117</v>
      </c>
      <c r="D73" s="534">
        <v>4500122898</v>
      </c>
      <c r="E73" s="530" t="s">
        <v>346</v>
      </c>
      <c r="F73" s="534" t="s">
        <v>347</v>
      </c>
      <c r="G73" s="531" t="s">
        <v>120</v>
      </c>
      <c r="H73" s="532" t="s">
        <v>74</v>
      </c>
      <c r="I73" s="401">
        <v>4998</v>
      </c>
      <c r="J73" s="562">
        <v>0</v>
      </c>
      <c r="K73" s="531">
        <v>21</v>
      </c>
      <c r="L73" s="401">
        <f t="shared" si="3"/>
        <v>238</v>
      </c>
      <c r="M73" s="563">
        <v>45366</v>
      </c>
      <c r="N73" s="563">
        <v>45362</v>
      </c>
      <c r="O73" s="564"/>
      <c r="P73" s="1447" t="s">
        <v>92</v>
      </c>
      <c r="Q73" s="564" t="s">
        <v>348</v>
      </c>
      <c r="R73" s="564">
        <v>45303</v>
      </c>
      <c r="S73" s="564" t="s">
        <v>123</v>
      </c>
      <c r="T73" s="564">
        <v>45322</v>
      </c>
      <c r="U73" s="530" t="s">
        <v>200</v>
      </c>
      <c r="V73" s="596" t="s">
        <v>126</v>
      </c>
      <c r="W73" s="592">
        <v>1.75</v>
      </c>
      <c r="X73" s="593">
        <f t="shared" si="15"/>
        <v>8746.5</v>
      </c>
      <c r="Y73" s="401" t="s">
        <v>349</v>
      </c>
      <c r="Z73" s="607" t="s">
        <v>120</v>
      </c>
      <c r="AA73" s="1453" t="s">
        <v>128</v>
      </c>
      <c r="AB73" s="608"/>
      <c r="AC73" s="608"/>
      <c r="AD73" s="608"/>
      <c r="AE73" s="564" t="s">
        <v>80</v>
      </c>
      <c r="AF73" s="564"/>
      <c r="AG73" s="608">
        <f t="shared" si="5"/>
        <v>4998</v>
      </c>
      <c r="AH73" s="608"/>
      <c r="AI73" s="608"/>
      <c r="AJ73" s="608"/>
      <c r="AK73" s="609">
        <f t="shared" si="16"/>
        <v>4998</v>
      </c>
      <c r="AL73" s="609"/>
      <c r="AM73" s="609"/>
      <c r="AN73" s="609"/>
      <c r="AO73" s="609">
        <f t="shared" si="17"/>
        <v>4998</v>
      </c>
      <c r="AP73" s="609"/>
      <c r="AQ73" s="609"/>
      <c r="AR73" s="609"/>
      <c r="AS73" s="609">
        <f>I73/21</f>
        <v>238</v>
      </c>
      <c r="AT73" s="633"/>
      <c r="AU73" s="633"/>
      <c r="AV73" s="633"/>
      <c r="AW73" s="633"/>
      <c r="AX73" s="633"/>
      <c r="AY73" s="633"/>
      <c r="AZ73" s="633"/>
      <c r="BA73" s="633"/>
      <c r="BB73" s="633"/>
      <c r="BC73" s="633"/>
      <c r="BD73" s="633"/>
      <c r="BE73" s="633"/>
      <c r="BF73" s="633"/>
      <c r="BG73" s="633"/>
      <c r="BH73" s="633"/>
      <c r="BI73" s="633"/>
      <c r="BJ73" s="633"/>
      <c r="BK73" s="633"/>
      <c r="BL73" s="633"/>
      <c r="BM73" s="201">
        <f t="shared" si="19"/>
        <v>4998</v>
      </c>
      <c r="BN73" s="199"/>
      <c r="BO73" s="196"/>
      <c r="BP73" s="198"/>
      <c r="BQ73" s="199"/>
      <c r="BR73" s="199"/>
      <c r="BS73" s="199"/>
    </row>
    <row r="74" s="200" customFormat="1" ht="36" customHeight="1" spans="1:71">
      <c r="A74" s="533">
        <v>45272</v>
      </c>
      <c r="B74" s="527" t="s">
        <v>350</v>
      </c>
      <c r="C74" s="528" t="s">
        <v>351</v>
      </c>
      <c r="D74" s="534">
        <v>4500120793</v>
      </c>
      <c r="E74" s="530">
        <v>2401526863</v>
      </c>
      <c r="F74" s="534" t="s">
        <v>352</v>
      </c>
      <c r="G74" s="531" t="s">
        <v>120</v>
      </c>
      <c r="H74" s="532" t="s">
        <v>74</v>
      </c>
      <c r="I74" s="401">
        <v>567</v>
      </c>
      <c r="J74" s="562">
        <v>0</v>
      </c>
      <c r="K74" s="531">
        <v>21</v>
      </c>
      <c r="L74" s="401">
        <f t="shared" si="3"/>
        <v>27</v>
      </c>
      <c r="M74" s="563">
        <v>45363</v>
      </c>
      <c r="N74" s="563">
        <v>45359</v>
      </c>
      <c r="O74" s="91" t="s">
        <v>353</v>
      </c>
      <c r="P74" s="1447" t="s">
        <v>92</v>
      </c>
      <c r="Q74" s="564"/>
      <c r="R74" s="564">
        <v>45343</v>
      </c>
      <c r="S74" s="564" t="s">
        <v>77</v>
      </c>
      <c r="T74" s="564">
        <v>45344</v>
      </c>
      <c r="U74" s="530" t="s">
        <v>354</v>
      </c>
      <c r="V74" s="596" t="s">
        <v>355</v>
      </c>
      <c r="W74" s="592">
        <v>1.8</v>
      </c>
      <c r="X74" s="593">
        <f t="shared" si="15"/>
        <v>1020.6</v>
      </c>
      <c r="Y74" s="401" t="s">
        <v>356</v>
      </c>
      <c r="Z74" s="607" t="s">
        <v>257</v>
      </c>
      <c r="AA74" s="1453" t="s">
        <v>128</v>
      </c>
      <c r="AB74" s="608"/>
      <c r="AC74" s="608"/>
      <c r="AD74" s="608"/>
      <c r="AE74" s="564" t="s">
        <v>80</v>
      </c>
      <c r="AF74" s="564"/>
      <c r="AG74" s="608">
        <f t="shared" si="5"/>
        <v>567</v>
      </c>
      <c r="AH74" s="608"/>
      <c r="AI74" s="608"/>
      <c r="AJ74" s="608"/>
      <c r="AK74" s="609"/>
      <c r="AL74" s="401">
        <f>I74</f>
        <v>567</v>
      </c>
      <c r="AM74" s="609"/>
      <c r="AN74" s="609"/>
      <c r="AO74" s="609">
        <f t="shared" si="17"/>
        <v>567</v>
      </c>
      <c r="AP74" s="609"/>
      <c r="AQ74" s="609"/>
      <c r="AR74" s="609"/>
      <c r="AS74" s="401"/>
      <c r="AT74" s="609">
        <f>I74/21</f>
        <v>27</v>
      </c>
      <c r="AU74" s="609"/>
      <c r="AV74" s="609"/>
      <c r="AW74" s="633"/>
      <c r="AX74" s="633"/>
      <c r="AY74" s="633"/>
      <c r="AZ74" s="633"/>
      <c r="BA74" s="633"/>
      <c r="BB74" s="633"/>
      <c r="BC74" s="633"/>
      <c r="BD74" s="633"/>
      <c r="BE74" s="633"/>
      <c r="BF74" s="633"/>
      <c r="BG74" s="633"/>
      <c r="BH74" s="633"/>
      <c r="BI74" s="633"/>
      <c r="BJ74" s="633"/>
      <c r="BK74" s="633"/>
      <c r="BL74" s="633"/>
      <c r="BM74" s="201">
        <f t="shared" si="19"/>
        <v>567</v>
      </c>
      <c r="BN74" s="199"/>
      <c r="BO74" s="196"/>
      <c r="BP74" s="198"/>
      <c r="BQ74" s="199"/>
      <c r="BR74" s="199"/>
      <c r="BS74" s="199"/>
    </row>
    <row r="75" s="200" customFormat="1" ht="36" customHeight="1" spans="1:71">
      <c r="A75" s="533">
        <v>45272</v>
      </c>
      <c r="B75" s="527" t="s">
        <v>350</v>
      </c>
      <c r="C75" s="528" t="s">
        <v>351</v>
      </c>
      <c r="D75" s="534">
        <v>4500120793</v>
      </c>
      <c r="E75" s="530">
        <v>3501526863</v>
      </c>
      <c r="F75" s="534" t="s">
        <v>357</v>
      </c>
      <c r="G75" s="531" t="s">
        <v>120</v>
      </c>
      <c r="H75" s="532" t="s">
        <v>74</v>
      </c>
      <c r="I75" s="401">
        <v>2016</v>
      </c>
      <c r="J75" s="562">
        <v>0</v>
      </c>
      <c r="K75" s="531">
        <v>21</v>
      </c>
      <c r="L75" s="401">
        <f t="shared" si="3"/>
        <v>96</v>
      </c>
      <c r="M75" s="563">
        <v>45363</v>
      </c>
      <c r="N75" s="563">
        <v>45359</v>
      </c>
      <c r="O75" s="91" t="s">
        <v>353</v>
      </c>
      <c r="P75" s="1447" t="s">
        <v>92</v>
      </c>
      <c r="Q75" s="564"/>
      <c r="R75" s="564">
        <v>45343</v>
      </c>
      <c r="S75" s="564" t="s">
        <v>77</v>
      </c>
      <c r="T75" s="564">
        <v>45344</v>
      </c>
      <c r="U75" s="530" t="s">
        <v>354</v>
      </c>
      <c r="V75" s="596" t="s">
        <v>355</v>
      </c>
      <c r="W75" s="592">
        <v>1.8</v>
      </c>
      <c r="X75" s="593">
        <f t="shared" si="15"/>
        <v>3628.8</v>
      </c>
      <c r="Y75" s="401" t="s">
        <v>356</v>
      </c>
      <c r="Z75" s="607" t="s">
        <v>257</v>
      </c>
      <c r="AA75" s="1453" t="s">
        <v>128</v>
      </c>
      <c r="AB75" s="608"/>
      <c r="AC75" s="608"/>
      <c r="AD75" s="608"/>
      <c r="AE75" s="564" t="s">
        <v>80</v>
      </c>
      <c r="AF75" s="564"/>
      <c r="AG75" s="608">
        <f t="shared" si="5"/>
        <v>2016</v>
      </c>
      <c r="AH75" s="608"/>
      <c r="AI75" s="608"/>
      <c r="AJ75" s="608"/>
      <c r="AK75" s="609"/>
      <c r="AL75" s="401">
        <f>I75</f>
        <v>2016</v>
      </c>
      <c r="AM75" s="609"/>
      <c r="AN75" s="609"/>
      <c r="AO75" s="609">
        <f t="shared" si="17"/>
        <v>2016</v>
      </c>
      <c r="AP75" s="609"/>
      <c r="AQ75" s="609"/>
      <c r="AR75" s="609"/>
      <c r="AS75" s="401"/>
      <c r="AT75" s="609">
        <f>I75/21</f>
        <v>96</v>
      </c>
      <c r="AU75" s="609"/>
      <c r="AV75" s="609"/>
      <c r="AW75" s="633"/>
      <c r="AX75" s="633"/>
      <c r="AY75" s="633"/>
      <c r="AZ75" s="633"/>
      <c r="BA75" s="633"/>
      <c r="BB75" s="633"/>
      <c r="BC75" s="633"/>
      <c r="BD75" s="633"/>
      <c r="BE75" s="633"/>
      <c r="BF75" s="633"/>
      <c r="BG75" s="633"/>
      <c r="BH75" s="633"/>
      <c r="BI75" s="633"/>
      <c r="BJ75" s="633"/>
      <c r="BK75" s="633"/>
      <c r="BL75" s="633"/>
      <c r="BM75" s="201">
        <f t="shared" si="19"/>
        <v>2016</v>
      </c>
      <c r="BN75" s="199"/>
      <c r="BO75" s="196"/>
      <c r="BP75" s="198"/>
      <c r="BQ75" s="199"/>
      <c r="BR75" s="199"/>
      <c r="BS75" s="199"/>
    </row>
    <row r="76" s="200" customFormat="1" ht="36" customHeight="1" spans="1:71">
      <c r="A76" s="533">
        <v>45300</v>
      </c>
      <c r="B76" s="527" t="s">
        <v>358</v>
      </c>
      <c r="C76" s="528" t="s">
        <v>213</v>
      </c>
      <c r="D76" s="534">
        <v>4500122683</v>
      </c>
      <c r="E76" s="530" t="s">
        <v>359</v>
      </c>
      <c r="F76" s="534" t="s">
        <v>360</v>
      </c>
      <c r="G76" s="531" t="s">
        <v>215</v>
      </c>
      <c r="H76" s="532" t="s">
        <v>74</v>
      </c>
      <c r="I76" s="401">
        <f>14028+14028</f>
        <v>28056</v>
      </c>
      <c r="J76" s="562">
        <v>0</v>
      </c>
      <c r="K76" s="531">
        <v>42</v>
      </c>
      <c r="L76" s="401">
        <f t="shared" ref="L76:L139" si="20">I76/K76</f>
        <v>668</v>
      </c>
      <c r="M76" s="563">
        <v>45367</v>
      </c>
      <c r="N76" s="563">
        <v>45363</v>
      </c>
      <c r="O76" s="564"/>
      <c r="P76" s="1447" t="s">
        <v>92</v>
      </c>
      <c r="Q76" s="564" t="s">
        <v>305</v>
      </c>
      <c r="R76" s="564">
        <v>45321</v>
      </c>
      <c r="S76" s="564" t="s">
        <v>77</v>
      </c>
      <c r="T76" s="564" t="s">
        <v>77</v>
      </c>
      <c r="U76" s="530" t="s">
        <v>361</v>
      </c>
      <c r="V76" s="596" t="s">
        <v>230</v>
      </c>
      <c r="W76" s="592">
        <v>1.649</v>
      </c>
      <c r="X76" s="593">
        <f t="shared" si="15"/>
        <v>46264.344</v>
      </c>
      <c r="Y76" s="401" t="s">
        <v>362</v>
      </c>
      <c r="Z76" s="607" t="s">
        <v>215</v>
      </c>
      <c r="AA76" s="1453" t="s">
        <v>128</v>
      </c>
      <c r="AB76" s="608"/>
      <c r="AC76" s="608"/>
      <c r="AD76" s="608"/>
      <c r="AE76" s="564" t="s">
        <v>80</v>
      </c>
      <c r="AF76" s="564"/>
      <c r="AG76" s="608">
        <f t="shared" si="5"/>
        <v>28056</v>
      </c>
      <c r="AH76" s="608"/>
      <c r="AI76" s="608"/>
      <c r="AJ76" s="608"/>
      <c r="AK76" s="609">
        <f>I76</f>
        <v>28056</v>
      </c>
      <c r="AL76" s="401"/>
      <c r="AM76" s="609"/>
      <c r="AN76" s="609"/>
      <c r="AO76" s="609">
        <f t="shared" si="17"/>
        <v>28056</v>
      </c>
      <c r="AP76" s="609"/>
      <c r="AQ76" s="609"/>
      <c r="AR76" s="609"/>
      <c r="AS76" s="609">
        <f>I76/21</f>
        <v>1336</v>
      </c>
      <c r="AT76" s="609"/>
      <c r="AU76" s="609"/>
      <c r="AV76" s="609"/>
      <c r="AW76" s="633"/>
      <c r="AX76" s="633"/>
      <c r="AY76" s="633"/>
      <c r="AZ76" s="633"/>
      <c r="BA76" s="633"/>
      <c r="BB76" s="633"/>
      <c r="BC76" s="633"/>
      <c r="BD76" s="633"/>
      <c r="BE76" s="633"/>
      <c r="BF76" s="633"/>
      <c r="BG76" s="633"/>
      <c r="BH76" s="633"/>
      <c r="BI76" s="633"/>
      <c r="BJ76" s="633"/>
      <c r="BK76" s="633"/>
      <c r="BL76" s="633"/>
      <c r="BM76" s="201">
        <f t="shared" si="19"/>
        <v>28056</v>
      </c>
      <c r="BN76" s="199"/>
      <c r="BO76" s="196"/>
      <c r="BP76" s="198"/>
      <c r="BQ76" s="199"/>
      <c r="BR76" s="199"/>
      <c r="BS76" s="199"/>
    </row>
    <row r="77" s="200" customFormat="1" ht="36" customHeight="1" spans="1:71">
      <c r="A77" s="533">
        <v>45293</v>
      </c>
      <c r="B77" s="527" t="s">
        <v>363</v>
      </c>
      <c r="C77" s="528" t="s">
        <v>117</v>
      </c>
      <c r="D77" s="534">
        <v>4500122482</v>
      </c>
      <c r="E77" s="530">
        <v>1125393</v>
      </c>
      <c r="F77" s="534" t="s">
        <v>364</v>
      </c>
      <c r="G77" s="531" t="s">
        <v>73</v>
      </c>
      <c r="H77" s="532" t="s">
        <v>74</v>
      </c>
      <c r="I77" s="401">
        <v>3336</v>
      </c>
      <c r="J77" s="562">
        <v>0</v>
      </c>
      <c r="K77" s="531">
        <v>24</v>
      </c>
      <c r="L77" s="401">
        <f t="shared" si="20"/>
        <v>139</v>
      </c>
      <c r="M77" s="563">
        <v>45365</v>
      </c>
      <c r="N77" s="563">
        <v>45362</v>
      </c>
      <c r="O77" s="564"/>
      <c r="P77" s="1447" t="s">
        <v>92</v>
      </c>
      <c r="Q77" s="564" t="s">
        <v>341</v>
      </c>
      <c r="R77" s="564">
        <v>45306</v>
      </c>
      <c r="S77" s="564" t="s">
        <v>123</v>
      </c>
      <c r="T77" s="564">
        <v>45344</v>
      </c>
      <c r="U77" s="530" t="s">
        <v>365</v>
      </c>
      <c r="V77" s="596" t="s">
        <v>366</v>
      </c>
      <c r="W77" s="592">
        <v>1.17</v>
      </c>
      <c r="X77" s="593">
        <f t="shared" si="15"/>
        <v>3903.12</v>
      </c>
      <c r="Y77" s="401" t="s">
        <v>367</v>
      </c>
      <c r="Z77" s="607" t="s">
        <v>73</v>
      </c>
      <c r="AA77" s="1453" t="s">
        <v>128</v>
      </c>
      <c r="AB77" s="608"/>
      <c r="AC77" s="608"/>
      <c r="AD77" s="608"/>
      <c r="AE77" s="564" t="s">
        <v>80</v>
      </c>
      <c r="AF77" s="564"/>
      <c r="AG77" s="608">
        <f t="shared" si="5"/>
        <v>3336</v>
      </c>
      <c r="AH77" s="608"/>
      <c r="AI77" s="608"/>
      <c r="AJ77" s="608"/>
      <c r="AK77" s="609">
        <f t="shared" ref="AK77:AK80" si="21">AG77</f>
        <v>3336</v>
      </c>
      <c r="AL77" s="401"/>
      <c r="AM77" s="609"/>
      <c r="AN77" s="609"/>
      <c r="AO77" s="609">
        <f t="shared" si="17"/>
        <v>3336</v>
      </c>
      <c r="AP77" s="609"/>
      <c r="AQ77" s="609"/>
      <c r="AR77" s="609"/>
      <c r="AS77" s="609"/>
      <c r="AT77" s="633"/>
      <c r="AU77" s="633"/>
      <c r="AV77" s="633"/>
      <c r="AW77" s="633"/>
      <c r="AX77" s="633"/>
      <c r="AY77" s="633"/>
      <c r="AZ77" s="633"/>
      <c r="BA77" s="633"/>
      <c r="BB77" s="633"/>
      <c r="BC77" s="633"/>
      <c r="BD77" s="633"/>
      <c r="BE77" s="633"/>
      <c r="BF77" s="633"/>
      <c r="BG77" s="633"/>
      <c r="BH77" s="633"/>
      <c r="BI77" s="633"/>
      <c r="BJ77" s="633"/>
      <c r="BK77" s="633"/>
      <c r="BL77" s="633"/>
      <c r="BM77" s="201">
        <f t="shared" si="19"/>
        <v>3336</v>
      </c>
      <c r="BN77" s="199"/>
      <c r="BO77" s="196"/>
      <c r="BP77" s="198"/>
      <c r="BQ77" s="199"/>
      <c r="BR77" s="199"/>
      <c r="BS77" s="199"/>
    </row>
    <row r="78" s="200" customFormat="1" ht="36" customHeight="1" spans="1:71">
      <c r="A78" s="533">
        <v>45293</v>
      </c>
      <c r="B78" s="527" t="s">
        <v>363</v>
      </c>
      <c r="C78" s="528" t="s">
        <v>117</v>
      </c>
      <c r="D78" s="534">
        <v>4500122482</v>
      </c>
      <c r="E78" s="530">
        <v>1125394</v>
      </c>
      <c r="F78" s="534" t="s">
        <v>368</v>
      </c>
      <c r="G78" s="531" t="s">
        <v>73</v>
      </c>
      <c r="H78" s="532" t="s">
        <v>74</v>
      </c>
      <c r="I78" s="401">
        <v>672</v>
      </c>
      <c r="J78" s="562">
        <v>0</v>
      </c>
      <c r="K78" s="531">
        <v>24</v>
      </c>
      <c r="L78" s="401">
        <f t="shared" si="20"/>
        <v>28</v>
      </c>
      <c r="M78" s="563">
        <v>45365</v>
      </c>
      <c r="N78" s="563">
        <v>45362</v>
      </c>
      <c r="O78" s="564"/>
      <c r="P78" s="1447" t="s">
        <v>92</v>
      </c>
      <c r="Q78" s="564" t="s">
        <v>341</v>
      </c>
      <c r="R78" s="564">
        <v>45306</v>
      </c>
      <c r="S78" s="564" t="s">
        <v>123</v>
      </c>
      <c r="T78" s="564">
        <v>45344</v>
      </c>
      <c r="U78" s="530" t="s">
        <v>365</v>
      </c>
      <c r="V78" s="596" t="s">
        <v>366</v>
      </c>
      <c r="W78" s="592">
        <v>1.17</v>
      </c>
      <c r="X78" s="593">
        <f t="shared" si="15"/>
        <v>786.24</v>
      </c>
      <c r="Y78" s="401" t="s">
        <v>367</v>
      </c>
      <c r="Z78" s="607" t="s">
        <v>73</v>
      </c>
      <c r="AA78" s="1453" t="s">
        <v>128</v>
      </c>
      <c r="AB78" s="608"/>
      <c r="AC78" s="608"/>
      <c r="AD78" s="608"/>
      <c r="AE78" s="564" t="s">
        <v>80</v>
      </c>
      <c r="AF78" s="564"/>
      <c r="AG78" s="608">
        <f t="shared" si="5"/>
        <v>672</v>
      </c>
      <c r="AH78" s="608"/>
      <c r="AI78" s="608"/>
      <c r="AJ78" s="608"/>
      <c r="AK78" s="609">
        <f t="shared" si="21"/>
        <v>672</v>
      </c>
      <c r="AL78" s="401"/>
      <c r="AM78" s="609"/>
      <c r="AN78" s="609"/>
      <c r="AO78" s="609">
        <f t="shared" si="17"/>
        <v>672</v>
      </c>
      <c r="AP78" s="609"/>
      <c r="AQ78" s="609"/>
      <c r="AR78" s="609"/>
      <c r="AS78" s="609"/>
      <c r="AT78" s="633"/>
      <c r="AU78" s="633"/>
      <c r="AV78" s="633"/>
      <c r="AW78" s="633"/>
      <c r="AX78" s="633"/>
      <c r="AY78" s="633"/>
      <c r="AZ78" s="633"/>
      <c r="BA78" s="633"/>
      <c r="BB78" s="633"/>
      <c r="BC78" s="633"/>
      <c r="BD78" s="633"/>
      <c r="BE78" s="633"/>
      <c r="BF78" s="633"/>
      <c r="BG78" s="633"/>
      <c r="BH78" s="633"/>
      <c r="BI78" s="633"/>
      <c r="BJ78" s="633"/>
      <c r="BK78" s="633"/>
      <c r="BL78" s="633"/>
      <c r="BM78" s="201">
        <f t="shared" si="19"/>
        <v>672</v>
      </c>
      <c r="BN78" s="199"/>
      <c r="BO78" s="196"/>
      <c r="BP78" s="198"/>
      <c r="BQ78" s="199"/>
      <c r="BR78" s="199"/>
      <c r="BS78" s="199"/>
    </row>
    <row r="79" s="200" customFormat="1" ht="36" customHeight="1" spans="1:71">
      <c r="A79" s="533">
        <v>45293</v>
      </c>
      <c r="B79" s="527" t="s">
        <v>363</v>
      </c>
      <c r="C79" s="528" t="s">
        <v>117</v>
      </c>
      <c r="D79" s="534">
        <v>4500122482</v>
      </c>
      <c r="E79" s="530">
        <v>1135779</v>
      </c>
      <c r="F79" s="534" t="s">
        <v>369</v>
      </c>
      <c r="G79" s="531" t="s">
        <v>73</v>
      </c>
      <c r="H79" s="532" t="s">
        <v>74</v>
      </c>
      <c r="I79" s="401">
        <v>1608</v>
      </c>
      <c r="J79" s="562">
        <v>0</v>
      </c>
      <c r="K79" s="531">
        <v>24</v>
      </c>
      <c r="L79" s="401">
        <f t="shared" si="20"/>
        <v>67</v>
      </c>
      <c r="M79" s="563">
        <v>45365</v>
      </c>
      <c r="N79" s="563">
        <v>45362</v>
      </c>
      <c r="O79" s="564"/>
      <c r="P79" s="1447" t="s">
        <v>92</v>
      </c>
      <c r="Q79" s="564" t="s">
        <v>341</v>
      </c>
      <c r="R79" s="564">
        <v>45306</v>
      </c>
      <c r="S79" s="564" t="s">
        <v>123</v>
      </c>
      <c r="T79" s="564">
        <v>45344</v>
      </c>
      <c r="U79" s="530" t="s">
        <v>365</v>
      </c>
      <c r="V79" s="596" t="s">
        <v>366</v>
      </c>
      <c r="W79" s="592">
        <v>1.17</v>
      </c>
      <c r="X79" s="593">
        <f t="shared" si="15"/>
        <v>1881.36</v>
      </c>
      <c r="Y79" s="401" t="s">
        <v>367</v>
      </c>
      <c r="Z79" s="607" t="s">
        <v>73</v>
      </c>
      <c r="AA79" s="1453" t="s">
        <v>128</v>
      </c>
      <c r="AB79" s="608"/>
      <c r="AC79" s="608"/>
      <c r="AD79" s="608"/>
      <c r="AE79" s="564" t="s">
        <v>80</v>
      </c>
      <c r="AF79" s="564"/>
      <c r="AG79" s="608">
        <f t="shared" si="5"/>
        <v>1608</v>
      </c>
      <c r="AH79" s="608"/>
      <c r="AI79" s="608"/>
      <c r="AJ79" s="608"/>
      <c r="AK79" s="609">
        <f t="shared" si="21"/>
        <v>1608</v>
      </c>
      <c r="AL79" s="401"/>
      <c r="AM79" s="609"/>
      <c r="AN79" s="609"/>
      <c r="AO79" s="609">
        <f t="shared" si="17"/>
        <v>1608</v>
      </c>
      <c r="AP79" s="609"/>
      <c r="AQ79" s="609"/>
      <c r="AR79" s="609"/>
      <c r="AS79" s="609"/>
      <c r="AT79" s="633"/>
      <c r="AU79" s="633"/>
      <c r="AV79" s="633"/>
      <c r="AW79" s="633"/>
      <c r="AX79" s="633"/>
      <c r="AY79" s="633"/>
      <c r="AZ79" s="633"/>
      <c r="BA79" s="633"/>
      <c r="BB79" s="633"/>
      <c r="BC79" s="633"/>
      <c r="BD79" s="633"/>
      <c r="BE79" s="633"/>
      <c r="BF79" s="633"/>
      <c r="BG79" s="633"/>
      <c r="BH79" s="633"/>
      <c r="BI79" s="633"/>
      <c r="BJ79" s="633"/>
      <c r="BK79" s="633"/>
      <c r="BL79" s="633"/>
      <c r="BM79" s="201">
        <f t="shared" si="19"/>
        <v>1608</v>
      </c>
      <c r="BN79" s="199"/>
      <c r="BO79" s="196"/>
      <c r="BP79" s="198"/>
      <c r="BQ79" s="199"/>
      <c r="BR79" s="199"/>
      <c r="BS79" s="199"/>
    </row>
    <row r="80" s="200" customFormat="1" ht="36" customHeight="1" spans="1:71">
      <c r="A80" s="533">
        <v>45293</v>
      </c>
      <c r="B80" s="527" t="s">
        <v>363</v>
      </c>
      <c r="C80" s="528" t="s">
        <v>117</v>
      </c>
      <c r="D80" s="534">
        <v>4500122482</v>
      </c>
      <c r="E80" s="530" t="s">
        <v>370</v>
      </c>
      <c r="F80" s="534" t="s">
        <v>371</v>
      </c>
      <c r="G80" s="531" t="s">
        <v>73</v>
      </c>
      <c r="H80" s="532" t="s">
        <v>74</v>
      </c>
      <c r="I80" s="401">
        <v>384</v>
      </c>
      <c r="J80" s="562">
        <v>0</v>
      </c>
      <c r="K80" s="531">
        <v>24</v>
      </c>
      <c r="L80" s="401">
        <f t="shared" si="20"/>
        <v>16</v>
      </c>
      <c r="M80" s="563">
        <v>45365</v>
      </c>
      <c r="N80" s="563">
        <v>45362</v>
      </c>
      <c r="O80" s="564"/>
      <c r="P80" s="1447" t="s">
        <v>92</v>
      </c>
      <c r="Q80" s="564" t="s">
        <v>341</v>
      </c>
      <c r="R80" s="564">
        <v>45306</v>
      </c>
      <c r="S80" s="564" t="s">
        <v>123</v>
      </c>
      <c r="T80" s="564">
        <v>45344</v>
      </c>
      <c r="U80" s="530" t="s">
        <v>365</v>
      </c>
      <c r="V80" s="596" t="s">
        <v>366</v>
      </c>
      <c r="W80" s="592">
        <v>1.17</v>
      </c>
      <c r="X80" s="593">
        <f t="shared" si="15"/>
        <v>449.28</v>
      </c>
      <c r="Y80" s="401" t="s">
        <v>367</v>
      </c>
      <c r="Z80" s="607" t="s">
        <v>73</v>
      </c>
      <c r="AA80" s="1453" t="s">
        <v>128</v>
      </c>
      <c r="AB80" s="608"/>
      <c r="AC80" s="608"/>
      <c r="AD80" s="608"/>
      <c r="AE80" s="564" t="s">
        <v>80</v>
      </c>
      <c r="AF80" s="564"/>
      <c r="AG80" s="608">
        <f t="shared" ref="AG80:AG94" si="22">I80</f>
        <v>384</v>
      </c>
      <c r="AH80" s="608"/>
      <c r="AI80" s="608"/>
      <c r="AJ80" s="608"/>
      <c r="AK80" s="609">
        <f t="shared" si="21"/>
        <v>384</v>
      </c>
      <c r="AL80" s="401"/>
      <c r="AM80" s="609"/>
      <c r="AN80" s="609"/>
      <c r="AO80" s="609">
        <f t="shared" si="17"/>
        <v>384</v>
      </c>
      <c r="AP80" s="609"/>
      <c r="AQ80" s="609"/>
      <c r="AR80" s="609"/>
      <c r="AS80" s="609"/>
      <c r="AT80" s="633"/>
      <c r="AU80" s="633"/>
      <c r="AV80" s="633"/>
      <c r="AW80" s="633"/>
      <c r="AX80" s="633"/>
      <c r="AY80" s="633"/>
      <c r="AZ80" s="633"/>
      <c r="BA80" s="633"/>
      <c r="BB80" s="633"/>
      <c r="BC80" s="633"/>
      <c r="BD80" s="633"/>
      <c r="BE80" s="633"/>
      <c r="BF80" s="633"/>
      <c r="BG80" s="633"/>
      <c r="BH80" s="633"/>
      <c r="BI80" s="633"/>
      <c r="BJ80" s="633"/>
      <c r="BK80" s="633"/>
      <c r="BL80" s="633"/>
      <c r="BM80" s="201">
        <f t="shared" si="19"/>
        <v>384</v>
      </c>
      <c r="BN80" s="199"/>
      <c r="BO80" s="196"/>
      <c r="BP80" s="198"/>
      <c r="BQ80" s="199"/>
      <c r="BR80" s="199"/>
      <c r="BS80" s="199"/>
    </row>
    <row r="81" s="200" customFormat="1" ht="36" customHeight="1" spans="1:71">
      <c r="A81" s="533">
        <v>45299</v>
      </c>
      <c r="B81" s="527" t="s">
        <v>372</v>
      </c>
      <c r="C81" s="528" t="s">
        <v>373</v>
      </c>
      <c r="D81" s="534">
        <v>4500122760</v>
      </c>
      <c r="E81" s="530" t="s">
        <v>374</v>
      </c>
      <c r="F81" s="534">
        <v>4500122760</v>
      </c>
      <c r="G81" s="531" t="s">
        <v>120</v>
      </c>
      <c r="H81" s="532" t="s">
        <v>74</v>
      </c>
      <c r="I81" s="401">
        <v>3990</v>
      </c>
      <c r="J81" s="562">
        <v>0</v>
      </c>
      <c r="K81" s="531">
        <v>21</v>
      </c>
      <c r="L81" s="401">
        <f t="shared" si="20"/>
        <v>190</v>
      </c>
      <c r="M81" s="563">
        <v>45366</v>
      </c>
      <c r="N81" s="563">
        <v>45362</v>
      </c>
      <c r="O81" s="564"/>
      <c r="P81" s="1447" t="s">
        <v>92</v>
      </c>
      <c r="Q81" s="564" t="s">
        <v>375</v>
      </c>
      <c r="R81" s="564">
        <v>45300</v>
      </c>
      <c r="S81" s="564" t="s">
        <v>77</v>
      </c>
      <c r="T81" s="564">
        <v>45308</v>
      </c>
      <c r="U81" s="530" t="s">
        <v>376</v>
      </c>
      <c r="V81" s="596" t="s">
        <v>377</v>
      </c>
      <c r="W81" s="592">
        <v>1.8</v>
      </c>
      <c r="X81" s="593">
        <f t="shared" si="15"/>
        <v>7182</v>
      </c>
      <c r="Y81" s="401" t="s">
        <v>378</v>
      </c>
      <c r="Z81" s="607" t="s">
        <v>257</v>
      </c>
      <c r="AA81" s="1453" t="s">
        <v>128</v>
      </c>
      <c r="AB81" s="608"/>
      <c r="AC81" s="608"/>
      <c r="AD81" s="608"/>
      <c r="AE81" s="564" t="s">
        <v>80</v>
      </c>
      <c r="AF81" s="564"/>
      <c r="AG81" s="608">
        <f t="shared" si="22"/>
        <v>3990</v>
      </c>
      <c r="AH81" s="608"/>
      <c r="AI81" s="608"/>
      <c r="AJ81" s="608"/>
      <c r="AK81" s="609"/>
      <c r="AL81" s="401">
        <f>I81</f>
        <v>3990</v>
      </c>
      <c r="AM81" s="609"/>
      <c r="AN81" s="609"/>
      <c r="AO81" s="609">
        <f t="shared" si="17"/>
        <v>3990</v>
      </c>
      <c r="AP81" s="609"/>
      <c r="AQ81" s="609"/>
      <c r="AR81" s="609"/>
      <c r="AS81" s="401"/>
      <c r="AT81" s="609">
        <f>I81/21</f>
        <v>190</v>
      </c>
      <c r="AU81" s="609"/>
      <c r="AV81" s="609"/>
      <c r="AW81" s="633"/>
      <c r="AX81" s="633"/>
      <c r="AY81" s="633"/>
      <c r="AZ81" s="633"/>
      <c r="BA81" s="633"/>
      <c r="BB81" s="633"/>
      <c r="BC81" s="633"/>
      <c r="BD81" s="633"/>
      <c r="BE81" s="633"/>
      <c r="BF81" s="633"/>
      <c r="BG81" s="633"/>
      <c r="BH81" s="633"/>
      <c r="BI81" s="633"/>
      <c r="BJ81" s="633"/>
      <c r="BK81" s="633"/>
      <c r="BL81" s="633"/>
      <c r="BM81" s="201">
        <f t="shared" si="19"/>
        <v>3990</v>
      </c>
      <c r="BN81" s="199"/>
      <c r="BO81" s="1473"/>
      <c r="BP81" s="1473"/>
      <c r="BQ81" s="199"/>
      <c r="BR81" s="199"/>
      <c r="BS81" s="199"/>
    </row>
    <row r="82" s="200" customFormat="1" ht="36" customHeight="1" spans="1:71">
      <c r="A82" s="533">
        <v>45301</v>
      </c>
      <c r="B82" s="527" t="s">
        <v>379</v>
      </c>
      <c r="C82" s="528" t="s">
        <v>373</v>
      </c>
      <c r="D82" s="534">
        <v>4500123041</v>
      </c>
      <c r="E82" s="530"/>
      <c r="F82" s="534" t="s">
        <v>380</v>
      </c>
      <c r="G82" s="531" t="s">
        <v>215</v>
      </c>
      <c r="H82" s="532" t="s">
        <v>74</v>
      </c>
      <c r="I82" s="401">
        <v>420</v>
      </c>
      <c r="J82" s="562">
        <v>0</v>
      </c>
      <c r="K82" s="531">
        <v>42</v>
      </c>
      <c r="L82" s="401">
        <f t="shared" si="20"/>
        <v>10</v>
      </c>
      <c r="M82" s="563">
        <v>45366</v>
      </c>
      <c r="N82" s="563">
        <v>45362</v>
      </c>
      <c r="O82" s="564"/>
      <c r="P82" s="1447" t="s">
        <v>92</v>
      </c>
      <c r="Q82" s="564" t="s">
        <v>305</v>
      </c>
      <c r="R82" s="564">
        <v>45301</v>
      </c>
      <c r="S82" s="564" t="s">
        <v>77</v>
      </c>
      <c r="T82" s="564">
        <v>45307</v>
      </c>
      <c r="U82" s="530" t="s">
        <v>381</v>
      </c>
      <c r="V82" s="596" t="s">
        <v>377</v>
      </c>
      <c r="W82" s="592">
        <v>1.649</v>
      </c>
      <c r="X82" s="593">
        <f t="shared" si="15"/>
        <v>692.58</v>
      </c>
      <c r="Y82" s="401" t="s">
        <v>382</v>
      </c>
      <c r="Z82" s="607" t="s">
        <v>220</v>
      </c>
      <c r="AA82" s="1453" t="s">
        <v>128</v>
      </c>
      <c r="AB82" s="608"/>
      <c r="AC82" s="608"/>
      <c r="AD82" s="608"/>
      <c r="AE82" s="564" t="s">
        <v>80</v>
      </c>
      <c r="AF82" s="564"/>
      <c r="AG82" s="608">
        <f t="shared" si="22"/>
        <v>420</v>
      </c>
      <c r="AH82" s="608"/>
      <c r="AI82" s="608"/>
      <c r="AJ82" s="608"/>
      <c r="AK82" s="609"/>
      <c r="AL82" s="609">
        <f>I82</f>
        <v>420</v>
      </c>
      <c r="AM82" s="609"/>
      <c r="AN82" s="609"/>
      <c r="AO82" s="609">
        <f t="shared" si="17"/>
        <v>420</v>
      </c>
      <c r="AP82" s="609"/>
      <c r="AQ82" s="609"/>
      <c r="AR82" s="609"/>
      <c r="AS82" s="401"/>
      <c r="AT82" s="633">
        <f>I82/21</f>
        <v>20</v>
      </c>
      <c r="AU82" s="633"/>
      <c r="AV82" s="633"/>
      <c r="AW82" s="633"/>
      <c r="AX82" s="633"/>
      <c r="AY82" s="633"/>
      <c r="AZ82" s="633"/>
      <c r="BA82" s="633"/>
      <c r="BB82" s="633"/>
      <c r="BC82" s="633"/>
      <c r="BD82" s="633"/>
      <c r="BE82" s="633"/>
      <c r="BF82" s="633"/>
      <c r="BG82" s="633"/>
      <c r="BH82" s="633"/>
      <c r="BI82" s="633"/>
      <c r="BJ82" s="633"/>
      <c r="BK82" s="633"/>
      <c r="BL82" s="633"/>
      <c r="BM82" s="201">
        <f t="shared" si="19"/>
        <v>420</v>
      </c>
      <c r="BN82" s="199"/>
      <c r="BO82" s="1473"/>
      <c r="BP82" s="1473"/>
      <c r="BQ82" s="199"/>
      <c r="BR82" s="199"/>
      <c r="BS82" s="199"/>
    </row>
    <row r="83" s="200" customFormat="1" ht="36" customHeight="1" spans="1:71">
      <c r="A83" s="533">
        <v>45260</v>
      </c>
      <c r="B83" s="527" t="s">
        <v>383</v>
      </c>
      <c r="C83" s="528" t="s">
        <v>384</v>
      </c>
      <c r="D83" s="534">
        <v>4500119592</v>
      </c>
      <c r="E83" s="530">
        <v>2023101383</v>
      </c>
      <c r="F83" s="534" t="s">
        <v>385</v>
      </c>
      <c r="G83" s="531" t="s">
        <v>386</v>
      </c>
      <c r="H83" s="532" t="s">
        <v>74</v>
      </c>
      <c r="I83" s="401">
        <v>5400</v>
      </c>
      <c r="J83" s="562">
        <v>0</v>
      </c>
      <c r="K83" s="531">
        <v>60</v>
      </c>
      <c r="L83" s="401">
        <f t="shared" si="20"/>
        <v>90</v>
      </c>
      <c r="M83" s="563">
        <v>45369</v>
      </c>
      <c r="N83" s="563">
        <v>45365</v>
      </c>
      <c r="O83" s="564"/>
      <c r="P83" s="1447" t="s">
        <v>92</v>
      </c>
      <c r="Q83" s="564" t="s">
        <v>387</v>
      </c>
      <c r="R83" s="564">
        <v>45638</v>
      </c>
      <c r="S83" s="564" t="s">
        <v>77</v>
      </c>
      <c r="T83" s="564">
        <v>45300</v>
      </c>
      <c r="U83" s="530" t="s">
        <v>388</v>
      </c>
      <c r="V83" s="596" t="s">
        <v>389</v>
      </c>
      <c r="W83" s="592">
        <v>87.05</v>
      </c>
      <c r="X83" s="593">
        <f>W83*L83</f>
        <v>7834.5</v>
      </c>
      <c r="Y83" s="401" t="s">
        <v>390</v>
      </c>
      <c r="Z83" s="607" t="s">
        <v>391</v>
      </c>
      <c r="AA83" s="1453" t="s">
        <v>128</v>
      </c>
      <c r="AB83" s="608"/>
      <c r="AC83" s="608"/>
      <c r="AD83" s="608"/>
      <c r="AE83" s="564" t="s">
        <v>80</v>
      </c>
      <c r="AF83" s="564"/>
      <c r="AG83" s="608">
        <f t="shared" si="22"/>
        <v>5400</v>
      </c>
      <c r="AH83" s="608"/>
      <c r="AI83" s="608"/>
      <c r="AJ83" s="608"/>
      <c r="AK83" s="401"/>
      <c r="AL83" s="609">
        <f>AG83</f>
        <v>5400</v>
      </c>
      <c r="AM83" s="609"/>
      <c r="AN83" s="609"/>
      <c r="AO83" s="609">
        <f t="shared" si="17"/>
        <v>5400</v>
      </c>
      <c r="AP83" s="609"/>
      <c r="AQ83" s="609"/>
      <c r="AR83" s="609"/>
      <c r="AS83" s="609"/>
      <c r="AT83" s="633"/>
      <c r="AU83" s="633"/>
      <c r="AV83" s="633"/>
      <c r="AW83" s="633"/>
      <c r="AX83" s="633"/>
      <c r="AY83" s="633"/>
      <c r="AZ83" s="633"/>
      <c r="BA83" s="633"/>
      <c r="BB83" s="633"/>
      <c r="BC83" s="633"/>
      <c r="BD83" s="633"/>
      <c r="BE83" s="633">
        <f>I83/60</f>
        <v>90</v>
      </c>
      <c r="BF83" s="633"/>
      <c r="BG83" s="633"/>
      <c r="BH83" s="633"/>
      <c r="BI83" s="633"/>
      <c r="BJ83" s="633"/>
      <c r="BK83" s="633"/>
      <c r="BL83" s="633"/>
      <c r="BM83" s="201">
        <f t="shared" si="19"/>
        <v>5400</v>
      </c>
      <c r="BN83" s="199"/>
      <c r="BO83" s="1473"/>
      <c r="BP83" s="1473"/>
      <c r="BQ83" s="199"/>
      <c r="BR83" s="199"/>
      <c r="BS83" s="199"/>
    </row>
    <row r="84" s="200" customFormat="1" ht="36" customHeight="1" spans="1:71">
      <c r="A84" s="533">
        <v>45218</v>
      </c>
      <c r="B84" s="527" t="s">
        <v>392</v>
      </c>
      <c r="C84" s="528" t="s">
        <v>117</v>
      </c>
      <c r="D84" s="534">
        <v>4500116296</v>
      </c>
      <c r="E84" s="530">
        <v>4500023317</v>
      </c>
      <c r="F84" s="534" t="s">
        <v>393</v>
      </c>
      <c r="G84" s="531" t="s">
        <v>207</v>
      </c>
      <c r="H84" s="532" t="s">
        <v>74</v>
      </c>
      <c r="I84" s="401">
        <v>7632</v>
      </c>
      <c r="J84" s="562">
        <v>0</v>
      </c>
      <c r="K84" s="531">
        <v>48</v>
      </c>
      <c r="L84" s="401">
        <f t="shared" si="20"/>
        <v>159</v>
      </c>
      <c r="M84" s="563">
        <v>45370</v>
      </c>
      <c r="N84" s="563">
        <v>45366</v>
      </c>
      <c r="O84" s="564"/>
      <c r="P84" s="1447" t="s">
        <v>92</v>
      </c>
      <c r="Q84" s="564" t="s">
        <v>394</v>
      </c>
      <c r="R84" s="564">
        <v>45301</v>
      </c>
      <c r="S84" s="564" t="s">
        <v>77</v>
      </c>
      <c r="T84" s="564" t="s">
        <v>77</v>
      </c>
      <c r="U84" s="530" t="s">
        <v>395</v>
      </c>
      <c r="V84" s="596" t="s">
        <v>396</v>
      </c>
      <c r="W84" s="592">
        <v>1.41</v>
      </c>
      <c r="X84" s="593">
        <f t="shared" ref="X84:X88" si="23">I84*W84</f>
        <v>10761.12</v>
      </c>
      <c r="Y84" s="401" t="s">
        <v>397</v>
      </c>
      <c r="Z84" s="607" t="s">
        <v>207</v>
      </c>
      <c r="AA84" s="1453" t="s">
        <v>128</v>
      </c>
      <c r="AB84" s="608"/>
      <c r="AC84" s="608"/>
      <c r="AD84" s="608"/>
      <c r="AE84" s="564" t="s">
        <v>80</v>
      </c>
      <c r="AF84" s="564"/>
      <c r="AG84" s="608">
        <f t="shared" si="22"/>
        <v>7632</v>
      </c>
      <c r="AH84" s="608"/>
      <c r="AI84" s="608"/>
      <c r="AJ84" s="608"/>
      <c r="AK84" s="609">
        <f t="shared" ref="AK84:AK86" si="24">AG84</f>
        <v>7632</v>
      </c>
      <c r="AL84" s="401"/>
      <c r="AM84" s="609"/>
      <c r="AN84" s="609"/>
      <c r="AO84" s="609">
        <f t="shared" si="17"/>
        <v>7632</v>
      </c>
      <c r="AP84" s="609"/>
      <c r="AQ84" s="609"/>
      <c r="AR84" s="609"/>
      <c r="AS84" s="609"/>
      <c r="AT84" s="633"/>
      <c r="AU84" s="633"/>
      <c r="AV84" s="633"/>
      <c r="AW84" s="633">
        <f>AG84/12</f>
        <v>636</v>
      </c>
      <c r="AX84" s="633"/>
      <c r="AY84" s="633"/>
      <c r="AZ84" s="633"/>
      <c r="BA84" s="633"/>
      <c r="BB84" s="633"/>
      <c r="BC84" s="633"/>
      <c r="BD84" s="633"/>
      <c r="BE84" s="633"/>
      <c r="BF84" s="633"/>
      <c r="BG84" s="633"/>
      <c r="BH84" s="633"/>
      <c r="BI84" s="633"/>
      <c r="BJ84" s="633"/>
      <c r="BK84" s="633"/>
      <c r="BL84" s="633"/>
      <c r="BM84" s="201">
        <f t="shared" si="19"/>
        <v>7632</v>
      </c>
      <c r="BN84" s="199"/>
      <c r="BO84" s="1473"/>
      <c r="BP84" s="1473"/>
      <c r="BQ84" s="199"/>
      <c r="BR84" s="199"/>
      <c r="BS84" s="199"/>
    </row>
    <row r="85" s="200" customFormat="1" ht="36" customHeight="1" spans="1:71">
      <c r="A85" s="533">
        <v>45218</v>
      </c>
      <c r="B85" s="527" t="s">
        <v>392</v>
      </c>
      <c r="C85" s="528" t="s">
        <v>117</v>
      </c>
      <c r="D85" s="534">
        <v>4500116297</v>
      </c>
      <c r="E85" s="530">
        <v>4500023316</v>
      </c>
      <c r="F85" s="534" t="s">
        <v>398</v>
      </c>
      <c r="G85" s="531" t="s">
        <v>207</v>
      </c>
      <c r="H85" s="532" t="s">
        <v>74</v>
      </c>
      <c r="I85" s="401">
        <v>7680</v>
      </c>
      <c r="J85" s="562">
        <v>0</v>
      </c>
      <c r="K85" s="531">
        <v>48</v>
      </c>
      <c r="L85" s="401">
        <f t="shared" si="20"/>
        <v>160</v>
      </c>
      <c r="M85" s="563">
        <v>45370</v>
      </c>
      <c r="N85" s="563">
        <v>45366</v>
      </c>
      <c r="O85" s="564"/>
      <c r="P85" s="1447" t="s">
        <v>92</v>
      </c>
      <c r="Q85" s="564" t="s">
        <v>394</v>
      </c>
      <c r="R85" s="564">
        <v>45301</v>
      </c>
      <c r="S85" s="564" t="s">
        <v>77</v>
      </c>
      <c r="T85" s="564" t="s">
        <v>77</v>
      </c>
      <c r="U85" s="530" t="s">
        <v>395</v>
      </c>
      <c r="V85" s="596" t="s">
        <v>396</v>
      </c>
      <c r="W85" s="592">
        <v>1.41</v>
      </c>
      <c r="X85" s="593">
        <f t="shared" si="23"/>
        <v>10828.8</v>
      </c>
      <c r="Y85" s="401" t="s">
        <v>399</v>
      </c>
      <c r="Z85" s="607" t="s">
        <v>207</v>
      </c>
      <c r="AA85" s="1453" t="s">
        <v>128</v>
      </c>
      <c r="AB85" s="608"/>
      <c r="AC85" s="608"/>
      <c r="AD85" s="608"/>
      <c r="AE85" s="564" t="s">
        <v>80</v>
      </c>
      <c r="AF85" s="564"/>
      <c r="AG85" s="608">
        <f t="shared" si="22"/>
        <v>7680</v>
      </c>
      <c r="AH85" s="608"/>
      <c r="AI85" s="608"/>
      <c r="AJ85" s="608"/>
      <c r="AK85" s="609">
        <f t="shared" si="24"/>
        <v>7680</v>
      </c>
      <c r="AL85" s="401"/>
      <c r="AM85" s="609"/>
      <c r="AN85" s="609"/>
      <c r="AO85" s="609">
        <f t="shared" si="17"/>
        <v>7680</v>
      </c>
      <c r="AP85" s="609"/>
      <c r="AQ85" s="609"/>
      <c r="AR85" s="609"/>
      <c r="AS85" s="609"/>
      <c r="AT85" s="633"/>
      <c r="AU85" s="633"/>
      <c r="AV85" s="633"/>
      <c r="AW85" s="633">
        <f>AG85/12</f>
        <v>640</v>
      </c>
      <c r="AX85" s="633"/>
      <c r="AY85" s="633"/>
      <c r="AZ85" s="633"/>
      <c r="BA85" s="633"/>
      <c r="BB85" s="633"/>
      <c r="BC85" s="633"/>
      <c r="BD85" s="633"/>
      <c r="BE85" s="633"/>
      <c r="BF85" s="633"/>
      <c r="BG85" s="633"/>
      <c r="BH85" s="633"/>
      <c r="BI85" s="633"/>
      <c r="BJ85" s="633"/>
      <c r="BK85" s="633"/>
      <c r="BL85" s="633"/>
      <c r="BM85" s="201">
        <f t="shared" si="19"/>
        <v>7680</v>
      </c>
      <c r="BN85" s="199"/>
      <c r="BO85" s="1473"/>
      <c r="BP85" s="1473"/>
      <c r="BQ85" s="199"/>
      <c r="BR85" s="199"/>
      <c r="BS85" s="199"/>
    </row>
    <row r="86" s="200" customFormat="1" ht="36" customHeight="1" spans="1:71">
      <c r="A86" s="533">
        <v>45184</v>
      </c>
      <c r="B86" s="527" t="s">
        <v>400</v>
      </c>
      <c r="C86" s="528" t="s">
        <v>117</v>
      </c>
      <c r="D86" s="534">
        <v>4500113337</v>
      </c>
      <c r="E86" s="1678" t="s">
        <v>401</v>
      </c>
      <c r="F86" s="534" t="s">
        <v>402</v>
      </c>
      <c r="G86" s="531" t="s">
        <v>403</v>
      </c>
      <c r="H86" s="532" t="s">
        <v>74</v>
      </c>
      <c r="I86" s="401">
        <v>1196</v>
      </c>
      <c r="J86" s="562">
        <v>0</v>
      </c>
      <c r="K86" s="531">
        <v>52</v>
      </c>
      <c r="L86" s="401">
        <f t="shared" si="20"/>
        <v>23</v>
      </c>
      <c r="M86" s="563">
        <v>45371</v>
      </c>
      <c r="N86" s="563">
        <v>45367</v>
      </c>
      <c r="O86" s="564"/>
      <c r="P86" s="1447" t="s">
        <v>92</v>
      </c>
      <c r="Q86" s="564" t="s">
        <v>404</v>
      </c>
      <c r="R86" s="564">
        <v>45184</v>
      </c>
      <c r="S86" s="564" t="s">
        <v>77</v>
      </c>
      <c r="T86" s="564">
        <v>45611</v>
      </c>
      <c r="U86" s="530" t="s">
        <v>405</v>
      </c>
      <c r="V86" s="596" t="s">
        <v>406</v>
      </c>
      <c r="W86" s="592">
        <v>1.643</v>
      </c>
      <c r="X86" s="593">
        <f t="shared" si="23"/>
        <v>1965.028</v>
      </c>
      <c r="Y86" s="401" t="s">
        <v>407</v>
      </c>
      <c r="Z86" s="607" t="s">
        <v>403</v>
      </c>
      <c r="AA86" s="1453" t="s">
        <v>128</v>
      </c>
      <c r="AB86" s="608"/>
      <c r="AC86" s="608"/>
      <c r="AD86" s="608"/>
      <c r="AE86" s="564" t="s">
        <v>80</v>
      </c>
      <c r="AF86" s="564"/>
      <c r="AG86" s="608">
        <f t="shared" si="22"/>
        <v>1196</v>
      </c>
      <c r="AH86" s="608"/>
      <c r="AI86" s="608"/>
      <c r="AJ86" s="608"/>
      <c r="AK86" s="609">
        <f t="shared" si="24"/>
        <v>1196</v>
      </c>
      <c r="AL86" s="609"/>
      <c r="AM86" s="609"/>
      <c r="AN86" s="609"/>
      <c r="AO86" s="609">
        <f t="shared" si="17"/>
        <v>1196</v>
      </c>
      <c r="AP86" s="609"/>
      <c r="AQ86" s="609"/>
      <c r="AR86" s="609"/>
      <c r="AS86" s="609"/>
      <c r="AT86" s="633"/>
      <c r="AU86" s="633"/>
      <c r="AV86" s="633"/>
      <c r="AW86" s="633"/>
      <c r="AX86" s="633"/>
      <c r="AY86" s="633">
        <f>AG86/13</f>
        <v>92</v>
      </c>
      <c r="AZ86" s="633"/>
      <c r="BA86" s="633"/>
      <c r="BB86" s="633"/>
      <c r="BC86" s="633"/>
      <c r="BD86" s="633"/>
      <c r="BE86" s="633"/>
      <c r="BF86" s="633"/>
      <c r="BG86" s="633"/>
      <c r="BH86" s="633"/>
      <c r="BI86" s="633"/>
      <c r="BJ86" s="633"/>
      <c r="BK86" s="633"/>
      <c r="BL86" s="633"/>
      <c r="BM86" s="201">
        <f t="shared" si="19"/>
        <v>1196</v>
      </c>
      <c r="BN86" s="199"/>
      <c r="BO86" s="1473"/>
      <c r="BP86" s="1473"/>
      <c r="BQ86" s="199"/>
      <c r="BR86" s="199"/>
      <c r="BS86" s="199"/>
    </row>
    <row r="87" s="200" customFormat="1" ht="36" customHeight="1" spans="1:71">
      <c r="A87" s="533">
        <v>45260</v>
      </c>
      <c r="B87" s="527" t="s">
        <v>250</v>
      </c>
      <c r="C87" s="528" t="s">
        <v>180</v>
      </c>
      <c r="D87" s="534">
        <v>4500119840</v>
      </c>
      <c r="E87" s="530">
        <v>5200002791</v>
      </c>
      <c r="F87" s="534" t="s">
        <v>408</v>
      </c>
      <c r="G87" s="531" t="s">
        <v>252</v>
      </c>
      <c r="H87" s="532" t="s">
        <v>74</v>
      </c>
      <c r="I87" s="401">
        <v>12012</v>
      </c>
      <c r="J87" s="562">
        <v>0</v>
      </c>
      <c r="K87" s="531">
        <v>21</v>
      </c>
      <c r="L87" s="401">
        <f t="shared" si="20"/>
        <v>572</v>
      </c>
      <c r="M87" s="563">
        <v>45371</v>
      </c>
      <c r="N87" s="563">
        <v>45367</v>
      </c>
      <c r="O87" s="564"/>
      <c r="P87" s="1447" t="s">
        <v>92</v>
      </c>
      <c r="Q87" s="564" t="s">
        <v>375</v>
      </c>
      <c r="R87" s="564">
        <v>45302</v>
      </c>
      <c r="S87" s="564" t="s">
        <v>77</v>
      </c>
      <c r="T87" s="564">
        <v>45313</v>
      </c>
      <c r="U87" s="530" t="s">
        <v>409</v>
      </c>
      <c r="V87" s="596" t="s">
        <v>410</v>
      </c>
      <c r="W87" s="592">
        <v>1.8</v>
      </c>
      <c r="X87" s="593">
        <f t="shared" si="23"/>
        <v>21621.6</v>
      </c>
      <c r="Y87" s="401" t="s">
        <v>411</v>
      </c>
      <c r="Z87" s="607" t="s">
        <v>257</v>
      </c>
      <c r="AA87" s="1453" t="s">
        <v>128</v>
      </c>
      <c r="AB87" s="608"/>
      <c r="AC87" s="608"/>
      <c r="AD87" s="608"/>
      <c r="AE87" s="564" t="s">
        <v>80</v>
      </c>
      <c r="AF87" s="564"/>
      <c r="AG87" s="608">
        <f t="shared" si="22"/>
        <v>12012</v>
      </c>
      <c r="AH87" s="608"/>
      <c r="AI87" s="608"/>
      <c r="AJ87" s="608"/>
      <c r="AK87" s="609"/>
      <c r="AL87" s="609">
        <f t="shared" ref="AL87:AL92" si="25">I87</f>
        <v>12012</v>
      </c>
      <c r="AM87" s="609"/>
      <c r="AN87" s="609"/>
      <c r="AO87" s="609">
        <f t="shared" si="17"/>
        <v>12012</v>
      </c>
      <c r="AP87" s="609"/>
      <c r="AQ87" s="609"/>
      <c r="AR87" s="609"/>
      <c r="AS87" s="609"/>
      <c r="AT87" s="633">
        <f t="shared" ref="AT87:AT92" si="26">I87/21</f>
        <v>572</v>
      </c>
      <c r="AU87" s="633"/>
      <c r="AV87" s="633"/>
      <c r="AW87" s="633"/>
      <c r="AX87" s="633"/>
      <c r="AY87" s="633"/>
      <c r="AZ87" s="633"/>
      <c r="BA87" s="633"/>
      <c r="BB87" s="633"/>
      <c r="BC87" s="633"/>
      <c r="BD87" s="633"/>
      <c r="BE87" s="633"/>
      <c r="BF87" s="633"/>
      <c r="BG87" s="633"/>
      <c r="BH87" s="633"/>
      <c r="BI87" s="633"/>
      <c r="BJ87" s="633"/>
      <c r="BK87" s="633"/>
      <c r="BL87" s="633"/>
      <c r="BM87" s="201">
        <f t="shared" si="19"/>
        <v>12012</v>
      </c>
      <c r="BN87" s="199"/>
      <c r="BO87" s="1473"/>
      <c r="BP87" s="1473"/>
      <c r="BQ87" s="199"/>
      <c r="BR87" s="199"/>
      <c r="BS87" s="199"/>
    </row>
    <row r="88" s="200" customFormat="1" ht="36" customHeight="1" spans="1:71">
      <c r="A88" s="533">
        <v>45295</v>
      </c>
      <c r="B88" s="527" t="s">
        <v>412</v>
      </c>
      <c r="C88" s="528" t="s">
        <v>190</v>
      </c>
      <c r="D88" s="534">
        <v>4500122597</v>
      </c>
      <c r="E88" s="530">
        <v>81193</v>
      </c>
      <c r="F88" s="534" t="s">
        <v>413</v>
      </c>
      <c r="G88" s="531" t="s">
        <v>96</v>
      </c>
      <c r="H88" s="532" t="s">
        <v>74</v>
      </c>
      <c r="I88" s="401">
        <v>1950</v>
      </c>
      <c r="J88" s="562">
        <v>0</v>
      </c>
      <c r="K88" s="531">
        <v>50</v>
      </c>
      <c r="L88" s="401">
        <f t="shared" si="20"/>
        <v>39</v>
      </c>
      <c r="M88" s="563">
        <v>45371</v>
      </c>
      <c r="N88" s="563">
        <v>45367</v>
      </c>
      <c r="O88" s="564"/>
      <c r="P88" s="1447" t="s">
        <v>92</v>
      </c>
      <c r="Q88" s="564" t="s">
        <v>305</v>
      </c>
      <c r="R88" s="564">
        <v>45309</v>
      </c>
      <c r="S88" s="564" t="s">
        <v>77</v>
      </c>
      <c r="T88" s="564">
        <v>45296</v>
      </c>
      <c r="U88" s="530" t="s">
        <v>414</v>
      </c>
      <c r="V88" s="596" t="s">
        <v>194</v>
      </c>
      <c r="W88" s="592">
        <v>1.57</v>
      </c>
      <c r="X88" s="593">
        <f t="shared" si="23"/>
        <v>3061.5</v>
      </c>
      <c r="Y88" s="401" t="s">
        <v>415</v>
      </c>
      <c r="Z88" s="607" t="s">
        <v>96</v>
      </c>
      <c r="AA88" s="1453" t="s">
        <v>128</v>
      </c>
      <c r="AB88" s="608"/>
      <c r="AC88" s="608"/>
      <c r="AD88" s="608"/>
      <c r="AE88" s="564" t="s">
        <v>80</v>
      </c>
      <c r="AF88" s="564"/>
      <c r="AG88" s="608">
        <f t="shared" si="22"/>
        <v>1950</v>
      </c>
      <c r="AH88" s="608"/>
      <c r="AI88" s="608"/>
      <c r="AJ88" s="608"/>
      <c r="AK88" s="609">
        <f>I88</f>
        <v>1950</v>
      </c>
      <c r="AL88" s="401"/>
      <c r="AM88" s="609"/>
      <c r="AN88" s="609"/>
      <c r="AO88" s="609">
        <f>I88</f>
        <v>1950</v>
      </c>
      <c r="AP88" s="609"/>
      <c r="AQ88" s="609"/>
      <c r="AR88" s="609"/>
      <c r="AS88" s="609"/>
      <c r="AT88" s="633"/>
      <c r="AU88" s="633"/>
      <c r="AV88" s="633"/>
      <c r="AW88" s="633"/>
      <c r="AX88" s="633"/>
      <c r="AY88" s="633"/>
      <c r="AZ88" s="633"/>
      <c r="BA88" s="633">
        <f>I88/25</f>
        <v>78</v>
      </c>
      <c r="BB88" s="401"/>
      <c r="BC88" s="401"/>
      <c r="BD88" s="633"/>
      <c r="BE88" s="633"/>
      <c r="BF88" s="633"/>
      <c r="BG88" s="633"/>
      <c r="BH88" s="633"/>
      <c r="BI88" s="633"/>
      <c r="BJ88" s="633"/>
      <c r="BK88" s="633"/>
      <c r="BL88" s="633"/>
      <c r="BM88" s="201">
        <f t="shared" si="19"/>
        <v>1950</v>
      </c>
      <c r="BN88" s="199"/>
      <c r="BO88" s="1473"/>
      <c r="BP88" s="1473"/>
      <c r="BQ88" s="199"/>
      <c r="BR88" s="199"/>
      <c r="BS88" s="199"/>
    </row>
    <row r="89" s="200" customFormat="1" ht="36" customHeight="1" spans="1:71">
      <c r="A89" s="533">
        <v>45295</v>
      </c>
      <c r="B89" s="527" t="s">
        <v>412</v>
      </c>
      <c r="C89" s="528" t="s">
        <v>190</v>
      </c>
      <c r="D89" s="534">
        <v>4500122597</v>
      </c>
      <c r="E89" s="530">
        <v>81193</v>
      </c>
      <c r="F89" s="534" t="s">
        <v>416</v>
      </c>
      <c r="G89" s="531" t="s">
        <v>386</v>
      </c>
      <c r="H89" s="532" t="s">
        <v>74</v>
      </c>
      <c r="I89" s="401">
        <v>6000</v>
      </c>
      <c r="J89" s="562">
        <v>0</v>
      </c>
      <c r="K89" s="531">
        <v>60</v>
      </c>
      <c r="L89" s="401">
        <f t="shared" si="20"/>
        <v>100</v>
      </c>
      <c r="M89" s="563">
        <v>45371</v>
      </c>
      <c r="N89" s="563">
        <v>45367</v>
      </c>
      <c r="O89" s="564"/>
      <c r="P89" s="1447" t="s">
        <v>92</v>
      </c>
      <c r="Q89" s="564" t="s">
        <v>305</v>
      </c>
      <c r="R89" s="564">
        <v>45309</v>
      </c>
      <c r="S89" s="564" t="s">
        <v>77</v>
      </c>
      <c r="T89" s="564">
        <v>45296</v>
      </c>
      <c r="U89" s="530" t="s">
        <v>417</v>
      </c>
      <c r="V89" s="596" t="s">
        <v>194</v>
      </c>
      <c r="W89" s="592">
        <v>87.05</v>
      </c>
      <c r="X89" s="593">
        <f>W89*L89</f>
        <v>8705</v>
      </c>
      <c r="Y89" s="401" t="s">
        <v>415</v>
      </c>
      <c r="Z89" s="607" t="s">
        <v>386</v>
      </c>
      <c r="AA89" s="1453" t="s">
        <v>128</v>
      </c>
      <c r="AB89" s="608"/>
      <c r="AC89" s="608"/>
      <c r="AD89" s="608"/>
      <c r="AE89" s="564" t="s">
        <v>80</v>
      </c>
      <c r="AF89" s="564"/>
      <c r="AG89" s="608">
        <f t="shared" si="22"/>
        <v>6000</v>
      </c>
      <c r="AH89" s="608"/>
      <c r="AI89" s="608"/>
      <c r="AJ89" s="608"/>
      <c r="AK89" s="609">
        <f>AG89</f>
        <v>6000</v>
      </c>
      <c r="AL89" s="401"/>
      <c r="AM89" s="609"/>
      <c r="AN89" s="609"/>
      <c r="AO89" s="609">
        <f t="shared" ref="AO89:AO94" si="27">AG89</f>
        <v>6000</v>
      </c>
      <c r="AP89" s="609"/>
      <c r="AQ89" s="609"/>
      <c r="AR89" s="609"/>
      <c r="AS89" s="609"/>
      <c r="AT89" s="633"/>
      <c r="AU89" s="633"/>
      <c r="AV89" s="633"/>
      <c r="AW89" s="633"/>
      <c r="AX89" s="633"/>
      <c r="AY89" s="633"/>
      <c r="AZ89" s="633"/>
      <c r="BA89" s="633"/>
      <c r="BB89" s="633"/>
      <c r="BC89" s="633"/>
      <c r="BD89" s="633">
        <f>I89/60</f>
        <v>100</v>
      </c>
      <c r="BE89" s="401"/>
      <c r="BF89" s="401"/>
      <c r="BG89" s="633"/>
      <c r="BH89" s="633"/>
      <c r="BI89" s="633"/>
      <c r="BJ89" s="633"/>
      <c r="BK89" s="633"/>
      <c r="BL89" s="633"/>
      <c r="BM89" s="201">
        <f t="shared" si="19"/>
        <v>6000</v>
      </c>
      <c r="BN89" s="199"/>
      <c r="BO89" s="1473"/>
      <c r="BP89" s="1473"/>
      <c r="BQ89" s="199"/>
      <c r="BR89" s="199"/>
      <c r="BS89" s="199"/>
    </row>
    <row r="90" s="200" customFormat="1" ht="36" customHeight="1" spans="1:71">
      <c r="A90" s="533">
        <v>45341</v>
      </c>
      <c r="B90" s="527" t="s">
        <v>250</v>
      </c>
      <c r="C90" s="528" t="s">
        <v>180</v>
      </c>
      <c r="D90" s="534">
        <v>4500124462</v>
      </c>
      <c r="E90" s="530">
        <v>5200003807</v>
      </c>
      <c r="F90" s="534" t="s">
        <v>418</v>
      </c>
      <c r="G90" s="531" t="s">
        <v>419</v>
      </c>
      <c r="H90" s="532" t="s">
        <v>74</v>
      </c>
      <c r="I90" s="511">
        <v>6000</v>
      </c>
      <c r="J90" s="562">
        <v>0</v>
      </c>
      <c r="K90" s="531">
        <v>30</v>
      </c>
      <c r="L90" s="401">
        <f t="shared" si="20"/>
        <v>200</v>
      </c>
      <c r="M90" s="563">
        <v>45371</v>
      </c>
      <c r="N90" s="563">
        <v>45367</v>
      </c>
      <c r="O90" s="564"/>
      <c r="P90" s="1447" t="s">
        <v>92</v>
      </c>
      <c r="Q90" s="564" t="s">
        <v>420</v>
      </c>
      <c r="R90" s="564">
        <v>45328</v>
      </c>
      <c r="S90" s="564" t="s">
        <v>77</v>
      </c>
      <c r="T90" s="564">
        <v>45344</v>
      </c>
      <c r="U90" s="530" t="s">
        <v>421</v>
      </c>
      <c r="V90" s="596" t="s">
        <v>410</v>
      </c>
      <c r="W90" s="592">
        <v>53.489</v>
      </c>
      <c r="X90" s="593">
        <f>W90*L90</f>
        <v>10697.8</v>
      </c>
      <c r="Y90" s="401" t="s">
        <v>422</v>
      </c>
      <c r="Z90" s="607" t="s">
        <v>423</v>
      </c>
      <c r="AA90" s="1453" t="s">
        <v>128</v>
      </c>
      <c r="AB90" s="608"/>
      <c r="AC90" s="608"/>
      <c r="AD90" s="608"/>
      <c r="AE90" s="564" t="s">
        <v>80</v>
      </c>
      <c r="AF90" s="564"/>
      <c r="AG90" s="608">
        <f t="shared" si="22"/>
        <v>6000</v>
      </c>
      <c r="AH90" s="608"/>
      <c r="AI90" s="608"/>
      <c r="AJ90" s="608"/>
      <c r="AK90" s="609"/>
      <c r="AL90" s="401">
        <f t="shared" si="25"/>
        <v>6000</v>
      </c>
      <c r="AM90" s="609"/>
      <c r="AN90" s="609"/>
      <c r="AO90" s="609">
        <f t="shared" si="27"/>
        <v>6000</v>
      </c>
      <c r="AP90" s="609"/>
      <c r="AQ90" s="609"/>
      <c r="AR90" s="609"/>
      <c r="AS90" s="609"/>
      <c r="AT90" s="633"/>
      <c r="AU90" s="633"/>
      <c r="AV90" s="633"/>
      <c r="AW90" s="633"/>
      <c r="AX90" s="633"/>
      <c r="AY90" s="633"/>
      <c r="AZ90" s="633"/>
      <c r="BA90" s="633"/>
      <c r="BB90" s="633"/>
      <c r="BC90" s="633"/>
      <c r="BD90" s="633"/>
      <c r="BE90" s="633"/>
      <c r="BF90" s="633"/>
      <c r="BG90" s="633">
        <f>I90/30</f>
        <v>200</v>
      </c>
      <c r="BH90" s="633">
        <f>BG90</f>
        <v>200</v>
      </c>
      <c r="BI90" s="633"/>
      <c r="BJ90" s="633"/>
      <c r="BK90" s="633"/>
      <c r="BL90" s="633"/>
      <c r="BM90" s="201">
        <f t="shared" si="19"/>
        <v>6000</v>
      </c>
      <c r="BN90" s="199"/>
      <c r="BO90" s="1473"/>
      <c r="BP90" s="1473"/>
      <c r="BQ90" s="199"/>
      <c r="BR90" s="199"/>
      <c r="BS90" s="199"/>
    </row>
    <row r="91" s="200" customFormat="1" ht="36" customHeight="1" spans="1:71">
      <c r="A91" s="533">
        <v>45362</v>
      </c>
      <c r="B91" s="527" t="s">
        <v>350</v>
      </c>
      <c r="C91" s="528" t="s">
        <v>351</v>
      </c>
      <c r="D91" s="534">
        <v>4500126476</v>
      </c>
      <c r="E91" s="530">
        <v>2401525626</v>
      </c>
      <c r="F91" s="534" t="s">
        <v>424</v>
      </c>
      <c r="G91" s="531" t="s">
        <v>120</v>
      </c>
      <c r="H91" s="532" t="s">
        <v>74</v>
      </c>
      <c r="I91" s="401">
        <v>546</v>
      </c>
      <c r="J91" s="562">
        <v>0</v>
      </c>
      <c r="K91" s="531">
        <v>21</v>
      </c>
      <c r="L91" s="401">
        <f t="shared" si="20"/>
        <v>26</v>
      </c>
      <c r="M91" s="563">
        <v>45411</v>
      </c>
      <c r="N91" s="563">
        <v>45407</v>
      </c>
      <c r="O91" s="1474" t="s">
        <v>425</v>
      </c>
      <c r="P91" s="564" t="s">
        <v>426</v>
      </c>
      <c r="Q91" s="564" t="s">
        <v>427</v>
      </c>
      <c r="R91" s="564">
        <v>45362</v>
      </c>
      <c r="S91" s="564" t="s">
        <v>77</v>
      </c>
      <c r="T91" s="564">
        <v>45344</v>
      </c>
      <c r="U91" s="530" t="s">
        <v>428</v>
      </c>
      <c r="V91" s="596" t="s">
        <v>355</v>
      </c>
      <c r="W91" s="592">
        <v>1.4397</v>
      </c>
      <c r="X91" s="593">
        <f t="shared" ref="X91:X94" si="28">I91*W91</f>
        <v>786.0762</v>
      </c>
      <c r="Y91" s="401" t="s">
        <v>429</v>
      </c>
      <c r="Z91" s="607" t="s">
        <v>257</v>
      </c>
      <c r="AA91" s="1453" t="s">
        <v>128</v>
      </c>
      <c r="AB91" s="608"/>
      <c r="AC91" s="608"/>
      <c r="AD91" s="608"/>
      <c r="AE91" s="564" t="s">
        <v>80</v>
      </c>
      <c r="AF91" s="564"/>
      <c r="AG91" s="608">
        <f t="shared" si="22"/>
        <v>546</v>
      </c>
      <c r="AH91" s="608"/>
      <c r="AI91" s="608"/>
      <c r="AJ91" s="608"/>
      <c r="AK91" s="609"/>
      <c r="AL91" s="401">
        <f t="shared" si="25"/>
        <v>546</v>
      </c>
      <c r="AM91" s="609"/>
      <c r="AN91" s="609"/>
      <c r="AO91" s="609">
        <f t="shared" si="27"/>
        <v>546</v>
      </c>
      <c r="AP91" s="609"/>
      <c r="AQ91" s="609"/>
      <c r="AR91" s="609"/>
      <c r="AS91" s="609"/>
      <c r="AT91" s="633">
        <f t="shared" si="26"/>
        <v>26</v>
      </c>
      <c r="AU91" s="633"/>
      <c r="AV91" s="633"/>
      <c r="AW91" s="633"/>
      <c r="AX91" s="633"/>
      <c r="AY91" s="633"/>
      <c r="AZ91" s="633"/>
      <c r="BA91" s="633"/>
      <c r="BB91" s="633"/>
      <c r="BC91" s="633"/>
      <c r="BD91" s="633"/>
      <c r="BE91" s="633"/>
      <c r="BF91" s="633"/>
      <c r="BG91" s="633"/>
      <c r="BH91" s="633"/>
      <c r="BI91" s="633"/>
      <c r="BJ91" s="633"/>
      <c r="BK91" s="633"/>
      <c r="BL91" s="633"/>
      <c r="BM91" s="201">
        <f t="shared" si="19"/>
        <v>546</v>
      </c>
      <c r="BN91" s="199"/>
      <c r="BO91" s="1473"/>
      <c r="BP91" s="1473"/>
      <c r="BQ91" s="199"/>
      <c r="BR91" s="199"/>
      <c r="BS91" s="199"/>
    </row>
    <row r="92" s="200" customFormat="1" ht="36" customHeight="1" spans="1:71">
      <c r="A92" s="533">
        <v>45362</v>
      </c>
      <c r="B92" s="527" t="s">
        <v>350</v>
      </c>
      <c r="C92" s="528" t="s">
        <v>351</v>
      </c>
      <c r="D92" s="534">
        <v>4500126476</v>
      </c>
      <c r="E92" s="530">
        <v>2401525626</v>
      </c>
      <c r="F92" s="534" t="s">
        <v>430</v>
      </c>
      <c r="G92" s="531" t="s">
        <v>120</v>
      </c>
      <c r="H92" s="532" t="s">
        <v>74</v>
      </c>
      <c r="I92" s="401">
        <v>1785</v>
      </c>
      <c r="J92" s="562">
        <v>0</v>
      </c>
      <c r="K92" s="531">
        <v>21</v>
      </c>
      <c r="L92" s="401">
        <f t="shared" si="20"/>
        <v>85</v>
      </c>
      <c r="M92" s="563">
        <v>45411</v>
      </c>
      <c r="N92" s="563">
        <v>45407</v>
      </c>
      <c r="O92" s="1474" t="s">
        <v>425</v>
      </c>
      <c r="P92" s="564" t="s">
        <v>426</v>
      </c>
      <c r="Q92" s="564" t="s">
        <v>427</v>
      </c>
      <c r="R92" s="564">
        <v>45362</v>
      </c>
      <c r="S92" s="564" t="s">
        <v>77</v>
      </c>
      <c r="T92" s="564">
        <v>45344</v>
      </c>
      <c r="U92" s="530" t="s">
        <v>428</v>
      </c>
      <c r="V92" s="596" t="s">
        <v>355</v>
      </c>
      <c r="W92" s="592">
        <v>1.4397</v>
      </c>
      <c r="X92" s="593">
        <f t="shared" si="28"/>
        <v>2569.8645</v>
      </c>
      <c r="Y92" s="401" t="s">
        <v>429</v>
      </c>
      <c r="Z92" s="607" t="s">
        <v>257</v>
      </c>
      <c r="AA92" s="1453" t="s">
        <v>128</v>
      </c>
      <c r="AB92" s="608"/>
      <c r="AC92" s="608"/>
      <c r="AD92" s="608"/>
      <c r="AE92" s="564" t="s">
        <v>80</v>
      </c>
      <c r="AF92" s="564"/>
      <c r="AG92" s="608">
        <f t="shared" si="22"/>
        <v>1785</v>
      </c>
      <c r="AH92" s="608"/>
      <c r="AI92" s="608"/>
      <c r="AJ92" s="608"/>
      <c r="AK92" s="609"/>
      <c r="AL92" s="401">
        <f t="shared" si="25"/>
        <v>1785</v>
      </c>
      <c r="AM92" s="609"/>
      <c r="AN92" s="609"/>
      <c r="AO92" s="609">
        <f t="shared" si="27"/>
        <v>1785</v>
      </c>
      <c r="AP92" s="609"/>
      <c r="AQ92" s="609"/>
      <c r="AR92" s="609"/>
      <c r="AS92" s="609"/>
      <c r="AT92" s="633">
        <f t="shared" si="26"/>
        <v>85</v>
      </c>
      <c r="AU92" s="633"/>
      <c r="AV92" s="633"/>
      <c r="AW92" s="633"/>
      <c r="AX92" s="633"/>
      <c r="AY92" s="633"/>
      <c r="AZ92" s="633"/>
      <c r="BA92" s="633"/>
      <c r="BB92" s="633"/>
      <c r="BC92" s="633"/>
      <c r="BD92" s="633"/>
      <c r="BE92" s="633"/>
      <c r="BF92" s="633"/>
      <c r="BG92" s="633"/>
      <c r="BH92" s="633"/>
      <c r="BI92" s="633"/>
      <c r="BJ92" s="633"/>
      <c r="BK92" s="633"/>
      <c r="BL92" s="633"/>
      <c r="BM92" s="201">
        <f t="shared" si="19"/>
        <v>1785</v>
      </c>
      <c r="BN92" s="199"/>
      <c r="BO92" s="1473"/>
      <c r="BP92" s="1473"/>
      <c r="BQ92" s="199"/>
      <c r="BR92" s="199"/>
      <c r="BS92" s="199"/>
    </row>
    <row r="93" s="200" customFormat="1" ht="36" customHeight="1" spans="1:71">
      <c r="A93" s="533">
        <v>45302</v>
      </c>
      <c r="B93" s="527" t="s">
        <v>116</v>
      </c>
      <c r="C93" s="528" t="s">
        <v>117</v>
      </c>
      <c r="D93" s="534">
        <v>4500123068</v>
      </c>
      <c r="E93" s="530" t="s">
        <v>431</v>
      </c>
      <c r="F93" s="534" t="s">
        <v>432</v>
      </c>
      <c r="G93" s="531" t="s">
        <v>120</v>
      </c>
      <c r="H93" s="532" t="s">
        <v>74</v>
      </c>
      <c r="I93" s="401">
        <v>9996</v>
      </c>
      <c r="J93" s="562">
        <v>0</v>
      </c>
      <c r="K93" s="531">
        <v>21</v>
      </c>
      <c r="L93" s="401">
        <f t="shared" si="20"/>
        <v>476</v>
      </c>
      <c r="M93" s="563">
        <v>45370</v>
      </c>
      <c r="N93" s="563">
        <v>45366</v>
      </c>
      <c r="O93" s="564"/>
      <c r="P93" s="564" t="s">
        <v>92</v>
      </c>
      <c r="Q93" s="564" t="s">
        <v>348</v>
      </c>
      <c r="R93" s="564">
        <v>45310</v>
      </c>
      <c r="S93" s="564" t="s">
        <v>123</v>
      </c>
      <c r="T93" s="564">
        <v>45322</v>
      </c>
      <c r="U93" s="530" t="s">
        <v>200</v>
      </c>
      <c r="V93" s="596" t="s">
        <v>126</v>
      </c>
      <c r="W93" s="592">
        <v>1.75</v>
      </c>
      <c r="X93" s="593">
        <f t="shared" si="28"/>
        <v>17493</v>
      </c>
      <c r="Y93" s="401" t="s">
        <v>433</v>
      </c>
      <c r="Z93" s="607" t="s">
        <v>120</v>
      </c>
      <c r="AA93" s="1453" t="s">
        <v>128</v>
      </c>
      <c r="AB93" s="608"/>
      <c r="AC93" s="608"/>
      <c r="AD93" s="608"/>
      <c r="AE93" s="564" t="s">
        <v>80</v>
      </c>
      <c r="AF93" s="564"/>
      <c r="AG93" s="608">
        <f t="shared" si="22"/>
        <v>9996</v>
      </c>
      <c r="AH93" s="608"/>
      <c r="AI93" s="608"/>
      <c r="AJ93" s="608"/>
      <c r="AK93" s="609">
        <f t="shared" ref="AK93:AK115" si="29">AG93</f>
        <v>9996</v>
      </c>
      <c r="AL93" s="401"/>
      <c r="AM93" s="609"/>
      <c r="AN93" s="609"/>
      <c r="AO93" s="609">
        <f t="shared" si="27"/>
        <v>9996</v>
      </c>
      <c r="AP93" s="609"/>
      <c r="AQ93" s="609"/>
      <c r="AR93" s="609"/>
      <c r="AS93" s="609">
        <f>I93/21</f>
        <v>476</v>
      </c>
      <c r="AT93" s="633"/>
      <c r="AU93" s="633"/>
      <c r="AV93" s="633"/>
      <c r="AW93" s="633"/>
      <c r="AX93" s="633"/>
      <c r="AY93" s="633"/>
      <c r="AZ93" s="633"/>
      <c r="BA93" s="633"/>
      <c r="BB93" s="633"/>
      <c r="BC93" s="633"/>
      <c r="BD93" s="633"/>
      <c r="BE93" s="633"/>
      <c r="BF93" s="633"/>
      <c r="BG93" s="633"/>
      <c r="BH93" s="633"/>
      <c r="BI93" s="633"/>
      <c r="BJ93" s="633"/>
      <c r="BK93" s="633"/>
      <c r="BL93" s="633"/>
      <c r="BM93" s="201">
        <f t="shared" si="19"/>
        <v>9996</v>
      </c>
      <c r="BN93" s="199"/>
      <c r="BO93" s="1473"/>
      <c r="BP93" s="1473"/>
      <c r="BQ93" s="199"/>
      <c r="BR93" s="199"/>
      <c r="BS93" s="199"/>
    </row>
    <row r="94" s="200" customFormat="1" ht="36" customHeight="1" spans="1:71">
      <c r="A94" s="533">
        <v>45306</v>
      </c>
      <c r="B94" s="527" t="s">
        <v>434</v>
      </c>
      <c r="C94" s="528" t="s">
        <v>435</v>
      </c>
      <c r="D94" s="534">
        <v>4500123217</v>
      </c>
      <c r="E94" s="530">
        <v>7322345</v>
      </c>
      <c r="F94" s="534" t="s">
        <v>436</v>
      </c>
      <c r="G94" s="531" t="s">
        <v>73</v>
      </c>
      <c r="H94" s="532" t="s">
        <v>74</v>
      </c>
      <c r="I94" s="401">
        <v>600</v>
      </c>
      <c r="J94" s="562">
        <v>0</v>
      </c>
      <c r="K94" s="531">
        <v>24</v>
      </c>
      <c r="L94" s="401">
        <f t="shared" si="20"/>
        <v>25</v>
      </c>
      <c r="M94" s="563">
        <v>45373</v>
      </c>
      <c r="N94" s="563">
        <v>45369</v>
      </c>
      <c r="O94" s="564"/>
      <c r="P94" s="564" t="s">
        <v>92</v>
      </c>
      <c r="Q94" s="564" t="s">
        <v>420</v>
      </c>
      <c r="R94" s="564">
        <v>45306</v>
      </c>
      <c r="S94" s="564" t="s">
        <v>77</v>
      </c>
      <c r="T94" s="564">
        <v>45321</v>
      </c>
      <c r="U94" s="530" t="s">
        <v>437</v>
      </c>
      <c r="V94" s="596" t="s">
        <v>389</v>
      </c>
      <c r="W94" s="592">
        <v>1.19</v>
      </c>
      <c r="X94" s="593">
        <f t="shared" si="28"/>
        <v>714</v>
      </c>
      <c r="Y94" s="401" t="s">
        <v>438</v>
      </c>
      <c r="Z94" s="607" t="s">
        <v>188</v>
      </c>
      <c r="AA94" s="1453" t="s">
        <v>128</v>
      </c>
      <c r="AB94" s="608"/>
      <c r="AC94" s="608"/>
      <c r="AD94" s="608"/>
      <c r="AE94" s="564" t="s">
        <v>80</v>
      </c>
      <c r="AF94" s="564"/>
      <c r="AG94" s="608">
        <f t="shared" si="22"/>
        <v>600</v>
      </c>
      <c r="AH94" s="608"/>
      <c r="AI94" s="608"/>
      <c r="AJ94" s="608"/>
      <c r="AK94" s="609"/>
      <c r="AL94" s="401">
        <f>AG94</f>
        <v>600</v>
      </c>
      <c r="AM94" s="609"/>
      <c r="AN94" s="609"/>
      <c r="AO94" s="609">
        <f t="shared" si="27"/>
        <v>600</v>
      </c>
      <c r="AP94" s="609"/>
      <c r="AQ94" s="609"/>
      <c r="AR94" s="609"/>
      <c r="AS94" s="609"/>
      <c r="AT94" s="633"/>
      <c r="AU94" s="633"/>
      <c r="AV94" s="633"/>
      <c r="AW94" s="633"/>
      <c r="AX94" s="633"/>
      <c r="AY94" s="633"/>
      <c r="AZ94" s="633"/>
      <c r="BA94" s="633"/>
      <c r="BB94" s="633"/>
      <c r="BC94" s="633"/>
      <c r="BD94" s="633"/>
      <c r="BE94" s="633"/>
      <c r="BF94" s="633"/>
      <c r="BG94" s="633"/>
      <c r="BH94" s="633"/>
      <c r="BI94" s="633"/>
      <c r="BJ94" s="633"/>
      <c r="BK94" s="633"/>
      <c r="BL94" s="633"/>
      <c r="BM94" s="201">
        <f t="shared" si="19"/>
        <v>600</v>
      </c>
      <c r="BN94" s="199"/>
      <c r="BO94" s="1473"/>
      <c r="BP94" s="1473"/>
      <c r="BQ94" s="199"/>
      <c r="BR94" s="199"/>
      <c r="BS94" s="199"/>
    </row>
    <row r="95" s="3" customFormat="1" ht="36" customHeight="1" spans="1:71">
      <c r="A95" s="74">
        <v>45348</v>
      </c>
      <c r="B95" s="75" t="s">
        <v>70</v>
      </c>
      <c r="C95" s="76" t="s">
        <v>71</v>
      </c>
      <c r="D95" s="77" t="s">
        <v>439</v>
      </c>
      <c r="E95" s="114"/>
      <c r="F95" s="77"/>
      <c r="G95" s="23" t="s">
        <v>96</v>
      </c>
      <c r="H95" s="24" t="s">
        <v>74</v>
      </c>
      <c r="I95" s="88" t="s">
        <v>440</v>
      </c>
      <c r="J95" s="89">
        <v>0</v>
      </c>
      <c r="K95" s="23">
        <v>50</v>
      </c>
      <c r="L95" s="88" t="e">
        <f t="shared" si="20"/>
        <v>#VALUE!</v>
      </c>
      <c r="M95" s="90">
        <v>45357</v>
      </c>
      <c r="N95" s="90">
        <v>45353</v>
      </c>
      <c r="O95" s="91"/>
      <c r="P95" s="91"/>
      <c r="Q95" s="91"/>
      <c r="R95" s="91" t="s">
        <v>76</v>
      </c>
      <c r="S95" s="91" t="s">
        <v>77</v>
      </c>
      <c r="T95" s="91" t="s">
        <v>77</v>
      </c>
      <c r="U95" s="114" t="s">
        <v>441</v>
      </c>
      <c r="V95" s="139"/>
      <c r="W95" s="116"/>
      <c r="X95" s="117"/>
      <c r="Y95" s="88" t="s">
        <v>442</v>
      </c>
      <c r="Z95" s="470" t="s">
        <v>443</v>
      </c>
      <c r="AA95" s="154"/>
      <c r="AB95" s="155"/>
      <c r="AC95" s="155"/>
      <c r="AD95" s="155"/>
      <c r="AE95" s="91" t="s">
        <v>80</v>
      </c>
      <c r="AF95" s="91"/>
      <c r="AG95" s="155">
        <f>30*25</f>
        <v>750</v>
      </c>
      <c r="AH95" s="155"/>
      <c r="AI95" s="155"/>
      <c r="AJ95" s="155"/>
      <c r="AK95" s="175"/>
      <c r="AL95" s="175"/>
      <c r="AM95" s="1458"/>
      <c r="AN95" s="1458"/>
      <c r="AO95" s="175"/>
      <c r="AP95" s="175"/>
      <c r="AQ95" s="175"/>
      <c r="AR95" s="175"/>
      <c r="AS95" s="175"/>
      <c r="AT95" s="181"/>
      <c r="AU95" s="181"/>
      <c r="AV95" s="181"/>
      <c r="AW95" s="181"/>
      <c r="AX95" s="181"/>
      <c r="AY95" s="181"/>
      <c r="AZ95" s="181"/>
      <c r="BA95" s="181">
        <v>30</v>
      </c>
      <c r="BB95" s="181"/>
      <c r="BC95" s="181"/>
      <c r="BD95" s="181"/>
      <c r="BE95" s="181"/>
      <c r="BF95" s="181"/>
      <c r="BG95" s="181"/>
      <c r="BH95" s="181"/>
      <c r="BI95" s="181"/>
      <c r="BJ95" s="181"/>
      <c r="BK95" s="181"/>
      <c r="BL95" s="181"/>
      <c r="BM95" s="201">
        <f t="shared" si="19"/>
        <v>750</v>
      </c>
      <c r="BN95" s="199"/>
      <c r="BO95" s="196"/>
      <c r="BP95" s="198"/>
      <c r="BQ95" s="199"/>
      <c r="BR95" s="199"/>
      <c r="BS95" s="199"/>
    </row>
    <row r="96" s="200" customFormat="1" ht="36" customHeight="1" spans="1:68">
      <c r="A96" s="533">
        <v>45323</v>
      </c>
      <c r="B96" s="527" t="s">
        <v>70</v>
      </c>
      <c r="C96" s="528" t="s">
        <v>71</v>
      </c>
      <c r="D96" s="534" t="s">
        <v>444</v>
      </c>
      <c r="E96" s="530"/>
      <c r="F96" s="534"/>
      <c r="G96" s="531" t="s">
        <v>386</v>
      </c>
      <c r="H96" s="532" t="s">
        <v>74</v>
      </c>
      <c r="I96" s="401">
        <v>480</v>
      </c>
      <c r="J96" s="562">
        <v>0</v>
      </c>
      <c r="K96" s="531">
        <v>60</v>
      </c>
      <c r="L96" s="401">
        <f t="shared" si="20"/>
        <v>8</v>
      </c>
      <c r="M96" s="563">
        <v>45359</v>
      </c>
      <c r="N96" s="563">
        <v>45355</v>
      </c>
      <c r="O96" s="564"/>
      <c r="P96" s="564" t="s">
        <v>92</v>
      </c>
      <c r="Q96" s="564" t="s">
        <v>445</v>
      </c>
      <c r="R96" s="564" t="s">
        <v>76</v>
      </c>
      <c r="S96" s="564" t="s">
        <v>77</v>
      </c>
      <c r="T96" s="564" t="s">
        <v>77</v>
      </c>
      <c r="U96" s="530" t="s">
        <v>446</v>
      </c>
      <c r="V96" s="596"/>
      <c r="W96" s="592"/>
      <c r="X96" s="593"/>
      <c r="Y96" s="401" t="s">
        <v>447</v>
      </c>
      <c r="Z96" s="607" t="s">
        <v>386</v>
      </c>
      <c r="AA96" s="1453" t="s">
        <v>128</v>
      </c>
      <c r="AB96" s="608"/>
      <c r="AC96" s="608"/>
      <c r="AD96" s="608"/>
      <c r="AE96" s="564" t="s">
        <v>80</v>
      </c>
      <c r="AF96" s="564"/>
      <c r="AG96" s="608">
        <f t="shared" ref="AG96:AG145" si="30">I96</f>
        <v>480</v>
      </c>
      <c r="AH96" s="608"/>
      <c r="AI96" s="608"/>
      <c r="AJ96" s="608"/>
      <c r="AK96" s="609">
        <f t="shared" si="29"/>
        <v>480</v>
      </c>
      <c r="AL96" s="609"/>
      <c r="AM96" s="609"/>
      <c r="AN96" s="609"/>
      <c r="AO96" s="609">
        <f t="shared" ref="AO96:AO145" si="31">AG96</f>
        <v>480</v>
      </c>
      <c r="AP96" s="609"/>
      <c r="AQ96" s="609"/>
      <c r="AR96" s="609"/>
      <c r="AS96" s="609"/>
      <c r="AT96" s="633"/>
      <c r="AU96" s="633"/>
      <c r="AV96" s="633"/>
      <c r="AW96" s="633"/>
      <c r="AX96" s="633"/>
      <c r="AY96" s="633"/>
      <c r="AZ96" s="633"/>
      <c r="BA96" s="633"/>
      <c r="BB96" s="633"/>
      <c r="BC96" s="633"/>
      <c r="BD96" s="633">
        <f>I96/60</f>
        <v>8</v>
      </c>
      <c r="BE96" s="401"/>
      <c r="BF96" s="401"/>
      <c r="BG96" s="633"/>
      <c r="BH96" s="633"/>
      <c r="BI96" s="633"/>
      <c r="BJ96" s="633"/>
      <c r="BK96" s="633"/>
      <c r="BL96" s="633"/>
      <c r="BM96" s="401">
        <f t="shared" si="19"/>
        <v>480</v>
      </c>
      <c r="BO96" s="1473"/>
      <c r="BP96" s="1473"/>
    </row>
    <row r="97" s="200" customFormat="1" ht="36" customHeight="1" spans="1:68">
      <c r="A97" s="533">
        <v>45323</v>
      </c>
      <c r="B97" s="527" t="s">
        <v>70</v>
      </c>
      <c r="C97" s="528" t="s">
        <v>71</v>
      </c>
      <c r="D97" s="534" t="s">
        <v>444</v>
      </c>
      <c r="E97" s="530"/>
      <c r="F97" s="534"/>
      <c r="G97" s="531" t="s">
        <v>107</v>
      </c>
      <c r="H97" s="532" t="s">
        <v>74</v>
      </c>
      <c r="I97" s="511">
        <v>240</v>
      </c>
      <c r="J97" s="562">
        <v>0</v>
      </c>
      <c r="K97" s="531">
        <v>30</v>
      </c>
      <c r="L97" s="401">
        <f t="shared" si="20"/>
        <v>8</v>
      </c>
      <c r="M97" s="563">
        <v>45359</v>
      </c>
      <c r="N97" s="563">
        <v>45355</v>
      </c>
      <c r="O97" s="564"/>
      <c r="P97" s="564" t="s">
        <v>92</v>
      </c>
      <c r="Q97" s="564" t="s">
        <v>445</v>
      </c>
      <c r="R97" s="564" t="s">
        <v>76</v>
      </c>
      <c r="S97" s="564" t="s">
        <v>77</v>
      </c>
      <c r="T97" s="564" t="s">
        <v>77</v>
      </c>
      <c r="U97" s="530" t="s">
        <v>446</v>
      </c>
      <c r="V97" s="596"/>
      <c r="W97" s="592"/>
      <c r="X97" s="593"/>
      <c r="Y97" s="401" t="s">
        <v>447</v>
      </c>
      <c r="Z97" s="607" t="s">
        <v>448</v>
      </c>
      <c r="AA97" s="1453" t="s">
        <v>128</v>
      </c>
      <c r="AB97" s="608"/>
      <c r="AC97" s="608"/>
      <c r="AD97" s="608"/>
      <c r="AE97" s="564" t="s">
        <v>80</v>
      </c>
      <c r="AF97" s="564"/>
      <c r="AG97" s="608">
        <f t="shared" si="30"/>
        <v>240</v>
      </c>
      <c r="AH97" s="608"/>
      <c r="AI97" s="608"/>
      <c r="AJ97" s="608"/>
      <c r="AK97" s="609">
        <f t="shared" si="29"/>
        <v>240</v>
      </c>
      <c r="AL97" s="609"/>
      <c r="AM97" s="609"/>
      <c r="AN97" s="609"/>
      <c r="AO97" s="609">
        <f t="shared" si="31"/>
        <v>240</v>
      </c>
      <c r="AP97" s="609"/>
      <c r="AQ97" s="609"/>
      <c r="AR97" s="609"/>
      <c r="AS97" s="609"/>
      <c r="AT97" s="633"/>
      <c r="AU97" s="633"/>
      <c r="AV97" s="633"/>
      <c r="AW97" s="633"/>
      <c r="AX97" s="633"/>
      <c r="AY97" s="633"/>
      <c r="AZ97" s="633"/>
      <c r="BA97" s="633"/>
      <c r="BB97" s="633"/>
      <c r="BC97" s="633"/>
      <c r="BD97" s="633"/>
      <c r="BE97" s="633"/>
      <c r="BF97" s="633"/>
      <c r="BG97" s="633">
        <f>I97/30</f>
        <v>8</v>
      </c>
      <c r="BH97" s="633">
        <f>BG97</f>
        <v>8</v>
      </c>
      <c r="BI97" s="633"/>
      <c r="BJ97" s="633"/>
      <c r="BK97" s="633"/>
      <c r="BL97" s="633"/>
      <c r="BM97" s="401">
        <f t="shared" si="19"/>
        <v>240</v>
      </c>
      <c r="BO97" s="1473"/>
      <c r="BP97" s="1473"/>
    </row>
    <row r="98" s="200" customFormat="1" ht="36" customHeight="1" spans="1:71">
      <c r="A98" s="533">
        <v>45222</v>
      </c>
      <c r="B98" s="527" t="s">
        <v>449</v>
      </c>
      <c r="C98" s="528" t="s">
        <v>213</v>
      </c>
      <c r="D98" s="534">
        <v>4500116507</v>
      </c>
      <c r="E98" s="530" t="s">
        <v>450</v>
      </c>
      <c r="F98" s="534" t="s">
        <v>451</v>
      </c>
      <c r="G98" s="531" t="s">
        <v>73</v>
      </c>
      <c r="H98" s="532" t="s">
        <v>74</v>
      </c>
      <c r="I98" s="401">
        <v>1128</v>
      </c>
      <c r="J98" s="562">
        <v>0</v>
      </c>
      <c r="K98" s="531">
        <v>24</v>
      </c>
      <c r="L98" s="401">
        <f t="shared" si="20"/>
        <v>47</v>
      </c>
      <c r="M98" s="563">
        <v>45366</v>
      </c>
      <c r="N98" s="563">
        <v>45362</v>
      </c>
      <c r="O98" s="564"/>
      <c r="P98" s="564" t="s">
        <v>92</v>
      </c>
      <c r="Q98" s="564" t="s">
        <v>452</v>
      </c>
      <c r="R98" s="564" t="s">
        <v>183</v>
      </c>
      <c r="S98" s="564" t="s">
        <v>123</v>
      </c>
      <c r="T98" s="564" t="s">
        <v>184</v>
      </c>
      <c r="U98" s="530" t="s">
        <v>453</v>
      </c>
      <c r="V98" s="596" t="s">
        <v>186</v>
      </c>
      <c r="W98" s="592">
        <v>1.19</v>
      </c>
      <c r="X98" s="593">
        <f t="shared" ref="X98:X123" si="32">I98*W98</f>
        <v>1342.32</v>
      </c>
      <c r="Y98" s="401" t="s">
        <v>454</v>
      </c>
      <c r="Z98" s="531" t="s">
        <v>73</v>
      </c>
      <c r="AA98" s="1453" t="s">
        <v>128</v>
      </c>
      <c r="AB98" s="608"/>
      <c r="AC98" s="608"/>
      <c r="AD98" s="608"/>
      <c r="AE98" s="564" t="s">
        <v>80</v>
      </c>
      <c r="AF98" s="564"/>
      <c r="AG98" s="608">
        <f t="shared" si="30"/>
        <v>1128</v>
      </c>
      <c r="AH98" s="608"/>
      <c r="AI98" s="608"/>
      <c r="AJ98" s="608"/>
      <c r="AK98" s="609">
        <f t="shared" si="29"/>
        <v>1128</v>
      </c>
      <c r="AL98" s="401"/>
      <c r="AM98" s="609"/>
      <c r="AN98" s="609"/>
      <c r="AO98" s="609">
        <f t="shared" si="31"/>
        <v>1128</v>
      </c>
      <c r="AP98" s="609"/>
      <c r="AQ98" s="609"/>
      <c r="AR98" s="609"/>
      <c r="AS98" s="609"/>
      <c r="AT98" s="633"/>
      <c r="AU98" s="633"/>
      <c r="AV98" s="633"/>
      <c r="AW98" s="633"/>
      <c r="AX98" s="633"/>
      <c r="AY98" s="633"/>
      <c r="AZ98" s="633"/>
      <c r="BA98" s="633"/>
      <c r="BB98" s="633"/>
      <c r="BC98" s="633"/>
      <c r="BD98" s="633"/>
      <c r="BE98" s="633"/>
      <c r="BF98" s="633"/>
      <c r="BG98" s="633"/>
      <c r="BH98" s="633"/>
      <c r="BI98" s="633"/>
      <c r="BJ98" s="633"/>
      <c r="BK98" s="633"/>
      <c r="BL98" s="633"/>
      <c r="BM98" s="201">
        <f t="shared" si="19"/>
        <v>1128</v>
      </c>
      <c r="BN98" s="199"/>
      <c r="BO98" s="1473"/>
      <c r="BP98" s="1473"/>
      <c r="BQ98" s="199"/>
      <c r="BR98" s="199"/>
      <c r="BS98" s="199"/>
    </row>
    <row r="99" s="200" customFormat="1" ht="36" customHeight="1" spans="1:71">
      <c r="A99" s="533">
        <v>45222</v>
      </c>
      <c r="B99" s="527" t="s">
        <v>449</v>
      </c>
      <c r="C99" s="528" t="s">
        <v>213</v>
      </c>
      <c r="D99" s="534">
        <v>4500116507</v>
      </c>
      <c r="E99" s="530" t="s">
        <v>455</v>
      </c>
      <c r="F99" s="534" t="s">
        <v>456</v>
      </c>
      <c r="G99" s="531" t="s">
        <v>73</v>
      </c>
      <c r="H99" s="532" t="s">
        <v>74</v>
      </c>
      <c r="I99" s="401">
        <v>1200</v>
      </c>
      <c r="J99" s="562">
        <v>0</v>
      </c>
      <c r="K99" s="531">
        <v>24</v>
      </c>
      <c r="L99" s="401">
        <f t="shared" si="20"/>
        <v>50</v>
      </c>
      <c r="M99" s="563">
        <v>45366</v>
      </c>
      <c r="N99" s="563">
        <v>45362</v>
      </c>
      <c r="O99" s="564"/>
      <c r="P99" s="564" t="s">
        <v>92</v>
      </c>
      <c r="Q99" s="564" t="s">
        <v>452</v>
      </c>
      <c r="R99" s="564" t="s">
        <v>183</v>
      </c>
      <c r="S99" s="564" t="s">
        <v>123</v>
      </c>
      <c r="T99" s="564" t="s">
        <v>184</v>
      </c>
      <c r="U99" s="530" t="s">
        <v>453</v>
      </c>
      <c r="V99" s="596" t="s">
        <v>186</v>
      </c>
      <c r="W99" s="592">
        <v>1.19</v>
      </c>
      <c r="X99" s="593">
        <f t="shared" si="32"/>
        <v>1428</v>
      </c>
      <c r="Y99" s="401" t="s">
        <v>454</v>
      </c>
      <c r="Z99" s="531" t="s">
        <v>73</v>
      </c>
      <c r="AA99" s="1453" t="s">
        <v>128</v>
      </c>
      <c r="AB99" s="608"/>
      <c r="AC99" s="608"/>
      <c r="AD99" s="608"/>
      <c r="AE99" s="564" t="s">
        <v>80</v>
      </c>
      <c r="AF99" s="564"/>
      <c r="AG99" s="608">
        <f t="shared" si="30"/>
        <v>1200</v>
      </c>
      <c r="AH99" s="608"/>
      <c r="AI99" s="608"/>
      <c r="AJ99" s="608"/>
      <c r="AK99" s="609">
        <f t="shared" si="29"/>
        <v>1200</v>
      </c>
      <c r="AL99" s="401"/>
      <c r="AM99" s="609"/>
      <c r="AN99" s="609"/>
      <c r="AO99" s="609">
        <f t="shared" si="31"/>
        <v>1200</v>
      </c>
      <c r="AP99" s="609"/>
      <c r="AQ99" s="609"/>
      <c r="AR99" s="609"/>
      <c r="AS99" s="609"/>
      <c r="AT99" s="633"/>
      <c r="AU99" s="633"/>
      <c r="AV99" s="633"/>
      <c r="AW99" s="633"/>
      <c r="AX99" s="633"/>
      <c r="AY99" s="633"/>
      <c r="AZ99" s="633"/>
      <c r="BA99" s="633"/>
      <c r="BB99" s="633"/>
      <c r="BC99" s="633"/>
      <c r="BD99" s="633"/>
      <c r="BE99" s="633"/>
      <c r="BF99" s="633"/>
      <c r="BG99" s="633"/>
      <c r="BH99" s="633"/>
      <c r="BI99" s="633"/>
      <c r="BJ99" s="633"/>
      <c r="BK99" s="633"/>
      <c r="BL99" s="633"/>
      <c r="BM99" s="201">
        <f t="shared" si="19"/>
        <v>1200</v>
      </c>
      <c r="BN99" s="199"/>
      <c r="BO99" s="1473"/>
      <c r="BP99" s="1473"/>
      <c r="BQ99" s="199"/>
      <c r="BR99" s="199"/>
      <c r="BS99" s="199"/>
    </row>
    <row r="100" s="200" customFormat="1" ht="36" customHeight="1" spans="1:71">
      <c r="A100" s="533">
        <v>45222</v>
      </c>
      <c r="B100" s="527" t="s">
        <v>449</v>
      </c>
      <c r="C100" s="528" t="s">
        <v>213</v>
      </c>
      <c r="D100" s="534">
        <v>4500116507</v>
      </c>
      <c r="E100" s="530" t="s">
        <v>457</v>
      </c>
      <c r="F100" s="534" t="s">
        <v>458</v>
      </c>
      <c r="G100" s="531" t="s">
        <v>73</v>
      </c>
      <c r="H100" s="532" t="s">
        <v>74</v>
      </c>
      <c r="I100" s="401">
        <v>1128</v>
      </c>
      <c r="J100" s="562">
        <v>0</v>
      </c>
      <c r="K100" s="531">
        <v>24</v>
      </c>
      <c r="L100" s="401">
        <f t="shared" si="20"/>
        <v>47</v>
      </c>
      <c r="M100" s="563">
        <v>45366</v>
      </c>
      <c r="N100" s="563">
        <v>45362</v>
      </c>
      <c r="O100" s="564"/>
      <c r="P100" s="564" t="s">
        <v>92</v>
      </c>
      <c r="Q100" s="564" t="s">
        <v>452</v>
      </c>
      <c r="R100" s="564" t="s">
        <v>183</v>
      </c>
      <c r="S100" s="564" t="s">
        <v>123</v>
      </c>
      <c r="T100" s="564" t="s">
        <v>184</v>
      </c>
      <c r="U100" s="530" t="s">
        <v>453</v>
      </c>
      <c r="V100" s="596" t="s">
        <v>186</v>
      </c>
      <c r="W100" s="592">
        <v>1.19</v>
      </c>
      <c r="X100" s="593">
        <f t="shared" si="32"/>
        <v>1342.32</v>
      </c>
      <c r="Y100" s="401" t="s">
        <v>454</v>
      </c>
      <c r="Z100" s="531" t="s">
        <v>73</v>
      </c>
      <c r="AA100" s="1453" t="s">
        <v>128</v>
      </c>
      <c r="AB100" s="608"/>
      <c r="AC100" s="608"/>
      <c r="AD100" s="608"/>
      <c r="AE100" s="564" t="s">
        <v>80</v>
      </c>
      <c r="AF100" s="564"/>
      <c r="AG100" s="608">
        <f t="shared" si="30"/>
        <v>1128</v>
      </c>
      <c r="AH100" s="608"/>
      <c r="AI100" s="608"/>
      <c r="AJ100" s="608"/>
      <c r="AK100" s="609">
        <f t="shared" si="29"/>
        <v>1128</v>
      </c>
      <c r="AL100" s="401"/>
      <c r="AM100" s="609"/>
      <c r="AN100" s="609"/>
      <c r="AO100" s="609">
        <f t="shared" si="31"/>
        <v>1128</v>
      </c>
      <c r="AP100" s="609"/>
      <c r="AQ100" s="609"/>
      <c r="AR100" s="609"/>
      <c r="AS100" s="609"/>
      <c r="AT100" s="633"/>
      <c r="AU100" s="633"/>
      <c r="AV100" s="633"/>
      <c r="AW100" s="633"/>
      <c r="AX100" s="633"/>
      <c r="AY100" s="633"/>
      <c r="AZ100" s="633"/>
      <c r="BA100" s="633"/>
      <c r="BB100" s="633"/>
      <c r="BC100" s="633"/>
      <c r="BD100" s="633"/>
      <c r="BE100" s="633"/>
      <c r="BF100" s="633"/>
      <c r="BG100" s="633"/>
      <c r="BH100" s="633"/>
      <c r="BI100" s="633"/>
      <c r="BJ100" s="633"/>
      <c r="BK100" s="633"/>
      <c r="BL100" s="633"/>
      <c r="BM100" s="201">
        <f t="shared" si="19"/>
        <v>1128</v>
      </c>
      <c r="BN100" s="199"/>
      <c r="BO100" s="1473"/>
      <c r="BP100" s="1473"/>
      <c r="BQ100" s="199"/>
      <c r="BR100" s="199"/>
      <c r="BS100" s="199"/>
    </row>
    <row r="101" s="200" customFormat="1" ht="36" customHeight="1" spans="1:71">
      <c r="A101" s="533">
        <v>45271</v>
      </c>
      <c r="B101" s="527" t="s">
        <v>278</v>
      </c>
      <c r="C101" s="528" t="s">
        <v>117</v>
      </c>
      <c r="D101" s="534">
        <v>4500119117</v>
      </c>
      <c r="E101" s="530">
        <v>1331685</v>
      </c>
      <c r="F101" s="534" t="s">
        <v>459</v>
      </c>
      <c r="G101" s="531" t="s">
        <v>245</v>
      </c>
      <c r="H101" s="532" t="s">
        <v>74</v>
      </c>
      <c r="I101" s="401">
        <v>4524</v>
      </c>
      <c r="J101" s="562">
        <v>0</v>
      </c>
      <c r="K101" s="531">
        <v>12</v>
      </c>
      <c r="L101" s="401">
        <f t="shared" si="20"/>
        <v>377</v>
      </c>
      <c r="M101" s="563">
        <v>45370</v>
      </c>
      <c r="N101" s="563">
        <v>45366</v>
      </c>
      <c r="O101" s="564"/>
      <c r="P101" s="564" t="s">
        <v>92</v>
      </c>
      <c r="Q101" s="564" t="s">
        <v>281</v>
      </c>
      <c r="R101" s="564">
        <v>45637</v>
      </c>
      <c r="S101" s="564" t="s">
        <v>77</v>
      </c>
      <c r="T101" s="564">
        <v>45637</v>
      </c>
      <c r="U101" s="530" t="s">
        <v>282</v>
      </c>
      <c r="V101" s="596" t="s">
        <v>283</v>
      </c>
      <c r="W101" s="592">
        <v>1.53</v>
      </c>
      <c r="X101" s="593">
        <f t="shared" si="32"/>
        <v>6921.72</v>
      </c>
      <c r="Y101" s="401" t="s">
        <v>284</v>
      </c>
      <c r="Z101" s="607" t="s">
        <v>245</v>
      </c>
      <c r="AA101" s="1453" t="s">
        <v>128</v>
      </c>
      <c r="AB101" s="608"/>
      <c r="AC101" s="608"/>
      <c r="AD101" s="608"/>
      <c r="AE101" s="564" t="s">
        <v>80</v>
      </c>
      <c r="AF101" s="564"/>
      <c r="AG101" s="608">
        <f t="shared" si="30"/>
        <v>4524</v>
      </c>
      <c r="AH101" s="608"/>
      <c r="AI101" s="608"/>
      <c r="AJ101" s="608"/>
      <c r="AK101" s="609">
        <f t="shared" si="29"/>
        <v>4524</v>
      </c>
      <c r="AL101" s="401"/>
      <c r="AM101" s="609"/>
      <c r="AN101" s="609"/>
      <c r="AO101" s="609">
        <f t="shared" si="31"/>
        <v>4524</v>
      </c>
      <c r="AP101" s="609"/>
      <c r="AQ101" s="609"/>
      <c r="AR101" s="609"/>
      <c r="AS101" s="609"/>
      <c r="AT101" s="633"/>
      <c r="AU101" s="633"/>
      <c r="AV101" s="633"/>
      <c r="AW101" s="633">
        <f t="shared" ref="AW101:AW115" si="33">I101/12</f>
        <v>377</v>
      </c>
      <c r="AX101" s="633"/>
      <c r="AY101" s="633"/>
      <c r="AZ101" s="633"/>
      <c r="BA101" s="633"/>
      <c r="BB101" s="633"/>
      <c r="BC101" s="633"/>
      <c r="BD101" s="633"/>
      <c r="BE101" s="633"/>
      <c r="BF101" s="633"/>
      <c r="BG101" s="633"/>
      <c r="BH101" s="633"/>
      <c r="BI101" s="633"/>
      <c r="BJ101" s="633"/>
      <c r="BK101" s="633"/>
      <c r="BL101" s="633"/>
      <c r="BM101" s="201">
        <f t="shared" si="19"/>
        <v>4524</v>
      </c>
      <c r="BN101" s="199"/>
      <c r="BO101" s="1473"/>
      <c r="BP101" s="1473"/>
      <c r="BQ101" s="199"/>
      <c r="BR101" s="199"/>
      <c r="BS101" s="199"/>
    </row>
    <row r="102" s="200" customFormat="1" ht="36" customHeight="1" spans="1:71">
      <c r="A102" s="533">
        <v>45271</v>
      </c>
      <c r="B102" s="527" t="s">
        <v>278</v>
      </c>
      <c r="C102" s="528" t="s">
        <v>117</v>
      </c>
      <c r="D102" s="534">
        <v>4500119117</v>
      </c>
      <c r="E102" s="530">
        <v>5417074</v>
      </c>
      <c r="F102" s="534" t="s">
        <v>460</v>
      </c>
      <c r="G102" s="531" t="s">
        <v>245</v>
      </c>
      <c r="H102" s="532" t="s">
        <v>74</v>
      </c>
      <c r="I102" s="401">
        <v>588</v>
      </c>
      <c r="J102" s="562">
        <v>0</v>
      </c>
      <c r="K102" s="531">
        <v>12</v>
      </c>
      <c r="L102" s="401">
        <f t="shared" si="20"/>
        <v>49</v>
      </c>
      <c r="M102" s="563">
        <v>45370</v>
      </c>
      <c r="N102" s="563">
        <v>45366</v>
      </c>
      <c r="O102" s="564"/>
      <c r="P102" s="564" t="s">
        <v>92</v>
      </c>
      <c r="Q102" s="564" t="s">
        <v>281</v>
      </c>
      <c r="R102" s="564">
        <v>45637</v>
      </c>
      <c r="S102" s="564" t="s">
        <v>77</v>
      </c>
      <c r="T102" s="564">
        <v>45637</v>
      </c>
      <c r="U102" s="530" t="s">
        <v>282</v>
      </c>
      <c r="V102" s="596" t="s">
        <v>283</v>
      </c>
      <c r="W102" s="592">
        <v>1.53</v>
      </c>
      <c r="X102" s="593">
        <f t="shared" si="32"/>
        <v>899.64</v>
      </c>
      <c r="Y102" s="401" t="s">
        <v>284</v>
      </c>
      <c r="Z102" s="607" t="s">
        <v>245</v>
      </c>
      <c r="AA102" s="1453" t="s">
        <v>128</v>
      </c>
      <c r="AB102" s="608"/>
      <c r="AC102" s="608"/>
      <c r="AD102" s="608"/>
      <c r="AE102" s="564" t="s">
        <v>80</v>
      </c>
      <c r="AF102" s="564"/>
      <c r="AG102" s="608">
        <f t="shared" si="30"/>
        <v>588</v>
      </c>
      <c r="AH102" s="608"/>
      <c r="AI102" s="608"/>
      <c r="AJ102" s="608"/>
      <c r="AK102" s="609">
        <f t="shared" si="29"/>
        <v>588</v>
      </c>
      <c r="AL102" s="401"/>
      <c r="AM102" s="609"/>
      <c r="AN102" s="609"/>
      <c r="AO102" s="609">
        <f t="shared" si="31"/>
        <v>588</v>
      </c>
      <c r="AP102" s="609"/>
      <c r="AQ102" s="609"/>
      <c r="AR102" s="609"/>
      <c r="AS102" s="609"/>
      <c r="AT102" s="633"/>
      <c r="AU102" s="633"/>
      <c r="AV102" s="633"/>
      <c r="AW102" s="633">
        <f t="shared" si="33"/>
        <v>49</v>
      </c>
      <c r="AX102" s="633"/>
      <c r="AY102" s="633"/>
      <c r="AZ102" s="633"/>
      <c r="BA102" s="633"/>
      <c r="BB102" s="633"/>
      <c r="BC102" s="633"/>
      <c r="BD102" s="633"/>
      <c r="BE102" s="633"/>
      <c r="BF102" s="633"/>
      <c r="BG102" s="633"/>
      <c r="BH102" s="633"/>
      <c r="BI102" s="633"/>
      <c r="BJ102" s="633"/>
      <c r="BK102" s="633"/>
      <c r="BL102" s="633"/>
      <c r="BM102" s="201">
        <f t="shared" si="19"/>
        <v>588</v>
      </c>
      <c r="BN102" s="199"/>
      <c r="BO102" s="1473"/>
      <c r="BP102" s="1473"/>
      <c r="BQ102" s="199"/>
      <c r="BR102" s="199"/>
      <c r="BS102" s="199"/>
    </row>
    <row r="103" s="200" customFormat="1" ht="36" customHeight="1" spans="1:71">
      <c r="A103" s="533">
        <v>45271</v>
      </c>
      <c r="B103" s="527" t="s">
        <v>278</v>
      </c>
      <c r="C103" s="528" t="s">
        <v>117</v>
      </c>
      <c r="D103" s="534">
        <v>4500119117</v>
      </c>
      <c r="E103" s="530">
        <v>4536017</v>
      </c>
      <c r="F103" s="534" t="s">
        <v>461</v>
      </c>
      <c r="G103" s="531" t="s">
        <v>245</v>
      </c>
      <c r="H103" s="532" t="s">
        <v>74</v>
      </c>
      <c r="I103" s="401">
        <v>516</v>
      </c>
      <c r="J103" s="562">
        <v>0</v>
      </c>
      <c r="K103" s="531">
        <v>12</v>
      </c>
      <c r="L103" s="401">
        <f t="shared" si="20"/>
        <v>43</v>
      </c>
      <c r="M103" s="563">
        <v>45370</v>
      </c>
      <c r="N103" s="563">
        <v>45366</v>
      </c>
      <c r="O103" s="564"/>
      <c r="P103" s="564" t="s">
        <v>92</v>
      </c>
      <c r="Q103" s="564" t="s">
        <v>281</v>
      </c>
      <c r="R103" s="564">
        <v>45637</v>
      </c>
      <c r="S103" s="564" t="s">
        <v>77</v>
      </c>
      <c r="T103" s="564">
        <v>45637</v>
      </c>
      <c r="U103" s="530" t="s">
        <v>282</v>
      </c>
      <c r="V103" s="596" t="s">
        <v>283</v>
      </c>
      <c r="W103" s="592">
        <v>1.53</v>
      </c>
      <c r="X103" s="593">
        <f t="shared" si="32"/>
        <v>789.48</v>
      </c>
      <c r="Y103" s="401" t="s">
        <v>284</v>
      </c>
      <c r="Z103" s="607" t="s">
        <v>245</v>
      </c>
      <c r="AA103" s="1453" t="s">
        <v>128</v>
      </c>
      <c r="AB103" s="608"/>
      <c r="AC103" s="608"/>
      <c r="AD103" s="608"/>
      <c r="AE103" s="564" t="s">
        <v>80</v>
      </c>
      <c r="AF103" s="564"/>
      <c r="AG103" s="608">
        <f t="shared" si="30"/>
        <v>516</v>
      </c>
      <c r="AH103" s="608"/>
      <c r="AI103" s="608"/>
      <c r="AJ103" s="608"/>
      <c r="AK103" s="609">
        <f t="shared" si="29"/>
        <v>516</v>
      </c>
      <c r="AL103" s="401"/>
      <c r="AM103" s="609"/>
      <c r="AN103" s="609"/>
      <c r="AO103" s="609">
        <f t="shared" si="31"/>
        <v>516</v>
      </c>
      <c r="AP103" s="609"/>
      <c r="AQ103" s="609"/>
      <c r="AR103" s="609"/>
      <c r="AS103" s="609"/>
      <c r="AT103" s="633"/>
      <c r="AU103" s="633"/>
      <c r="AV103" s="633"/>
      <c r="AW103" s="633">
        <f t="shared" si="33"/>
        <v>43</v>
      </c>
      <c r="AX103" s="633"/>
      <c r="AY103" s="633"/>
      <c r="AZ103" s="633"/>
      <c r="BA103" s="633"/>
      <c r="BB103" s="633"/>
      <c r="BC103" s="633"/>
      <c r="BD103" s="633"/>
      <c r="BE103" s="633"/>
      <c r="BF103" s="633"/>
      <c r="BG103" s="633"/>
      <c r="BH103" s="633"/>
      <c r="BI103" s="633"/>
      <c r="BJ103" s="633"/>
      <c r="BK103" s="633"/>
      <c r="BL103" s="633"/>
      <c r="BM103" s="201">
        <f t="shared" si="19"/>
        <v>516</v>
      </c>
      <c r="BN103" s="199"/>
      <c r="BO103" s="1473"/>
      <c r="BP103" s="1473"/>
      <c r="BQ103" s="199"/>
      <c r="BR103" s="199"/>
      <c r="BS103" s="199"/>
    </row>
    <row r="104" s="200" customFormat="1" ht="36" customHeight="1" spans="1:71">
      <c r="A104" s="533">
        <v>45271</v>
      </c>
      <c r="B104" s="527" t="s">
        <v>278</v>
      </c>
      <c r="C104" s="528" t="s">
        <v>117</v>
      </c>
      <c r="D104" s="534">
        <v>4500119117</v>
      </c>
      <c r="E104" s="530">
        <v>3117308</v>
      </c>
      <c r="F104" s="534" t="s">
        <v>462</v>
      </c>
      <c r="G104" s="531" t="s">
        <v>245</v>
      </c>
      <c r="H104" s="532" t="s">
        <v>74</v>
      </c>
      <c r="I104" s="401">
        <v>672</v>
      </c>
      <c r="J104" s="562">
        <v>0</v>
      </c>
      <c r="K104" s="531">
        <v>12</v>
      </c>
      <c r="L104" s="401">
        <f t="shared" si="20"/>
        <v>56</v>
      </c>
      <c r="M104" s="563">
        <v>45370</v>
      </c>
      <c r="N104" s="563">
        <v>45366</v>
      </c>
      <c r="O104" s="564"/>
      <c r="P104" s="564" t="s">
        <v>92</v>
      </c>
      <c r="Q104" s="564" t="s">
        <v>281</v>
      </c>
      <c r="R104" s="564">
        <v>45637</v>
      </c>
      <c r="S104" s="564" t="s">
        <v>77</v>
      </c>
      <c r="T104" s="564">
        <v>45637</v>
      </c>
      <c r="U104" s="530" t="s">
        <v>282</v>
      </c>
      <c r="V104" s="596" t="s">
        <v>283</v>
      </c>
      <c r="W104" s="592">
        <v>1.53</v>
      </c>
      <c r="X104" s="593">
        <f t="shared" si="32"/>
        <v>1028.16</v>
      </c>
      <c r="Y104" s="401" t="s">
        <v>284</v>
      </c>
      <c r="Z104" s="607" t="s">
        <v>245</v>
      </c>
      <c r="AA104" s="1453" t="s">
        <v>128</v>
      </c>
      <c r="AB104" s="608"/>
      <c r="AC104" s="608"/>
      <c r="AD104" s="608"/>
      <c r="AE104" s="564" t="s">
        <v>80</v>
      </c>
      <c r="AF104" s="564"/>
      <c r="AG104" s="608">
        <f t="shared" si="30"/>
        <v>672</v>
      </c>
      <c r="AH104" s="608"/>
      <c r="AI104" s="608"/>
      <c r="AJ104" s="608"/>
      <c r="AK104" s="609">
        <f t="shared" si="29"/>
        <v>672</v>
      </c>
      <c r="AL104" s="401"/>
      <c r="AM104" s="609"/>
      <c r="AN104" s="609"/>
      <c r="AO104" s="609">
        <f t="shared" si="31"/>
        <v>672</v>
      </c>
      <c r="AP104" s="609"/>
      <c r="AQ104" s="609"/>
      <c r="AR104" s="609"/>
      <c r="AS104" s="609"/>
      <c r="AT104" s="633"/>
      <c r="AU104" s="633"/>
      <c r="AV104" s="633"/>
      <c r="AW104" s="633">
        <f t="shared" si="33"/>
        <v>56</v>
      </c>
      <c r="AX104" s="633"/>
      <c r="AY104" s="633"/>
      <c r="AZ104" s="633"/>
      <c r="BA104" s="633"/>
      <c r="BB104" s="633"/>
      <c r="BC104" s="633"/>
      <c r="BD104" s="633"/>
      <c r="BE104" s="633"/>
      <c r="BF104" s="633"/>
      <c r="BG104" s="633"/>
      <c r="BH104" s="633"/>
      <c r="BI104" s="633"/>
      <c r="BJ104" s="633"/>
      <c r="BK104" s="633"/>
      <c r="BL104" s="633"/>
      <c r="BM104" s="201">
        <f t="shared" si="19"/>
        <v>672</v>
      </c>
      <c r="BN104" s="199"/>
      <c r="BO104" s="1473"/>
      <c r="BP104" s="1473"/>
      <c r="BQ104" s="199"/>
      <c r="BR104" s="199"/>
      <c r="BS104" s="199"/>
    </row>
    <row r="105" s="200" customFormat="1" ht="36" customHeight="1" spans="1:71">
      <c r="A105" s="533">
        <v>45271</v>
      </c>
      <c r="B105" s="527" t="s">
        <v>278</v>
      </c>
      <c r="C105" s="528" t="s">
        <v>117</v>
      </c>
      <c r="D105" s="534">
        <v>4500119117</v>
      </c>
      <c r="E105" s="530">
        <v>7352620</v>
      </c>
      <c r="F105" s="534" t="s">
        <v>463</v>
      </c>
      <c r="G105" s="531" t="s">
        <v>245</v>
      </c>
      <c r="H105" s="532" t="s">
        <v>74</v>
      </c>
      <c r="I105" s="401">
        <v>684</v>
      </c>
      <c r="J105" s="562">
        <v>0</v>
      </c>
      <c r="K105" s="531">
        <v>12</v>
      </c>
      <c r="L105" s="401">
        <f t="shared" si="20"/>
        <v>57</v>
      </c>
      <c r="M105" s="563">
        <v>45370</v>
      </c>
      <c r="N105" s="563">
        <v>45366</v>
      </c>
      <c r="O105" s="564"/>
      <c r="P105" s="564" t="s">
        <v>92</v>
      </c>
      <c r="Q105" s="564" t="s">
        <v>281</v>
      </c>
      <c r="R105" s="564">
        <v>45637</v>
      </c>
      <c r="S105" s="564" t="s">
        <v>77</v>
      </c>
      <c r="T105" s="564">
        <v>45637</v>
      </c>
      <c r="U105" s="530" t="s">
        <v>282</v>
      </c>
      <c r="V105" s="596" t="s">
        <v>283</v>
      </c>
      <c r="W105" s="592">
        <v>1.53</v>
      </c>
      <c r="X105" s="593">
        <f t="shared" si="32"/>
        <v>1046.52</v>
      </c>
      <c r="Y105" s="401" t="s">
        <v>284</v>
      </c>
      <c r="Z105" s="607" t="s">
        <v>245</v>
      </c>
      <c r="AA105" s="1453" t="s">
        <v>128</v>
      </c>
      <c r="AB105" s="608"/>
      <c r="AC105" s="608"/>
      <c r="AD105" s="608"/>
      <c r="AE105" s="564" t="s">
        <v>80</v>
      </c>
      <c r="AF105" s="564"/>
      <c r="AG105" s="608">
        <f t="shared" si="30"/>
        <v>684</v>
      </c>
      <c r="AH105" s="608"/>
      <c r="AI105" s="608"/>
      <c r="AJ105" s="608"/>
      <c r="AK105" s="609">
        <f t="shared" si="29"/>
        <v>684</v>
      </c>
      <c r="AL105" s="401"/>
      <c r="AM105" s="609"/>
      <c r="AN105" s="609"/>
      <c r="AO105" s="609">
        <f t="shared" si="31"/>
        <v>684</v>
      </c>
      <c r="AP105" s="609"/>
      <c r="AQ105" s="609"/>
      <c r="AR105" s="609"/>
      <c r="AS105" s="609"/>
      <c r="AT105" s="633"/>
      <c r="AU105" s="633"/>
      <c r="AV105" s="633"/>
      <c r="AW105" s="633">
        <f t="shared" si="33"/>
        <v>57</v>
      </c>
      <c r="AX105" s="633"/>
      <c r="AY105" s="633"/>
      <c r="AZ105" s="633"/>
      <c r="BA105" s="633"/>
      <c r="BB105" s="633"/>
      <c r="BC105" s="633"/>
      <c r="BD105" s="633"/>
      <c r="BE105" s="633"/>
      <c r="BF105" s="633"/>
      <c r="BG105" s="633"/>
      <c r="BH105" s="633"/>
      <c r="BI105" s="633"/>
      <c r="BJ105" s="633"/>
      <c r="BK105" s="633"/>
      <c r="BL105" s="633"/>
      <c r="BM105" s="201">
        <f t="shared" si="19"/>
        <v>684</v>
      </c>
      <c r="BN105" s="199"/>
      <c r="BO105" s="1473"/>
      <c r="BP105" s="1473"/>
      <c r="BQ105" s="199"/>
      <c r="BR105" s="199"/>
      <c r="BS105" s="199"/>
    </row>
    <row r="106" s="200" customFormat="1" ht="36" customHeight="1" spans="1:71">
      <c r="A106" s="533">
        <v>45271</v>
      </c>
      <c r="B106" s="527" t="s">
        <v>278</v>
      </c>
      <c r="C106" s="528" t="s">
        <v>117</v>
      </c>
      <c r="D106" s="534">
        <v>4500119117</v>
      </c>
      <c r="E106" s="530">
        <v>1526720</v>
      </c>
      <c r="F106" s="534" t="s">
        <v>464</v>
      </c>
      <c r="G106" s="531" t="s">
        <v>245</v>
      </c>
      <c r="H106" s="532" t="s">
        <v>74</v>
      </c>
      <c r="I106" s="401">
        <v>636</v>
      </c>
      <c r="J106" s="562">
        <v>0</v>
      </c>
      <c r="K106" s="531">
        <v>12</v>
      </c>
      <c r="L106" s="401">
        <f t="shared" si="20"/>
        <v>53</v>
      </c>
      <c r="M106" s="563">
        <v>45370</v>
      </c>
      <c r="N106" s="563">
        <v>45366</v>
      </c>
      <c r="O106" s="564"/>
      <c r="P106" s="564" t="s">
        <v>92</v>
      </c>
      <c r="Q106" s="564" t="s">
        <v>281</v>
      </c>
      <c r="R106" s="564">
        <v>45637</v>
      </c>
      <c r="S106" s="564" t="s">
        <v>77</v>
      </c>
      <c r="T106" s="564">
        <v>45637</v>
      </c>
      <c r="U106" s="530" t="s">
        <v>282</v>
      </c>
      <c r="V106" s="596" t="s">
        <v>283</v>
      </c>
      <c r="W106" s="592">
        <v>1.53</v>
      </c>
      <c r="X106" s="593">
        <f t="shared" si="32"/>
        <v>973.08</v>
      </c>
      <c r="Y106" s="401" t="s">
        <v>284</v>
      </c>
      <c r="Z106" s="607" t="s">
        <v>245</v>
      </c>
      <c r="AA106" s="1453" t="s">
        <v>128</v>
      </c>
      <c r="AB106" s="608"/>
      <c r="AC106" s="608"/>
      <c r="AD106" s="608"/>
      <c r="AE106" s="564" t="s">
        <v>80</v>
      </c>
      <c r="AF106" s="564"/>
      <c r="AG106" s="608">
        <f t="shared" si="30"/>
        <v>636</v>
      </c>
      <c r="AH106" s="608"/>
      <c r="AI106" s="608"/>
      <c r="AJ106" s="608"/>
      <c r="AK106" s="609">
        <f t="shared" si="29"/>
        <v>636</v>
      </c>
      <c r="AL106" s="401"/>
      <c r="AM106" s="609"/>
      <c r="AN106" s="609"/>
      <c r="AO106" s="609">
        <f t="shared" si="31"/>
        <v>636</v>
      </c>
      <c r="AP106" s="609"/>
      <c r="AQ106" s="609"/>
      <c r="AR106" s="609"/>
      <c r="AS106" s="609"/>
      <c r="AT106" s="633"/>
      <c r="AU106" s="633"/>
      <c r="AV106" s="633"/>
      <c r="AW106" s="633">
        <f t="shared" si="33"/>
        <v>53</v>
      </c>
      <c r="AX106" s="633"/>
      <c r="AY106" s="633"/>
      <c r="AZ106" s="633"/>
      <c r="BA106" s="633"/>
      <c r="BB106" s="633"/>
      <c r="BC106" s="633"/>
      <c r="BD106" s="633"/>
      <c r="BE106" s="633"/>
      <c r="BF106" s="633"/>
      <c r="BG106" s="633"/>
      <c r="BH106" s="633"/>
      <c r="BI106" s="633"/>
      <c r="BJ106" s="633"/>
      <c r="BK106" s="633"/>
      <c r="BL106" s="633"/>
      <c r="BM106" s="201">
        <f t="shared" si="19"/>
        <v>636</v>
      </c>
      <c r="BN106" s="199"/>
      <c r="BO106" s="1473"/>
      <c r="BP106" s="1473"/>
      <c r="BQ106" s="199"/>
      <c r="BR106" s="199"/>
      <c r="BS106" s="199"/>
    </row>
    <row r="107" s="200" customFormat="1" ht="36" customHeight="1" spans="1:71">
      <c r="A107" s="533">
        <v>45271</v>
      </c>
      <c r="B107" s="527" t="s">
        <v>278</v>
      </c>
      <c r="C107" s="528" t="s">
        <v>117</v>
      </c>
      <c r="D107" s="534">
        <v>4500119117</v>
      </c>
      <c r="E107" s="530">
        <v>8557489</v>
      </c>
      <c r="F107" s="534" t="s">
        <v>465</v>
      </c>
      <c r="G107" s="531" t="s">
        <v>245</v>
      </c>
      <c r="H107" s="532" t="s">
        <v>74</v>
      </c>
      <c r="I107" s="401">
        <v>336</v>
      </c>
      <c r="J107" s="562">
        <v>0</v>
      </c>
      <c r="K107" s="531">
        <v>12</v>
      </c>
      <c r="L107" s="401">
        <f t="shared" si="20"/>
        <v>28</v>
      </c>
      <c r="M107" s="563">
        <v>45370</v>
      </c>
      <c r="N107" s="563">
        <v>45366</v>
      </c>
      <c r="O107" s="564"/>
      <c r="P107" s="564" t="s">
        <v>92</v>
      </c>
      <c r="Q107" s="564" t="s">
        <v>281</v>
      </c>
      <c r="R107" s="564">
        <v>45637</v>
      </c>
      <c r="S107" s="564" t="s">
        <v>77</v>
      </c>
      <c r="T107" s="564">
        <v>45637</v>
      </c>
      <c r="U107" s="530" t="s">
        <v>282</v>
      </c>
      <c r="V107" s="596" t="s">
        <v>283</v>
      </c>
      <c r="W107" s="592">
        <v>1.53</v>
      </c>
      <c r="X107" s="593">
        <f t="shared" si="32"/>
        <v>514.08</v>
      </c>
      <c r="Y107" s="401" t="s">
        <v>284</v>
      </c>
      <c r="Z107" s="607" t="s">
        <v>245</v>
      </c>
      <c r="AA107" s="1453" t="s">
        <v>128</v>
      </c>
      <c r="AB107" s="608"/>
      <c r="AC107" s="608"/>
      <c r="AD107" s="608"/>
      <c r="AE107" s="564" t="s">
        <v>80</v>
      </c>
      <c r="AF107" s="564"/>
      <c r="AG107" s="608">
        <f t="shared" si="30"/>
        <v>336</v>
      </c>
      <c r="AH107" s="608"/>
      <c r="AI107" s="608"/>
      <c r="AJ107" s="608"/>
      <c r="AK107" s="609">
        <f t="shared" si="29"/>
        <v>336</v>
      </c>
      <c r="AL107" s="401"/>
      <c r="AM107" s="609"/>
      <c r="AN107" s="609"/>
      <c r="AO107" s="609">
        <f t="shared" si="31"/>
        <v>336</v>
      </c>
      <c r="AP107" s="609"/>
      <c r="AQ107" s="609"/>
      <c r="AR107" s="609"/>
      <c r="AS107" s="609"/>
      <c r="AT107" s="633"/>
      <c r="AU107" s="633"/>
      <c r="AV107" s="633"/>
      <c r="AW107" s="633">
        <f t="shared" si="33"/>
        <v>28</v>
      </c>
      <c r="AX107" s="633"/>
      <c r="AY107" s="633"/>
      <c r="AZ107" s="633"/>
      <c r="BA107" s="633"/>
      <c r="BB107" s="633"/>
      <c r="BC107" s="633"/>
      <c r="BD107" s="633"/>
      <c r="BE107" s="633"/>
      <c r="BF107" s="633"/>
      <c r="BG107" s="633"/>
      <c r="BH107" s="633"/>
      <c r="BI107" s="633"/>
      <c r="BJ107" s="633"/>
      <c r="BK107" s="633"/>
      <c r="BL107" s="633"/>
      <c r="BM107" s="201">
        <f t="shared" si="19"/>
        <v>336</v>
      </c>
      <c r="BN107" s="199"/>
      <c r="BO107" s="1473"/>
      <c r="BP107" s="1473"/>
      <c r="BQ107" s="199"/>
      <c r="BR107" s="199"/>
      <c r="BS107" s="199"/>
    </row>
    <row r="108" s="200" customFormat="1" ht="36" customHeight="1" spans="1:71">
      <c r="A108" s="533">
        <v>45271</v>
      </c>
      <c r="B108" s="527" t="s">
        <v>278</v>
      </c>
      <c r="C108" s="528" t="s">
        <v>117</v>
      </c>
      <c r="D108" s="534">
        <v>4500119117</v>
      </c>
      <c r="E108" s="530">
        <v>6788377</v>
      </c>
      <c r="F108" s="534" t="s">
        <v>466</v>
      </c>
      <c r="G108" s="531" t="s">
        <v>245</v>
      </c>
      <c r="H108" s="532" t="s">
        <v>74</v>
      </c>
      <c r="I108" s="401">
        <v>108</v>
      </c>
      <c r="J108" s="562">
        <v>0</v>
      </c>
      <c r="K108" s="531">
        <v>12</v>
      </c>
      <c r="L108" s="401">
        <f t="shared" si="20"/>
        <v>9</v>
      </c>
      <c r="M108" s="563">
        <v>45370</v>
      </c>
      <c r="N108" s="563">
        <v>45366</v>
      </c>
      <c r="O108" s="564"/>
      <c r="P108" s="564" t="s">
        <v>92</v>
      </c>
      <c r="Q108" s="564" t="s">
        <v>281</v>
      </c>
      <c r="R108" s="564">
        <v>45637</v>
      </c>
      <c r="S108" s="564" t="s">
        <v>77</v>
      </c>
      <c r="T108" s="564">
        <v>45637</v>
      </c>
      <c r="U108" s="530" t="s">
        <v>282</v>
      </c>
      <c r="V108" s="596" t="s">
        <v>283</v>
      </c>
      <c r="W108" s="592">
        <v>1.53</v>
      </c>
      <c r="X108" s="593">
        <f t="shared" si="32"/>
        <v>165.24</v>
      </c>
      <c r="Y108" s="401" t="s">
        <v>284</v>
      </c>
      <c r="Z108" s="607" t="s">
        <v>245</v>
      </c>
      <c r="AA108" s="1453" t="s">
        <v>128</v>
      </c>
      <c r="AB108" s="608"/>
      <c r="AC108" s="608"/>
      <c r="AD108" s="608"/>
      <c r="AE108" s="564" t="s">
        <v>80</v>
      </c>
      <c r="AF108" s="564"/>
      <c r="AG108" s="608">
        <f t="shared" si="30"/>
        <v>108</v>
      </c>
      <c r="AH108" s="608"/>
      <c r="AI108" s="608"/>
      <c r="AJ108" s="608"/>
      <c r="AK108" s="609">
        <f t="shared" si="29"/>
        <v>108</v>
      </c>
      <c r="AL108" s="401"/>
      <c r="AM108" s="609"/>
      <c r="AN108" s="609"/>
      <c r="AO108" s="609">
        <f t="shared" si="31"/>
        <v>108</v>
      </c>
      <c r="AP108" s="609"/>
      <c r="AQ108" s="609"/>
      <c r="AR108" s="609"/>
      <c r="AS108" s="609"/>
      <c r="AT108" s="633"/>
      <c r="AU108" s="633"/>
      <c r="AV108" s="633"/>
      <c r="AW108" s="633">
        <f t="shared" si="33"/>
        <v>9</v>
      </c>
      <c r="AX108" s="633"/>
      <c r="AY108" s="633"/>
      <c r="AZ108" s="633"/>
      <c r="BA108" s="633"/>
      <c r="BB108" s="633"/>
      <c r="BC108" s="633"/>
      <c r="BD108" s="633"/>
      <c r="BE108" s="633"/>
      <c r="BF108" s="633"/>
      <c r="BG108" s="633"/>
      <c r="BH108" s="633"/>
      <c r="BI108" s="633"/>
      <c r="BJ108" s="633"/>
      <c r="BK108" s="633"/>
      <c r="BL108" s="633"/>
      <c r="BM108" s="201">
        <f t="shared" si="19"/>
        <v>108</v>
      </c>
      <c r="BN108" s="199"/>
      <c r="BO108" s="1473"/>
      <c r="BP108" s="1473"/>
      <c r="BQ108" s="199"/>
      <c r="BR108" s="199"/>
      <c r="BS108" s="199"/>
    </row>
    <row r="109" s="200" customFormat="1" ht="36" customHeight="1" spans="1:71">
      <c r="A109" s="533">
        <v>45271</v>
      </c>
      <c r="B109" s="527" t="s">
        <v>278</v>
      </c>
      <c r="C109" s="528" t="s">
        <v>117</v>
      </c>
      <c r="D109" s="534">
        <v>4500119117</v>
      </c>
      <c r="E109" s="530">
        <v>9609217</v>
      </c>
      <c r="F109" s="534" t="s">
        <v>467</v>
      </c>
      <c r="G109" s="531" t="s">
        <v>245</v>
      </c>
      <c r="H109" s="532" t="s">
        <v>74</v>
      </c>
      <c r="I109" s="401">
        <v>1248</v>
      </c>
      <c r="J109" s="562">
        <v>0</v>
      </c>
      <c r="K109" s="531">
        <v>12</v>
      </c>
      <c r="L109" s="401">
        <f t="shared" si="20"/>
        <v>104</v>
      </c>
      <c r="M109" s="563">
        <v>45370</v>
      </c>
      <c r="N109" s="563">
        <v>45366</v>
      </c>
      <c r="O109" s="564"/>
      <c r="P109" s="564" t="s">
        <v>92</v>
      </c>
      <c r="Q109" s="564" t="s">
        <v>281</v>
      </c>
      <c r="R109" s="564">
        <v>45637</v>
      </c>
      <c r="S109" s="564" t="s">
        <v>77</v>
      </c>
      <c r="T109" s="564">
        <v>45637</v>
      </c>
      <c r="U109" s="530" t="s">
        <v>282</v>
      </c>
      <c r="V109" s="596" t="s">
        <v>283</v>
      </c>
      <c r="W109" s="592">
        <v>1.53</v>
      </c>
      <c r="X109" s="593">
        <f t="shared" si="32"/>
        <v>1909.44</v>
      </c>
      <c r="Y109" s="401" t="s">
        <v>284</v>
      </c>
      <c r="Z109" s="607" t="s">
        <v>245</v>
      </c>
      <c r="AA109" s="1453" t="s">
        <v>128</v>
      </c>
      <c r="AB109" s="608"/>
      <c r="AC109" s="608"/>
      <c r="AD109" s="608"/>
      <c r="AE109" s="564" t="s">
        <v>80</v>
      </c>
      <c r="AF109" s="564"/>
      <c r="AG109" s="608">
        <f t="shared" si="30"/>
        <v>1248</v>
      </c>
      <c r="AH109" s="608"/>
      <c r="AI109" s="608"/>
      <c r="AJ109" s="608"/>
      <c r="AK109" s="609">
        <f t="shared" si="29"/>
        <v>1248</v>
      </c>
      <c r="AL109" s="401"/>
      <c r="AM109" s="609"/>
      <c r="AN109" s="609"/>
      <c r="AO109" s="609">
        <f t="shared" si="31"/>
        <v>1248</v>
      </c>
      <c r="AP109" s="609"/>
      <c r="AQ109" s="609"/>
      <c r="AR109" s="609"/>
      <c r="AS109" s="609"/>
      <c r="AT109" s="633"/>
      <c r="AU109" s="633"/>
      <c r="AV109" s="633"/>
      <c r="AW109" s="633">
        <f t="shared" si="33"/>
        <v>104</v>
      </c>
      <c r="AX109" s="633"/>
      <c r="AY109" s="633"/>
      <c r="AZ109" s="633"/>
      <c r="BA109" s="633"/>
      <c r="BB109" s="633"/>
      <c r="BC109" s="633"/>
      <c r="BD109" s="633"/>
      <c r="BE109" s="633"/>
      <c r="BF109" s="633"/>
      <c r="BG109" s="633"/>
      <c r="BH109" s="633"/>
      <c r="BI109" s="633"/>
      <c r="BJ109" s="633"/>
      <c r="BK109" s="633"/>
      <c r="BL109" s="633"/>
      <c r="BM109" s="201">
        <f t="shared" si="19"/>
        <v>1248</v>
      </c>
      <c r="BN109" s="199"/>
      <c r="BO109" s="1473"/>
      <c r="BP109" s="1473"/>
      <c r="BQ109" s="199"/>
      <c r="BR109" s="199"/>
      <c r="BS109" s="199"/>
    </row>
    <row r="110" s="200" customFormat="1" ht="36" customHeight="1" spans="1:71">
      <c r="A110" s="533">
        <v>45271</v>
      </c>
      <c r="B110" s="527" t="s">
        <v>278</v>
      </c>
      <c r="C110" s="528" t="s">
        <v>117</v>
      </c>
      <c r="D110" s="534">
        <v>4500119117</v>
      </c>
      <c r="E110" s="530">
        <v>3843587</v>
      </c>
      <c r="F110" s="534" t="s">
        <v>468</v>
      </c>
      <c r="G110" s="531" t="s">
        <v>245</v>
      </c>
      <c r="H110" s="532" t="s">
        <v>74</v>
      </c>
      <c r="I110" s="401">
        <v>4020</v>
      </c>
      <c r="J110" s="562">
        <v>0</v>
      </c>
      <c r="K110" s="531">
        <v>12</v>
      </c>
      <c r="L110" s="401">
        <f t="shared" si="20"/>
        <v>335</v>
      </c>
      <c r="M110" s="563">
        <v>45370</v>
      </c>
      <c r="N110" s="563">
        <v>45366</v>
      </c>
      <c r="O110" s="564"/>
      <c r="P110" s="564" t="s">
        <v>92</v>
      </c>
      <c r="Q110" s="564" t="s">
        <v>281</v>
      </c>
      <c r="R110" s="564">
        <v>45637</v>
      </c>
      <c r="S110" s="564" t="s">
        <v>77</v>
      </c>
      <c r="T110" s="564">
        <v>45637</v>
      </c>
      <c r="U110" s="530" t="s">
        <v>282</v>
      </c>
      <c r="V110" s="596" t="s">
        <v>283</v>
      </c>
      <c r="W110" s="592">
        <v>1.53</v>
      </c>
      <c r="X110" s="593">
        <f t="shared" si="32"/>
        <v>6150.6</v>
      </c>
      <c r="Y110" s="401" t="s">
        <v>284</v>
      </c>
      <c r="Z110" s="607" t="s">
        <v>245</v>
      </c>
      <c r="AA110" s="1453" t="s">
        <v>128</v>
      </c>
      <c r="AB110" s="608"/>
      <c r="AC110" s="608"/>
      <c r="AD110" s="608"/>
      <c r="AE110" s="564" t="s">
        <v>80</v>
      </c>
      <c r="AF110" s="564"/>
      <c r="AG110" s="608">
        <f t="shared" si="30"/>
        <v>4020</v>
      </c>
      <c r="AH110" s="608"/>
      <c r="AI110" s="608"/>
      <c r="AJ110" s="608"/>
      <c r="AK110" s="609">
        <f t="shared" si="29"/>
        <v>4020</v>
      </c>
      <c r="AL110" s="401"/>
      <c r="AM110" s="609"/>
      <c r="AN110" s="609"/>
      <c r="AO110" s="609">
        <f t="shared" si="31"/>
        <v>4020</v>
      </c>
      <c r="AP110" s="609"/>
      <c r="AQ110" s="609"/>
      <c r="AR110" s="609"/>
      <c r="AS110" s="609"/>
      <c r="AT110" s="633"/>
      <c r="AU110" s="633"/>
      <c r="AV110" s="633"/>
      <c r="AW110" s="633">
        <f t="shared" si="33"/>
        <v>335</v>
      </c>
      <c r="AX110" s="633"/>
      <c r="AY110" s="633"/>
      <c r="AZ110" s="633"/>
      <c r="BA110" s="633"/>
      <c r="BB110" s="633"/>
      <c r="BC110" s="633"/>
      <c r="BD110" s="633"/>
      <c r="BE110" s="633"/>
      <c r="BF110" s="633"/>
      <c r="BG110" s="633"/>
      <c r="BH110" s="633"/>
      <c r="BI110" s="633"/>
      <c r="BJ110" s="633"/>
      <c r="BK110" s="633"/>
      <c r="BL110" s="633"/>
      <c r="BM110" s="201">
        <f t="shared" si="19"/>
        <v>4020</v>
      </c>
      <c r="BN110" s="199"/>
      <c r="BO110" s="1473"/>
      <c r="BP110" s="1473"/>
      <c r="BQ110" s="199"/>
      <c r="BR110" s="199"/>
      <c r="BS110" s="199"/>
    </row>
    <row r="111" s="200" customFormat="1" ht="36" customHeight="1" spans="1:71">
      <c r="A111" s="533">
        <v>45271</v>
      </c>
      <c r="B111" s="527" t="s">
        <v>278</v>
      </c>
      <c r="C111" s="528" t="s">
        <v>117</v>
      </c>
      <c r="D111" s="534">
        <v>4500119117</v>
      </c>
      <c r="E111" s="530">
        <v>5650872</v>
      </c>
      <c r="F111" s="534" t="s">
        <v>469</v>
      </c>
      <c r="G111" s="531" t="s">
        <v>245</v>
      </c>
      <c r="H111" s="532" t="s">
        <v>74</v>
      </c>
      <c r="I111" s="401">
        <v>684</v>
      </c>
      <c r="J111" s="562">
        <v>0</v>
      </c>
      <c r="K111" s="531">
        <v>12</v>
      </c>
      <c r="L111" s="401">
        <f t="shared" si="20"/>
        <v>57</v>
      </c>
      <c r="M111" s="563">
        <v>45370</v>
      </c>
      <c r="N111" s="563">
        <v>45366</v>
      </c>
      <c r="O111" s="564"/>
      <c r="P111" s="564" t="s">
        <v>92</v>
      </c>
      <c r="Q111" s="564" t="s">
        <v>281</v>
      </c>
      <c r="R111" s="564">
        <v>45637</v>
      </c>
      <c r="S111" s="564" t="s">
        <v>77</v>
      </c>
      <c r="T111" s="564">
        <v>45637</v>
      </c>
      <c r="U111" s="530" t="s">
        <v>282</v>
      </c>
      <c r="V111" s="596" t="s">
        <v>283</v>
      </c>
      <c r="W111" s="592">
        <v>1.53</v>
      </c>
      <c r="X111" s="593">
        <f t="shared" si="32"/>
        <v>1046.52</v>
      </c>
      <c r="Y111" s="401" t="s">
        <v>284</v>
      </c>
      <c r="Z111" s="607" t="s">
        <v>245</v>
      </c>
      <c r="AA111" s="1453" t="s">
        <v>128</v>
      </c>
      <c r="AB111" s="608"/>
      <c r="AC111" s="608"/>
      <c r="AD111" s="608"/>
      <c r="AE111" s="564" t="s">
        <v>80</v>
      </c>
      <c r="AF111" s="564"/>
      <c r="AG111" s="608">
        <f t="shared" si="30"/>
        <v>684</v>
      </c>
      <c r="AH111" s="608"/>
      <c r="AI111" s="608"/>
      <c r="AJ111" s="608"/>
      <c r="AK111" s="609">
        <f t="shared" si="29"/>
        <v>684</v>
      </c>
      <c r="AL111" s="401"/>
      <c r="AM111" s="609"/>
      <c r="AN111" s="609"/>
      <c r="AO111" s="609">
        <f t="shared" si="31"/>
        <v>684</v>
      </c>
      <c r="AP111" s="609"/>
      <c r="AQ111" s="609"/>
      <c r="AR111" s="609"/>
      <c r="AS111" s="609"/>
      <c r="AT111" s="633"/>
      <c r="AU111" s="633"/>
      <c r="AV111" s="633"/>
      <c r="AW111" s="633">
        <f t="shared" si="33"/>
        <v>57</v>
      </c>
      <c r="AX111" s="633"/>
      <c r="AY111" s="633"/>
      <c r="AZ111" s="633"/>
      <c r="BA111" s="633"/>
      <c r="BB111" s="633"/>
      <c r="BC111" s="633"/>
      <c r="BD111" s="633"/>
      <c r="BE111" s="633"/>
      <c r="BF111" s="633"/>
      <c r="BG111" s="633"/>
      <c r="BH111" s="633"/>
      <c r="BI111" s="633"/>
      <c r="BJ111" s="633"/>
      <c r="BK111" s="633"/>
      <c r="BL111" s="633"/>
      <c r="BM111" s="201">
        <f t="shared" si="19"/>
        <v>684</v>
      </c>
      <c r="BN111" s="199"/>
      <c r="BO111" s="1473"/>
      <c r="BP111" s="1473"/>
      <c r="BQ111" s="199"/>
      <c r="BR111" s="199"/>
      <c r="BS111" s="199"/>
    </row>
    <row r="112" s="200" customFormat="1" ht="36" customHeight="1" spans="1:71">
      <c r="A112" s="533">
        <v>45271</v>
      </c>
      <c r="B112" s="527" t="s">
        <v>278</v>
      </c>
      <c r="C112" s="528" t="s">
        <v>117</v>
      </c>
      <c r="D112" s="534">
        <v>4500119117</v>
      </c>
      <c r="E112" s="1678" t="s">
        <v>470</v>
      </c>
      <c r="F112" s="534" t="s">
        <v>471</v>
      </c>
      <c r="G112" s="531" t="s">
        <v>245</v>
      </c>
      <c r="H112" s="532" t="s">
        <v>74</v>
      </c>
      <c r="I112" s="401">
        <v>2412</v>
      </c>
      <c r="J112" s="562">
        <v>0</v>
      </c>
      <c r="K112" s="531">
        <v>12</v>
      </c>
      <c r="L112" s="401">
        <f t="shared" si="20"/>
        <v>201</v>
      </c>
      <c r="M112" s="563">
        <v>45370</v>
      </c>
      <c r="N112" s="563">
        <v>45366</v>
      </c>
      <c r="O112" s="564"/>
      <c r="P112" s="564" t="s">
        <v>92</v>
      </c>
      <c r="Q112" s="564" t="s">
        <v>281</v>
      </c>
      <c r="R112" s="564">
        <v>45637</v>
      </c>
      <c r="S112" s="564" t="s">
        <v>77</v>
      </c>
      <c r="T112" s="564">
        <v>45637</v>
      </c>
      <c r="U112" s="530" t="s">
        <v>282</v>
      </c>
      <c r="V112" s="596" t="s">
        <v>283</v>
      </c>
      <c r="W112" s="592">
        <v>1.53</v>
      </c>
      <c r="X112" s="593">
        <f t="shared" si="32"/>
        <v>3690.36</v>
      </c>
      <c r="Y112" s="401" t="s">
        <v>284</v>
      </c>
      <c r="Z112" s="607" t="s">
        <v>245</v>
      </c>
      <c r="AA112" s="1453" t="s">
        <v>128</v>
      </c>
      <c r="AB112" s="608"/>
      <c r="AC112" s="608"/>
      <c r="AD112" s="608"/>
      <c r="AE112" s="564" t="s">
        <v>80</v>
      </c>
      <c r="AF112" s="564"/>
      <c r="AG112" s="608">
        <f t="shared" si="30"/>
        <v>2412</v>
      </c>
      <c r="AH112" s="608"/>
      <c r="AI112" s="608"/>
      <c r="AJ112" s="608"/>
      <c r="AK112" s="609">
        <f t="shared" si="29"/>
        <v>2412</v>
      </c>
      <c r="AL112" s="401"/>
      <c r="AM112" s="609"/>
      <c r="AN112" s="609"/>
      <c r="AO112" s="609">
        <f t="shared" si="31"/>
        <v>2412</v>
      </c>
      <c r="AP112" s="609"/>
      <c r="AQ112" s="609"/>
      <c r="AR112" s="609"/>
      <c r="AS112" s="609"/>
      <c r="AT112" s="633"/>
      <c r="AU112" s="633"/>
      <c r="AV112" s="633"/>
      <c r="AW112" s="633">
        <f t="shared" si="33"/>
        <v>201</v>
      </c>
      <c r="AX112" s="633"/>
      <c r="AY112" s="633"/>
      <c r="AZ112" s="633"/>
      <c r="BA112" s="633"/>
      <c r="BB112" s="633"/>
      <c r="BC112" s="633"/>
      <c r="BD112" s="633"/>
      <c r="BE112" s="633"/>
      <c r="BF112" s="633"/>
      <c r="BG112" s="633"/>
      <c r="BH112" s="633"/>
      <c r="BI112" s="633"/>
      <c r="BJ112" s="633"/>
      <c r="BK112" s="633"/>
      <c r="BL112" s="633"/>
      <c r="BM112" s="201">
        <f t="shared" si="19"/>
        <v>2412</v>
      </c>
      <c r="BN112" s="199"/>
      <c r="BO112" s="1473"/>
      <c r="BP112" s="1473"/>
      <c r="BQ112" s="199"/>
      <c r="BR112" s="199"/>
      <c r="BS112" s="199"/>
    </row>
    <row r="113" s="200" customFormat="1" ht="36" customHeight="1" spans="1:71">
      <c r="A113" s="533">
        <v>45271</v>
      </c>
      <c r="B113" s="527" t="s">
        <v>278</v>
      </c>
      <c r="C113" s="528" t="s">
        <v>117</v>
      </c>
      <c r="D113" s="534">
        <v>4500119117</v>
      </c>
      <c r="E113" s="530">
        <v>8290335</v>
      </c>
      <c r="F113" s="534" t="s">
        <v>472</v>
      </c>
      <c r="G113" s="531" t="s">
        <v>245</v>
      </c>
      <c r="H113" s="532" t="s">
        <v>74</v>
      </c>
      <c r="I113" s="401">
        <v>3564</v>
      </c>
      <c r="J113" s="562">
        <v>0</v>
      </c>
      <c r="K113" s="531">
        <v>12</v>
      </c>
      <c r="L113" s="401">
        <f t="shared" si="20"/>
        <v>297</v>
      </c>
      <c r="M113" s="563">
        <v>45370</v>
      </c>
      <c r="N113" s="563">
        <v>45366</v>
      </c>
      <c r="O113" s="564"/>
      <c r="P113" s="564" t="s">
        <v>92</v>
      </c>
      <c r="Q113" s="564" t="s">
        <v>281</v>
      </c>
      <c r="R113" s="564">
        <v>45637</v>
      </c>
      <c r="S113" s="564" t="s">
        <v>77</v>
      </c>
      <c r="T113" s="564">
        <v>45637</v>
      </c>
      <c r="U113" s="530" t="s">
        <v>282</v>
      </c>
      <c r="V113" s="596" t="s">
        <v>283</v>
      </c>
      <c r="W113" s="592">
        <v>1.53</v>
      </c>
      <c r="X113" s="593">
        <f t="shared" si="32"/>
        <v>5452.92</v>
      </c>
      <c r="Y113" s="401" t="s">
        <v>284</v>
      </c>
      <c r="Z113" s="607" t="s">
        <v>245</v>
      </c>
      <c r="AA113" s="1453" t="s">
        <v>128</v>
      </c>
      <c r="AB113" s="608"/>
      <c r="AC113" s="608"/>
      <c r="AD113" s="608"/>
      <c r="AE113" s="564" t="s">
        <v>80</v>
      </c>
      <c r="AF113" s="564"/>
      <c r="AG113" s="608">
        <f t="shared" si="30"/>
        <v>3564</v>
      </c>
      <c r="AH113" s="608"/>
      <c r="AI113" s="608"/>
      <c r="AJ113" s="608"/>
      <c r="AK113" s="609">
        <f t="shared" si="29"/>
        <v>3564</v>
      </c>
      <c r="AL113" s="401"/>
      <c r="AM113" s="609"/>
      <c r="AN113" s="609"/>
      <c r="AO113" s="609">
        <f t="shared" si="31"/>
        <v>3564</v>
      </c>
      <c r="AP113" s="609"/>
      <c r="AQ113" s="609"/>
      <c r="AR113" s="609"/>
      <c r="AS113" s="609"/>
      <c r="AT113" s="633"/>
      <c r="AU113" s="633"/>
      <c r="AV113" s="633"/>
      <c r="AW113" s="633">
        <f t="shared" si="33"/>
        <v>297</v>
      </c>
      <c r="AX113" s="633"/>
      <c r="AY113" s="633"/>
      <c r="AZ113" s="633"/>
      <c r="BA113" s="633"/>
      <c r="BB113" s="633"/>
      <c r="BC113" s="633"/>
      <c r="BD113" s="633"/>
      <c r="BE113" s="633"/>
      <c r="BF113" s="633"/>
      <c r="BG113" s="633"/>
      <c r="BH113" s="633"/>
      <c r="BI113" s="633"/>
      <c r="BJ113" s="633"/>
      <c r="BK113" s="633"/>
      <c r="BL113" s="633"/>
      <c r="BM113" s="201">
        <f t="shared" si="19"/>
        <v>3564</v>
      </c>
      <c r="BN113" s="199"/>
      <c r="BO113" s="1473"/>
      <c r="BP113" s="1473"/>
      <c r="BQ113" s="199"/>
      <c r="BR113" s="199"/>
      <c r="BS113" s="199"/>
    </row>
    <row r="114" s="200" customFormat="1" ht="36" customHeight="1" spans="1:71">
      <c r="A114" s="533">
        <v>45271</v>
      </c>
      <c r="B114" s="527" t="s">
        <v>278</v>
      </c>
      <c r="C114" s="528" t="s">
        <v>117</v>
      </c>
      <c r="D114" s="534">
        <v>4500119117</v>
      </c>
      <c r="E114" s="1678" t="s">
        <v>473</v>
      </c>
      <c r="F114" s="534" t="s">
        <v>474</v>
      </c>
      <c r="G114" s="531" t="s">
        <v>245</v>
      </c>
      <c r="H114" s="532" t="s">
        <v>74</v>
      </c>
      <c r="I114" s="401">
        <v>252</v>
      </c>
      <c r="J114" s="562">
        <v>0</v>
      </c>
      <c r="K114" s="531">
        <v>12</v>
      </c>
      <c r="L114" s="401">
        <f t="shared" si="20"/>
        <v>21</v>
      </c>
      <c r="M114" s="563">
        <v>45370</v>
      </c>
      <c r="N114" s="563">
        <v>45366</v>
      </c>
      <c r="O114" s="564"/>
      <c r="P114" s="564" t="s">
        <v>92</v>
      </c>
      <c r="Q114" s="564" t="s">
        <v>281</v>
      </c>
      <c r="R114" s="564">
        <v>45637</v>
      </c>
      <c r="S114" s="564" t="s">
        <v>77</v>
      </c>
      <c r="T114" s="564">
        <v>45637</v>
      </c>
      <c r="U114" s="530" t="s">
        <v>282</v>
      </c>
      <c r="V114" s="596" t="s">
        <v>283</v>
      </c>
      <c r="W114" s="592">
        <v>1.53</v>
      </c>
      <c r="X114" s="593">
        <f t="shared" si="32"/>
        <v>385.56</v>
      </c>
      <c r="Y114" s="401" t="s">
        <v>284</v>
      </c>
      <c r="Z114" s="607" t="s">
        <v>245</v>
      </c>
      <c r="AA114" s="1453" t="s">
        <v>128</v>
      </c>
      <c r="AB114" s="608"/>
      <c r="AC114" s="608"/>
      <c r="AD114" s="608"/>
      <c r="AE114" s="564" t="s">
        <v>80</v>
      </c>
      <c r="AF114" s="564"/>
      <c r="AG114" s="608">
        <f t="shared" si="30"/>
        <v>252</v>
      </c>
      <c r="AH114" s="608"/>
      <c r="AI114" s="608"/>
      <c r="AJ114" s="608"/>
      <c r="AK114" s="609">
        <f t="shared" si="29"/>
        <v>252</v>
      </c>
      <c r="AL114" s="401"/>
      <c r="AM114" s="609"/>
      <c r="AN114" s="609"/>
      <c r="AO114" s="609">
        <f t="shared" si="31"/>
        <v>252</v>
      </c>
      <c r="AP114" s="609"/>
      <c r="AQ114" s="609"/>
      <c r="AR114" s="609"/>
      <c r="AS114" s="609"/>
      <c r="AT114" s="633"/>
      <c r="AU114" s="633"/>
      <c r="AV114" s="633"/>
      <c r="AW114" s="633">
        <f t="shared" si="33"/>
        <v>21</v>
      </c>
      <c r="AX114" s="633"/>
      <c r="AY114" s="633"/>
      <c r="AZ114" s="633"/>
      <c r="BA114" s="633"/>
      <c r="BB114" s="633"/>
      <c r="BC114" s="633"/>
      <c r="BD114" s="633"/>
      <c r="BE114" s="633"/>
      <c r="BF114" s="633"/>
      <c r="BG114" s="633"/>
      <c r="BH114" s="633"/>
      <c r="BI114" s="633"/>
      <c r="BJ114" s="633"/>
      <c r="BK114" s="633"/>
      <c r="BL114" s="633"/>
      <c r="BM114" s="201">
        <f t="shared" si="19"/>
        <v>252</v>
      </c>
      <c r="BN114" s="199"/>
      <c r="BO114" s="1473"/>
      <c r="BP114" s="1473"/>
      <c r="BQ114" s="199"/>
      <c r="BR114" s="199"/>
      <c r="BS114" s="199"/>
    </row>
    <row r="115" s="200" customFormat="1" ht="36" customHeight="1" spans="1:71">
      <c r="A115" s="533">
        <v>45271</v>
      </c>
      <c r="B115" s="527" t="s">
        <v>278</v>
      </c>
      <c r="C115" s="528" t="s">
        <v>117</v>
      </c>
      <c r="D115" s="534">
        <v>4500119117</v>
      </c>
      <c r="E115" s="530">
        <v>9153776</v>
      </c>
      <c r="F115" s="534" t="s">
        <v>475</v>
      </c>
      <c r="G115" s="531" t="s">
        <v>245</v>
      </c>
      <c r="H115" s="532" t="s">
        <v>74</v>
      </c>
      <c r="I115" s="401">
        <v>564</v>
      </c>
      <c r="J115" s="562">
        <v>0</v>
      </c>
      <c r="K115" s="531">
        <v>12</v>
      </c>
      <c r="L115" s="401">
        <f t="shared" si="20"/>
        <v>47</v>
      </c>
      <c r="M115" s="563">
        <v>45370</v>
      </c>
      <c r="N115" s="563">
        <v>45366</v>
      </c>
      <c r="O115" s="564"/>
      <c r="P115" s="564" t="s">
        <v>92</v>
      </c>
      <c r="Q115" s="564" t="s">
        <v>281</v>
      </c>
      <c r="R115" s="564">
        <v>45637</v>
      </c>
      <c r="S115" s="564" t="s">
        <v>77</v>
      </c>
      <c r="T115" s="564">
        <v>45637</v>
      </c>
      <c r="U115" s="530" t="s">
        <v>282</v>
      </c>
      <c r="V115" s="596" t="s">
        <v>283</v>
      </c>
      <c r="W115" s="592">
        <v>1.53</v>
      </c>
      <c r="X115" s="593">
        <f t="shared" si="32"/>
        <v>862.92</v>
      </c>
      <c r="Y115" s="401" t="s">
        <v>284</v>
      </c>
      <c r="Z115" s="607" t="s">
        <v>245</v>
      </c>
      <c r="AA115" s="1453" t="s">
        <v>128</v>
      </c>
      <c r="AB115" s="608"/>
      <c r="AC115" s="608"/>
      <c r="AD115" s="608"/>
      <c r="AE115" s="564" t="s">
        <v>80</v>
      </c>
      <c r="AF115" s="564"/>
      <c r="AG115" s="608">
        <f t="shared" si="30"/>
        <v>564</v>
      </c>
      <c r="AH115" s="608"/>
      <c r="AI115" s="608"/>
      <c r="AJ115" s="608"/>
      <c r="AK115" s="609">
        <f t="shared" si="29"/>
        <v>564</v>
      </c>
      <c r="AL115" s="401"/>
      <c r="AM115" s="609"/>
      <c r="AN115" s="609"/>
      <c r="AO115" s="609">
        <f t="shared" si="31"/>
        <v>564</v>
      </c>
      <c r="AP115" s="609"/>
      <c r="AQ115" s="609"/>
      <c r="AR115" s="609"/>
      <c r="AS115" s="609"/>
      <c r="AT115" s="633"/>
      <c r="AU115" s="633"/>
      <c r="AV115" s="633"/>
      <c r="AW115" s="633">
        <f t="shared" si="33"/>
        <v>47</v>
      </c>
      <c r="AX115" s="633"/>
      <c r="AY115" s="633"/>
      <c r="AZ115" s="633"/>
      <c r="BA115" s="633"/>
      <c r="BB115" s="633"/>
      <c r="BC115" s="633"/>
      <c r="BD115" s="633"/>
      <c r="BE115" s="633"/>
      <c r="BF115" s="633"/>
      <c r="BG115" s="633"/>
      <c r="BH115" s="633"/>
      <c r="BI115" s="633"/>
      <c r="BJ115" s="633"/>
      <c r="BK115" s="633"/>
      <c r="BL115" s="633"/>
      <c r="BM115" s="201">
        <f t="shared" si="19"/>
        <v>564</v>
      </c>
      <c r="BN115" s="199"/>
      <c r="BO115" s="1473"/>
      <c r="BP115" s="1473"/>
      <c r="BQ115" s="199"/>
      <c r="BR115" s="199"/>
      <c r="BS115" s="199"/>
    </row>
    <row r="116" s="200" customFormat="1" ht="36" customHeight="1" spans="1:71">
      <c r="A116" s="533">
        <v>45301</v>
      </c>
      <c r="B116" s="527" t="s">
        <v>476</v>
      </c>
      <c r="C116" s="528" t="s">
        <v>477</v>
      </c>
      <c r="D116" s="534">
        <v>4500123062</v>
      </c>
      <c r="E116" s="530" t="s">
        <v>478</v>
      </c>
      <c r="F116" s="534" t="s">
        <v>479</v>
      </c>
      <c r="G116" s="531" t="s">
        <v>207</v>
      </c>
      <c r="H116" s="532" t="s">
        <v>74</v>
      </c>
      <c r="I116" s="531">
        <v>1344</v>
      </c>
      <c r="J116" s="562">
        <v>0</v>
      </c>
      <c r="K116" s="531">
        <v>48</v>
      </c>
      <c r="L116" s="401">
        <f t="shared" si="20"/>
        <v>28</v>
      </c>
      <c r="M116" s="563">
        <v>45379</v>
      </c>
      <c r="N116" s="563">
        <v>45376</v>
      </c>
      <c r="O116" s="564"/>
      <c r="P116" s="564" t="s">
        <v>92</v>
      </c>
      <c r="Q116" s="564" t="s">
        <v>480</v>
      </c>
      <c r="R116" s="564">
        <v>45356</v>
      </c>
      <c r="S116" s="564" t="s">
        <v>77</v>
      </c>
      <c r="T116" s="564">
        <v>45362</v>
      </c>
      <c r="U116" s="530" t="s">
        <v>481</v>
      </c>
      <c r="V116" s="596" t="s">
        <v>482</v>
      </c>
      <c r="W116" s="592">
        <v>1.41</v>
      </c>
      <c r="X116" s="593">
        <f t="shared" si="32"/>
        <v>1895.04</v>
      </c>
      <c r="Y116" s="401" t="s">
        <v>483</v>
      </c>
      <c r="Z116" s="607" t="s">
        <v>484</v>
      </c>
      <c r="AA116" s="1453" t="s">
        <v>128</v>
      </c>
      <c r="AB116" s="608"/>
      <c r="AC116" s="608"/>
      <c r="AD116" s="608"/>
      <c r="AE116" s="564" t="s">
        <v>80</v>
      </c>
      <c r="AF116" s="564"/>
      <c r="AG116" s="608">
        <f t="shared" si="30"/>
        <v>1344</v>
      </c>
      <c r="AH116" s="608"/>
      <c r="AI116" s="608"/>
      <c r="AJ116" s="608"/>
      <c r="AK116" s="401">
        <f t="shared" ref="AK116:AK118" si="34">I116</f>
        <v>1344</v>
      </c>
      <c r="AL116" s="401"/>
      <c r="AM116" s="609"/>
      <c r="AN116" s="609"/>
      <c r="AO116" s="609">
        <f t="shared" si="31"/>
        <v>1344</v>
      </c>
      <c r="AP116" s="609"/>
      <c r="AQ116" s="609"/>
      <c r="AR116" s="609"/>
      <c r="AS116" s="609"/>
      <c r="AT116" s="633"/>
      <c r="AU116" s="633"/>
      <c r="AV116" s="633"/>
      <c r="AW116" s="633">
        <f>AG116/12</f>
        <v>112</v>
      </c>
      <c r="AX116" s="401"/>
      <c r="AY116" s="633"/>
      <c r="AZ116" s="633"/>
      <c r="BA116" s="633"/>
      <c r="BB116" s="633"/>
      <c r="BC116" s="633"/>
      <c r="BD116" s="633"/>
      <c r="BE116" s="633"/>
      <c r="BF116" s="633"/>
      <c r="BG116" s="633"/>
      <c r="BH116" s="633"/>
      <c r="BI116" s="633"/>
      <c r="BJ116" s="633"/>
      <c r="BK116" s="633"/>
      <c r="BL116" s="633"/>
      <c r="BM116" s="201">
        <f t="shared" si="19"/>
        <v>1344</v>
      </c>
      <c r="BN116" s="199"/>
      <c r="BO116" s="1473"/>
      <c r="BP116" s="1473"/>
      <c r="BQ116" s="199"/>
      <c r="BR116" s="199"/>
      <c r="BS116" s="199"/>
    </row>
    <row r="117" s="200" customFormat="1" ht="36" customHeight="1" spans="1:68">
      <c r="A117" s="533">
        <v>45308</v>
      </c>
      <c r="B117" s="527" t="s">
        <v>485</v>
      </c>
      <c r="C117" s="528" t="s">
        <v>233</v>
      </c>
      <c r="D117" s="534">
        <v>4500123510</v>
      </c>
      <c r="E117" s="530" t="s">
        <v>486</v>
      </c>
      <c r="F117" s="534" t="s">
        <v>487</v>
      </c>
      <c r="G117" s="531" t="s">
        <v>215</v>
      </c>
      <c r="H117" s="532" t="s">
        <v>74</v>
      </c>
      <c r="I117" s="401">
        <v>3150</v>
      </c>
      <c r="J117" s="562">
        <v>0</v>
      </c>
      <c r="K117" s="531">
        <v>42</v>
      </c>
      <c r="L117" s="401">
        <f t="shared" si="20"/>
        <v>75</v>
      </c>
      <c r="M117" s="563">
        <v>45372</v>
      </c>
      <c r="N117" s="563">
        <v>45369</v>
      </c>
      <c r="O117" s="564" t="s">
        <v>340</v>
      </c>
      <c r="P117" s="564" t="s">
        <v>92</v>
      </c>
      <c r="Q117" s="564" t="s">
        <v>488</v>
      </c>
      <c r="R117" s="564">
        <v>45308</v>
      </c>
      <c r="S117" s="564" t="s">
        <v>77</v>
      </c>
      <c r="T117" s="564" t="s">
        <v>489</v>
      </c>
      <c r="U117" s="530" t="s">
        <v>490</v>
      </c>
      <c r="V117" s="596" t="s">
        <v>491</v>
      </c>
      <c r="W117" s="592">
        <v>1.649</v>
      </c>
      <c r="X117" s="593">
        <f t="shared" si="32"/>
        <v>5194.35</v>
      </c>
      <c r="Y117" s="401" t="s">
        <v>492</v>
      </c>
      <c r="Z117" s="607" t="s">
        <v>215</v>
      </c>
      <c r="AA117" s="1453" t="s">
        <v>128</v>
      </c>
      <c r="AB117" s="608"/>
      <c r="AC117" s="608"/>
      <c r="AD117" s="608"/>
      <c r="AE117" s="564" t="s">
        <v>80</v>
      </c>
      <c r="AF117" s="564"/>
      <c r="AG117" s="608">
        <f t="shared" si="30"/>
        <v>3150</v>
      </c>
      <c r="AH117" s="608"/>
      <c r="AI117" s="608"/>
      <c r="AJ117" s="608"/>
      <c r="AK117" s="609">
        <f t="shared" si="34"/>
        <v>3150</v>
      </c>
      <c r="AL117" s="401"/>
      <c r="AM117" s="609"/>
      <c r="AN117" s="609"/>
      <c r="AO117" s="609">
        <f t="shared" si="31"/>
        <v>3150</v>
      </c>
      <c r="AP117" s="609"/>
      <c r="AQ117" s="609"/>
      <c r="AR117" s="609"/>
      <c r="AS117" s="609">
        <f t="shared" ref="AS117:AS123" si="35">I117/21</f>
        <v>150</v>
      </c>
      <c r="AT117" s="633"/>
      <c r="AU117" s="633"/>
      <c r="AV117" s="633"/>
      <c r="AW117" s="633"/>
      <c r="AX117" s="633"/>
      <c r="AY117" s="633"/>
      <c r="AZ117" s="633"/>
      <c r="BA117" s="633"/>
      <c r="BB117" s="633"/>
      <c r="BC117" s="633"/>
      <c r="BD117" s="633"/>
      <c r="BE117" s="633"/>
      <c r="BF117" s="633"/>
      <c r="BG117" s="633"/>
      <c r="BH117" s="633"/>
      <c r="BI117" s="633"/>
      <c r="BJ117" s="633"/>
      <c r="BK117" s="633"/>
      <c r="BL117" s="633"/>
      <c r="BM117" s="401">
        <f t="shared" si="19"/>
        <v>3150</v>
      </c>
      <c r="BO117" s="1473"/>
      <c r="BP117" s="1473"/>
    </row>
    <row r="118" s="200" customFormat="1" ht="36" customHeight="1" spans="1:68">
      <c r="A118" s="533">
        <v>45308</v>
      </c>
      <c r="B118" s="527" t="s">
        <v>485</v>
      </c>
      <c r="C118" s="528" t="s">
        <v>233</v>
      </c>
      <c r="D118" s="534">
        <v>4500123510</v>
      </c>
      <c r="E118" s="530" t="s">
        <v>493</v>
      </c>
      <c r="F118" s="534" t="s">
        <v>494</v>
      </c>
      <c r="G118" s="531" t="s">
        <v>215</v>
      </c>
      <c r="H118" s="532" t="s">
        <v>74</v>
      </c>
      <c r="I118" s="401">
        <v>1050</v>
      </c>
      <c r="J118" s="562">
        <v>0</v>
      </c>
      <c r="K118" s="531">
        <v>42</v>
      </c>
      <c r="L118" s="401">
        <f t="shared" si="20"/>
        <v>25</v>
      </c>
      <c r="M118" s="563">
        <v>45372</v>
      </c>
      <c r="N118" s="563">
        <v>45369</v>
      </c>
      <c r="O118" s="564" t="s">
        <v>340</v>
      </c>
      <c r="P118" s="564" t="s">
        <v>92</v>
      </c>
      <c r="Q118" s="564" t="s">
        <v>488</v>
      </c>
      <c r="R118" s="564">
        <v>45308</v>
      </c>
      <c r="S118" s="564" t="s">
        <v>77</v>
      </c>
      <c r="T118" s="564" t="s">
        <v>489</v>
      </c>
      <c r="U118" s="530" t="s">
        <v>490</v>
      </c>
      <c r="V118" s="596" t="s">
        <v>491</v>
      </c>
      <c r="W118" s="592">
        <v>1.649</v>
      </c>
      <c r="X118" s="593">
        <f t="shared" si="32"/>
        <v>1731.45</v>
      </c>
      <c r="Y118" s="401" t="s">
        <v>495</v>
      </c>
      <c r="Z118" s="607" t="s">
        <v>215</v>
      </c>
      <c r="AA118" s="1453" t="s">
        <v>128</v>
      </c>
      <c r="AB118" s="608"/>
      <c r="AC118" s="608"/>
      <c r="AD118" s="608"/>
      <c r="AE118" s="564" t="s">
        <v>80</v>
      </c>
      <c r="AF118" s="564"/>
      <c r="AG118" s="608">
        <f t="shared" si="30"/>
        <v>1050</v>
      </c>
      <c r="AH118" s="608"/>
      <c r="AI118" s="608"/>
      <c r="AJ118" s="608"/>
      <c r="AK118" s="609">
        <f t="shared" si="34"/>
        <v>1050</v>
      </c>
      <c r="AL118" s="401"/>
      <c r="AM118" s="609"/>
      <c r="AN118" s="609"/>
      <c r="AO118" s="609">
        <f t="shared" si="31"/>
        <v>1050</v>
      </c>
      <c r="AP118" s="609"/>
      <c r="AQ118" s="609"/>
      <c r="AR118" s="609"/>
      <c r="AS118" s="609">
        <f t="shared" si="35"/>
        <v>50</v>
      </c>
      <c r="AT118" s="633"/>
      <c r="AU118" s="633"/>
      <c r="AV118" s="633"/>
      <c r="AW118" s="633"/>
      <c r="AX118" s="633"/>
      <c r="AY118" s="633"/>
      <c r="AZ118" s="633"/>
      <c r="BA118" s="633"/>
      <c r="BB118" s="633"/>
      <c r="BC118" s="633"/>
      <c r="BD118" s="633"/>
      <c r="BE118" s="633"/>
      <c r="BF118" s="633"/>
      <c r="BG118" s="633"/>
      <c r="BH118" s="633"/>
      <c r="BI118" s="633"/>
      <c r="BJ118" s="633"/>
      <c r="BK118" s="633"/>
      <c r="BL118" s="633"/>
      <c r="BM118" s="401">
        <f t="shared" si="19"/>
        <v>1050</v>
      </c>
      <c r="BO118" s="1473"/>
      <c r="BP118" s="1473"/>
    </row>
    <row r="119" s="200" customFormat="1" ht="36" customHeight="1" spans="1:68">
      <c r="A119" s="533">
        <v>45310</v>
      </c>
      <c r="B119" s="527" t="s">
        <v>189</v>
      </c>
      <c r="C119" s="528" t="s">
        <v>190</v>
      </c>
      <c r="D119" s="534">
        <v>4500123597</v>
      </c>
      <c r="E119" s="530">
        <v>19631974</v>
      </c>
      <c r="F119" s="534" t="s">
        <v>496</v>
      </c>
      <c r="G119" s="531" t="s">
        <v>160</v>
      </c>
      <c r="H119" s="532" t="s">
        <v>74</v>
      </c>
      <c r="I119" s="401">
        <v>1729</v>
      </c>
      <c r="J119" s="562">
        <v>0</v>
      </c>
      <c r="K119" s="531">
        <v>13</v>
      </c>
      <c r="L119" s="401">
        <f t="shared" si="20"/>
        <v>133</v>
      </c>
      <c r="M119" s="563">
        <v>45376</v>
      </c>
      <c r="N119" s="563">
        <v>45372</v>
      </c>
      <c r="O119" s="564"/>
      <c r="P119" s="564" t="s">
        <v>92</v>
      </c>
      <c r="Q119" s="564" t="s">
        <v>488</v>
      </c>
      <c r="R119" s="564">
        <v>45377</v>
      </c>
      <c r="S119" s="564" t="s">
        <v>123</v>
      </c>
      <c r="T119" s="564">
        <v>45355</v>
      </c>
      <c r="U119" s="530" t="s">
        <v>497</v>
      </c>
      <c r="V119" s="596" t="s">
        <v>194</v>
      </c>
      <c r="W119" s="592">
        <v>1.7</v>
      </c>
      <c r="X119" s="593">
        <f t="shared" si="32"/>
        <v>2939.3</v>
      </c>
      <c r="Y119" s="401" t="s">
        <v>498</v>
      </c>
      <c r="Z119" s="607" t="s">
        <v>160</v>
      </c>
      <c r="AA119" s="1453" t="s">
        <v>128</v>
      </c>
      <c r="AB119" s="608"/>
      <c r="AC119" s="608"/>
      <c r="AD119" s="608"/>
      <c r="AE119" s="564" t="s">
        <v>80</v>
      </c>
      <c r="AF119" s="564"/>
      <c r="AG119" s="608">
        <f t="shared" si="30"/>
        <v>1729</v>
      </c>
      <c r="AH119" s="608"/>
      <c r="AI119" s="608"/>
      <c r="AJ119" s="608"/>
      <c r="AK119" s="609">
        <f>AG119</f>
        <v>1729</v>
      </c>
      <c r="AL119" s="401"/>
      <c r="AM119" s="609"/>
      <c r="AN119" s="609"/>
      <c r="AO119" s="609">
        <f t="shared" si="31"/>
        <v>1729</v>
      </c>
      <c r="AP119" s="609"/>
      <c r="AQ119" s="609"/>
      <c r="AR119" s="609"/>
      <c r="AS119" s="609"/>
      <c r="AT119" s="633"/>
      <c r="AU119" s="633"/>
      <c r="AV119" s="633"/>
      <c r="AW119" s="633"/>
      <c r="AX119" s="633"/>
      <c r="AY119" s="633">
        <f>I119/13</f>
        <v>133</v>
      </c>
      <c r="AZ119" s="633"/>
      <c r="BA119" s="633"/>
      <c r="BB119" s="633"/>
      <c r="BC119" s="633"/>
      <c r="BD119" s="633"/>
      <c r="BE119" s="633"/>
      <c r="BF119" s="633"/>
      <c r="BG119" s="633"/>
      <c r="BH119" s="633"/>
      <c r="BI119" s="633"/>
      <c r="BJ119" s="633"/>
      <c r="BK119" s="633"/>
      <c r="BL119" s="633"/>
      <c r="BM119" s="401">
        <f t="shared" si="19"/>
        <v>1729</v>
      </c>
      <c r="BO119" s="1473"/>
      <c r="BP119" s="1473"/>
    </row>
    <row r="120" s="200" customFormat="1" ht="36" customHeight="1" spans="1:68">
      <c r="A120" s="533">
        <v>45222</v>
      </c>
      <c r="B120" s="527" t="s">
        <v>499</v>
      </c>
      <c r="C120" s="528" t="s">
        <v>500</v>
      </c>
      <c r="D120" s="534">
        <v>4500116558</v>
      </c>
      <c r="E120" s="530">
        <v>2000004146</v>
      </c>
      <c r="F120" s="534" t="s">
        <v>501</v>
      </c>
      <c r="G120" s="531" t="s">
        <v>73</v>
      </c>
      <c r="H120" s="532" t="s">
        <v>74</v>
      </c>
      <c r="I120" s="401">
        <v>7200</v>
      </c>
      <c r="J120" s="562">
        <v>0</v>
      </c>
      <c r="K120" s="531">
        <v>24</v>
      </c>
      <c r="L120" s="401">
        <f t="shared" si="20"/>
        <v>300</v>
      </c>
      <c r="M120" s="563">
        <v>45377</v>
      </c>
      <c r="N120" s="563">
        <v>45373</v>
      </c>
      <c r="O120" s="564" t="s">
        <v>502</v>
      </c>
      <c r="P120" s="564" t="s">
        <v>503</v>
      </c>
      <c r="Q120" s="564" t="s">
        <v>504</v>
      </c>
      <c r="R120" s="564">
        <v>45326</v>
      </c>
      <c r="S120" s="564" t="s">
        <v>77</v>
      </c>
      <c r="T120" s="564">
        <v>45349</v>
      </c>
      <c r="U120" s="530" t="s">
        <v>505</v>
      </c>
      <c r="V120" s="596" t="s">
        <v>186</v>
      </c>
      <c r="W120" s="592">
        <v>1.19</v>
      </c>
      <c r="X120" s="593">
        <f t="shared" si="32"/>
        <v>8568</v>
      </c>
      <c r="Y120" s="401" t="s">
        <v>506</v>
      </c>
      <c r="Z120" s="607" t="s">
        <v>188</v>
      </c>
      <c r="AA120" s="1453" t="s">
        <v>128</v>
      </c>
      <c r="AB120" s="608"/>
      <c r="AC120" s="608"/>
      <c r="AD120" s="608"/>
      <c r="AE120" s="564" t="s">
        <v>80</v>
      </c>
      <c r="AF120" s="564"/>
      <c r="AG120" s="608">
        <f t="shared" si="30"/>
        <v>7200</v>
      </c>
      <c r="AH120" s="608"/>
      <c r="AI120" s="608"/>
      <c r="AJ120" s="608"/>
      <c r="AK120" s="401"/>
      <c r="AL120" s="401">
        <f>AG120</f>
        <v>7200</v>
      </c>
      <c r="AM120" s="609"/>
      <c r="AN120" s="609"/>
      <c r="AO120" s="609">
        <f t="shared" si="31"/>
        <v>7200</v>
      </c>
      <c r="AP120" s="609"/>
      <c r="AQ120" s="609"/>
      <c r="AR120" s="609"/>
      <c r="AS120" s="609"/>
      <c r="AT120" s="633"/>
      <c r="AU120" s="633"/>
      <c r="AV120" s="633"/>
      <c r="AW120" s="633"/>
      <c r="AX120" s="633"/>
      <c r="AY120" s="633"/>
      <c r="AZ120" s="633"/>
      <c r="BA120" s="633"/>
      <c r="BB120" s="633"/>
      <c r="BC120" s="633"/>
      <c r="BD120" s="633"/>
      <c r="BE120" s="633"/>
      <c r="BF120" s="633"/>
      <c r="BG120" s="633"/>
      <c r="BH120" s="633"/>
      <c r="BI120" s="633"/>
      <c r="BJ120" s="633"/>
      <c r="BK120" s="633"/>
      <c r="BL120" s="633"/>
      <c r="BM120" s="401">
        <f t="shared" si="19"/>
        <v>7200</v>
      </c>
      <c r="BO120" s="1473"/>
      <c r="BP120" s="1473"/>
    </row>
    <row r="121" s="200" customFormat="1" ht="36" customHeight="1" spans="1:68">
      <c r="A121" s="533">
        <v>45320</v>
      </c>
      <c r="B121" s="527" t="s">
        <v>507</v>
      </c>
      <c r="C121" s="528" t="s">
        <v>213</v>
      </c>
      <c r="D121" s="534">
        <v>4500123744</v>
      </c>
      <c r="E121" s="530">
        <v>2618192</v>
      </c>
      <c r="F121" s="534" t="s">
        <v>508</v>
      </c>
      <c r="G121" s="531" t="s">
        <v>160</v>
      </c>
      <c r="H121" s="532" t="s">
        <v>74</v>
      </c>
      <c r="I121" s="401">
        <v>3497</v>
      </c>
      <c r="J121" s="562">
        <v>0</v>
      </c>
      <c r="K121" s="531">
        <v>13</v>
      </c>
      <c r="L121" s="401">
        <f t="shared" si="20"/>
        <v>269</v>
      </c>
      <c r="M121" s="563">
        <v>45380</v>
      </c>
      <c r="N121" s="563">
        <v>45376</v>
      </c>
      <c r="O121" s="564"/>
      <c r="P121" s="564" t="s">
        <v>92</v>
      </c>
      <c r="Q121" s="564" t="s">
        <v>509</v>
      </c>
      <c r="R121" s="564">
        <v>45318</v>
      </c>
      <c r="S121" s="564" t="s">
        <v>77</v>
      </c>
      <c r="T121" s="564" t="s">
        <v>77</v>
      </c>
      <c r="U121" s="530" t="s">
        <v>510</v>
      </c>
      <c r="V121" s="596" t="s">
        <v>230</v>
      </c>
      <c r="W121" s="592">
        <v>1.7</v>
      </c>
      <c r="X121" s="593">
        <f t="shared" si="32"/>
        <v>5944.9</v>
      </c>
      <c r="Y121" s="401" t="s">
        <v>511</v>
      </c>
      <c r="Z121" s="607" t="s">
        <v>160</v>
      </c>
      <c r="AA121" s="1453" t="s">
        <v>128</v>
      </c>
      <c r="AB121" s="608"/>
      <c r="AC121" s="608"/>
      <c r="AD121" s="608"/>
      <c r="AE121" s="564" t="s">
        <v>80</v>
      </c>
      <c r="AF121" s="564"/>
      <c r="AG121" s="608">
        <f t="shared" si="30"/>
        <v>3497</v>
      </c>
      <c r="AH121" s="608"/>
      <c r="AI121" s="608"/>
      <c r="AJ121" s="608"/>
      <c r="AK121" s="609">
        <f>AG121</f>
        <v>3497</v>
      </c>
      <c r="AL121" s="401"/>
      <c r="AM121" s="609"/>
      <c r="AN121" s="609"/>
      <c r="AO121" s="609">
        <f t="shared" si="31"/>
        <v>3497</v>
      </c>
      <c r="AP121" s="609"/>
      <c r="AQ121" s="609"/>
      <c r="AR121" s="609"/>
      <c r="AS121" s="609"/>
      <c r="AT121" s="633"/>
      <c r="AU121" s="633"/>
      <c r="AV121" s="633"/>
      <c r="AW121" s="633"/>
      <c r="AX121" s="633"/>
      <c r="AY121" s="633">
        <f>I121/13</f>
        <v>269</v>
      </c>
      <c r="AZ121" s="633"/>
      <c r="BA121" s="633"/>
      <c r="BB121" s="633"/>
      <c r="BC121" s="633"/>
      <c r="BD121" s="633"/>
      <c r="BE121" s="633"/>
      <c r="BF121" s="633"/>
      <c r="BG121" s="633"/>
      <c r="BH121" s="633"/>
      <c r="BI121" s="633"/>
      <c r="BJ121" s="633"/>
      <c r="BK121" s="633"/>
      <c r="BL121" s="633"/>
      <c r="BM121" s="401">
        <f t="shared" si="19"/>
        <v>3497</v>
      </c>
      <c r="BO121" s="1473"/>
      <c r="BP121" s="1473"/>
    </row>
    <row r="122" s="200" customFormat="1" ht="36" customHeight="1" spans="1:68">
      <c r="A122" s="533">
        <v>45299</v>
      </c>
      <c r="B122" s="527" t="s">
        <v>512</v>
      </c>
      <c r="C122" s="528" t="s">
        <v>213</v>
      </c>
      <c r="D122" s="534">
        <v>4500122737</v>
      </c>
      <c r="E122" s="530" t="s">
        <v>513</v>
      </c>
      <c r="F122" s="534" t="s">
        <v>514</v>
      </c>
      <c r="G122" s="531" t="s">
        <v>215</v>
      </c>
      <c r="H122" s="532" t="s">
        <v>74</v>
      </c>
      <c r="I122" s="401">
        <v>840</v>
      </c>
      <c r="J122" s="562">
        <v>0</v>
      </c>
      <c r="K122" s="531">
        <v>42</v>
      </c>
      <c r="L122" s="401">
        <f t="shared" si="20"/>
        <v>20</v>
      </c>
      <c r="M122" s="563">
        <v>45380</v>
      </c>
      <c r="N122" s="563">
        <v>45376</v>
      </c>
      <c r="O122" s="564"/>
      <c r="P122" s="564" t="s">
        <v>92</v>
      </c>
      <c r="Q122" s="564"/>
      <c r="R122" s="564">
        <v>45302</v>
      </c>
      <c r="S122" s="564" t="s">
        <v>77</v>
      </c>
      <c r="T122" s="564" t="s">
        <v>77</v>
      </c>
      <c r="U122" s="530" t="s">
        <v>515</v>
      </c>
      <c r="V122" s="596" t="s">
        <v>218</v>
      </c>
      <c r="W122" s="592">
        <v>1.649</v>
      </c>
      <c r="X122" s="593">
        <f t="shared" si="32"/>
        <v>1385.16</v>
      </c>
      <c r="Y122" s="401" t="s">
        <v>516</v>
      </c>
      <c r="Z122" s="607" t="s">
        <v>215</v>
      </c>
      <c r="AA122" s="1453" t="s">
        <v>128</v>
      </c>
      <c r="AB122" s="608"/>
      <c r="AC122" s="608"/>
      <c r="AD122" s="608"/>
      <c r="AE122" s="564" t="s">
        <v>80</v>
      </c>
      <c r="AF122" s="564"/>
      <c r="AG122" s="608">
        <f t="shared" si="30"/>
        <v>840</v>
      </c>
      <c r="AH122" s="608"/>
      <c r="AI122" s="608"/>
      <c r="AJ122" s="608"/>
      <c r="AK122" s="609">
        <f t="shared" ref="AK122:AK128" si="36">I122</f>
        <v>840</v>
      </c>
      <c r="AL122" s="401"/>
      <c r="AM122" s="609"/>
      <c r="AN122" s="609"/>
      <c r="AO122" s="609">
        <f t="shared" si="31"/>
        <v>840</v>
      </c>
      <c r="AP122" s="609"/>
      <c r="AQ122" s="609"/>
      <c r="AR122" s="609"/>
      <c r="AS122" s="609">
        <f t="shared" si="35"/>
        <v>40</v>
      </c>
      <c r="AT122" s="633"/>
      <c r="AU122" s="633"/>
      <c r="AV122" s="633"/>
      <c r="AW122" s="633"/>
      <c r="AX122" s="633"/>
      <c r="AY122" s="633"/>
      <c r="AZ122" s="633"/>
      <c r="BA122" s="633"/>
      <c r="BB122" s="633"/>
      <c r="BC122" s="633"/>
      <c r="BD122" s="633"/>
      <c r="BE122" s="633"/>
      <c r="BF122" s="633"/>
      <c r="BG122" s="633"/>
      <c r="BH122" s="633"/>
      <c r="BI122" s="633"/>
      <c r="BJ122" s="633"/>
      <c r="BK122" s="633"/>
      <c r="BL122" s="633"/>
      <c r="BM122" s="401">
        <f t="shared" si="19"/>
        <v>840</v>
      </c>
      <c r="BO122" s="1473"/>
      <c r="BP122" s="1473"/>
    </row>
    <row r="123" s="200" customFormat="1" ht="36" customHeight="1" spans="1:68">
      <c r="A123" s="533">
        <v>45300</v>
      </c>
      <c r="B123" s="527" t="s">
        <v>517</v>
      </c>
      <c r="C123" s="528" t="s">
        <v>117</v>
      </c>
      <c r="D123" s="534">
        <v>4500122927</v>
      </c>
      <c r="E123" s="530">
        <v>31433</v>
      </c>
      <c r="F123" s="534" t="s">
        <v>518</v>
      </c>
      <c r="G123" s="531" t="s">
        <v>215</v>
      </c>
      <c r="H123" s="532" t="s">
        <v>74</v>
      </c>
      <c r="I123" s="401">
        <v>2520</v>
      </c>
      <c r="J123" s="562">
        <v>0</v>
      </c>
      <c r="K123" s="531">
        <v>42</v>
      </c>
      <c r="L123" s="401">
        <f t="shared" si="20"/>
        <v>60</v>
      </c>
      <c r="M123" s="563">
        <v>45371</v>
      </c>
      <c r="N123" s="563">
        <v>45383</v>
      </c>
      <c r="O123" s="564"/>
      <c r="P123" s="564" t="s">
        <v>92</v>
      </c>
      <c r="Q123" s="564" t="s">
        <v>519</v>
      </c>
      <c r="R123" s="564">
        <v>45300</v>
      </c>
      <c r="S123" s="564" t="s">
        <v>77</v>
      </c>
      <c r="T123" s="564" t="s">
        <v>77</v>
      </c>
      <c r="U123" s="530" t="s">
        <v>520</v>
      </c>
      <c r="V123" s="596" t="s">
        <v>521</v>
      </c>
      <c r="W123" s="592">
        <v>1.649</v>
      </c>
      <c r="X123" s="593">
        <f t="shared" si="32"/>
        <v>4155.48</v>
      </c>
      <c r="Y123" s="401" t="s">
        <v>522</v>
      </c>
      <c r="Z123" s="607" t="s">
        <v>215</v>
      </c>
      <c r="AA123" s="1453" t="s">
        <v>128</v>
      </c>
      <c r="AB123" s="608"/>
      <c r="AC123" s="608"/>
      <c r="AD123" s="608"/>
      <c r="AE123" s="564" t="s">
        <v>80</v>
      </c>
      <c r="AF123" s="564"/>
      <c r="AG123" s="608">
        <f t="shared" si="30"/>
        <v>2520</v>
      </c>
      <c r="AH123" s="608"/>
      <c r="AI123" s="608"/>
      <c r="AJ123" s="608"/>
      <c r="AK123" s="609">
        <f t="shared" si="36"/>
        <v>2520</v>
      </c>
      <c r="AL123" s="401"/>
      <c r="AM123" s="609"/>
      <c r="AN123" s="609"/>
      <c r="AO123" s="609">
        <f t="shared" si="31"/>
        <v>2520</v>
      </c>
      <c r="AP123" s="609"/>
      <c r="AQ123" s="609"/>
      <c r="AR123" s="609"/>
      <c r="AS123" s="609">
        <f t="shared" si="35"/>
        <v>120</v>
      </c>
      <c r="AT123" s="633"/>
      <c r="AU123" s="633"/>
      <c r="AV123" s="633"/>
      <c r="AW123" s="633"/>
      <c r="AX123" s="633"/>
      <c r="AY123" s="633"/>
      <c r="AZ123" s="633"/>
      <c r="BA123" s="633"/>
      <c r="BB123" s="633"/>
      <c r="BC123" s="633"/>
      <c r="BD123" s="633"/>
      <c r="BE123" s="633"/>
      <c r="BF123" s="633"/>
      <c r="BG123" s="633"/>
      <c r="BH123" s="633"/>
      <c r="BI123" s="633"/>
      <c r="BJ123" s="633"/>
      <c r="BK123" s="633"/>
      <c r="BL123" s="633"/>
      <c r="BM123" s="401">
        <f t="shared" si="19"/>
        <v>2520</v>
      </c>
      <c r="BO123" s="1473"/>
      <c r="BP123" s="1473"/>
    </row>
    <row r="124" s="200" customFormat="1" ht="36" customHeight="1" spans="1:68">
      <c r="A124" s="533">
        <v>45310</v>
      </c>
      <c r="B124" s="527" t="s">
        <v>523</v>
      </c>
      <c r="C124" s="528" t="s">
        <v>351</v>
      </c>
      <c r="D124" s="534">
        <v>4500123669</v>
      </c>
      <c r="E124" s="530"/>
      <c r="F124" s="534" t="s">
        <v>524</v>
      </c>
      <c r="G124" s="531" t="s">
        <v>525</v>
      </c>
      <c r="H124" s="532" t="s">
        <v>74</v>
      </c>
      <c r="I124" s="401">
        <v>7500</v>
      </c>
      <c r="J124" s="562">
        <v>0</v>
      </c>
      <c r="K124" s="531">
        <v>30</v>
      </c>
      <c r="L124" s="401">
        <f t="shared" si="20"/>
        <v>250</v>
      </c>
      <c r="M124" s="563">
        <v>45376</v>
      </c>
      <c r="N124" s="563">
        <v>45383</v>
      </c>
      <c r="O124" s="564" t="s">
        <v>526</v>
      </c>
      <c r="P124" s="564" t="s">
        <v>92</v>
      </c>
      <c r="Q124" s="564" t="s">
        <v>527</v>
      </c>
      <c r="R124" s="564">
        <v>45356</v>
      </c>
      <c r="S124" s="564" t="s">
        <v>77</v>
      </c>
      <c r="T124" s="564">
        <v>45310</v>
      </c>
      <c r="U124" s="530" t="s">
        <v>528</v>
      </c>
      <c r="V124" s="596" t="s">
        <v>529</v>
      </c>
      <c r="W124" s="592">
        <v>47.2</v>
      </c>
      <c r="X124" s="593">
        <f>L124*W124</f>
        <v>11800</v>
      </c>
      <c r="Y124" s="401" t="s">
        <v>530</v>
      </c>
      <c r="Z124" s="607" t="s">
        <v>531</v>
      </c>
      <c r="AA124" s="1453" t="s">
        <v>128</v>
      </c>
      <c r="AB124" s="608"/>
      <c r="AC124" s="608"/>
      <c r="AD124" s="608"/>
      <c r="AE124" s="564" t="s">
        <v>80</v>
      </c>
      <c r="AF124" s="564"/>
      <c r="AG124" s="608">
        <f t="shared" si="30"/>
        <v>7500</v>
      </c>
      <c r="AH124" s="608"/>
      <c r="AI124" s="608"/>
      <c r="AJ124" s="608"/>
      <c r="AK124" s="609"/>
      <c r="AL124" s="609">
        <f>I124</f>
        <v>7500</v>
      </c>
      <c r="AM124" s="609"/>
      <c r="AN124" s="609"/>
      <c r="AO124" s="609">
        <f t="shared" si="31"/>
        <v>7500</v>
      </c>
      <c r="AP124" s="609"/>
      <c r="AQ124" s="609"/>
      <c r="AR124" s="609"/>
      <c r="AS124" s="609"/>
      <c r="AT124" s="633"/>
      <c r="AU124" s="633"/>
      <c r="AV124" s="633"/>
      <c r="AW124" s="633"/>
      <c r="AX124" s="633"/>
      <c r="AY124" s="633"/>
      <c r="AZ124" s="633"/>
      <c r="BA124" s="633"/>
      <c r="BB124" s="633"/>
      <c r="BC124" s="633"/>
      <c r="BD124" s="633"/>
      <c r="BE124" s="633"/>
      <c r="BF124" s="633"/>
      <c r="BG124" s="633">
        <f>I124/30</f>
        <v>250</v>
      </c>
      <c r="BH124" s="633"/>
      <c r="BI124" s="633"/>
      <c r="BJ124" s="633"/>
      <c r="BK124" s="633"/>
      <c r="BL124" s="633"/>
      <c r="BM124" s="401">
        <f t="shared" si="19"/>
        <v>7500</v>
      </c>
      <c r="BO124" s="1473"/>
      <c r="BP124" s="1473"/>
    </row>
    <row r="125" s="200" customFormat="1" ht="36" customHeight="1" spans="1:68">
      <c r="A125" s="533">
        <v>45321</v>
      </c>
      <c r="B125" s="527" t="s">
        <v>322</v>
      </c>
      <c r="C125" s="528" t="s">
        <v>190</v>
      </c>
      <c r="D125" s="534">
        <v>4500124091</v>
      </c>
      <c r="E125" s="530">
        <v>47659652</v>
      </c>
      <c r="F125" s="534" t="s">
        <v>532</v>
      </c>
      <c r="G125" s="531" t="s">
        <v>207</v>
      </c>
      <c r="H125" s="532" t="s">
        <v>74</v>
      </c>
      <c r="I125" s="401">
        <v>528</v>
      </c>
      <c r="J125" s="562">
        <v>0</v>
      </c>
      <c r="K125" s="531">
        <v>48</v>
      </c>
      <c r="L125" s="401">
        <f t="shared" si="20"/>
        <v>11</v>
      </c>
      <c r="M125" s="563">
        <v>45383</v>
      </c>
      <c r="N125" s="563">
        <v>45383</v>
      </c>
      <c r="O125" s="564"/>
      <c r="P125" s="564" t="s">
        <v>92</v>
      </c>
      <c r="Q125" s="564" t="s">
        <v>533</v>
      </c>
      <c r="R125" s="564">
        <v>45321</v>
      </c>
      <c r="S125" s="564" t="s">
        <v>77</v>
      </c>
      <c r="T125" s="564" t="s">
        <v>534</v>
      </c>
      <c r="U125" s="530" t="s">
        <v>535</v>
      </c>
      <c r="V125" s="596" t="s">
        <v>326</v>
      </c>
      <c r="W125" s="592">
        <v>1.47</v>
      </c>
      <c r="X125" s="593">
        <f t="shared" ref="X125:X138" si="37">I125*W125</f>
        <v>776.16</v>
      </c>
      <c r="Y125" s="401" t="s">
        <v>536</v>
      </c>
      <c r="Z125" s="607" t="s">
        <v>207</v>
      </c>
      <c r="AA125" s="1453" t="s">
        <v>128</v>
      </c>
      <c r="AB125" s="608"/>
      <c r="AC125" s="608"/>
      <c r="AD125" s="608"/>
      <c r="AE125" s="564" t="s">
        <v>80</v>
      </c>
      <c r="AF125" s="564"/>
      <c r="AG125" s="608">
        <f t="shared" si="30"/>
        <v>528</v>
      </c>
      <c r="AH125" s="608"/>
      <c r="AI125" s="608"/>
      <c r="AJ125" s="608"/>
      <c r="AK125" s="401">
        <f t="shared" si="36"/>
        <v>528</v>
      </c>
      <c r="AL125" s="401"/>
      <c r="AM125" s="609"/>
      <c r="AN125" s="609"/>
      <c r="AO125" s="609">
        <f t="shared" si="31"/>
        <v>528</v>
      </c>
      <c r="AP125" s="609"/>
      <c r="AQ125" s="609"/>
      <c r="AR125" s="609"/>
      <c r="AS125" s="609"/>
      <c r="AT125" s="633"/>
      <c r="AU125" s="633"/>
      <c r="AV125" s="633"/>
      <c r="AW125" s="633">
        <f t="shared" ref="AW125:AW128" si="38">AG125/12</f>
        <v>44</v>
      </c>
      <c r="AX125" s="633"/>
      <c r="AY125" s="633"/>
      <c r="AZ125" s="633"/>
      <c r="BA125" s="633"/>
      <c r="BB125" s="633"/>
      <c r="BC125" s="633"/>
      <c r="BD125" s="633"/>
      <c r="BE125" s="633"/>
      <c r="BF125" s="633"/>
      <c r="BG125" s="633"/>
      <c r="BH125" s="633"/>
      <c r="BI125" s="633"/>
      <c r="BJ125" s="633"/>
      <c r="BK125" s="633"/>
      <c r="BL125" s="633"/>
      <c r="BM125" s="401">
        <f t="shared" si="19"/>
        <v>528</v>
      </c>
      <c r="BO125" s="1473"/>
      <c r="BP125" s="1473"/>
    </row>
    <row r="126" s="200" customFormat="1" ht="36" customHeight="1" spans="1:68">
      <c r="A126" s="533">
        <v>45321</v>
      </c>
      <c r="B126" s="527" t="s">
        <v>322</v>
      </c>
      <c r="C126" s="528" t="s">
        <v>190</v>
      </c>
      <c r="D126" s="534">
        <v>4500124091</v>
      </c>
      <c r="E126" s="530">
        <v>47659653</v>
      </c>
      <c r="F126" s="534" t="s">
        <v>537</v>
      </c>
      <c r="G126" s="531" t="s">
        <v>207</v>
      </c>
      <c r="H126" s="532" t="s">
        <v>74</v>
      </c>
      <c r="I126" s="401">
        <v>480</v>
      </c>
      <c r="J126" s="562">
        <v>0</v>
      </c>
      <c r="K126" s="531">
        <v>48</v>
      </c>
      <c r="L126" s="401">
        <f t="shared" si="20"/>
        <v>10</v>
      </c>
      <c r="M126" s="563">
        <v>45383</v>
      </c>
      <c r="N126" s="563">
        <v>45383</v>
      </c>
      <c r="O126" s="564"/>
      <c r="P126" s="564" t="s">
        <v>92</v>
      </c>
      <c r="Q126" s="564" t="s">
        <v>538</v>
      </c>
      <c r="R126" s="564">
        <v>45321</v>
      </c>
      <c r="S126" s="564" t="s">
        <v>77</v>
      </c>
      <c r="T126" s="564" t="s">
        <v>534</v>
      </c>
      <c r="U126" s="530" t="s">
        <v>535</v>
      </c>
      <c r="V126" s="596" t="s">
        <v>326</v>
      </c>
      <c r="W126" s="592">
        <v>1.47</v>
      </c>
      <c r="X126" s="593">
        <f t="shared" si="37"/>
        <v>705.6</v>
      </c>
      <c r="Y126" s="401" t="s">
        <v>536</v>
      </c>
      <c r="Z126" s="607" t="s">
        <v>207</v>
      </c>
      <c r="AA126" s="1453" t="s">
        <v>128</v>
      </c>
      <c r="AB126" s="608"/>
      <c r="AC126" s="608"/>
      <c r="AD126" s="608"/>
      <c r="AE126" s="564" t="s">
        <v>80</v>
      </c>
      <c r="AF126" s="564"/>
      <c r="AG126" s="608">
        <f t="shared" si="30"/>
        <v>480</v>
      </c>
      <c r="AH126" s="608"/>
      <c r="AI126" s="608"/>
      <c r="AJ126" s="608"/>
      <c r="AK126" s="401">
        <f t="shared" si="36"/>
        <v>480</v>
      </c>
      <c r="AL126" s="401"/>
      <c r="AM126" s="609"/>
      <c r="AN126" s="609"/>
      <c r="AO126" s="609">
        <f t="shared" si="31"/>
        <v>480</v>
      </c>
      <c r="AP126" s="609"/>
      <c r="AQ126" s="609"/>
      <c r="AR126" s="609"/>
      <c r="AS126" s="609"/>
      <c r="AT126" s="633"/>
      <c r="AU126" s="633"/>
      <c r="AV126" s="633"/>
      <c r="AW126" s="633">
        <f t="shared" si="38"/>
        <v>40</v>
      </c>
      <c r="AX126" s="633"/>
      <c r="AY126" s="633"/>
      <c r="AZ126" s="633"/>
      <c r="BA126" s="633"/>
      <c r="BB126" s="633"/>
      <c r="BC126" s="633"/>
      <c r="BD126" s="633"/>
      <c r="BE126" s="633"/>
      <c r="BF126" s="633"/>
      <c r="BG126" s="633"/>
      <c r="BH126" s="633"/>
      <c r="BI126" s="633"/>
      <c r="BJ126" s="633"/>
      <c r="BK126" s="633"/>
      <c r="BL126" s="633"/>
      <c r="BM126" s="401">
        <f t="shared" si="19"/>
        <v>480</v>
      </c>
      <c r="BO126" s="1473"/>
      <c r="BP126" s="1473"/>
    </row>
    <row r="127" s="200" customFormat="1" ht="36" customHeight="1" spans="1:68">
      <c r="A127" s="533">
        <v>45321</v>
      </c>
      <c r="B127" s="527" t="s">
        <v>322</v>
      </c>
      <c r="C127" s="528" t="s">
        <v>190</v>
      </c>
      <c r="D127" s="534">
        <v>4500124091</v>
      </c>
      <c r="E127" s="530">
        <v>47659654</v>
      </c>
      <c r="F127" s="534" t="s">
        <v>539</v>
      </c>
      <c r="G127" s="531" t="s">
        <v>207</v>
      </c>
      <c r="H127" s="532" t="s">
        <v>74</v>
      </c>
      <c r="I127" s="401">
        <v>384</v>
      </c>
      <c r="J127" s="562">
        <v>0</v>
      </c>
      <c r="K127" s="531">
        <v>48</v>
      </c>
      <c r="L127" s="401">
        <f t="shared" si="20"/>
        <v>8</v>
      </c>
      <c r="M127" s="563">
        <v>45383</v>
      </c>
      <c r="N127" s="563">
        <v>45383</v>
      </c>
      <c r="O127" s="564"/>
      <c r="P127" s="564" t="s">
        <v>92</v>
      </c>
      <c r="Q127" s="564"/>
      <c r="R127" s="564">
        <v>45321</v>
      </c>
      <c r="S127" s="564" t="s">
        <v>77</v>
      </c>
      <c r="T127" s="564" t="s">
        <v>534</v>
      </c>
      <c r="U127" s="530" t="s">
        <v>535</v>
      </c>
      <c r="V127" s="596" t="s">
        <v>326</v>
      </c>
      <c r="W127" s="592">
        <v>1.47</v>
      </c>
      <c r="X127" s="593">
        <f t="shared" si="37"/>
        <v>564.48</v>
      </c>
      <c r="Y127" s="401" t="s">
        <v>536</v>
      </c>
      <c r="Z127" s="607" t="s">
        <v>207</v>
      </c>
      <c r="AA127" s="1453" t="s">
        <v>128</v>
      </c>
      <c r="AB127" s="608"/>
      <c r="AC127" s="608"/>
      <c r="AD127" s="608"/>
      <c r="AE127" s="564" t="s">
        <v>80</v>
      </c>
      <c r="AF127" s="564"/>
      <c r="AG127" s="608">
        <f t="shared" si="30"/>
        <v>384</v>
      </c>
      <c r="AH127" s="608"/>
      <c r="AI127" s="608"/>
      <c r="AJ127" s="608"/>
      <c r="AK127" s="401">
        <f t="shared" si="36"/>
        <v>384</v>
      </c>
      <c r="AL127" s="401"/>
      <c r="AM127" s="609"/>
      <c r="AN127" s="609"/>
      <c r="AO127" s="609">
        <f t="shared" si="31"/>
        <v>384</v>
      </c>
      <c r="AP127" s="609"/>
      <c r="AQ127" s="609"/>
      <c r="AR127" s="609"/>
      <c r="AS127" s="609"/>
      <c r="AT127" s="633"/>
      <c r="AU127" s="633"/>
      <c r="AV127" s="633"/>
      <c r="AW127" s="633">
        <f t="shared" si="38"/>
        <v>32</v>
      </c>
      <c r="AX127" s="633"/>
      <c r="AY127" s="633"/>
      <c r="AZ127" s="633"/>
      <c r="BA127" s="633"/>
      <c r="BB127" s="633"/>
      <c r="BC127" s="633"/>
      <c r="BD127" s="633"/>
      <c r="BE127" s="633"/>
      <c r="BF127" s="633"/>
      <c r="BG127" s="633"/>
      <c r="BH127" s="633"/>
      <c r="BI127" s="633"/>
      <c r="BJ127" s="633"/>
      <c r="BK127" s="633"/>
      <c r="BL127" s="633"/>
      <c r="BM127" s="401">
        <f t="shared" si="19"/>
        <v>384</v>
      </c>
      <c r="BO127" s="1473"/>
      <c r="BP127" s="1473"/>
    </row>
    <row r="128" s="200" customFormat="1" ht="36" customHeight="1" spans="1:68">
      <c r="A128" s="533">
        <v>45321</v>
      </c>
      <c r="B128" s="527" t="s">
        <v>322</v>
      </c>
      <c r="C128" s="528" t="s">
        <v>190</v>
      </c>
      <c r="D128" s="534">
        <v>4500124091</v>
      </c>
      <c r="E128" s="530">
        <v>47659655</v>
      </c>
      <c r="F128" s="534" t="s">
        <v>540</v>
      </c>
      <c r="G128" s="531" t="s">
        <v>207</v>
      </c>
      <c r="H128" s="532" t="s">
        <v>74</v>
      </c>
      <c r="I128" s="401">
        <v>144</v>
      </c>
      <c r="J128" s="562">
        <v>0</v>
      </c>
      <c r="K128" s="531">
        <v>48</v>
      </c>
      <c r="L128" s="401">
        <f t="shared" si="20"/>
        <v>3</v>
      </c>
      <c r="M128" s="563">
        <v>45383</v>
      </c>
      <c r="N128" s="563">
        <v>45383</v>
      </c>
      <c r="O128" s="564"/>
      <c r="P128" s="564" t="s">
        <v>92</v>
      </c>
      <c r="Q128" s="564"/>
      <c r="R128" s="564">
        <v>45321</v>
      </c>
      <c r="S128" s="564" t="s">
        <v>77</v>
      </c>
      <c r="T128" s="564" t="s">
        <v>534</v>
      </c>
      <c r="U128" s="530" t="s">
        <v>535</v>
      </c>
      <c r="V128" s="596" t="s">
        <v>326</v>
      </c>
      <c r="W128" s="592">
        <v>1.47</v>
      </c>
      <c r="X128" s="593">
        <f t="shared" si="37"/>
        <v>211.68</v>
      </c>
      <c r="Y128" s="401" t="s">
        <v>536</v>
      </c>
      <c r="Z128" s="607" t="s">
        <v>207</v>
      </c>
      <c r="AA128" s="1453" t="s">
        <v>128</v>
      </c>
      <c r="AB128" s="608"/>
      <c r="AC128" s="608"/>
      <c r="AD128" s="608"/>
      <c r="AE128" s="564" t="s">
        <v>80</v>
      </c>
      <c r="AF128" s="564"/>
      <c r="AG128" s="608">
        <f t="shared" si="30"/>
        <v>144</v>
      </c>
      <c r="AH128" s="608"/>
      <c r="AI128" s="608"/>
      <c r="AJ128" s="608"/>
      <c r="AK128" s="401">
        <f t="shared" si="36"/>
        <v>144</v>
      </c>
      <c r="AL128" s="401"/>
      <c r="AM128" s="609"/>
      <c r="AN128" s="609"/>
      <c r="AO128" s="609">
        <f t="shared" si="31"/>
        <v>144</v>
      </c>
      <c r="AP128" s="609"/>
      <c r="AQ128" s="609"/>
      <c r="AR128" s="609"/>
      <c r="AS128" s="609"/>
      <c r="AT128" s="633"/>
      <c r="AU128" s="633"/>
      <c r="AV128" s="633"/>
      <c r="AW128" s="633">
        <f t="shared" si="38"/>
        <v>12</v>
      </c>
      <c r="AX128" s="633"/>
      <c r="AY128" s="633"/>
      <c r="AZ128" s="633"/>
      <c r="BA128" s="633"/>
      <c r="BB128" s="633"/>
      <c r="BC128" s="633"/>
      <c r="BD128" s="633"/>
      <c r="BE128" s="633"/>
      <c r="BF128" s="633"/>
      <c r="BG128" s="633"/>
      <c r="BH128" s="633"/>
      <c r="BI128" s="633"/>
      <c r="BJ128" s="633"/>
      <c r="BK128" s="633"/>
      <c r="BL128" s="633"/>
      <c r="BM128" s="401">
        <f t="shared" si="19"/>
        <v>144</v>
      </c>
      <c r="BO128" s="1473"/>
      <c r="BP128" s="1473"/>
    </row>
    <row r="129" s="200" customFormat="1" ht="36" customHeight="1" spans="1:68">
      <c r="A129" s="533">
        <v>45341</v>
      </c>
      <c r="B129" s="527" t="s">
        <v>541</v>
      </c>
      <c r="C129" s="528" t="s">
        <v>190</v>
      </c>
      <c r="D129" s="534">
        <v>4500124084</v>
      </c>
      <c r="E129" s="530" t="s">
        <v>542</v>
      </c>
      <c r="F129" s="534" t="s">
        <v>543</v>
      </c>
      <c r="G129" s="531" t="s">
        <v>73</v>
      </c>
      <c r="H129" s="532" t="s">
        <v>74</v>
      </c>
      <c r="I129" s="401">
        <v>480</v>
      </c>
      <c r="J129" s="562">
        <v>0</v>
      </c>
      <c r="K129" s="531">
        <v>24</v>
      </c>
      <c r="L129" s="401">
        <f t="shared" si="20"/>
        <v>20</v>
      </c>
      <c r="M129" s="563">
        <v>45376</v>
      </c>
      <c r="N129" s="563">
        <v>45383</v>
      </c>
      <c r="O129" s="564" t="s">
        <v>544</v>
      </c>
      <c r="P129" s="564" t="s">
        <v>92</v>
      </c>
      <c r="Q129" s="564" t="s">
        <v>527</v>
      </c>
      <c r="R129" s="564" t="s">
        <v>545</v>
      </c>
      <c r="S129" s="564" t="s">
        <v>123</v>
      </c>
      <c r="T129" s="564" t="s">
        <v>546</v>
      </c>
      <c r="U129" s="530" t="s">
        <v>547</v>
      </c>
      <c r="V129" s="596" t="s">
        <v>194</v>
      </c>
      <c r="W129" s="592">
        <v>1.17</v>
      </c>
      <c r="X129" s="593">
        <f t="shared" si="37"/>
        <v>561.6</v>
      </c>
      <c r="Y129" s="401" t="s">
        <v>548</v>
      </c>
      <c r="Z129" s="607" t="s">
        <v>73</v>
      </c>
      <c r="AA129" s="1453" t="s">
        <v>128</v>
      </c>
      <c r="AB129" s="608"/>
      <c r="AC129" s="608"/>
      <c r="AD129" s="608"/>
      <c r="AE129" s="564" t="s">
        <v>80</v>
      </c>
      <c r="AF129" s="564"/>
      <c r="AG129" s="608">
        <f t="shared" si="30"/>
        <v>480</v>
      </c>
      <c r="AH129" s="608"/>
      <c r="AI129" s="608"/>
      <c r="AJ129" s="608"/>
      <c r="AK129" s="609">
        <f>AG129</f>
        <v>480</v>
      </c>
      <c r="AL129" s="401"/>
      <c r="AM129" s="609"/>
      <c r="AN129" s="609"/>
      <c r="AO129" s="609">
        <f t="shared" si="31"/>
        <v>480</v>
      </c>
      <c r="AP129" s="609"/>
      <c r="AQ129" s="609"/>
      <c r="AR129" s="609"/>
      <c r="AS129" s="609"/>
      <c r="AT129" s="633"/>
      <c r="AU129" s="633"/>
      <c r="AV129" s="633"/>
      <c r="AW129" s="633"/>
      <c r="AX129" s="633"/>
      <c r="AY129" s="633"/>
      <c r="AZ129" s="633"/>
      <c r="BA129" s="633"/>
      <c r="BB129" s="633"/>
      <c r="BC129" s="633"/>
      <c r="BD129" s="633"/>
      <c r="BE129" s="633"/>
      <c r="BF129" s="633"/>
      <c r="BG129" s="633"/>
      <c r="BH129" s="633"/>
      <c r="BI129" s="633"/>
      <c r="BJ129" s="633"/>
      <c r="BK129" s="633"/>
      <c r="BL129" s="633"/>
      <c r="BM129" s="401">
        <f t="shared" si="19"/>
        <v>480</v>
      </c>
      <c r="BO129" s="1473"/>
      <c r="BP129" s="1473"/>
    </row>
    <row r="130" s="200" customFormat="1" ht="36" customHeight="1" spans="1:68">
      <c r="A130" s="533">
        <v>45222</v>
      </c>
      <c r="B130" s="527" t="s">
        <v>315</v>
      </c>
      <c r="C130" s="528" t="s">
        <v>500</v>
      </c>
      <c r="D130" s="534">
        <v>4500116490</v>
      </c>
      <c r="E130" s="530" t="s">
        <v>549</v>
      </c>
      <c r="F130" s="534" t="s">
        <v>550</v>
      </c>
      <c r="G130" s="531" t="s">
        <v>73</v>
      </c>
      <c r="H130" s="532" t="s">
        <v>74</v>
      </c>
      <c r="I130" s="401">
        <v>720</v>
      </c>
      <c r="J130" s="562">
        <v>0</v>
      </c>
      <c r="K130" s="531">
        <v>24</v>
      </c>
      <c r="L130" s="401">
        <f t="shared" si="20"/>
        <v>30</v>
      </c>
      <c r="M130" s="563">
        <v>45377</v>
      </c>
      <c r="N130" s="563">
        <v>45383</v>
      </c>
      <c r="O130" s="564"/>
      <c r="P130" s="564" t="s">
        <v>92</v>
      </c>
      <c r="Q130" s="564" t="s">
        <v>551</v>
      </c>
      <c r="R130" s="564" t="s">
        <v>183</v>
      </c>
      <c r="S130" s="564" t="s">
        <v>123</v>
      </c>
      <c r="T130" s="564" t="s">
        <v>184</v>
      </c>
      <c r="U130" s="530" t="s">
        <v>552</v>
      </c>
      <c r="V130" s="596" t="s">
        <v>186</v>
      </c>
      <c r="W130" s="592">
        <v>1.19</v>
      </c>
      <c r="X130" s="593">
        <f t="shared" si="37"/>
        <v>856.8</v>
      </c>
      <c r="Y130" s="401" t="s">
        <v>553</v>
      </c>
      <c r="Z130" s="607" t="s">
        <v>188</v>
      </c>
      <c r="AA130" s="1453" t="s">
        <v>128</v>
      </c>
      <c r="AB130" s="608"/>
      <c r="AC130" s="608"/>
      <c r="AD130" s="608"/>
      <c r="AE130" s="564" t="s">
        <v>80</v>
      </c>
      <c r="AF130" s="564"/>
      <c r="AG130" s="608">
        <f t="shared" si="30"/>
        <v>720</v>
      </c>
      <c r="AH130" s="608"/>
      <c r="AI130" s="608"/>
      <c r="AJ130" s="608"/>
      <c r="AK130" s="609"/>
      <c r="AL130" s="401">
        <f t="shared" ref="AL130:AL133" si="39">AG130</f>
        <v>720</v>
      </c>
      <c r="AM130" s="609"/>
      <c r="AN130" s="609"/>
      <c r="AO130" s="609">
        <f t="shared" si="31"/>
        <v>720</v>
      </c>
      <c r="AP130" s="609"/>
      <c r="AQ130" s="609"/>
      <c r="AR130" s="609"/>
      <c r="AS130" s="609"/>
      <c r="AT130" s="633"/>
      <c r="AU130" s="633"/>
      <c r="AV130" s="633"/>
      <c r="AW130" s="633"/>
      <c r="AX130" s="633"/>
      <c r="AY130" s="633"/>
      <c r="AZ130" s="633"/>
      <c r="BA130" s="633"/>
      <c r="BB130" s="633"/>
      <c r="BC130" s="633"/>
      <c r="BD130" s="633"/>
      <c r="BE130" s="633"/>
      <c r="BF130" s="633"/>
      <c r="BG130" s="633"/>
      <c r="BH130" s="633"/>
      <c r="BI130" s="633"/>
      <c r="BJ130" s="633"/>
      <c r="BK130" s="633"/>
      <c r="BL130" s="633"/>
      <c r="BM130" s="401">
        <f t="shared" si="19"/>
        <v>720</v>
      </c>
      <c r="BO130" s="1473"/>
      <c r="BP130" s="1473"/>
    </row>
    <row r="131" s="200" customFormat="1" ht="36" customHeight="1" spans="1:68">
      <c r="A131" s="533">
        <v>45222</v>
      </c>
      <c r="B131" s="527" t="s">
        <v>315</v>
      </c>
      <c r="C131" s="528" t="s">
        <v>500</v>
      </c>
      <c r="D131" s="534">
        <v>4500116490</v>
      </c>
      <c r="E131" s="530" t="s">
        <v>554</v>
      </c>
      <c r="F131" s="534" t="s">
        <v>555</v>
      </c>
      <c r="G131" s="531" t="s">
        <v>73</v>
      </c>
      <c r="H131" s="532" t="s">
        <v>74</v>
      </c>
      <c r="I131" s="401">
        <v>672</v>
      </c>
      <c r="J131" s="562">
        <v>0</v>
      </c>
      <c r="K131" s="531">
        <v>24</v>
      </c>
      <c r="L131" s="401">
        <f t="shared" si="20"/>
        <v>28</v>
      </c>
      <c r="M131" s="563">
        <v>45377</v>
      </c>
      <c r="N131" s="563">
        <v>45383</v>
      </c>
      <c r="O131" s="564"/>
      <c r="P131" s="564" t="s">
        <v>92</v>
      </c>
      <c r="Q131" s="564" t="s">
        <v>551</v>
      </c>
      <c r="R131" s="564" t="s">
        <v>183</v>
      </c>
      <c r="S131" s="564" t="s">
        <v>123</v>
      </c>
      <c r="T131" s="564" t="s">
        <v>184</v>
      </c>
      <c r="U131" s="530" t="s">
        <v>552</v>
      </c>
      <c r="V131" s="596" t="s">
        <v>186</v>
      </c>
      <c r="W131" s="592">
        <v>1.19</v>
      </c>
      <c r="X131" s="593">
        <f t="shared" si="37"/>
        <v>799.68</v>
      </c>
      <c r="Y131" s="401" t="s">
        <v>553</v>
      </c>
      <c r="Z131" s="607" t="s">
        <v>188</v>
      </c>
      <c r="AA131" s="1453" t="s">
        <v>128</v>
      </c>
      <c r="AB131" s="608"/>
      <c r="AC131" s="608"/>
      <c r="AD131" s="608"/>
      <c r="AE131" s="564" t="s">
        <v>80</v>
      </c>
      <c r="AF131" s="564"/>
      <c r="AG131" s="608">
        <f t="shared" si="30"/>
        <v>672</v>
      </c>
      <c r="AH131" s="608"/>
      <c r="AI131" s="608"/>
      <c r="AJ131" s="608"/>
      <c r="AK131" s="609"/>
      <c r="AL131" s="401">
        <f t="shared" si="39"/>
        <v>672</v>
      </c>
      <c r="AM131" s="609"/>
      <c r="AN131" s="609"/>
      <c r="AO131" s="609">
        <f t="shared" si="31"/>
        <v>672</v>
      </c>
      <c r="AP131" s="609"/>
      <c r="AQ131" s="609"/>
      <c r="AR131" s="609"/>
      <c r="AS131" s="609"/>
      <c r="AT131" s="633"/>
      <c r="AU131" s="633"/>
      <c r="AV131" s="633"/>
      <c r="AW131" s="633"/>
      <c r="AX131" s="633"/>
      <c r="AY131" s="633"/>
      <c r="AZ131" s="633"/>
      <c r="BA131" s="633"/>
      <c r="BB131" s="633"/>
      <c r="BC131" s="633"/>
      <c r="BD131" s="633"/>
      <c r="BE131" s="633"/>
      <c r="BF131" s="633"/>
      <c r="BG131" s="633"/>
      <c r="BH131" s="633"/>
      <c r="BI131" s="633"/>
      <c r="BJ131" s="633"/>
      <c r="BK131" s="633"/>
      <c r="BL131" s="633"/>
      <c r="BM131" s="401">
        <f t="shared" si="19"/>
        <v>672</v>
      </c>
      <c r="BO131" s="1473"/>
      <c r="BP131" s="1473"/>
    </row>
    <row r="132" s="200" customFormat="1" ht="36" customHeight="1" spans="1:68">
      <c r="A132" s="533">
        <v>45222</v>
      </c>
      <c r="B132" s="527" t="s">
        <v>315</v>
      </c>
      <c r="C132" s="528" t="s">
        <v>500</v>
      </c>
      <c r="D132" s="534">
        <v>4500116490</v>
      </c>
      <c r="E132" s="530" t="s">
        <v>556</v>
      </c>
      <c r="F132" s="534" t="s">
        <v>557</v>
      </c>
      <c r="G132" s="531" t="s">
        <v>73</v>
      </c>
      <c r="H132" s="532" t="s">
        <v>74</v>
      </c>
      <c r="I132" s="401">
        <v>648</v>
      </c>
      <c r="J132" s="562">
        <v>0</v>
      </c>
      <c r="K132" s="531">
        <v>24</v>
      </c>
      <c r="L132" s="401">
        <f t="shared" si="20"/>
        <v>27</v>
      </c>
      <c r="M132" s="563">
        <v>45377</v>
      </c>
      <c r="N132" s="563">
        <v>45383</v>
      </c>
      <c r="O132" s="564"/>
      <c r="P132" s="564" t="s">
        <v>92</v>
      </c>
      <c r="Q132" s="564" t="s">
        <v>558</v>
      </c>
      <c r="R132" s="564" t="s">
        <v>183</v>
      </c>
      <c r="S132" s="564" t="s">
        <v>123</v>
      </c>
      <c r="T132" s="564" t="s">
        <v>184</v>
      </c>
      <c r="U132" s="530" t="s">
        <v>552</v>
      </c>
      <c r="V132" s="596" t="s">
        <v>186</v>
      </c>
      <c r="W132" s="592">
        <v>1.19</v>
      </c>
      <c r="X132" s="593">
        <f t="shared" si="37"/>
        <v>771.12</v>
      </c>
      <c r="Y132" s="401" t="s">
        <v>553</v>
      </c>
      <c r="Z132" s="607" t="s">
        <v>188</v>
      </c>
      <c r="AA132" s="1453" t="s">
        <v>128</v>
      </c>
      <c r="AB132" s="608"/>
      <c r="AC132" s="608"/>
      <c r="AD132" s="608"/>
      <c r="AE132" s="564" t="s">
        <v>80</v>
      </c>
      <c r="AF132" s="564"/>
      <c r="AG132" s="608">
        <f t="shared" si="30"/>
        <v>648</v>
      </c>
      <c r="AH132" s="608"/>
      <c r="AI132" s="608"/>
      <c r="AJ132" s="608"/>
      <c r="AK132" s="609"/>
      <c r="AL132" s="401">
        <f t="shared" si="39"/>
        <v>648</v>
      </c>
      <c r="AM132" s="609"/>
      <c r="AN132" s="609"/>
      <c r="AO132" s="609">
        <f t="shared" si="31"/>
        <v>648</v>
      </c>
      <c r="AP132" s="609"/>
      <c r="AQ132" s="609"/>
      <c r="AR132" s="609"/>
      <c r="AS132" s="609"/>
      <c r="AT132" s="633"/>
      <c r="AU132" s="633"/>
      <c r="AV132" s="633"/>
      <c r="AW132" s="633"/>
      <c r="AX132" s="633"/>
      <c r="AY132" s="633"/>
      <c r="AZ132" s="633"/>
      <c r="BA132" s="633"/>
      <c r="BB132" s="633"/>
      <c r="BC132" s="633"/>
      <c r="BD132" s="633"/>
      <c r="BE132" s="633"/>
      <c r="BF132" s="633"/>
      <c r="BG132" s="633"/>
      <c r="BH132" s="633"/>
      <c r="BI132" s="633"/>
      <c r="BJ132" s="633"/>
      <c r="BK132" s="633"/>
      <c r="BL132" s="633"/>
      <c r="BM132" s="401">
        <f t="shared" ref="BM132:BM195" si="40">AG132+AH132+AI132</f>
        <v>648</v>
      </c>
      <c r="BO132" s="1473"/>
      <c r="BP132" s="1473"/>
    </row>
    <row r="133" s="200" customFormat="1" ht="36" customHeight="1" spans="1:68">
      <c r="A133" s="533">
        <v>45222</v>
      </c>
      <c r="B133" s="527" t="s">
        <v>315</v>
      </c>
      <c r="C133" s="528" t="s">
        <v>500</v>
      </c>
      <c r="D133" s="534">
        <v>4500116490</v>
      </c>
      <c r="E133" s="530" t="s">
        <v>559</v>
      </c>
      <c r="F133" s="534" t="s">
        <v>560</v>
      </c>
      <c r="G133" s="531" t="s">
        <v>73</v>
      </c>
      <c r="H133" s="532" t="s">
        <v>74</v>
      </c>
      <c r="I133" s="401">
        <v>672</v>
      </c>
      <c r="J133" s="562">
        <v>0</v>
      </c>
      <c r="K133" s="531">
        <v>24</v>
      </c>
      <c r="L133" s="401">
        <f t="shared" si="20"/>
        <v>28</v>
      </c>
      <c r="M133" s="563">
        <v>45377</v>
      </c>
      <c r="N133" s="563">
        <v>45383</v>
      </c>
      <c r="O133" s="564"/>
      <c r="P133" s="564" t="s">
        <v>92</v>
      </c>
      <c r="Q133" s="564" t="s">
        <v>551</v>
      </c>
      <c r="R133" s="564" t="s">
        <v>183</v>
      </c>
      <c r="S133" s="564" t="s">
        <v>123</v>
      </c>
      <c r="T133" s="564" t="s">
        <v>184</v>
      </c>
      <c r="U133" s="530" t="s">
        <v>552</v>
      </c>
      <c r="V133" s="596" t="s">
        <v>186</v>
      </c>
      <c r="W133" s="592">
        <v>1.19</v>
      </c>
      <c r="X133" s="593">
        <f t="shared" si="37"/>
        <v>799.68</v>
      </c>
      <c r="Y133" s="401" t="s">
        <v>553</v>
      </c>
      <c r="Z133" s="607" t="s">
        <v>188</v>
      </c>
      <c r="AA133" s="1453" t="s">
        <v>128</v>
      </c>
      <c r="AB133" s="608"/>
      <c r="AC133" s="608"/>
      <c r="AD133" s="608"/>
      <c r="AE133" s="564" t="s">
        <v>80</v>
      </c>
      <c r="AF133" s="564"/>
      <c r="AG133" s="608">
        <f t="shared" si="30"/>
        <v>672</v>
      </c>
      <c r="AH133" s="608"/>
      <c r="AI133" s="608"/>
      <c r="AJ133" s="608"/>
      <c r="AK133" s="609"/>
      <c r="AL133" s="401">
        <f t="shared" si="39"/>
        <v>672</v>
      </c>
      <c r="AM133" s="609"/>
      <c r="AN133" s="609"/>
      <c r="AO133" s="609">
        <f t="shared" si="31"/>
        <v>672</v>
      </c>
      <c r="AP133" s="609"/>
      <c r="AQ133" s="609"/>
      <c r="AR133" s="609"/>
      <c r="AS133" s="609"/>
      <c r="AT133" s="633"/>
      <c r="AU133" s="633"/>
      <c r="AV133" s="633"/>
      <c r="AW133" s="633"/>
      <c r="AX133" s="633"/>
      <c r="AY133" s="633"/>
      <c r="AZ133" s="633"/>
      <c r="BA133" s="633"/>
      <c r="BB133" s="633"/>
      <c r="BC133" s="633"/>
      <c r="BD133" s="633"/>
      <c r="BE133" s="633"/>
      <c r="BF133" s="633"/>
      <c r="BG133" s="633"/>
      <c r="BH133" s="633"/>
      <c r="BI133" s="633"/>
      <c r="BJ133" s="633"/>
      <c r="BK133" s="633"/>
      <c r="BL133" s="633"/>
      <c r="BM133" s="401">
        <f t="shared" si="40"/>
        <v>672</v>
      </c>
      <c r="BO133" s="1473"/>
      <c r="BP133" s="1473"/>
    </row>
    <row r="134" s="200" customFormat="1" ht="36" customHeight="1" spans="1:68">
      <c r="A134" s="533">
        <v>45315</v>
      </c>
      <c r="B134" s="527" t="s">
        <v>561</v>
      </c>
      <c r="C134" s="528" t="s">
        <v>190</v>
      </c>
      <c r="D134" s="534">
        <v>4500123799</v>
      </c>
      <c r="E134" s="530">
        <v>2313746</v>
      </c>
      <c r="F134" s="534" t="s">
        <v>562</v>
      </c>
      <c r="G134" s="531" t="s">
        <v>160</v>
      </c>
      <c r="H134" s="532" t="s">
        <v>74</v>
      </c>
      <c r="I134" s="401">
        <v>6006</v>
      </c>
      <c r="J134" s="562">
        <v>0</v>
      </c>
      <c r="K134" s="531">
        <v>13</v>
      </c>
      <c r="L134" s="401">
        <f t="shared" si="20"/>
        <v>462</v>
      </c>
      <c r="M134" s="563">
        <v>45380</v>
      </c>
      <c r="N134" s="563">
        <v>45383</v>
      </c>
      <c r="O134" s="564" t="s">
        <v>563</v>
      </c>
      <c r="P134" s="564" t="s">
        <v>92</v>
      </c>
      <c r="Q134" s="564" t="s">
        <v>564</v>
      </c>
      <c r="R134" s="564">
        <v>45351</v>
      </c>
      <c r="S134" s="564" t="s">
        <v>123</v>
      </c>
      <c r="T134" s="564">
        <v>45365</v>
      </c>
      <c r="U134" s="530" t="s">
        <v>565</v>
      </c>
      <c r="V134" s="596" t="s">
        <v>194</v>
      </c>
      <c r="W134" s="592">
        <v>1.7</v>
      </c>
      <c r="X134" s="593">
        <f t="shared" si="37"/>
        <v>10210.2</v>
      </c>
      <c r="Y134" s="401" t="s">
        <v>566</v>
      </c>
      <c r="Z134" s="607" t="s">
        <v>160</v>
      </c>
      <c r="AA134" s="1453" t="s">
        <v>128</v>
      </c>
      <c r="AB134" s="608"/>
      <c r="AC134" s="608"/>
      <c r="AD134" s="608"/>
      <c r="AE134" s="564" t="s">
        <v>80</v>
      </c>
      <c r="AF134" s="564"/>
      <c r="AG134" s="608">
        <f t="shared" si="30"/>
        <v>6006</v>
      </c>
      <c r="AH134" s="608"/>
      <c r="AI134" s="608"/>
      <c r="AJ134" s="608"/>
      <c r="AK134" s="609">
        <f t="shared" ref="AK134:AK137" si="41">AG134</f>
        <v>6006</v>
      </c>
      <c r="AL134" s="401"/>
      <c r="AM134" s="609"/>
      <c r="AN134" s="609"/>
      <c r="AO134" s="609">
        <f t="shared" si="31"/>
        <v>6006</v>
      </c>
      <c r="AP134" s="609"/>
      <c r="AQ134" s="609"/>
      <c r="AR134" s="609"/>
      <c r="AS134" s="609"/>
      <c r="AT134" s="633"/>
      <c r="AU134" s="633"/>
      <c r="AV134" s="633"/>
      <c r="AW134" s="633"/>
      <c r="AX134" s="633"/>
      <c r="AY134" s="633">
        <f t="shared" ref="AY134:AY136" si="42">I134/13</f>
        <v>462</v>
      </c>
      <c r="AZ134" s="633"/>
      <c r="BA134" s="633"/>
      <c r="BB134" s="633"/>
      <c r="BC134" s="633"/>
      <c r="BD134" s="633"/>
      <c r="BE134" s="633"/>
      <c r="BF134" s="633"/>
      <c r="BG134" s="633"/>
      <c r="BH134" s="633"/>
      <c r="BI134" s="633"/>
      <c r="BJ134" s="633"/>
      <c r="BK134" s="633"/>
      <c r="BL134" s="633"/>
      <c r="BM134" s="401">
        <f t="shared" si="40"/>
        <v>6006</v>
      </c>
      <c r="BO134" s="1473"/>
      <c r="BP134" s="1473"/>
    </row>
    <row r="135" s="200" customFormat="1" ht="36" customHeight="1" spans="1:68">
      <c r="A135" s="533">
        <v>45341</v>
      </c>
      <c r="B135" s="527" t="s">
        <v>189</v>
      </c>
      <c r="C135" s="528" t="s">
        <v>190</v>
      </c>
      <c r="D135" s="534">
        <v>4500123779</v>
      </c>
      <c r="E135" s="530">
        <v>19915513</v>
      </c>
      <c r="F135" s="534" t="s">
        <v>567</v>
      </c>
      <c r="G135" s="531" t="s">
        <v>160</v>
      </c>
      <c r="H135" s="532" t="s">
        <v>74</v>
      </c>
      <c r="I135" s="401">
        <v>1261</v>
      </c>
      <c r="J135" s="562">
        <v>0</v>
      </c>
      <c r="K135" s="531">
        <v>13</v>
      </c>
      <c r="L135" s="401">
        <f t="shared" si="20"/>
        <v>97</v>
      </c>
      <c r="M135" s="563">
        <v>45383</v>
      </c>
      <c r="N135" s="563">
        <v>45383</v>
      </c>
      <c r="O135" s="564" t="s">
        <v>568</v>
      </c>
      <c r="P135" s="564" t="s">
        <v>92</v>
      </c>
      <c r="Q135" s="564" t="s">
        <v>569</v>
      </c>
      <c r="R135" s="564">
        <v>45352</v>
      </c>
      <c r="S135" s="564" t="s">
        <v>123</v>
      </c>
      <c r="T135" s="564">
        <v>45362</v>
      </c>
      <c r="U135" s="530" t="s">
        <v>570</v>
      </c>
      <c r="V135" s="596" t="s">
        <v>194</v>
      </c>
      <c r="W135" s="592">
        <v>1.7</v>
      </c>
      <c r="X135" s="593">
        <f t="shared" si="37"/>
        <v>2143.7</v>
      </c>
      <c r="Y135" s="401" t="s">
        <v>571</v>
      </c>
      <c r="Z135" s="607" t="s">
        <v>160</v>
      </c>
      <c r="AA135" s="1453" t="s">
        <v>128</v>
      </c>
      <c r="AB135" s="608"/>
      <c r="AC135" s="608"/>
      <c r="AD135" s="608"/>
      <c r="AE135" s="564" t="s">
        <v>80</v>
      </c>
      <c r="AF135" s="564"/>
      <c r="AG135" s="608">
        <f t="shared" si="30"/>
        <v>1261</v>
      </c>
      <c r="AH135" s="608"/>
      <c r="AI135" s="608"/>
      <c r="AJ135" s="608"/>
      <c r="AK135" s="609">
        <f t="shared" si="41"/>
        <v>1261</v>
      </c>
      <c r="AL135" s="401"/>
      <c r="AM135" s="609"/>
      <c r="AN135" s="609"/>
      <c r="AO135" s="609">
        <f t="shared" si="31"/>
        <v>1261</v>
      </c>
      <c r="AP135" s="609"/>
      <c r="AQ135" s="609"/>
      <c r="AR135" s="609"/>
      <c r="AS135" s="609"/>
      <c r="AT135" s="633"/>
      <c r="AU135" s="633"/>
      <c r="AV135" s="633"/>
      <c r="AW135" s="633"/>
      <c r="AX135" s="633"/>
      <c r="AY135" s="633">
        <f t="shared" si="42"/>
        <v>97</v>
      </c>
      <c r="AZ135" s="633"/>
      <c r="BA135" s="633"/>
      <c r="BB135" s="633"/>
      <c r="BC135" s="633"/>
      <c r="BD135" s="633"/>
      <c r="BE135" s="633"/>
      <c r="BF135" s="633"/>
      <c r="BG135" s="633"/>
      <c r="BH135" s="633"/>
      <c r="BI135" s="633"/>
      <c r="BJ135" s="633"/>
      <c r="BK135" s="633"/>
      <c r="BL135" s="633"/>
      <c r="BM135" s="401">
        <f t="shared" si="40"/>
        <v>1261</v>
      </c>
      <c r="BO135" s="1473"/>
      <c r="BP135" s="1473"/>
    </row>
    <row r="136" s="200" customFormat="1" ht="36" customHeight="1" spans="1:68">
      <c r="A136" s="533">
        <v>45341</v>
      </c>
      <c r="B136" s="527" t="s">
        <v>232</v>
      </c>
      <c r="C136" s="528" t="s">
        <v>233</v>
      </c>
      <c r="D136" s="534">
        <v>4500123780</v>
      </c>
      <c r="E136" s="530">
        <v>19915516</v>
      </c>
      <c r="F136" s="534" t="s">
        <v>572</v>
      </c>
      <c r="G136" s="531" t="s">
        <v>160</v>
      </c>
      <c r="H136" s="532" t="s">
        <v>74</v>
      </c>
      <c r="I136" s="401">
        <v>247</v>
      </c>
      <c r="J136" s="562">
        <v>0</v>
      </c>
      <c r="K136" s="531">
        <v>13</v>
      </c>
      <c r="L136" s="401">
        <f t="shared" si="20"/>
        <v>19</v>
      </c>
      <c r="M136" s="563">
        <v>45383</v>
      </c>
      <c r="N136" s="563">
        <v>45383</v>
      </c>
      <c r="O136" s="564" t="s">
        <v>568</v>
      </c>
      <c r="P136" s="564" t="s">
        <v>92</v>
      </c>
      <c r="Q136" s="564" t="s">
        <v>569</v>
      </c>
      <c r="R136" s="564">
        <v>45352</v>
      </c>
      <c r="S136" s="564" t="s">
        <v>123</v>
      </c>
      <c r="T136" s="564">
        <v>45362</v>
      </c>
      <c r="U136" s="530" t="s">
        <v>573</v>
      </c>
      <c r="V136" s="596" t="s">
        <v>194</v>
      </c>
      <c r="W136" s="592">
        <v>1.7</v>
      </c>
      <c r="X136" s="593">
        <f t="shared" si="37"/>
        <v>419.9</v>
      </c>
      <c r="Y136" s="401" t="s">
        <v>574</v>
      </c>
      <c r="Z136" s="607" t="s">
        <v>160</v>
      </c>
      <c r="AA136" s="1453" t="s">
        <v>128</v>
      </c>
      <c r="AB136" s="608"/>
      <c r="AC136" s="608"/>
      <c r="AD136" s="608"/>
      <c r="AE136" s="564" t="s">
        <v>80</v>
      </c>
      <c r="AF136" s="564"/>
      <c r="AG136" s="608">
        <f t="shared" si="30"/>
        <v>247</v>
      </c>
      <c r="AH136" s="608"/>
      <c r="AI136" s="608"/>
      <c r="AJ136" s="608"/>
      <c r="AK136" s="609">
        <f t="shared" si="41"/>
        <v>247</v>
      </c>
      <c r="AL136" s="401"/>
      <c r="AM136" s="609"/>
      <c r="AN136" s="609"/>
      <c r="AO136" s="609">
        <f t="shared" si="31"/>
        <v>247</v>
      </c>
      <c r="AP136" s="609"/>
      <c r="AQ136" s="609"/>
      <c r="AR136" s="609"/>
      <c r="AS136" s="609"/>
      <c r="AT136" s="633"/>
      <c r="AU136" s="633"/>
      <c r="AV136" s="633"/>
      <c r="AW136" s="633"/>
      <c r="AX136" s="633"/>
      <c r="AY136" s="633">
        <f t="shared" si="42"/>
        <v>19</v>
      </c>
      <c r="AZ136" s="633"/>
      <c r="BA136" s="633"/>
      <c r="BB136" s="633"/>
      <c r="BC136" s="633"/>
      <c r="BD136" s="633"/>
      <c r="BE136" s="633"/>
      <c r="BF136" s="633"/>
      <c r="BG136" s="633"/>
      <c r="BH136" s="633"/>
      <c r="BI136" s="633"/>
      <c r="BJ136" s="633"/>
      <c r="BK136" s="633"/>
      <c r="BL136" s="633"/>
      <c r="BM136" s="401">
        <f t="shared" si="40"/>
        <v>247</v>
      </c>
      <c r="BO136" s="1473"/>
      <c r="BP136" s="1473"/>
    </row>
    <row r="137" s="200" customFormat="1" ht="36" customHeight="1" spans="1:68">
      <c r="A137" s="533">
        <v>45341</v>
      </c>
      <c r="B137" s="527" t="s">
        <v>116</v>
      </c>
      <c r="C137" s="528" t="s">
        <v>117</v>
      </c>
      <c r="D137" s="534">
        <v>4500124141</v>
      </c>
      <c r="E137" s="530" t="s">
        <v>575</v>
      </c>
      <c r="F137" s="534" t="s">
        <v>576</v>
      </c>
      <c r="G137" s="531" t="s">
        <v>120</v>
      </c>
      <c r="H137" s="532" t="s">
        <v>74</v>
      </c>
      <c r="I137" s="401">
        <v>14994</v>
      </c>
      <c r="J137" s="562">
        <v>0</v>
      </c>
      <c r="K137" s="531">
        <v>21</v>
      </c>
      <c r="L137" s="401">
        <f t="shared" si="20"/>
        <v>714</v>
      </c>
      <c r="M137" s="563">
        <v>45384</v>
      </c>
      <c r="N137" s="563">
        <v>45383</v>
      </c>
      <c r="O137" s="564"/>
      <c r="P137" s="564" t="s">
        <v>92</v>
      </c>
      <c r="Q137" s="564" t="s">
        <v>577</v>
      </c>
      <c r="R137" s="564">
        <v>45352</v>
      </c>
      <c r="S137" s="564" t="s">
        <v>123</v>
      </c>
      <c r="T137" s="564" t="s">
        <v>546</v>
      </c>
      <c r="U137" s="530" t="s">
        <v>578</v>
      </c>
      <c r="V137" s="596" t="s">
        <v>126</v>
      </c>
      <c r="W137" s="592">
        <v>1.75</v>
      </c>
      <c r="X137" s="593">
        <f t="shared" si="37"/>
        <v>26239.5</v>
      </c>
      <c r="Y137" s="401" t="s">
        <v>579</v>
      </c>
      <c r="Z137" s="607" t="s">
        <v>120</v>
      </c>
      <c r="AA137" s="1453" t="s">
        <v>128</v>
      </c>
      <c r="AB137" s="608"/>
      <c r="AC137" s="608"/>
      <c r="AD137" s="608"/>
      <c r="AE137" s="564" t="s">
        <v>80</v>
      </c>
      <c r="AF137" s="564"/>
      <c r="AG137" s="608">
        <f t="shared" si="30"/>
        <v>14994</v>
      </c>
      <c r="AH137" s="608"/>
      <c r="AI137" s="608"/>
      <c r="AJ137" s="608"/>
      <c r="AK137" s="609">
        <f t="shared" si="41"/>
        <v>14994</v>
      </c>
      <c r="AL137" s="401"/>
      <c r="AM137" s="609"/>
      <c r="AN137" s="609"/>
      <c r="AO137" s="609">
        <f t="shared" si="31"/>
        <v>14994</v>
      </c>
      <c r="AP137" s="609"/>
      <c r="AQ137" s="609"/>
      <c r="AR137" s="609"/>
      <c r="AS137" s="609">
        <f>I137/21</f>
        <v>714</v>
      </c>
      <c r="AT137" s="633"/>
      <c r="AU137" s="633"/>
      <c r="AV137" s="633"/>
      <c r="AW137" s="633"/>
      <c r="AX137" s="633"/>
      <c r="AY137" s="633"/>
      <c r="AZ137" s="633"/>
      <c r="BA137" s="633"/>
      <c r="BB137" s="633"/>
      <c r="BC137" s="633"/>
      <c r="BD137" s="633"/>
      <c r="BE137" s="633"/>
      <c r="BF137" s="633"/>
      <c r="BG137" s="633"/>
      <c r="BH137" s="633"/>
      <c r="BI137" s="633"/>
      <c r="BJ137" s="633"/>
      <c r="BK137" s="633"/>
      <c r="BL137" s="633"/>
      <c r="BM137" s="401">
        <f t="shared" si="40"/>
        <v>14994</v>
      </c>
      <c r="BO137" s="1473"/>
      <c r="BP137" s="1473"/>
    </row>
    <row r="138" s="200" customFormat="1" ht="36" customHeight="1" spans="1:68">
      <c r="A138" s="533">
        <v>45341</v>
      </c>
      <c r="B138" s="1475" t="s">
        <v>580</v>
      </c>
      <c r="C138" s="1476" t="s">
        <v>581</v>
      </c>
      <c r="D138" s="534">
        <v>4500124683</v>
      </c>
      <c r="E138" s="530" t="s">
        <v>582</v>
      </c>
      <c r="F138" s="534" t="s">
        <v>583</v>
      </c>
      <c r="G138" s="531" t="s">
        <v>207</v>
      </c>
      <c r="H138" s="532" t="s">
        <v>74</v>
      </c>
      <c r="I138" s="401">
        <v>2784</v>
      </c>
      <c r="J138" s="562">
        <v>0</v>
      </c>
      <c r="K138" s="531">
        <v>48</v>
      </c>
      <c r="L138" s="401">
        <f t="shared" si="20"/>
        <v>58</v>
      </c>
      <c r="M138" s="563">
        <v>45385</v>
      </c>
      <c r="N138" s="563">
        <v>45383</v>
      </c>
      <c r="O138" s="564"/>
      <c r="P138" s="564" t="s">
        <v>92</v>
      </c>
      <c r="Q138" s="564"/>
      <c r="R138" s="564">
        <v>45356</v>
      </c>
      <c r="S138" s="564" t="s">
        <v>77</v>
      </c>
      <c r="T138" s="564">
        <v>45340</v>
      </c>
      <c r="U138" s="530" t="s">
        <v>584</v>
      </c>
      <c r="V138" s="596" t="s">
        <v>585</v>
      </c>
      <c r="W138" s="592">
        <v>1.47</v>
      </c>
      <c r="X138" s="593">
        <f t="shared" si="37"/>
        <v>4092.48</v>
      </c>
      <c r="Y138" s="401" t="s">
        <v>586</v>
      </c>
      <c r="Z138" s="607" t="s">
        <v>207</v>
      </c>
      <c r="AA138" s="1453" t="s">
        <v>128</v>
      </c>
      <c r="AB138" s="608"/>
      <c r="AC138" s="608"/>
      <c r="AD138" s="608"/>
      <c r="AE138" s="564" t="s">
        <v>80</v>
      </c>
      <c r="AF138" s="564"/>
      <c r="AG138" s="608">
        <f t="shared" si="30"/>
        <v>2784</v>
      </c>
      <c r="AH138" s="608"/>
      <c r="AI138" s="608"/>
      <c r="AJ138" s="608"/>
      <c r="AK138" s="401">
        <f>I138</f>
        <v>2784</v>
      </c>
      <c r="AL138" s="401"/>
      <c r="AM138" s="609"/>
      <c r="AN138" s="609"/>
      <c r="AO138" s="609">
        <f t="shared" si="31"/>
        <v>2784</v>
      </c>
      <c r="AP138" s="609"/>
      <c r="AQ138" s="609"/>
      <c r="AR138" s="609"/>
      <c r="AS138" s="609"/>
      <c r="AT138" s="633"/>
      <c r="AU138" s="633"/>
      <c r="AV138" s="633"/>
      <c r="AW138" s="633">
        <f>AG138/12</f>
        <v>232</v>
      </c>
      <c r="AX138" s="633"/>
      <c r="AY138" s="633"/>
      <c r="AZ138" s="633"/>
      <c r="BA138" s="633"/>
      <c r="BB138" s="633"/>
      <c r="BC138" s="633"/>
      <c r="BD138" s="633"/>
      <c r="BE138" s="633"/>
      <c r="BF138" s="633"/>
      <c r="BG138" s="633"/>
      <c r="BH138" s="633"/>
      <c r="BI138" s="633"/>
      <c r="BJ138" s="633"/>
      <c r="BK138" s="633"/>
      <c r="BL138" s="633"/>
      <c r="BM138" s="401">
        <f t="shared" si="40"/>
        <v>2784</v>
      </c>
      <c r="BO138" s="1473"/>
      <c r="BP138" s="1473"/>
    </row>
    <row r="139" s="200" customFormat="1" ht="36" customHeight="1" spans="1:68">
      <c r="A139" s="533">
        <v>45355</v>
      </c>
      <c r="B139" s="1475" t="s">
        <v>587</v>
      </c>
      <c r="C139" s="1476" t="s">
        <v>117</v>
      </c>
      <c r="D139" s="534">
        <v>4500125811</v>
      </c>
      <c r="E139" s="530">
        <v>5236397868</v>
      </c>
      <c r="F139" s="534" t="s">
        <v>588</v>
      </c>
      <c r="G139" s="531" t="s">
        <v>525</v>
      </c>
      <c r="H139" s="532" t="s">
        <v>74</v>
      </c>
      <c r="I139" s="401">
        <v>4920</v>
      </c>
      <c r="J139" s="562">
        <v>0</v>
      </c>
      <c r="K139" s="531">
        <v>30</v>
      </c>
      <c r="L139" s="401">
        <f t="shared" si="20"/>
        <v>164</v>
      </c>
      <c r="M139" s="563">
        <v>45385</v>
      </c>
      <c r="N139" s="563">
        <v>45383</v>
      </c>
      <c r="O139" s="564" t="s">
        <v>589</v>
      </c>
      <c r="P139" s="564" t="s">
        <v>92</v>
      </c>
      <c r="Q139" s="564" t="s">
        <v>590</v>
      </c>
      <c r="R139" s="564">
        <v>45369</v>
      </c>
      <c r="S139" s="564" t="s">
        <v>123</v>
      </c>
      <c r="T139" s="564">
        <v>45366</v>
      </c>
      <c r="U139" s="530" t="s">
        <v>591</v>
      </c>
      <c r="V139" s="596" t="s">
        <v>592</v>
      </c>
      <c r="W139" s="592">
        <v>50.683</v>
      </c>
      <c r="X139" s="593">
        <f t="shared" ref="X139:X142" si="43">W139*L139</f>
        <v>8312.012</v>
      </c>
      <c r="Y139" s="401" t="s">
        <v>593</v>
      </c>
      <c r="Z139" s="607" t="s">
        <v>525</v>
      </c>
      <c r="AA139" s="1453" t="s">
        <v>128</v>
      </c>
      <c r="AB139" s="608"/>
      <c r="AC139" s="608"/>
      <c r="AD139" s="608"/>
      <c r="AE139" s="564" t="s">
        <v>80</v>
      </c>
      <c r="AF139" s="564"/>
      <c r="AG139" s="608">
        <f t="shared" si="30"/>
        <v>4920</v>
      </c>
      <c r="AH139" s="608"/>
      <c r="AI139" s="608"/>
      <c r="AJ139" s="608"/>
      <c r="AK139" s="401">
        <f t="shared" ref="AK139:AK145" si="44">AG139</f>
        <v>4920</v>
      </c>
      <c r="AL139" s="401"/>
      <c r="AM139" s="609"/>
      <c r="AN139" s="609"/>
      <c r="AO139" s="609">
        <f t="shared" si="31"/>
        <v>4920</v>
      </c>
      <c r="AP139" s="609"/>
      <c r="AQ139" s="609"/>
      <c r="AR139" s="609"/>
      <c r="AS139" s="609"/>
      <c r="AT139" s="633"/>
      <c r="AU139" s="633"/>
      <c r="AV139" s="633"/>
      <c r="AW139" s="633"/>
      <c r="AX139" s="633"/>
      <c r="AY139" s="633"/>
      <c r="AZ139" s="633"/>
      <c r="BA139" s="633"/>
      <c r="BB139" s="633"/>
      <c r="BC139" s="633"/>
      <c r="BD139" s="633"/>
      <c r="BE139" s="633"/>
      <c r="BF139" s="633">
        <f t="shared" ref="BF139:BF142" si="45">I139/30</f>
        <v>164</v>
      </c>
      <c r="BG139" s="633"/>
      <c r="BH139" s="633"/>
      <c r="BI139" s="633"/>
      <c r="BJ139" s="633"/>
      <c r="BK139" s="633"/>
      <c r="BL139" s="633"/>
      <c r="BM139" s="401">
        <f t="shared" si="40"/>
        <v>4920</v>
      </c>
      <c r="BO139" s="1473"/>
      <c r="BP139" s="1473"/>
    </row>
    <row r="140" s="200" customFormat="1" ht="36" customHeight="1" spans="1:68">
      <c r="A140" s="533">
        <v>45355</v>
      </c>
      <c r="B140" s="1475" t="s">
        <v>587</v>
      </c>
      <c r="C140" s="1476" t="s">
        <v>117</v>
      </c>
      <c r="D140" s="534">
        <v>4500125811</v>
      </c>
      <c r="E140" s="530">
        <v>5236397869</v>
      </c>
      <c r="F140" s="534" t="s">
        <v>594</v>
      </c>
      <c r="G140" s="531" t="s">
        <v>525</v>
      </c>
      <c r="H140" s="532" t="s">
        <v>74</v>
      </c>
      <c r="I140" s="401">
        <v>9030</v>
      </c>
      <c r="J140" s="562">
        <v>0</v>
      </c>
      <c r="K140" s="531">
        <v>30</v>
      </c>
      <c r="L140" s="401">
        <f t="shared" ref="L140:L203" si="46">I140/K140</f>
        <v>301</v>
      </c>
      <c r="M140" s="563">
        <v>45385</v>
      </c>
      <c r="N140" s="563">
        <v>45383</v>
      </c>
      <c r="O140" s="564" t="s">
        <v>595</v>
      </c>
      <c r="P140" s="564" t="s">
        <v>92</v>
      </c>
      <c r="Q140" s="564" t="s">
        <v>596</v>
      </c>
      <c r="R140" s="564">
        <v>45369</v>
      </c>
      <c r="S140" s="564" t="s">
        <v>123</v>
      </c>
      <c r="T140" s="564">
        <v>45366</v>
      </c>
      <c r="U140" s="530" t="s">
        <v>591</v>
      </c>
      <c r="V140" s="596" t="s">
        <v>592</v>
      </c>
      <c r="W140" s="592">
        <v>50.683</v>
      </c>
      <c r="X140" s="593">
        <f t="shared" si="43"/>
        <v>15255.583</v>
      </c>
      <c r="Y140" s="401" t="s">
        <v>593</v>
      </c>
      <c r="Z140" s="607" t="s">
        <v>525</v>
      </c>
      <c r="AA140" s="1453" t="s">
        <v>128</v>
      </c>
      <c r="AB140" s="608"/>
      <c r="AC140" s="608"/>
      <c r="AD140" s="608"/>
      <c r="AE140" s="564" t="s">
        <v>80</v>
      </c>
      <c r="AF140" s="564"/>
      <c r="AG140" s="608">
        <f t="shared" si="30"/>
        <v>9030</v>
      </c>
      <c r="AH140" s="608"/>
      <c r="AI140" s="608"/>
      <c r="AJ140" s="608"/>
      <c r="AK140" s="401">
        <f t="shared" si="44"/>
        <v>9030</v>
      </c>
      <c r="AL140" s="401"/>
      <c r="AM140" s="609"/>
      <c r="AN140" s="609"/>
      <c r="AO140" s="609">
        <f t="shared" si="31"/>
        <v>9030</v>
      </c>
      <c r="AP140" s="609"/>
      <c r="AQ140" s="609"/>
      <c r="AR140" s="609"/>
      <c r="AS140" s="609"/>
      <c r="AT140" s="633"/>
      <c r="AU140" s="633"/>
      <c r="AV140" s="633"/>
      <c r="AW140" s="633"/>
      <c r="AX140" s="633"/>
      <c r="AY140" s="633"/>
      <c r="AZ140" s="633"/>
      <c r="BA140" s="633"/>
      <c r="BB140" s="633"/>
      <c r="BC140" s="633"/>
      <c r="BD140" s="633"/>
      <c r="BE140" s="633"/>
      <c r="BF140" s="633">
        <f t="shared" si="45"/>
        <v>301</v>
      </c>
      <c r="BG140" s="633"/>
      <c r="BH140" s="633"/>
      <c r="BI140" s="633"/>
      <c r="BJ140" s="633"/>
      <c r="BK140" s="633"/>
      <c r="BL140" s="633"/>
      <c r="BM140" s="401">
        <f t="shared" si="40"/>
        <v>9030</v>
      </c>
      <c r="BO140" s="1473"/>
      <c r="BP140" s="1473"/>
    </row>
    <row r="141" s="200" customFormat="1" ht="36" customHeight="1" spans="1:68">
      <c r="A141" s="533">
        <v>45355</v>
      </c>
      <c r="B141" s="1475" t="s">
        <v>587</v>
      </c>
      <c r="C141" s="1476" t="s">
        <v>117</v>
      </c>
      <c r="D141" s="534">
        <v>4500125811</v>
      </c>
      <c r="E141" s="530">
        <v>5236397871</v>
      </c>
      <c r="F141" s="534" t="s">
        <v>597</v>
      </c>
      <c r="G141" s="531" t="s">
        <v>525</v>
      </c>
      <c r="H141" s="532" t="s">
        <v>74</v>
      </c>
      <c r="I141" s="401">
        <v>5520</v>
      </c>
      <c r="J141" s="562">
        <v>0</v>
      </c>
      <c r="K141" s="531">
        <v>30</v>
      </c>
      <c r="L141" s="401">
        <f t="shared" si="46"/>
        <v>184</v>
      </c>
      <c r="M141" s="563">
        <v>45385</v>
      </c>
      <c r="N141" s="563">
        <v>45383</v>
      </c>
      <c r="O141" s="564" t="s">
        <v>598</v>
      </c>
      <c r="P141" s="564" t="s">
        <v>92</v>
      </c>
      <c r="Q141" s="564" t="s">
        <v>599</v>
      </c>
      <c r="R141" s="564">
        <v>45369</v>
      </c>
      <c r="S141" s="564" t="s">
        <v>123</v>
      </c>
      <c r="T141" s="564">
        <v>45366</v>
      </c>
      <c r="U141" s="530" t="s">
        <v>591</v>
      </c>
      <c r="V141" s="596" t="s">
        <v>592</v>
      </c>
      <c r="W141" s="592">
        <v>50.683</v>
      </c>
      <c r="X141" s="593">
        <f t="shared" si="43"/>
        <v>9325.672</v>
      </c>
      <c r="Y141" s="401" t="s">
        <v>593</v>
      </c>
      <c r="Z141" s="607" t="s">
        <v>525</v>
      </c>
      <c r="AA141" s="1453" t="s">
        <v>128</v>
      </c>
      <c r="AB141" s="608"/>
      <c r="AC141" s="608"/>
      <c r="AD141" s="608"/>
      <c r="AE141" s="564" t="s">
        <v>80</v>
      </c>
      <c r="AF141" s="564"/>
      <c r="AG141" s="608">
        <f t="shared" si="30"/>
        <v>5520</v>
      </c>
      <c r="AH141" s="608"/>
      <c r="AI141" s="608"/>
      <c r="AJ141" s="608"/>
      <c r="AK141" s="401">
        <f t="shared" si="44"/>
        <v>5520</v>
      </c>
      <c r="AL141" s="401"/>
      <c r="AM141" s="609"/>
      <c r="AN141" s="609"/>
      <c r="AO141" s="609">
        <f t="shared" si="31"/>
        <v>5520</v>
      </c>
      <c r="AP141" s="609"/>
      <c r="AQ141" s="609"/>
      <c r="AR141" s="609"/>
      <c r="AS141" s="609"/>
      <c r="AT141" s="633"/>
      <c r="AU141" s="633"/>
      <c r="AV141" s="633"/>
      <c r="AW141" s="633"/>
      <c r="AX141" s="633"/>
      <c r="AY141" s="633"/>
      <c r="AZ141" s="633"/>
      <c r="BA141" s="633"/>
      <c r="BB141" s="633"/>
      <c r="BC141" s="633"/>
      <c r="BD141" s="633"/>
      <c r="BE141" s="633"/>
      <c r="BF141" s="633">
        <f t="shared" si="45"/>
        <v>184</v>
      </c>
      <c r="BG141" s="633"/>
      <c r="BH141" s="633"/>
      <c r="BI141" s="633"/>
      <c r="BJ141" s="633"/>
      <c r="BK141" s="633"/>
      <c r="BL141" s="633"/>
      <c r="BM141" s="401">
        <f t="shared" si="40"/>
        <v>5520</v>
      </c>
      <c r="BO141" s="1473"/>
      <c r="BP141" s="1473"/>
    </row>
    <row r="142" s="200" customFormat="1" ht="36" customHeight="1" spans="1:68">
      <c r="A142" s="533">
        <v>45355</v>
      </c>
      <c r="B142" s="1475" t="s">
        <v>587</v>
      </c>
      <c r="C142" s="1476" t="s">
        <v>117</v>
      </c>
      <c r="D142" s="534">
        <v>4500125811</v>
      </c>
      <c r="E142" s="530">
        <v>5236397873</v>
      </c>
      <c r="F142" s="534" t="s">
        <v>600</v>
      </c>
      <c r="G142" s="531" t="s">
        <v>525</v>
      </c>
      <c r="H142" s="532" t="s">
        <v>74</v>
      </c>
      <c r="I142" s="401">
        <v>8820</v>
      </c>
      <c r="J142" s="562">
        <v>0</v>
      </c>
      <c r="K142" s="531">
        <v>30</v>
      </c>
      <c r="L142" s="401">
        <f t="shared" si="46"/>
        <v>294</v>
      </c>
      <c r="M142" s="563">
        <v>45385</v>
      </c>
      <c r="N142" s="563">
        <v>45383</v>
      </c>
      <c r="O142" s="564" t="s">
        <v>598</v>
      </c>
      <c r="P142" s="564" t="s">
        <v>92</v>
      </c>
      <c r="Q142" s="564" t="s">
        <v>596</v>
      </c>
      <c r="R142" s="564">
        <v>45369</v>
      </c>
      <c r="S142" s="564" t="s">
        <v>123</v>
      </c>
      <c r="T142" s="564">
        <v>45366</v>
      </c>
      <c r="U142" s="530" t="s">
        <v>591</v>
      </c>
      <c r="V142" s="596" t="s">
        <v>592</v>
      </c>
      <c r="W142" s="592">
        <v>50.683</v>
      </c>
      <c r="X142" s="593">
        <f t="shared" si="43"/>
        <v>14900.802</v>
      </c>
      <c r="Y142" s="401" t="s">
        <v>593</v>
      </c>
      <c r="Z142" s="607" t="s">
        <v>525</v>
      </c>
      <c r="AA142" s="1453" t="s">
        <v>128</v>
      </c>
      <c r="AB142" s="608"/>
      <c r="AC142" s="608"/>
      <c r="AD142" s="608"/>
      <c r="AE142" s="564" t="s">
        <v>80</v>
      </c>
      <c r="AF142" s="564"/>
      <c r="AG142" s="608">
        <f t="shared" si="30"/>
        <v>8820</v>
      </c>
      <c r="AH142" s="608"/>
      <c r="AI142" s="608"/>
      <c r="AJ142" s="608"/>
      <c r="AK142" s="401">
        <f t="shared" si="44"/>
        <v>8820</v>
      </c>
      <c r="AL142" s="401"/>
      <c r="AM142" s="609"/>
      <c r="AN142" s="609"/>
      <c r="AO142" s="609">
        <f t="shared" si="31"/>
        <v>8820</v>
      </c>
      <c r="AP142" s="609"/>
      <c r="AQ142" s="609"/>
      <c r="AR142" s="609"/>
      <c r="AS142" s="609"/>
      <c r="AT142" s="633"/>
      <c r="AU142" s="633"/>
      <c r="AV142" s="633"/>
      <c r="AW142" s="633"/>
      <c r="AX142" s="633"/>
      <c r="AY142" s="633"/>
      <c r="AZ142" s="633"/>
      <c r="BA142" s="633"/>
      <c r="BB142" s="633"/>
      <c r="BC142" s="633"/>
      <c r="BD142" s="633"/>
      <c r="BE142" s="633"/>
      <c r="BF142" s="633">
        <f t="shared" si="45"/>
        <v>294</v>
      </c>
      <c r="BG142" s="633"/>
      <c r="BH142" s="633"/>
      <c r="BI142" s="633"/>
      <c r="BJ142" s="633"/>
      <c r="BK142" s="633"/>
      <c r="BL142" s="633"/>
      <c r="BM142" s="401">
        <f t="shared" si="40"/>
        <v>8820</v>
      </c>
      <c r="BO142" s="1473"/>
      <c r="BP142" s="1473"/>
    </row>
    <row r="143" s="200" customFormat="1" ht="36" customHeight="1" spans="1:68">
      <c r="A143" s="533">
        <v>45342</v>
      </c>
      <c r="B143" s="527" t="s">
        <v>601</v>
      </c>
      <c r="C143" s="528" t="s">
        <v>602</v>
      </c>
      <c r="D143" s="534">
        <v>4500124820</v>
      </c>
      <c r="E143" s="530"/>
      <c r="F143" s="534" t="s">
        <v>603</v>
      </c>
      <c r="G143" s="531" t="s">
        <v>403</v>
      </c>
      <c r="H143" s="532" t="s">
        <v>74</v>
      </c>
      <c r="I143" s="401">
        <v>5928</v>
      </c>
      <c r="J143" s="562">
        <v>0</v>
      </c>
      <c r="K143" s="531">
        <v>52</v>
      </c>
      <c r="L143" s="401">
        <f t="shared" si="46"/>
        <v>114</v>
      </c>
      <c r="M143" s="563">
        <v>45387</v>
      </c>
      <c r="N143" s="563">
        <v>45384</v>
      </c>
      <c r="O143" s="564"/>
      <c r="P143" s="564" t="s">
        <v>92</v>
      </c>
      <c r="Q143" s="564" t="s">
        <v>604</v>
      </c>
      <c r="R143" s="564">
        <v>45342</v>
      </c>
      <c r="S143" s="564" t="s">
        <v>77</v>
      </c>
      <c r="T143" s="564">
        <v>45349</v>
      </c>
      <c r="U143" s="530" t="s">
        <v>605</v>
      </c>
      <c r="V143" s="596" t="s">
        <v>606</v>
      </c>
      <c r="W143" s="592">
        <v>1.609</v>
      </c>
      <c r="X143" s="593">
        <f t="shared" ref="X143:X146" si="47">I143*W143</f>
        <v>9538.152</v>
      </c>
      <c r="Y143" s="401" t="s">
        <v>607</v>
      </c>
      <c r="Z143" s="607" t="s">
        <v>608</v>
      </c>
      <c r="AA143" s="1453" t="s">
        <v>128</v>
      </c>
      <c r="AB143" s="608"/>
      <c r="AC143" s="608"/>
      <c r="AD143" s="608"/>
      <c r="AE143" s="564" t="s">
        <v>80</v>
      </c>
      <c r="AF143" s="564"/>
      <c r="AG143" s="608">
        <f t="shared" si="30"/>
        <v>5928</v>
      </c>
      <c r="AH143" s="608"/>
      <c r="AI143" s="608"/>
      <c r="AJ143" s="608"/>
      <c r="AK143" s="609">
        <f t="shared" si="44"/>
        <v>5928</v>
      </c>
      <c r="AL143" s="401"/>
      <c r="AM143" s="609"/>
      <c r="AN143" s="609"/>
      <c r="AO143" s="609">
        <f t="shared" si="31"/>
        <v>5928</v>
      </c>
      <c r="AP143" s="609"/>
      <c r="AQ143" s="609"/>
      <c r="AR143" s="609"/>
      <c r="AS143" s="609"/>
      <c r="AT143" s="633"/>
      <c r="AU143" s="633"/>
      <c r="AV143" s="633"/>
      <c r="AW143" s="633"/>
      <c r="AX143" s="633"/>
      <c r="AY143" s="633">
        <f>AG143/13</f>
        <v>456</v>
      </c>
      <c r="AZ143" s="633"/>
      <c r="BA143" s="633"/>
      <c r="BB143" s="633"/>
      <c r="BC143" s="633"/>
      <c r="BD143" s="633"/>
      <c r="BE143" s="633"/>
      <c r="BF143" s="633"/>
      <c r="BG143" s="633"/>
      <c r="BH143" s="633"/>
      <c r="BI143" s="633"/>
      <c r="BJ143" s="633"/>
      <c r="BK143" s="633"/>
      <c r="BL143" s="633"/>
      <c r="BM143" s="401">
        <f t="shared" si="40"/>
        <v>5928</v>
      </c>
      <c r="BO143" s="1473"/>
      <c r="BP143" s="1473"/>
    </row>
    <row r="144" s="200" customFormat="1" ht="36" customHeight="1" spans="1:68">
      <c r="A144" s="533">
        <v>45342</v>
      </c>
      <c r="B144" s="527" t="s">
        <v>601</v>
      </c>
      <c r="C144" s="528" t="s">
        <v>602</v>
      </c>
      <c r="D144" s="534">
        <v>4500124820</v>
      </c>
      <c r="E144" s="530"/>
      <c r="F144" s="534" t="s">
        <v>609</v>
      </c>
      <c r="G144" s="531" t="s">
        <v>386</v>
      </c>
      <c r="H144" s="532" t="s">
        <v>74</v>
      </c>
      <c r="I144" s="401">
        <v>720</v>
      </c>
      <c r="J144" s="562">
        <v>0</v>
      </c>
      <c r="K144" s="531">
        <v>60</v>
      </c>
      <c r="L144" s="401">
        <f t="shared" si="46"/>
        <v>12</v>
      </c>
      <c r="M144" s="563">
        <v>45387</v>
      </c>
      <c r="N144" s="563">
        <v>45384</v>
      </c>
      <c r="O144" s="564"/>
      <c r="P144" s="564" t="s">
        <v>92</v>
      </c>
      <c r="Q144" s="564" t="s">
        <v>604</v>
      </c>
      <c r="R144" s="564">
        <v>45342</v>
      </c>
      <c r="S144" s="564" t="s">
        <v>77</v>
      </c>
      <c r="T144" s="564">
        <v>45349</v>
      </c>
      <c r="U144" s="530" t="s">
        <v>610</v>
      </c>
      <c r="V144" s="596" t="s">
        <v>606</v>
      </c>
      <c r="W144" s="592">
        <v>95.234</v>
      </c>
      <c r="X144" s="593">
        <f>W144*L144</f>
        <v>1142.808</v>
      </c>
      <c r="Y144" s="401" t="s">
        <v>607</v>
      </c>
      <c r="Z144" s="607" t="s">
        <v>611</v>
      </c>
      <c r="AA144" s="1453" t="s">
        <v>128</v>
      </c>
      <c r="AB144" s="608"/>
      <c r="AC144" s="608"/>
      <c r="AD144" s="608"/>
      <c r="AE144" s="564" t="s">
        <v>80</v>
      </c>
      <c r="AF144" s="564"/>
      <c r="AG144" s="608">
        <f t="shared" si="30"/>
        <v>720</v>
      </c>
      <c r="AH144" s="608"/>
      <c r="AI144" s="608"/>
      <c r="AJ144" s="608"/>
      <c r="AK144" s="609">
        <f t="shared" si="44"/>
        <v>720</v>
      </c>
      <c r="AL144" s="401"/>
      <c r="AM144" s="609"/>
      <c r="AN144" s="609"/>
      <c r="AO144" s="609">
        <f t="shared" si="31"/>
        <v>720</v>
      </c>
      <c r="AP144" s="609"/>
      <c r="AQ144" s="609"/>
      <c r="AR144" s="609"/>
      <c r="AS144" s="609"/>
      <c r="AT144" s="633"/>
      <c r="AU144" s="633"/>
      <c r="AV144" s="633"/>
      <c r="AW144" s="633"/>
      <c r="AX144" s="633"/>
      <c r="AY144" s="633"/>
      <c r="AZ144" s="633"/>
      <c r="BA144" s="633"/>
      <c r="BB144" s="633"/>
      <c r="BC144" s="633"/>
      <c r="BD144" s="633">
        <f>I144/60</f>
        <v>12</v>
      </c>
      <c r="BE144" s="401"/>
      <c r="BF144" s="401"/>
      <c r="BG144" s="633"/>
      <c r="BH144" s="633"/>
      <c r="BI144" s="633"/>
      <c r="BJ144" s="633"/>
      <c r="BK144" s="633"/>
      <c r="BL144" s="633"/>
      <c r="BM144" s="401">
        <f t="shared" si="40"/>
        <v>720</v>
      </c>
      <c r="BO144" s="1473"/>
      <c r="BP144" s="1473"/>
    </row>
    <row r="145" s="200" customFormat="1" ht="36" customHeight="1" spans="1:68">
      <c r="A145" s="1477">
        <v>45348</v>
      </c>
      <c r="B145" s="530" t="s">
        <v>612</v>
      </c>
      <c r="C145" s="1478" t="s">
        <v>613</v>
      </c>
      <c r="D145" s="534">
        <v>4500125197</v>
      </c>
      <c r="E145" s="1479" t="s">
        <v>614</v>
      </c>
      <c r="F145" s="534" t="s">
        <v>615</v>
      </c>
      <c r="G145" s="531" t="s">
        <v>403</v>
      </c>
      <c r="H145" s="532" t="s">
        <v>74</v>
      </c>
      <c r="I145" s="401">
        <v>520</v>
      </c>
      <c r="J145" s="562">
        <v>0</v>
      </c>
      <c r="K145" s="531">
        <v>52</v>
      </c>
      <c r="L145" s="401">
        <f t="shared" si="46"/>
        <v>10</v>
      </c>
      <c r="M145" s="563">
        <v>45390</v>
      </c>
      <c r="N145" s="563">
        <v>45386</v>
      </c>
      <c r="O145" s="564"/>
      <c r="P145" s="564" t="s">
        <v>92</v>
      </c>
      <c r="Q145" s="564" t="s">
        <v>616</v>
      </c>
      <c r="R145" s="564">
        <v>45356</v>
      </c>
      <c r="S145" s="564" t="s">
        <v>77</v>
      </c>
      <c r="T145" s="564" t="s">
        <v>77</v>
      </c>
      <c r="U145" s="530" t="s">
        <v>617</v>
      </c>
      <c r="V145" s="596" t="s">
        <v>618</v>
      </c>
      <c r="W145" s="592">
        <v>1.609</v>
      </c>
      <c r="X145" s="593">
        <f t="shared" si="47"/>
        <v>836.68</v>
      </c>
      <c r="Y145" s="401" t="s">
        <v>619</v>
      </c>
      <c r="Z145" s="607" t="s">
        <v>403</v>
      </c>
      <c r="AA145" s="1453" t="s">
        <v>128</v>
      </c>
      <c r="AB145" s="608"/>
      <c r="AC145" s="608"/>
      <c r="AD145" s="608"/>
      <c r="AE145" s="564" t="s">
        <v>80</v>
      </c>
      <c r="AF145" s="564"/>
      <c r="AG145" s="608">
        <f t="shared" si="30"/>
        <v>520</v>
      </c>
      <c r="AH145" s="608"/>
      <c r="AI145" s="608"/>
      <c r="AJ145" s="608"/>
      <c r="AK145" s="609">
        <f t="shared" si="44"/>
        <v>520</v>
      </c>
      <c r="AL145" s="401"/>
      <c r="AM145" s="609"/>
      <c r="AN145" s="609"/>
      <c r="AO145" s="609">
        <f t="shared" si="31"/>
        <v>520</v>
      </c>
      <c r="AP145" s="609"/>
      <c r="AQ145" s="609"/>
      <c r="AR145" s="609"/>
      <c r="AS145" s="609"/>
      <c r="AT145" s="633"/>
      <c r="AU145" s="633"/>
      <c r="AV145" s="633"/>
      <c r="AW145" s="633"/>
      <c r="AX145" s="633"/>
      <c r="AY145" s="633">
        <f>AG145/13</f>
        <v>40</v>
      </c>
      <c r="AZ145" s="633"/>
      <c r="BA145" s="633"/>
      <c r="BB145" s="633"/>
      <c r="BC145" s="633"/>
      <c r="BD145" s="633"/>
      <c r="BE145" s="633"/>
      <c r="BF145" s="633"/>
      <c r="BG145" s="633"/>
      <c r="BH145" s="633"/>
      <c r="BI145" s="633"/>
      <c r="BJ145" s="633"/>
      <c r="BK145" s="633"/>
      <c r="BL145" s="633"/>
      <c r="BM145" s="401">
        <f t="shared" si="40"/>
        <v>520</v>
      </c>
      <c r="BO145" s="1473"/>
      <c r="BP145" s="1473"/>
    </row>
    <row r="146" s="200" customFormat="1" ht="36" customHeight="1" spans="1:73">
      <c r="A146" s="533">
        <v>45345</v>
      </c>
      <c r="B146" s="527" t="s">
        <v>332</v>
      </c>
      <c r="C146" s="528" t="s">
        <v>620</v>
      </c>
      <c r="D146" s="534">
        <v>4500125102</v>
      </c>
      <c r="E146" s="530">
        <v>5200004049</v>
      </c>
      <c r="F146" s="534" t="s">
        <v>621</v>
      </c>
      <c r="G146" s="531" t="s">
        <v>622</v>
      </c>
      <c r="H146" s="532" t="s">
        <v>623</v>
      </c>
      <c r="I146" s="401">
        <v>4992</v>
      </c>
      <c r="J146" s="562">
        <v>0</v>
      </c>
      <c r="K146" s="531">
        <v>12</v>
      </c>
      <c r="L146" s="401">
        <f t="shared" si="46"/>
        <v>416</v>
      </c>
      <c r="M146" s="563">
        <v>45391</v>
      </c>
      <c r="N146" s="563">
        <v>45387</v>
      </c>
      <c r="O146" s="564"/>
      <c r="P146" s="564" t="s">
        <v>92</v>
      </c>
      <c r="Q146" s="564" t="s">
        <v>624</v>
      </c>
      <c r="R146" s="564">
        <v>45345</v>
      </c>
      <c r="S146" s="564" t="s">
        <v>77</v>
      </c>
      <c r="T146" s="564" t="s">
        <v>77</v>
      </c>
      <c r="U146" s="530" t="s">
        <v>625</v>
      </c>
      <c r="V146" s="596" t="s">
        <v>626</v>
      </c>
      <c r="W146" s="592">
        <v>3.3</v>
      </c>
      <c r="X146" s="593">
        <f t="shared" si="47"/>
        <v>16473.6</v>
      </c>
      <c r="Y146" s="401" t="s">
        <v>627</v>
      </c>
      <c r="Z146" s="607" t="s">
        <v>628</v>
      </c>
      <c r="AA146" s="1453" t="s">
        <v>128</v>
      </c>
      <c r="AB146" s="608"/>
      <c r="AC146" s="608"/>
      <c r="AD146" s="608"/>
      <c r="AE146" s="564" t="s">
        <v>80</v>
      </c>
      <c r="AF146" s="564"/>
      <c r="AG146" s="608">
        <f>I146*2</f>
        <v>9984</v>
      </c>
      <c r="AH146" s="608"/>
      <c r="AI146" s="608"/>
      <c r="AJ146" s="609">
        <f>I146*2</f>
        <v>9984</v>
      </c>
      <c r="AK146" s="401"/>
      <c r="AL146" s="401"/>
      <c r="AM146" s="609"/>
      <c r="AN146" s="609"/>
      <c r="AO146" s="609">
        <f>I146*2</f>
        <v>9984</v>
      </c>
      <c r="AP146" s="609"/>
      <c r="AQ146" s="609"/>
      <c r="AR146" s="609"/>
      <c r="AS146" s="609"/>
      <c r="AT146" s="633"/>
      <c r="AU146" s="633"/>
      <c r="AV146" s="633"/>
      <c r="AW146" s="633"/>
      <c r="AX146" s="633"/>
      <c r="AY146" s="633"/>
      <c r="AZ146" s="633"/>
      <c r="BA146" s="633"/>
      <c r="BB146" s="633"/>
      <c r="BC146" s="633"/>
      <c r="BD146" s="633"/>
      <c r="BE146" s="633"/>
      <c r="BF146" s="633"/>
      <c r="BG146" s="633"/>
      <c r="BH146" s="633"/>
      <c r="BI146" s="633"/>
      <c r="BJ146" s="633"/>
      <c r="BK146" s="633">
        <f>I146</f>
        <v>4992</v>
      </c>
      <c r="BL146" s="633">
        <f>I146</f>
        <v>4992</v>
      </c>
      <c r="BM146" s="401">
        <f t="shared" si="40"/>
        <v>9984</v>
      </c>
      <c r="BO146" s="1473"/>
      <c r="BP146" s="1473"/>
      <c r="BU146" s="1502" t="s">
        <v>629</v>
      </c>
    </row>
    <row r="147" s="200" customFormat="1" ht="36" customHeight="1" spans="1:68">
      <c r="A147" s="1477">
        <v>45355</v>
      </c>
      <c r="B147" s="530" t="s">
        <v>587</v>
      </c>
      <c r="C147" s="1478" t="s">
        <v>117</v>
      </c>
      <c r="D147" s="534">
        <v>4500125813</v>
      </c>
      <c r="E147" s="1479">
        <v>5236397870</v>
      </c>
      <c r="F147" s="534" t="s">
        <v>630</v>
      </c>
      <c r="G147" s="531" t="s">
        <v>525</v>
      </c>
      <c r="H147" s="532" t="s">
        <v>74</v>
      </c>
      <c r="I147" s="401">
        <v>13110</v>
      </c>
      <c r="J147" s="562">
        <v>0</v>
      </c>
      <c r="K147" s="531">
        <v>30</v>
      </c>
      <c r="L147" s="401">
        <f t="shared" si="46"/>
        <v>437</v>
      </c>
      <c r="M147" s="563">
        <v>45392</v>
      </c>
      <c r="N147" s="563">
        <v>45388</v>
      </c>
      <c r="O147" s="564" t="s">
        <v>631</v>
      </c>
      <c r="P147" s="564" t="s">
        <v>92</v>
      </c>
      <c r="Q147" s="564" t="s">
        <v>632</v>
      </c>
      <c r="R147" s="564">
        <v>45369</v>
      </c>
      <c r="S147" s="564" t="s">
        <v>123</v>
      </c>
      <c r="T147" s="564">
        <v>45366</v>
      </c>
      <c r="U147" s="530" t="s">
        <v>633</v>
      </c>
      <c r="V147" s="596" t="s">
        <v>634</v>
      </c>
      <c r="W147" s="592">
        <v>50.836</v>
      </c>
      <c r="X147" s="593">
        <f>W147*L147</f>
        <v>22215.332</v>
      </c>
      <c r="Y147" s="401" t="s">
        <v>635</v>
      </c>
      <c r="Z147" s="607" t="s">
        <v>525</v>
      </c>
      <c r="AA147" s="1453" t="s">
        <v>128</v>
      </c>
      <c r="AB147" s="608"/>
      <c r="AC147" s="608"/>
      <c r="AD147" s="608"/>
      <c r="AE147" s="564" t="s">
        <v>80</v>
      </c>
      <c r="AF147" s="564"/>
      <c r="AG147" s="608">
        <f t="shared" ref="AG147:AG151" si="48">I147</f>
        <v>13110</v>
      </c>
      <c r="AH147" s="608"/>
      <c r="AI147" s="608"/>
      <c r="AJ147" s="608"/>
      <c r="AK147" s="401">
        <f>I147</f>
        <v>13110</v>
      </c>
      <c r="AL147" s="401"/>
      <c r="AM147" s="609"/>
      <c r="AN147" s="609"/>
      <c r="AO147" s="609">
        <f t="shared" ref="AO147:AO151" si="49">AG147</f>
        <v>13110</v>
      </c>
      <c r="AP147" s="609"/>
      <c r="AQ147" s="609"/>
      <c r="AR147" s="609"/>
      <c r="AS147" s="609"/>
      <c r="AT147" s="633"/>
      <c r="AU147" s="633"/>
      <c r="AV147" s="633"/>
      <c r="AW147" s="633"/>
      <c r="AX147" s="633"/>
      <c r="AY147" s="633"/>
      <c r="AZ147" s="633"/>
      <c r="BA147" s="633"/>
      <c r="BB147" s="633"/>
      <c r="BC147" s="633"/>
      <c r="BD147" s="633"/>
      <c r="BE147" s="633"/>
      <c r="BF147" s="633">
        <f>I147/30</f>
        <v>437</v>
      </c>
      <c r="BG147" s="633"/>
      <c r="BH147" s="633"/>
      <c r="BI147" s="633"/>
      <c r="BJ147" s="633"/>
      <c r="BK147" s="633"/>
      <c r="BL147" s="633"/>
      <c r="BM147" s="401">
        <f t="shared" si="40"/>
        <v>13110</v>
      </c>
      <c r="BO147" s="1473"/>
      <c r="BP147" s="1473"/>
    </row>
    <row r="148" s="200" customFormat="1" ht="36" customHeight="1" spans="1:68">
      <c r="A148" s="1477">
        <v>45348</v>
      </c>
      <c r="B148" s="530" t="s">
        <v>232</v>
      </c>
      <c r="C148" s="1478" t="s">
        <v>233</v>
      </c>
      <c r="D148" s="534">
        <v>4500125323</v>
      </c>
      <c r="E148" s="1479">
        <v>19915517</v>
      </c>
      <c r="F148" s="534" t="s">
        <v>636</v>
      </c>
      <c r="G148" s="531" t="s">
        <v>160</v>
      </c>
      <c r="H148" s="532" t="s">
        <v>74</v>
      </c>
      <c r="I148" s="401">
        <v>234</v>
      </c>
      <c r="J148" s="562">
        <v>0</v>
      </c>
      <c r="K148" s="531">
        <v>13</v>
      </c>
      <c r="L148" s="401">
        <f t="shared" si="46"/>
        <v>18</v>
      </c>
      <c r="M148" s="563">
        <v>45390</v>
      </c>
      <c r="N148" s="563">
        <v>45386</v>
      </c>
      <c r="O148" s="564" t="s">
        <v>568</v>
      </c>
      <c r="P148" s="564" t="s">
        <v>92</v>
      </c>
      <c r="Q148" s="564" t="s">
        <v>637</v>
      </c>
      <c r="R148" s="564">
        <v>45363</v>
      </c>
      <c r="S148" s="564" t="s">
        <v>123</v>
      </c>
      <c r="T148" s="564">
        <v>45370</v>
      </c>
      <c r="U148" s="530" t="s">
        <v>638</v>
      </c>
      <c r="V148" s="596" t="s">
        <v>194</v>
      </c>
      <c r="W148" s="592">
        <v>1.7</v>
      </c>
      <c r="X148" s="593">
        <f t="shared" ref="X148:X151" si="50">I148*W148</f>
        <v>397.8</v>
      </c>
      <c r="Y148" s="401" t="s">
        <v>639</v>
      </c>
      <c r="Z148" s="607" t="s">
        <v>160</v>
      </c>
      <c r="AA148" s="1453" t="s">
        <v>128</v>
      </c>
      <c r="AB148" s="608"/>
      <c r="AC148" s="608"/>
      <c r="AD148" s="608"/>
      <c r="AE148" s="564" t="s">
        <v>80</v>
      </c>
      <c r="AF148" s="564"/>
      <c r="AG148" s="608">
        <f t="shared" si="48"/>
        <v>234</v>
      </c>
      <c r="AH148" s="608"/>
      <c r="AI148" s="608"/>
      <c r="AJ148" s="608"/>
      <c r="AK148" s="609">
        <f>AG148</f>
        <v>234</v>
      </c>
      <c r="AL148" s="401"/>
      <c r="AM148" s="609"/>
      <c r="AN148" s="609"/>
      <c r="AO148" s="609">
        <f t="shared" si="49"/>
        <v>234</v>
      </c>
      <c r="AP148" s="609"/>
      <c r="AQ148" s="609"/>
      <c r="AR148" s="609"/>
      <c r="AS148" s="609"/>
      <c r="AT148" s="633"/>
      <c r="AU148" s="633"/>
      <c r="AV148" s="633"/>
      <c r="AW148" s="633"/>
      <c r="AX148" s="633"/>
      <c r="AY148" s="633">
        <f>I148/13</f>
        <v>18</v>
      </c>
      <c r="AZ148" s="633"/>
      <c r="BA148" s="633"/>
      <c r="BB148" s="633"/>
      <c r="BC148" s="633"/>
      <c r="BD148" s="633"/>
      <c r="BE148" s="633"/>
      <c r="BF148" s="633"/>
      <c r="BG148" s="633"/>
      <c r="BH148" s="633"/>
      <c r="BI148" s="633"/>
      <c r="BJ148" s="633"/>
      <c r="BK148" s="633"/>
      <c r="BL148" s="633"/>
      <c r="BM148" s="401">
        <f t="shared" si="40"/>
        <v>234</v>
      </c>
      <c r="BO148" s="1473"/>
      <c r="BP148" s="1473"/>
    </row>
    <row r="149" s="200" customFormat="1" ht="36" customHeight="1" spans="1:68">
      <c r="A149" s="1477">
        <v>45348</v>
      </c>
      <c r="B149" s="530" t="s">
        <v>189</v>
      </c>
      <c r="C149" s="1478" t="s">
        <v>190</v>
      </c>
      <c r="D149" s="534">
        <v>4500125322</v>
      </c>
      <c r="E149" s="1479">
        <v>19915514</v>
      </c>
      <c r="F149" s="534" t="s">
        <v>640</v>
      </c>
      <c r="G149" s="531" t="s">
        <v>160</v>
      </c>
      <c r="H149" s="532" t="s">
        <v>74</v>
      </c>
      <c r="I149" s="401">
        <v>1274</v>
      </c>
      <c r="J149" s="562">
        <v>0</v>
      </c>
      <c r="K149" s="531">
        <v>13</v>
      </c>
      <c r="L149" s="401">
        <f t="shared" si="46"/>
        <v>98</v>
      </c>
      <c r="M149" s="563">
        <v>45390</v>
      </c>
      <c r="N149" s="563">
        <v>45386</v>
      </c>
      <c r="O149" s="564" t="s">
        <v>568</v>
      </c>
      <c r="P149" s="564" t="s">
        <v>92</v>
      </c>
      <c r="Q149" s="564" t="s">
        <v>637</v>
      </c>
      <c r="R149" s="564">
        <v>45363</v>
      </c>
      <c r="S149" s="564" t="s">
        <v>123</v>
      </c>
      <c r="T149" s="564">
        <v>45370</v>
      </c>
      <c r="U149" s="530" t="s">
        <v>641</v>
      </c>
      <c r="V149" s="596" t="s">
        <v>194</v>
      </c>
      <c r="W149" s="592">
        <v>1.7</v>
      </c>
      <c r="X149" s="593">
        <f t="shared" si="50"/>
        <v>2165.8</v>
      </c>
      <c r="Y149" s="401" t="s">
        <v>642</v>
      </c>
      <c r="Z149" s="607" t="s">
        <v>160</v>
      </c>
      <c r="AA149" s="1453" t="s">
        <v>128</v>
      </c>
      <c r="AB149" s="608"/>
      <c r="AC149" s="608"/>
      <c r="AD149" s="608"/>
      <c r="AE149" s="564" t="s">
        <v>80</v>
      </c>
      <c r="AF149" s="564"/>
      <c r="AG149" s="608">
        <f t="shared" si="48"/>
        <v>1274</v>
      </c>
      <c r="AH149" s="608"/>
      <c r="AI149" s="608"/>
      <c r="AJ149" s="608"/>
      <c r="AK149" s="609">
        <f>AG149</f>
        <v>1274</v>
      </c>
      <c r="AL149" s="401"/>
      <c r="AM149" s="609"/>
      <c r="AN149" s="609"/>
      <c r="AO149" s="609">
        <f t="shared" si="49"/>
        <v>1274</v>
      </c>
      <c r="AP149" s="609"/>
      <c r="AQ149" s="609"/>
      <c r="AR149" s="609"/>
      <c r="AS149" s="609"/>
      <c r="AT149" s="633"/>
      <c r="AU149" s="633"/>
      <c r="AV149" s="633"/>
      <c r="AW149" s="633"/>
      <c r="AX149" s="633"/>
      <c r="AY149" s="633">
        <f>I149/13</f>
        <v>98</v>
      </c>
      <c r="AZ149" s="633"/>
      <c r="BA149" s="633"/>
      <c r="BB149" s="633"/>
      <c r="BC149" s="633"/>
      <c r="BD149" s="633"/>
      <c r="BE149" s="633"/>
      <c r="BF149" s="633"/>
      <c r="BG149" s="633"/>
      <c r="BH149" s="633"/>
      <c r="BI149" s="633"/>
      <c r="BJ149" s="633"/>
      <c r="BK149" s="633"/>
      <c r="BL149" s="633"/>
      <c r="BM149" s="401">
        <f t="shared" si="40"/>
        <v>1274</v>
      </c>
      <c r="BO149" s="1473"/>
      <c r="BP149" s="1473"/>
    </row>
    <row r="150" s="200" customFormat="1" ht="36" customHeight="1" spans="1:68">
      <c r="A150" s="533">
        <v>45188</v>
      </c>
      <c r="B150" s="527" t="s">
        <v>643</v>
      </c>
      <c r="C150" s="528" t="s">
        <v>351</v>
      </c>
      <c r="D150" s="534">
        <v>4500113704</v>
      </c>
      <c r="E150" s="530">
        <v>38028</v>
      </c>
      <c r="F150" s="534" t="s">
        <v>644</v>
      </c>
      <c r="G150" s="531" t="s">
        <v>120</v>
      </c>
      <c r="H150" s="532" t="s">
        <v>74</v>
      </c>
      <c r="I150" s="401">
        <v>4200</v>
      </c>
      <c r="J150" s="562">
        <v>0</v>
      </c>
      <c r="K150" s="531">
        <v>21</v>
      </c>
      <c r="L150" s="401">
        <f t="shared" si="46"/>
        <v>200</v>
      </c>
      <c r="M150" s="563">
        <v>45395</v>
      </c>
      <c r="N150" s="563">
        <v>45391</v>
      </c>
      <c r="O150" s="564"/>
      <c r="P150" s="564" t="s">
        <v>92</v>
      </c>
      <c r="Q150" s="564" t="s">
        <v>645</v>
      </c>
      <c r="R150" s="564">
        <v>45247</v>
      </c>
      <c r="S150" s="564" t="s">
        <v>77</v>
      </c>
      <c r="T150" s="564" t="s">
        <v>77</v>
      </c>
      <c r="U150" s="530" t="s">
        <v>646</v>
      </c>
      <c r="V150" s="596" t="s">
        <v>647</v>
      </c>
      <c r="W150" s="592">
        <v>2</v>
      </c>
      <c r="X150" s="593">
        <f t="shared" si="50"/>
        <v>8400</v>
      </c>
      <c r="Y150" s="401" t="s">
        <v>648</v>
      </c>
      <c r="Z150" s="607" t="s">
        <v>257</v>
      </c>
      <c r="AA150" s="1453" t="s">
        <v>128</v>
      </c>
      <c r="AB150" s="608"/>
      <c r="AC150" s="608"/>
      <c r="AD150" s="608"/>
      <c r="AE150" s="564" t="s">
        <v>80</v>
      </c>
      <c r="AF150" s="564"/>
      <c r="AG150" s="608">
        <f t="shared" si="48"/>
        <v>4200</v>
      </c>
      <c r="AH150" s="608"/>
      <c r="AI150" s="608"/>
      <c r="AJ150" s="608"/>
      <c r="AK150" s="609"/>
      <c r="AL150" s="401">
        <f>I150</f>
        <v>4200</v>
      </c>
      <c r="AM150" s="609"/>
      <c r="AN150" s="609"/>
      <c r="AO150" s="609">
        <f t="shared" si="49"/>
        <v>4200</v>
      </c>
      <c r="AP150" s="609"/>
      <c r="AQ150" s="609"/>
      <c r="AR150" s="609"/>
      <c r="AS150" s="609"/>
      <c r="AT150" s="633">
        <f>AG150/21</f>
        <v>200</v>
      </c>
      <c r="AU150" s="633"/>
      <c r="AV150" s="633"/>
      <c r="AW150" s="633"/>
      <c r="AX150" s="633"/>
      <c r="AY150" s="633"/>
      <c r="AZ150" s="633"/>
      <c r="BA150" s="633"/>
      <c r="BB150" s="633"/>
      <c r="BC150" s="633"/>
      <c r="BD150" s="633"/>
      <c r="BE150" s="633"/>
      <c r="BF150" s="633"/>
      <c r="BG150" s="633"/>
      <c r="BH150" s="633"/>
      <c r="BI150" s="633"/>
      <c r="BJ150" s="633"/>
      <c r="BK150" s="633"/>
      <c r="BL150" s="633"/>
      <c r="BM150" s="401">
        <f t="shared" si="40"/>
        <v>4200</v>
      </c>
      <c r="BO150" s="1473"/>
      <c r="BP150" s="1473"/>
    </row>
    <row r="151" s="200" customFormat="1" ht="36" customHeight="1" spans="1:68">
      <c r="A151" s="533">
        <v>45320</v>
      </c>
      <c r="B151" s="1475" t="s">
        <v>315</v>
      </c>
      <c r="C151" s="1476" t="s">
        <v>649</v>
      </c>
      <c r="D151" s="534">
        <v>4500123937</v>
      </c>
      <c r="E151" s="530" t="s">
        <v>650</v>
      </c>
      <c r="F151" s="534" t="s">
        <v>651</v>
      </c>
      <c r="G151" s="531" t="s">
        <v>73</v>
      </c>
      <c r="H151" s="532" t="s">
        <v>74</v>
      </c>
      <c r="I151" s="401">
        <v>504</v>
      </c>
      <c r="J151" s="562">
        <v>0</v>
      </c>
      <c r="K151" s="531">
        <v>24</v>
      </c>
      <c r="L151" s="401">
        <f t="shared" si="46"/>
        <v>21</v>
      </c>
      <c r="M151" s="563">
        <v>45385</v>
      </c>
      <c r="N151" s="563">
        <v>45383</v>
      </c>
      <c r="O151" s="564"/>
      <c r="P151" s="564" t="s">
        <v>92</v>
      </c>
      <c r="Q151" s="564" t="s">
        <v>652</v>
      </c>
      <c r="R151" s="564" t="s">
        <v>319</v>
      </c>
      <c r="S151" s="564" t="s">
        <v>123</v>
      </c>
      <c r="T151" s="564" t="s">
        <v>653</v>
      </c>
      <c r="U151" s="530" t="s">
        <v>654</v>
      </c>
      <c r="V151" s="596" t="s">
        <v>186</v>
      </c>
      <c r="W151" s="592">
        <v>1.19</v>
      </c>
      <c r="X151" s="593">
        <f t="shared" si="50"/>
        <v>599.76</v>
      </c>
      <c r="Y151" s="401" t="s">
        <v>655</v>
      </c>
      <c r="Z151" s="607" t="s">
        <v>188</v>
      </c>
      <c r="AA151" s="1453" t="s">
        <v>128</v>
      </c>
      <c r="AB151" s="608"/>
      <c r="AC151" s="608"/>
      <c r="AD151" s="608"/>
      <c r="AE151" s="564" t="s">
        <v>80</v>
      </c>
      <c r="AF151" s="564"/>
      <c r="AG151" s="608">
        <f t="shared" si="48"/>
        <v>504</v>
      </c>
      <c r="AH151" s="608"/>
      <c r="AI151" s="608"/>
      <c r="AJ151" s="608"/>
      <c r="AK151" s="401"/>
      <c r="AL151" s="401">
        <f>AG151</f>
        <v>504</v>
      </c>
      <c r="AM151" s="609"/>
      <c r="AN151" s="609"/>
      <c r="AO151" s="609">
        <f t="shared" si="49"/>
        <v>504</v>
      </c>
      <c r="AP151" s="609"/>
      <c r="AQ151" s="609"/>
      <c r="AR151" s="609"/>
      <c r="AS151" s="609"/>
      <c r="AT151" s="633"/>
      <c r="AU151" s="633"/>
      <c r="AV151" s="633"/>
      <c r="AW151" s="633"/>
      <c r="AX151" s="633"/>
      <c r="AY151" s="633"/>
      <c r="AZ151" s="633"/>
      <c r="BA151" s="633"/>
      <c r="BB151" s="633"/>
      <c r="BC151" s="633"/>
      <c r="BD151" s="633"/>
      <c r="BE151" s="633"/>
      <c r="BF151" s="633"/>
      <c r="BG151" s="633"/>
      <c r="BH151" s="633"/>
      <c r="BI151" s="633"/>
      <c r="BJ151" s="633"/>
      <c r="BK151" s="633"/>
      <c r="BL151" s="633"/>
      <c r="BM151" s="401">
        <f t="shared" si="40"/>
        <v>504</v>
      </c>
      <c r="BO151" s="1473"/>
      <c r="BP151" s="1473"/>
    </row>
    <row r="152" s="200" customFormat="1" ht="36" customHeight="1" spans="1:71">
      <c r="A152" s="533">
        <v>45350</v>
      </c>
      <c r="B152" s="527" t="s">
        <v>70</v>
      </c>
      <c r="C152" s="528" t="s">
        <v>71</v>
      </c>
      <c r="D152" s="534" t="s">
        <v>656</v>
      </c>
      <c r="E152" s="530"/>
      <c r="F152" s="534"/>
      <c r="G152" s="531" t="s">
        <v>403</v>
      </c>
      <c r="H152" s="532" t="s">
        <v>74</v>
      </c>
      <c r="I152" s="401" t="s">
        <v>657</v>
      </c>
      <c r="J152" s="562">
        <v>0</v>
      </c>
      <c r="K152" s="531">
        <v>52</v>
      </c>
      <c r="L152" s="401" t="e">
        <f t="shared" si="46"/>
        <v>#VALUE!</v>
      </c>
      <c r="M152" s="563">
        <v>45371</v>
      </c>
      <c r="N152" s="563">
        <v>45367</v>
      </c>
      <c r="O152" s="564"/>
      <c r="P152" s="564" t="s">
        <v>92</v>
      </c>
      <c r="Q152" s="564"/>
      <c r="R152" s="564" t="s">
        <v>76</v>
      </c>
      <c r="S152" s="564" t="s">
        <v>77</v>
      </c>
      <c r="T152" s="564" t="s">
        <v>77</v>
      </c>
      <c r="U152" s="530" t="s">
        <v>658</v>
      </c>
      <c r="V152" s="596"/>
      <c r="W152" s="592"/>
      <c r="X152" s="593"/>
      <c r="Y152" s="401"/>
      <c r="Z152" s="1500" t="s">
        <v>403</v>
      </c>
      <c r="AA152" s="1453" t="s">
        <v>128</v>
      </c>
      <c r="AB152" s="608">
        <v>676</v>
      </c>
      <c r="AC152" s="608">
        <v>0</v>
      </c>
      <c r="AD152" s="608"/>
      <c r="AE152" s="564" t="s">
        <v>80</v>
      </c>
      <c r="AF152" s="564" t="s">
        <v>659</v>
      </c>
      <c r="AG152" s="608"/>
      <c r="AH152" s="608"/>
      <c r="AI152" s="608"/>
      <c r="AJ152" s="608"/>
      <c r="AK152" s="609">
        <f>50*13</f>
        <v>650</v>
      </c>
      <c r="AL152" s="401"/>
      <c r="AM152" s="609"/>
      <c r="AN152" s="609"/>
      <c r="AO152" s="609">
        <f>50*13</f>
        <v>650</v>
      </c>
      <c r="AP152" s="609"/>
      <c r="AQ152" s="609"/>
      <c r="AR152" s="609"/>
      <c r="AS152" s="609"/>
      <c r="AT152" s="633"/>
      <c r="AU152" s="633"/>
      <c r="AV152" s="633"/>
      <c r="AW152" s="633"/>
      <c r="AX152" s="633"/>
      <c r="AY152" s="633">
        <v>50</v>
      </c>
      <c r="AZ152" s="633"/>
      <c r="BA152" s="633"/>
      <c r="BB152" s="633"/>
      <c r="BC152" s="633"/>
      <c r="BD152" s="633"/>
      <c r="BE152" s="633"/>
      <c r="BF152" s="633"/>
      <c r="BG152" s="633"/>
      <c r="BH152" s="633"/>
      <c r="BI152" s="633"/>
      <c r="BJ152" s="633"/>
      <c r="BK152" s="633"/>
      <c r="BL152" s="633"/>
      <c r="BM152" s="401">
        <f t="shared" si="40"/>
        <v>0</v>
      </c>
      <c r="BN152" s="200">
        <f>BN151+BM152</f>
        <v>0</v>
      </c>
      <c r="BO152" s="1473">
        <f>$BO$3-BN152</f>
        <v>0</v>
      </c>
      <c r="BP152" s="1473"/>
      <c r="BQ152" s="200">
        <f>AS152+AT152+BA152+BB152</f>
        <v>0</v>
      </c>
      <c r="BR152" s="200">
        <f>BR151+BQ152</f>
        <v>0</v>
      </c>
      <c r="BS152" s="200">
        <f>$BS$3-BR152</f>
        <v>0</v>
      </c>
    </row>
    <row r="153" s="200" customFormat="1" ht="36" customHeight="1" spans="1:68">
      <c r="A153" s="533">
        <v>45351</v>
      </c>
      <c r="B153" s="527" t="s">
        <v>660</v>
      </c>
      <c r="C153" s="528" t="s">
        <v>373</v>
      </c>
      <c r="D153" s="534">
        <v>4500125644</v>
      </c>
      <c r="E153" s="530">
        <v>66</v>
      </c>
      <c r="F153" s="534" t="s">
        <v>661</v>
      </c>
      <c r="G153" s="531" t="s">
        <v>245</v>
      </c>
      <c r="H153" s="532" t="s">
        <v>74</v>
      </c>
      <c r="I153" s="401">
        <v>720</v>
      </c>
      <c r="J153" s="562">
        <v>0</v>
      </c>
      <c r="K153" s="531">
        <v>12</v>
      </c>
      <c r="L153" s="401">
        <f t="shared" si="46"/>
        <v>60</v>
      </c>
      <c r="M153" s="563">
        <v>45392</v>
      </c>
      <c r="N153" s="563">
        <v>45388</v>
      </c>
      <c r="O153" s="564"/>
      <c r="P153" s="564" t="s">
        <v>92</v>
      </c>
      <c r="Q153" s="564" t="s">
        <v>662</v>
      </c>
      <c r="R153" s="564">
        <v>45357</v>
      </c>
      <c r="S153" s="564" t="s">
        <v>77</v>
      </c>
      <c r="T153" s="564">
        <v>45365</v>
      </c>
      <c r="U153" s="530" t="s">
        <v>663</v>
      </c>
      <c r="V153" s="1497" t="s">
        <v>664</v>
      </c>
      <c r="W153" s="592">
        <v>1.53</v>
      </c>
      <c r="X153" s="593">
        <f t="shared" ref="X153:X157" si="51">I153*W153</f>
        <v>1101.6</v>
      </c>
      <c r="Y153" s="401" t="s">
        <v>665</v>
      </c>
      <c r="Z153" s="607" t="s">
        <v>249</v>
      </c>
      <c r="AA153" s="1453" t="s">
        <v>128</v>
      </c>
      <c r="AB153" s="608"/>
      <c r="AC153" s="608"/>
      <c r="AD153" s="608"/>
      <c r="AE153" s="564" t="s">
        <v>80</v>
      </c>
      <c r="AF153" s="564"/>
      <c r="AG153" s="608">
        <f t="shared" ref="AG153:AG158" si="52">I153</f>
        <v>720</v>
      </c>
      <c r="AH153" s="608"/>
      <c r="AI153" s="608"/>
      <c r="AJ153" s="608"/>
      <c r="AK153" s="609"/>
      <c r="AL153" s="609">
        <f>AG153</f>
        <v>720</v>
      </c>
      <c r="AM153" s="609"/>
      <c r="AN153" s="609"/>
      <c r="AO153" s="609">
        <f t="shared" ref="AO153:AO158" si="53">AG153</f>
        <v>720</v>
      </c>
      <c r="AP153" s="609"/>
      <c r="AQ153" s="609"/>
      <c r="AR153" s="609"/>
      <c r="AS153" s="609"/>
      <c r="AT153" s="633"/>
      <c r="AU153" s="633"/>
      <c r="AV153" s="633"/>
      <c r="AW153" s="633"/>
      <c r="AX153" s="633">
        <f>I153/12</f>
        <v>60</v>
      </c>
      <c r="AY153" s="633"/>
      <c r="AZ153" s="633"/>
      <c r="BA153" s="633"/>
      <c r="BB153" s="633"/>
      <c r="BC153" s="633"/>
      <c r="BD153" s="633"/>
      <c r="BE153" s="633"/>
      <c r="BF153" s="633"/>
      <c r="BG153" s="633"/>
      <c r="BH153" s="633"/>
      <c r="BI153" s="633"/>
      <c r="BJ153" s="633"/>
      <c r="BK153" s="633"/>
      <c r="BL153" s="633"/>
      <c r="BM153" s="401">
        <f t="shared" si="40"/>
        <v>720</v>
      </c>
      <c r="BO153" s="1473"/>
      <c r="BP153" s="1473"/>
    </row>
    <row r="154" s="200" customFormat="1" ht="36" customHeight="1" spans="1:68">
      <c r="A154" s="1477">
        <v>45355</v>
      </c>
      <c r="B154" s="530" t="s">
        <v>587</v>
      </c>
      <c r="C154" s="1478" t="s">
        <v>117</v>
      </c>
      <c r="D154" s="534">
        <v>4500125813</v>
      </c>
      <c r="E154" s="1479">
        <v>5236397872</v>
      </c>
      <c r="F154" s="534" t="s">
        <v>666</v>
      </c>
      <c r="G154" s="531" t="s">
        <v>525</v>
      </c>
      <c r="H154" s="532" t="s">
        <v>74</v>
      </c>
      <c r="I154" s="401">
        <v>6330</v>
      </c>
      <c r="J154" s="562">
        <v>0</v>
      </c>
      <c r="K154" s="531">
        <v>30</v>
      </c>
      <c r="L154" s="401">
        <f t="shared" si="46"/>
        <v>211</v>
      </c>
      <c r="M154" s="563">
        <v>45392</v>
      </c>
      <c r="N154" s="563">
        <v>45388</v>
      </c>
      <c r="O154" s="564" t="s">
        <v>667</v>
      </c>
      <c r="P154" s="564" t="s">
        <v>92</v>
      </c>
      <c r="Q154" s="564"/>
      <c r="R154" s="564">
        <v>45369</v>
      </c>
      <c r="S154" s="564" t="s">
        <v>123</v>
      </c>
      <c r="T154" s="564">
        <v>45366</v>
      </c>
      <c r="U154" s="530" t="s">
        <v>633</v>
      </c>
      <c r="V154" s="596" t="s">
        <v>634</v>
      </c>
      <c r="W154" s="592">
        <v>50.836</v>
      </c>
      <c r="X154" s="593">
        <f>W154*L154</f>
        <v>10726.396</v>
      </c>
      <c r="Y154" s="401" t="s">
        <v>635</v>
      </c>
      <c r="Z154" s="607" t="s">
        <v>525</v>
      </c>
      <c r="AA154" s="1453" t="s">
        <v>128</v>
      </c>
      <c r="AB154" s="608"/>
      <c r="AC154" s="608"/>
      <c r="AD154" s="608"/>
      <c r="AE154" s="564" t="s">
        <v>80</v>
      </c>
      <c r="AF154" s="564"/>
      <c r="AG154" s="608">
        <f t="shared" si="52"/>
        <v>6330</v>
      </c>
      <c r="AH154" s="608"/>
      <c r="AI154" s="608"/>
      <c r="AJ154" s="608"/>
      <c r="AK154" s="401">
        <f t="shared" ref="AK154:AK158" si="54">I154</f>
        <v>6330</v>
      </c>
      <c r="AL154" s="401"/>
      <c r="AM154" s="609"/>
      <c r="AN154" s="609"/>
      <c r="AO154" s="609">
        <f t="shared" si="53"/>
        <v>6330</v>
      </c>
      <c r="AP154" s="609"/>
      <c r="AQ154" s="609"/>
      <c r="AR154" s="609"/>
      <c r="AS154" s="609"/>
      <c r="AT154" s="633"/>
      <c r="AU154" s="633"/>
      <c r="AV154" s="633"/>
      <c r="AW154" s="633"/>
      <c r="AX154" s="633"/>
      <c r="AY154" s="633"/>
      <c r="AZ154" s="633"/>
      <c r="BA154" s="633"/>
      <c r="BB154" s="633"/>
      <c r="BC154" s="633"/>
      <c r="BD154" s="633"/>
      <c r="BE154" s="633"/>
      <c r="BF154" s="633">
        <f>I154/30</f>
        <v>211</v>
      </c>
      <c r="BG154" s="633"/>
      <c r="BH154" s="633"/>
      <c r="BI154" s="633"/>
      <c r="BJ154" s="633"/>
      <c r="BK154" s="633"/>
      <c r="BL154" s="633"/>
      <c r="BM154" s="401">
        <f t="shared" si="40"/>
        <v>6330</v>
      </c>
      <c r="BO154" s="1473"/>
      <c r="BP154" s="1473"/>
    </row>
    <row r="155" s="200" customFormat="1" ht="36" customHeight="1" spans="1:68">
      <c r="A155" s="533">
        <v>45343</v>
      </c>
      <c r="B155" s="527" t="s">
        <v>517</v>
      </c>
      <c r="C155" s="528" t="s">
        <v>117</v>
      </c>
      <c r="D155" s="534">
        <v>4500124922</v>
      </c>
      <c r="E155" s="530">
        <v>32274</v>
      </c>
      <c r="F155" s="534" t="s">
        <v>668</v>
      </c>
      <c r="G155" s="531" t="s">
        <v>96</v>
      </c>
      <c r="H155" s="532" t="s">
        <v>74</v>
      </c>
      <c r="I155" s="401">
        <v>4000</v>
      </c>
      <c r="J155" s="562">
        <v>0</v>
      </c>
      <c r="K155" s="531">
        <v>50</v>
      </c>
      <c r="L155" s="401">
        <f t="shared" si="46"/>
        <v>80</v>
      </c>
      <c r="M155" s="563">
        <v>45394</v>
      </c>
      <c r="N155" s="563">
        <v>45390</v>
      </c>
      <c r="O155" s="564"/>
      <c r="P155" s="564" t="s">
        <v>92</v>
      </c>
      <c r="Q155" s="564" t="s">
        <v>669</v>
      </c>
      <c r="R155" s="564">
        <v>45345</v>
      </c>
      <c r="S155" s="564" t="s">
        <v>77</v>
      </c>
      <c r="T155" s="564" t="s">
        <v>77</v>
      </c>
      <c r="U155" s="530" t="s">
        <v>670</v>
      </c>
      <c r="V155" s="596" t="s">
        <v>671</v>
      </c>
      <c r="W155" s="592">
        <v>1.4344</v>
      </c>
      <c r="X155" s="593">
        <f t="shared" si="51"/>
        <v>5737.6</v>
      </c>
      <c r="Y155" s="401" t="s">
        <v>672</v>
      </c>
      <c r="Z155" s="607" t="s">
        <v>96</v>
      </c>
      <c r="AA155" s="1453" t="s">
        <v>128</v>
      </c>
      <c r="AB155" s="608"/>
      <c r="AC155" s="608"/>
      <c r="AD155" s="608"/>
      <c r="AE155" s="564" t="s">
        <v>80</v>
      </c>
      <c r="AF155" s="564"/>
      <c r="AG155" s="608">
        <f t="shared" si="52"/>
        <v>4000</v>
      </c>
      <c r="AH155" s="608"/>
      <c r="AI155" s="608"/>
      <c r="AJ155" s="608"/>
      <c r="AK155" s="609">
        <f t="shared" si="54"/>
        <v>4000</v>
      </c>
      <c r="AL155" s="401"/>
      <c r="AM155" s="609"/>
      <c r="AN155" s="609"/>
      <c r="AO155" s="609">
        <f>I155</f>
        <v>4000</v>
      </c>
      <c r="AP155" s="609"/>
      <c r="AQ155" s="609"/>
      <c r="AR155" s="609"/>
      <c r="AS155" s="609"/>
      <c r="AT155" s="633"/>
      <c r="AU155" s="633"/>
      <c r="AV155" s="633"/>
      <c r="AW155" s="633"/>
      <c r="AX155" s="633"/>
      <c r="AY155" s="633"/>
      <c r="AZ155" s="633"/>
      <c r="BA155" s="633">
        <f>I155/25</f>
        <v>160</v>
      </c>
      <c r="BB155" s="401"/>
      <c r="BC155" s="401"/>
      <c r="BD155" s="633"/>
      <c r="BE155" s="633"/>
      <c r="BF155" s="633"/>
      <c r="BG155" s="633"/>
      <c r="BH155" s="633"/>
      <c r="BI155" s="633"/>
      <c r="BJ155" s="633"/>
      <c r="BK155" s="633"/>
      <c r="BL155" s="633"/>
      <c r="BM155" s="401">
        <f t="shared" si="40"/>
        <v>4000</v>
      </c>
      <c r="BO155" s="1473"/>
      <c r="BP155" s="1473"/>
    </row>
    <row r="156" s="200" customFormat="1" ht="36" customHeight="1" spans="1:68">
      <c r="A156" s="533">
        <v>45350</v>
      </c>
      <c r="B156" s="527" t="s">
        <v>673</v>
      </c>
      <c r="C156" s="528" t="s">
        <v>213</v>
      </c>
      <c r="D156" s="534">
        <v>4500125461</v>
      </c>
      <c r="E156" s="530">
        <v>364126</v>
      </c>
      <c r="F156" s="534" t="s">
        <v>674</v>
      </c>
      <c r="G156" s="531" t="s">
        <v>73</v>
      </c>
      <c r="H156" s="532" t="s">
        <v>74</v>
      </c>
      <c r="I156" s="401">
        <v>1512</v>
      </c>
      <c r="J156" s="562">
        <v>0</v>
      </c>
      <c r="K156" s="531">
        <v>24</v>
      </c>
      <c r="L156" s="401">
        <f t="shared" si="46"/>
        <v>63</v>
      </c>
      <c r="M156" s="563">
        <v>45394</v>
      </c>
      <c r="N156" s="563">
        <v>45390</v>
      </c>
      <c r="O156" s="564"/>
      <c r="P156" s="564" t="s">
        <v>92</v>
      </c>
      <c r="Q156" s="564" t="s">
        <v>675</v>
      </c>
      <c r="R156" s="564">
        <v>45350</v>
      </c>
      <c r="S156" s="564" t="s">
        <v>77</v>
      </c>
      <c r="T156" s="564">
        <v>45370</v>
      </c>
      <c r="U156" s="530" t="s">
        <v>676</v>
      </c>
      <c r="V156" s="596" t="s">
        <v>230</v>
      </c>
      <c r="W156" s="592">
        <v>1.3888</v>
      </c>
      <c r="X156" s="593">
        <f t="shared" si="51"/>
        <v>2099.8656</v>
      </c>
      <c r="Y156" s="401" t="s">
        <v>677</v>
      </c>
      <c r="Z156" s="607" t="s">
        <v>73</v>
      </c>
      <c r="AA156" s="1453" t="s">
        <v>128</v>
      </c>
      <c r="AB156" s="608"/>
      <c r="AC156" s="608"/>
      <c r="AD156" s="608"/>
      <c r="AE156" s="564" t="s">
        <v>80</v>
      </c>
      <c r="AF156" s="564"/>
      <c r="AG156" s="608">
        <f t="shared" si="52"/>
        <v>1512</v>
      </c>
      <c r="AH156" s="608"/>
      <c r="AI156" s="608"/>
      <c r="AJ156" s="608"/>
      <c r="AK156" s="609">
        <f>AG156</f>
        <v>1512</v>
      </c>
      <c r="AL156" s="401"/>
      <c r="AM156" s="609"/>
      <c r="AN156" s="609"/>
      <c r="AO156" s="609">
        <f t="shared" si="53"/>
        <v>1512</v>
      </c>
      <c r="AP156" s="609"/>
      <c r="AQ156" s="609"/>
      <c r="AR156" s="609"/>
      <c r="AS156" s="609"/>
      <c r="AT156" s="633"/>
      <c r="AU156" s="633"/>
      <c r="AV156" s="633"/>
      <c r="AW156" s="633"/>
      <c r="AX156" s="633"/>
      <c r="AY156" s="633"/>
      <c r="AZ156" s="633"/>
      <c r="BA156" s="633"/>
      <c r="BB156" s="401"/>
      <c r="BC156" s="401"/>
      <c r="BD156" s="633"/>
      <c r="BE156" s="633"/>
      <c r="BF156" s="633"/>
      <c r="BG156" s="633"/>
      <c r="BH156" s="633"/>
      <c r="BI156" s="633"/>
      <c r="BJ156" s="633"/>
      <c r="BK156" s="633"/>
      <c r="BL156" s="633"/>
      <c r="BM156" s="401">
        <f t="shared" si="40"/>
        <v>1512</v>
      </c>
      <c r="BO156" s="1473"/>
      <c r="BP156" s="1473"/>
    </row>
    <row r="157" s="200" customFormat="1" ht="36" customHeight="1" spans="1:68">
      <c r="A157" s="533">
        <v>45341</v>
      </c>
      <c r="B157" s="527" t="s">
        <v>116</v>
      </c>
      <c r="C157" s="528" t="s">
        <v>117</v>
      </c>
      <c r="D157" s="534">
        <v>4500124142</v>
      </c>
      <c r="E157" s="530" t="s">
        <v>678</v>
      </c>
      <c r="F157" s="534" t="s">
        <v>679</v>
      </c>
      <c r="G157" s="531" t="s">
        <v>120</v>
      </c>
      <c r="H157" s="532" t="s">
        <v>74</v>
      </c>
      <c r="I157" s="401">
        <v>9996</v>
      </c>
      <c r="J157" s="562">
        <v>0</v>
      </c>
      <c r="K157" s="531">
        <v>21</v>
      </c>
      <c r="L157" s="401">
        <f t="shared" si="46"/>
        <v>476</v>
      </c>
      <c r="M157" s="563">
        <v>45394</v>
      </c>
      <c r="N157" s="563">
        <v>45390</v>
      </c>
      <c r="O157" s="564"/>
      <c r="P157" s="564" t="s">
        <v>92</v>
      </c>
      <c r="Q157" s="564" t="s">
        <v>680</v>
      </c>
      <c r="R157" s="564">
        <v>45363</v>
      </c>
      <c r="S157" s="564" t="s">
        <v>123</v>
      </c>
      <c r="T157" s="564" t="s">
        <v>681</v>
      </c>
      <c r="U157" s="530" t="s">
        <v>682</v>
      </c>
      <c r="V157" s="596" t="s">
        <v>126</v>
      </c>
      <c r="W157" s="592">
        <v>1.75</v>
      </c>
      <c r="X157" s="593">
        <f t="shared" si="51"/>
        <v>17493</v>
      </c>
      <c r="Y157" s="401" t="s">
        <v>683</v>
      </c>
      <c r="Z157" s="607" t="s">
        <v>120</v>
      </c>
      <c r="AA157" s="1453" t="s">
        <v>128</v>
      </c>
      <c r="AB157" s="608"/>
      <c r="AC157" s="608"/>
      <c r="AD157" s="608"/>
      <c r="AE157" s="564" t="s">
        <v>80</v>
      </c>
      <c r="AF157" s="564"/>
      <c r="AG157" s="608">
        <f t="shared" si="52"/>
        <v>9996</v>
      </c>
      <c r="AH157" s="608"/>
      <c r="AI157" s="608"/>
      <c r="AJ157" s="608"/>
      <c r="AK157" s="609">
        <f>AG157</f>
        <v>9996</v>
      </c>
      <c r="AL157" s="401"/>
      <c r="AM157" s="609"/>
      <c r="AN157" s="609"/>
      <c r="AO157" s="609">
        <f t="shared" si="53"/>
        <v>9996</v>
      </c>
      <c r="AP157" s="609"/>
      <c r="AQ157" s="609"/>
      <c r="AR157" s="609"/>
      <c r="AS157" s="609">
        <f>I157/21</f>
        <v>476</v>
      </c>
      <c r="AT157" s="633"/>
      <c r="AU157" s="633"/>
      <c r="AV157" s="633"/>
      <c r="AW157" s="633"/>
      <c r="AX157" s="633"/>
      <c r="AY157" s="633"/>
      <c r="AZ157" s="633"/>
      <c r="BA157" s="633"/>
      <c r="BB157" s="633"/>
      <c r="BC157" s="633"/>
      <c r="BD157" s="633"/>
      <c r="BE157" s="633"/>
      <c r="BF157" s="633"/>
      <c r="BG157" s="633"/>
      <c r="BH157" s="633"/>
      <c r="BI157" s="633"/>
      <c r="BJ157" s="633"/>
      <c r="BK157" s="633"/>
      <c r="BL157" s="633"/>
      <c r="BM157" s="401">
        <f t="shared" si="40"/>
        <v>9996</v>
      </c>
      <c r="BO157" s="1473"/>
      <c r="BP157" s="1473"/>
    </row>
    <row r="158" s="200" customFormat="1" ht="36" customHeight="1" spans="1:68">
      <c r="A158" s="533">
        <v>45355</v>
      </c>
      <c r="B158" s="527" t="s">
        <v>587</v>
      </c>
      <c r="C158" s="528" t="s">
        <v>117</v>
      </c>
      <c r="D158" s="534">
        <v>4500125814</v>
      </c>
      <c r="E158" s="530">
        <v>5236397867</v>
      </c>
      <c r="F158" s="534" t="s">
        <v>684</v>
      </c>
      <c r="G158" s="531" t="s">
        <v>525</v>
      </c>
      <c r="H158" s="532" t="s">
        <v>74</v>
      </c>
      <c r="I158" s="401">
        <v>12270</v>
      </c>
      <c r="J158" s="562">
        <v>0</v>
      </c>
      <c r="K158" s="531">
        <v>30</v>
      </c>
      <c r="L158" s="401">
        <f t="shared" si="46"/>
        <v>409</v>
      </c>
      <c r="M158" s="563">
        <v>45398</v>
      </c>
      <c r="N158" s="563">
        <v>45394</v>
      </c>
      <c r="O158" s="564" t="s">
        <v>685</v>
      </c>
      <c r="P158" s="564" t="s">
        <v>92</v>
      </c>
      <c r="Q158" s="564" t="s">
        <v>686</v>
      </c>
      <c r="R158" s="564">
        <v>45369</v>
      </c>
      <c r="S158" s="564" t="s">
        <v>123</v>
      </c>
      <c r="T158" s="564">
        <v>45366</v>
      </c>
      <c r="U158" s="530" t="s">
        <v>633</v>
      </c>
      <c r="V158" s="1497" t="s">
        <v>634</v>
      </c>
      <c r="W158" s="592">
        <v>50.836</v>
      </c>
      <c r="X158" s="593">
        <f>W158*L158</f>
        <v>20791.924</v>
      </c>
      <c r="Y158" s="401" t="s">
        <v>687</v>
      </c>
      <c r="Z158" s="607" t="s">
        <v>525</v>
      </c>
      <c r="AA158" s="1453" t="s">
        <v>128</v>
      </c>
      <c r="AB158" s="608"/>
      <c r="AC158" s="608"/>
      <c r="AD158" s="608"/>
      <c r="AE158" s="564" t="s">
        <v>80</v>
      </c>
      <c r="AF158" s="564"/>
      <c r="AG158" s="608">
        <f t="shared" si="52"/>
        <v>12270</v>
      </c>
      <c r="AH158" s="608"/>
      <c r="AI158" s="608"/>
      <c r="AJ158" s="608"/>
      <c r="AK158" s="401">
        <f t="shared" si="54"/>
        <v>12270</v>
      </c>
      <c r="AL158" s="401"/>
      <c r="AM158" s="609"/>
      <c r="AN158" s="609"/>
      <c r="AO158" s="609">
        <f t="shared" si="53"/>
        <v>12270</v>
      </c>
      <c r="AP158" s="609"/>
      <c r="AQ158" s="609"/>
      <c r="AR158" s="609"/>
      <c r="AS158" s="609"/>
      <c r="AT158" s="633"/>
      <c r="AU158" s="633"/>
      <c r="AV158" s="633"/>
      <c r="AW158" s="633"/>
      <c r="AX158" s="633"/>
      <c r="AY158" s="633"/>
      <c r="AZ158" s="633"/>
      <c r="BA158" s="633"/>
      <c r="BB158" s="633"/>
      <c r="BC158" s="633"/>
      <c r="BD158" s="633"/>
      <c r="BE158" s="633"/>
      <c r="BF158" s="633">
        <f>I158/30</f>
        <v>409</v>
      </c>
      <c r="BG158" s="633"/>
      <c r="BH158" s="633"/>
      <c r="BI158" s="633"/>
      <c r="BJ158" s="633"/>
      <c r="BK158" s="633"/>
      <c r="BL158" s="633"/>
      <c r="BM158" s="401">
        <f t="shared" si="40"/>
        <v>12270</v>
      </c>
      <c r="BO158" s="1473"/>
      <c r="BP158" s="1473"/>
    </row>
    <row r="159" s="200" customFormat="1" ht="36" customHeight="1" spans="1:68">
      <c r="A159" s="533">
        <v>45348</v>
      </c>
      <c r="B159" s="527" t="s">
        <v>688</v>
      </c>
      <c r="C159" s="528" t="s">
        <v>689</v>
      </c>
      <c r="D159" s="534">
        <v>4500125111</v>
      </c>
      <c r="E159" s="530">
        <v>32289040</v>
      </c>
      <c r="F159" s="534" t="s">
        <v>690</v>
      </c>
      <c r="G159" s="531" t="s">
        <v>691</v>
      </c>
      <c r="H159" s="532" t="s">
        <v>74</v>
      </c>
      <c r="I159" s="401">
        <v>3150</v>
      </c>
      <c r="J159" s="562">
        <v>0</v>
      </c>
      <c r="K159" s="531">
        <v>21</v>
      </c>
      <c r="L159" s="401">
        <f t="shared" si="46"/>
        <v>150</v>
      </c>
      <c r="M159" s="563">
        <v>45398</v>
      </c>
      <c r="N159" s="563">
        <v>45394</v>
      </c>
      <c r="O159" s="564" t="s">
        <v>692</v>
      </c>
      <c r="P159" s="564" t="s">
        <v>92</v>
      </c>
      <c r="Q159" s="564" t="s">
        <v>693</v>
      </c>
      <c r="R159" s="564">
        <v>45348</v>
      </c>
      <c r="S159" s="564" t="s">
        <v>77</v>
      </c>
      <c r="T159" s="564">
        <v>45383</v>
      </c>
      <c r="U159" s="530" t="s">
        <v>694</v>
      </c>
      <c r="V159" s="596" t="s">
        <v>695</v>
      </c>
      <c r="W159" s="592">
        <v>1.4733</v>
      </c>
      <c r="X159" s="593">
        <f t="shared" ref="X159:X182" si="55">I159*W159</f>
        <v>4640.895</v>
      </c>
      <c r="Y159" s="401" t="s">
        <v>696</v>
      </c>
      <c r="Z159" s="1500" t="s">
        <v>697</v>
      </c>
      <c r="AA159" s="1453" t="s">
        <v>128</v>
      </c>
      <c r="AB159" s="608"/>
      <c r="AC159" s="608"/>
      <c r="AD159" s="608"/>
      <c r="AE159" s="564" t="s">
        <v>80</v>
      </c>
      <c r="AF159" s="564"/>
      <c r="AG159" s="401"/>
      <c r="AH159" s="608">
        <f>I159</f>
        <v>3150</v>
      </c>
      <c r="AI159" s="608"/>
      <c r="AJ159" s="608"/>
      <c r="AK159" s="609"/>
      <c r="AL159" s="401">
        <f>I159</f>
        <v>3150</v>
      </c>
      <c r="AM159" s="609"/>
      <c r="AN159" s="609"/>
      <c r="AO159" s="609">
        <f>AH159</f>
        <v>3150</v>
      </c>
      <c r="AP159" s="609"/>
      <c r="AQ159" s="609"/>
      <c r="AR159" s="609"/>
      <c r="AS159" s="609"/>
      <c r="AT159" s="633">
        <f>AH159/21</f>
        <v>150</v>
      </c>
      <c r="AU159" s="633"/>
      <c r="AV159" s="633"/>
      <c r="AW159" s="633"/>
      <c r="AX159" s="633"/>
      <c r="AY159" s="633"/>
      <c r="AZ159" s="633"/>
      <c r="BA159" s="633"/>
      <c r="BB159" s="633"/>
      <c r="BC159" s="633"/>
      <c r="BD159" s="633"/>
      <c r="BE159" s="633"/>
      <c r="BF159" s="633"/>
      <c r="BG159" s="633"/>
      <c r="BH159" s="633"/>
      <c r="BI159" s="633"/>
      <c r="BJ159" s="633"/>
      <c r="BK159" s="633"/>
      <c r="BL159" s="633"/>
      <c r="BM159" s="401">
        <f t="shared" si="40"/>
        <v>3150</v>
      </c>
      <c r="BO159" s="1473"/>
      <c r="BP159" s="1473"/>
    </row>
    <row r="160" s="200" customFormat="1" ht="36" customHeight="1" spans="1:68">
      <c r="A160" s="533">
        <v>45314</v>
      </c>
      <c r="B160" s="527" t="s">
        <v>698</v>
      </c>
      <c r="C160" s="528" t="s">
        <v>117</v>
      </c>
      <c r="D160" s="534">
        <v>4500123768</v>
      </c>
      <c r="E160" s="530" t="s">
        <v>699</v>
      </c>
      <c r="F160" s="534" t="s">
        <v>700</v>
      </c>
      <c r="G160" s="531" t="s">
        <v>701</v>
      </c>
      <c r="H160" s="532" t="s">
        <v>74</v>
      </c>
      <c r="I160" s="401">
        <v>159952</v>
      </c>
      <c r="J160" s="562">
        <v>0</v>
      </c>
      <c r="K160" s="531">
        <v>8</v>
      </c>
      <c r="L160" s="401">
        <f t="shared" si="46"/>
        <v>19994</v>
      </c>
      <c r="M160" s="563">
        <v>45399</v>
      </c>
      <c r="N160" s="563">
        <v>45395</v>
      </c>
      <c r="O160" s="564" t="s">
        <v>702</v>
      </c>
      <c r="P160" s="564" t="s">
        <v>92</v>
      </c>
      <c r="Q160" s="564" t="s">
        <v>703</v>
      </c>
      <c r="R160" s="564" t="s">
        <v>704</v>
      </c>
      <c r="S160" s="564" t="s">
        <v>77</v>
      </c>
      <c r="T160" s="564">
        <v>45342</v>
      </c>
      <c r="U160" s="1454" t="s">
        <v>705</v>
      </c>
      <c r="V160" s="596" t="s">
        <v>406</v>
      </c>
      <c r="W160" s="592">
        <v>1.7</v>
      </c>
      <c r="X160" s="593">
        <f t="shared" si="55"/>
        <v>271918.4</v>
      </c>
      <c r="Y160" s="401" t="s">
        <v>706</v>
      </c>
      <c r="Z160" s="531" t="s">
        <v>707</v>
      </c>
      <c r="AA160" s="1453" t="s">
        <v>128</v>
      </c>
      <c r="AB160" s="608"/>
      <c r="AC160" s="608"/>
      <c r="AD160" s="608"/>
      <c r="AE160" s="564" t="s">
        <v>80</v>
      </c>
      <c r="AF160" s="564"/>
      <c r="AG160" s="608">
        <f t="shared" ref="AG160:AG163" si="56">I160</f>
        <v>159952</v>
      </c>
      <c r="AH160" s="608"/>
      <c r="AI160" s="608"/>
      <c r="AJ160" s="608"/>
      <c r="AK160" s="609"/>
      <c r="AL160" s="401"/>
      <c r="AM160" s="609">
        <f>I160</f>
        <v>159952</v>
      </c>
      <c r="AN160" s="609"/>
      <c r="AO160" s="609">
        <f t="shared" ref="AO160:AO163" si="57">AG160</f>
        <v>159952</v>
      </c>
      <c r="AP160" s="609"/>
      <c r="AQ160" s="609"/>
      <c r="AR160" s="609"/>
      <c r="AS160" s="609"/>
      <c r="AT160" s="633"/>
      <c r="AU160" s="633"/>
      <c r="AV160" s="633"/>
      <c r="AW160" s="633"/>
      <c r="AX160" s="633"/>
      <c r="AY160" s="633"/>
      <c r="AZ160" s="633"/>
      <c r="BA160" s="633"/>
      <c r="BB160" s="633"/>
      <c r="BC160" s="633"/>
      <c r="BD160" s="633"/>
      <c r="BE160" s="633"/>
      <c r="BF160" s="633"/>
      <c r="BG160" s="633"/>
      <c r="BH160" s="633"/>
      <c r="BI160" s="633"/>
      <c r="BJ160" s="633">
        <f>I160/8</f>
        <v>19994</v>
      </c>
      <c r="BK160" s="633"/>
      <c r="BL160" s="633"/>
      <c r="BM160" s="401">
        <f t="shared" si="40"/>
        <v>159952</v>
      </c>
      <c r="BO160" s="1473"/>
      <c r="BP160" s="1473"/>
    </row>
    <row r="161" s="200" customFormat="1" ht="36" customHeight="1" spans="1:68">
      <c r="A161" s="533">
        <v>45344</v>
      </c>
      <c r="B161" s="527" t="s">
        <v>708</v>
      </c>
      <c r="C161" s="528" t="s">
        <v>286</v>
      </c>
      <c r="D161" s="534">
        <v>4500125053</v>
      </c>
      <c r="E161" s="530"/>
      <c r="F161" s="534" t="s">
        <v>709</v>
      </c>
      <c r="G161" s="531" t="s">
        <v>96</v>
      </c>
      <c r="H161" s="532" t="s">
        <v>74</v>
      </c>
      <c r="I161" s="401">
        <v>3000</v>
      </c>
      <c r="J161" s="562">
        <v>0</v>
      </c>
      <c r="K161" s="531">
        <v>50</v>
      </c>
      <c r="L161" s="401">
        <f t="shared" si="46"/>
        <v>60</v>
      </c>
      <c r="M161" s="563">
        <v>45400</v>
      </c>
      <c r="N161" s="563">
        <v>45397</v>
      </c>
      <c r="O161" s="564"/>
      <c r="P161" s="564" t="s">
        <v>92</v>
      </c>
      <c r="Q161" s="564" t="s">
        <v>710</v>
      </c>
      <c r="R161" s="564">
        <v>45363</v>
      </c>
      <c r="S161" s="564" t="s">
        <v>77</v>
      </c>
      <c r="T161" s="564">
        <v>45366</v>
      </c>
      <c r="U161" s="530" t="s">
        <v>711</v>
      </c>
      <c r="V161" s="596" t="s">
        <v>290</v>
      </c>
      <c r="W161" s="592">
        <v>1.4706</v>
      </c>
      <c r="X161" s="593">
        <f t="shared" si="55"/>
        <v>4411.8</v>
      </c>
      <c r="Y161" s="401" t="s">
        <v>712</v>
      </c>
      <c r="Z161" s="607" t="s">
        <v>292</v>
      </c>
      <c r="AA161" s="1453" t="s">
        <v>128</v>
      </c>
      <c r="AB161" s="608"/>
      <c r="AC161" s="608"/>
      <c r="AD161" s="608"/>
      <c r="AE161" s="564" t="s">
        <v>80</v>
      </c>
      <c r="AF161" s="564"/>
      <c r="AG161" s="608">
        <f t="shared" si="56"/>
        <v>3000</v>
      </c>
      <c r="AH161" s="608"/>
      <c r="AI161" s="608"/>
      <c r="AJ161" s="608"/>
      <c r="AK161" s="609"/>
      <c r="AL161" s="609">
        <f>I161</f>
        <v>3000</v>
      </c>
      <c r="AM161" s="609"/>
      <c r="AN161" s="609"/>
      <c r="AO161" s="609">
        <f>I161</f>
        <v>3000</v>
      </c>
      <c r="AP161" s="609"/>
      <c r="AQ161" s="609"/>
      <c r="AR161" s="609"/>
      <c r="AS161" s="609"/>
      <c r="AT161" s="633"/>
      <c r="AU161" s="633"/>
      <c r="AV161" s="633"/>
      <c r="AW161" s="633"/>
      <c r="AX161" s="633"/>
      <c r="AY161" s="633"/>
      <c r="AZ161" s="633"/>
      <c r="BA161" s="633"/>
      <c r="BB161" s="633">
        <f>I161/25</f>
        <v>120</v>
      </c>
      <c r="BC161" s="633"/>
      <c r="BD161" s="633"/>
      <c r="BE161" s="633"/>
      <c r="BF161" s="633"/>
      <c r="BG161" s="633"/>
      <c r="BH161" s="633"/>
      <c r="BI161" s="633"/>
      <c r="BJ161" s="633"/>
      <c r="BK161" s="633"/>
      <c r="BL161" s="633"/>
      <c r="BM161" s="401">
        <f t="shared" si="40"/>
        <v>3000</v>
      </c>
      <c r="BO161" s="1473"/>
      <c r="BP161" s="1473"/>
    </row>
    <row r="162" s="200" customFormat="1" ht="36" customHeight="1" spans="1:68">
      <c r="A162" s="533">
        <v>45349</v>
      </c>
      <c r="B162" s="527" t="s">
        <v>713</v>
      </c>
      <c r="C162" s="528" t="s">
        <v>351</v>
      </c>
      <c r="D162" s="534">
        <v>4500125351</v>
      </c>
      <c r="E162" s="530" t="s">
        <v>714</v>
      </c>
      <c r="F162" s="534" t="s">
        <v>715</v>
      </c>
      <c r="G162" s="531" t="s">
        <v>160</v>
      </c>
      <c r="H162" s="532" t="s">
        <v>74</v>
      </c>
      <c r="I162" s="401">
        <v>1950</v>
      </c>
      <c r="J162" s="562">
        <v>0</v>
      </c>
      <c r="K162" s="531">
        <v>13</v>
      </c>
      <c r="L162" s="401">
        <f t="shared" si="46"/>
        <v>150</v>
      </c>
      <c r="M162" s="563">
        <v>45404</v>
      </c>
      <c r="N162" s="563">
        <v>45400</v>
      </c>
      <c r="O162" s="564"/>
      <c r="P162" s="564" t="s">
        <v>92</v>
      </c>
      <c r="Q162" s="564" t="s">
        <v>716</v>
      </c>
      <c r="R162" s="564">
        <v>45352</v>
      </c>
      <c r="S162" s="564" t="s">
        <v>77</v>
      </c>
      <c r="T162" s="564" t="s">
        <v>77</v>
      </c>
      <c r="U162" s="530" t="s">
        <v>717</v>
      </c>
      <c r="V162" s="596" t="s">
        <v>647</v>
      </c>
      <c r="W162" s="592">
        <v>1.65</v>
      </c>
      <c r="X162" s="593">
        <f t="shared" si="55"/>
        <v>3217.5</v>
      </c>
      <c r="Y162" s="401" t="s">
        <v>718</v>
      </c>
      <c r="Z162" s="607" t="s">
        <v>239</v>
      </c>
      <c r="AA162" s="1453" t="s">
        <v>128</v>
      </c>
      <c r="AB162" s="608"/>
      <c r="AC162" s="608"/>
      <c r="AD162" s="608"/>
      <c r="AE162" s="564" t="s">
        <v>80</v>
      </c>
      <c r="AF162" s="564"/>
      <c r="AG162" s="608">
        <f t="shared" si="56"/>
        <v>1950</v>
      </c>
      <c r="AH162" s="608"/>
      <c r="AI162" s="608"/>
      <c r="AJ162" s="608"/>
      <c r="AK162" s="609"/>
      <c r="AL162" s="609">
        <f>AG162</f>
        <v>1950</v>
      </c>
      <c r="AM162" s="609"/>
      <c r="AN162" s="609"/>
      <c r="AO162" s="609">
        <f t="shared" si="57"/>
        <v>1950</v>
      </c>
      <c r="AP162" s="609"/>
      <c r="AQ162" s="609"/>
      <c r="AR162" s="609"/>
      <c r="AS162" s="609"/>
      <c r="AT162" s="633"/>
      <c r="AU162" s="633"/>
      <c r="AV162" s="633"/>
      <c r="AW162" s="633"/>
      <c r="AX162" s="633"/>
      <c r="AY162" s="401"/>
      <c r="AZ162" s="633">
        <f>I162/13</f>
        <v>150</v>
      </c>
      <c r="BA162" s="633"/>
      <c r="BB162" s="633"/>
      <c r="BC162" s="633"/>
      <c r="BD162" s="633"/>
      <c r="BE162" s="633"/>
      <c r="BF162" s="633"/>
      <c r="BG162" s="633"/>
      <c r="BH162" s="633"/>
      <c r="BI162" s="633"/>
      <c r="BJ162" s="633"/>
      <c r="BK162" s="633"/>
      <c r="BL162" s="633"/>
      <c r="BM162" s="401">
        <f t="shared" si="40"/>
        <v>1950</v>
      </c>
      <c r="BO162" s="1473"/>
      <c r="BP162" s="1473"/>
    </row>
    <row r="163" s="200" customFormat="1" ht="36" customHeight="1" spans="1:68">
      <c r="A163" s="533">
        <v>45362</v>
      </c>
      <c r="B163" s="1475" t="s">
        <v>561</v>
      </c>
      <c r="C163" s="1476" t="s">
        <v>190</v>
      </c>
      <c r="D163" s="534">
        <v>4500125613</v>
      </c>
      <c r="E163" s="1480" t="s">
        <v>719</v>
      </c>
      <c r="F163" s="1481" t="s">
        <v>720</v>
      </c>
      <c r="G163" s="531" t="s">
        <v>160</v>
      </c>
      <c r="H163" s="532" t="s">
        <v>74</v>
      </c>
      <c r="I163" s="401">
        <v>2002</v>
      </c>
      <c r="J163" s="562">
        <v>0</v>
      </c>
      <c r="K163" s="531">
        <v>13</v>
      </c>
      <c r="L163" s="401">
        <f t="shared" si="46"/>
        <v>154</v>
      </c>
      <c r="M163" s="563">
        <v>45404</v>
      </c>
      <c r="N163" s="563">
        <v>45400</v>
      </c>
      <c r="O163" s="564"/>
      <c r="P163" s="564" t="s">
        <v>92</v>
      </c>
      <c r="Q163" s="564" t="s">
        <v>721</v>
      </c>
      <c r="R163" s="564">
        <v>45376</v>
      </c>
      <c r="S163" s="564" t="s">
        <v>123</v>
      </c>
      <c r="T163" s="564">
        <v>45385</v>
      </c>
      <c r="U163" s="530" t="s">
        <v>722</v>
      </c>
      <c r="V163" s="401" t="s">
        <v>194</v>
      </c>
      <c r="W163" s="592">
        <v>1.7</v>
      </c>
      <c r="X163" s="593">
        <f t="shared" si="55"/>
        <v>3403.4</v>
      </c>
      <c r="Y163" s="401" t="s">
        <v>723</v>
      </c>
      <c r="Z163" s="607" t="s">
        <v>160</v>
      </c>
      <c r="AA163" s="1453" t="s">
        <v>128</v>
      </c>
      <c r="AB163" s="608"/>
      <c r="AC163" s="608"/>
      <c r="AD163" s="608"/>
      <c r="AE163" s="564" t="s">
        <v>80</v>
      </c>
      <c r="AF163" s="564"/>
      <c r="AG163" s="608">
        <f t="shared" si="56"/>
        <v>2002</v>
      </c>
      <c r="AH163" s="608"/>
      <c r="AI163" s="608"/>
      <c r="AJ163" s="608"/>
      <c r="AK163" s="609">
        <f t="shared" ref="AK163:AK170" si="58">AG163</f>
        <v>2002</v>
      </c>
      <c r="AL163" s="609"/>
      <c r="AM163" s="609"/>
      <c r="AN163" s="609"/>
      <c r="AO163" s="609">
        <f t="shared" si="57"/>
        <v>2002</v>
      </c>
      <c r="AP163" s="609"/>
      <c r="AQ163" s="609"/>
      <c r="AR163" s="609"/>
      <c r="AS163" s="609"/>
      <c r="AT163" s="633"/>
      <c r="AU163" s="633"/>
      <c r="AV163" s="633"/>
      <c r="AW163" s="633"/>
      <c r="AX163" s="633"/>
      <c r="AY163" s="633">
        <f t="shared" ref="AY163:AY170" si="59">I163/13</f>
        <v>154</v>
      </c>
      <c r="AZ163" s="633"/>
      <c r="BA163" s="633"/>
      <c r="BB163" s="633"/>
      <c r="BC163" s="633"/>
      <c r="BD163" s="633"/>
      <c r="BE163" s="633"/>
      <c r="BF163" s="633"/>
      <c r="BG163" s="633"/>
      <c r="BH163" s="633"/>
      <c r="BI163" s="633"/>
      <c r="BJ163" s="633"/>
      <c r="BK163" s="633"/>
      <c r="BL163" s="633"/>
      <c r="BM163" s="401">
        <f t="shared" si="40"/>
        <v>2002</v>
      </c>
      <c r="BO163" s="1473"/>
      <c r="BP163" s="1473"/>
    </row>
    <row r="164" s="200" customFormat="1" ht="36" customHeight="1" spans="1:73">
      <c r="A164" s="533">
        <v>45362</v>
      </c>
      <c r="B164" s="527" t="s">
        <v>724</v>
      </c>
      <c r="C164" s="528" t="s">
        <v>286</v>
      </c>
      <c r="D164" s="534">
        <v>4500126389</v>
      </c>
      <c r="E164" s="530"/>
      <c r="F164" s="534" t="s">
        <v>725</v>
      </c>
      <c r="G164" s="531" t="s">
        <v>628</v>
      </c>
      <c r="H164" s="532" t="s">
        <v>623</v>
      </c>
      <c r="I164" s="401">
        <v>408</v>
      </c>
      <c r="J164" s="562">
        <v>0</v>
      </c>
      <c r="K164" s="531">
        <v>12</v>
      </c>
      <c r="L164" s="401">
        <f t="shared" si="46"/>
        <v>34</v>
      </c>
      <c r="M164" s="563">
        <v>45405</v>
      </c>
      <c r="N164" s="563">
        <v>45401</v>
      </c>
      <c r="O164" s="564"/>
      <c r="P164" s="564" t="s">
        <v>92</v>
      </c>
      <c r="Q164" s="564" t="s">
        <v>726</v>
      </c>
      <c r="R164" s="564">
        <v>45373</v>
      </c>
      <c r="S164" s="564" t="s">
        <v>77</v>
      </c>
      <c r="T164" s="564">
        <v>45383</v>
      </c>
      <c r="U164" s="530" t="s">
        <v>727</v>
      </c>
      <c r="V164" s="596" t="s">
        <v>290</v>
      </c>
      <c r="W164" s="592">
        <v>3.3</v>
      </c>
      <c r="X164" s="593">
        <f t="shared" si="55"/>
        <v>1346.4</v>
      </c>
      <c r="Y164" s="401" t="s">
        <v>728</v>
      </c>
      <c r="Z164" s="607" t="s">
        <v>729</v>
      </c>
      <c r="AA164" s="1453" t="s">
        <v>128</v>
      </c>
      <c r="AB164" s="608"/>
      <c r="AC164" s="608"/>
      <c r="AD164" s="608"/>
      <c r="AE164" s="564" t="s">
        <v>80</v>
      </c>
      <c r="AF164" s="564"/>
      <c r="AG164" s="608">
        <f>I164*2</f>
        <v>816</v>
      </c>
      <c r="AH164" s="608"/>
      <c r="AI164" s="608"/>
      <c r="AJ164" s="608"/>
      <c r="AK164" s="609"/>
      <c r="AL164" s="609">
        <f>I164*2</f>
        <v>816</v>
      </c>
      <c r="AM164" s="609"/>
      <c r="AN164" s="609"/>
      <c r="AO164" s="609">
        <f>I164*2</f>
        <v>816</v>
      </c>
      <c r="AP164" s="609"/>
      <c r="AQ164" s="609"/>
      <c r="AR164" s="609"/>
      <c r="AS164" s="609"/>
      <c r="AT164" s="633"/>
      <c r="AU164" s="633"/>
      <c r="AV164" s="633"/>
      <c r="AW164" s="633"/>
      <c r="AX164" s="633"/>
      <c r="AY164" s="401"/>
      <c r="AZ164" s="633"/>
      <c r="BA164" s="633"/>
      <c r="BB164" s="633"/>
      <c r="BC164" s="633"/>
      <c r="BD164" s="633"/>
      <c r="BE164" s="633"/>
      <c r="BF164" s="633"/>
      <c r="BG164" s="633"/>
      <c r="BH164" s="633"/>
      <c r="BI164" s="633"/>
      <c r="BJ164" s="633"/>
      <c r="BK164" s="633">
        <f>I164</f>
        <v>408</v>
      </c>
      <c r="BL164" s="633">
        <f>I164</f>
        <v>408</v>
      </c>
      <c r="BM164" s="401">
        <f t="shared" si="40"/>
        <v>816</v>
      </c>
      <c r="BO164" s="1473"/>
      <c r="BP164" s="1473"/>
      <c r="BU164" s="1502" t="s">
        <v>629</v>
      </c>
    </row>
    <row r="165" s="200" customFormat="1" ht="36" customHeight="1" spans="1:68">
      <c r="A165" s="533">
        <v>45365</v>
      </c>
      <c r="B165" s="527" t="s">
        <v>232</v>
      </c>
      <c r="C165" s="528" t="s">
        <v>233</v>
      </c>
      <c r="D165" s="534">
        <v>4500126643</v>
      </c>
      <c r="E165" s="530">
        <v>19972864</v>
      </c>
      <c r="F165" s="534" t="s">
        <v>730</v>
      </c>
      <c r="G165" s="531" t="s">
        <v>160</v>
      </c>
      <c r="H165" s="532" t="s">
        <v>74</v>
      </c>
      <c r="I165" s="401">
        <v>390</v>
      </c>
      <c r="J165" s="562">
        <v>0</v>
      </c>
      <c r="K165" s="531">
        <v>13</v>
      </c>
      <c r="L165" s="401">
        <f t="shared" si="46"/>
        <v>30</v>
      </c>
      <c r="M165" s="563">
        <v>45406</v>
      </c>
      <c r="N165" s="563">
        <v>45402</v>
      </c>
      <c r="O165" s="564"/>
      <c r="P165" s="564" t="s">
        <v>92</v>
      </c>
      <c r="Q165" s="564" t="s">
        <v>731</v>
      </c>
      <c r="R165" s="564">
        <v>45377</v>
      </c>
      <c r="S165" s="564" t="s">
        <v>123</v>
      </c>
      <c r="T165" s="564">
        <v>45385</v>
      </c>
      <c r="U165" s="530" t="s">
        <v>732</v>
      </c>
      <c r="V165" s="596" t="s">
        <v>194</v>
      </c>
      <c r="W165" s="592">
        <v>1.4483</v>
      </c>
      <c r="X165" s="593">
        <f t="shared" si="55"/>
        <v>564.837</v>
      </c>
      <c r="Y165" s="401" t="s">
        <v>733</v>
      </c>
      <c r="Z165" s="607" t="s">
        <v>160</v>
      </c>
      <c r="AA165" s="1453" t="s">
        <v>128</v>
      </c>
      <c r="AB165" s="608"/>
      <c r="AC165" s="608"/>
      <c r="AD165" s="608"/>
      <c r="AE165" s="564" t="s">
        <v>80</v>
      </c>
      <c r="AF165" s="564"/>
      <c r="AG165" s="608">
        <f t="shared" ref="AG165:AG184" si="60">I165</f>
        <v>390</v>
      </c>
      <c r="AH165" s="608"/>
      <c r="AI165" s="608"/>
      <c r="AJ165" s="608"/>
      <c r="AK165" s="609">
        <f t="shared" si="58"/>
        <v>390</v>
      </c>
      <c r="AL165" s="401"/>
      <c r="AM165" s="609"/>
      <c r="AN165" s="609"/>
      <c r="AO165" s="609">
        <f t="shared" ref="AO165:AO170" si="61">AG165</f>
        <v>390</v>
      </c>
      <c r="AP165" s="609"/>
      <c r="AQ165" s="609"/>
      <c r="AR165" s="609"/>
      <c r="AS165" s="609"/>
      <c r="AT165" s="633"/>
      <c r="AU165" s="633"/>
      <c r="AV165" s="633"/>
      <c r="AW165" s="633"/>
      <c r="AX165" s="633"/>
      <c r="AY165" s="633">
        <f t="shared" si="59"/>
        <v>30</v>
      </c>
      <c r="AZ165" s="633"/>
      <c r="BA165" s="633"/>
      <c r="BB165" s="633"/>
      <c r="BC165" s="633"/>
      <c r="BD165" s="633"/>
      <c r="BE165" s="633"/>
      <c r="BF165" s="633"/>
      <c r="BG165" s="633"/>
      <c r="BH165" s="633"/>
      <c r="BI165" s="633"/>
      <c r="BJ165" s="633"/>
      <c r="BK165" s="633"/>
      <c r="BL165" s="633"/>
      <c r="BM165" s="401">
        <f t="shared" si="40"/>
        <v>390</v>
      </c>
      <c r="BO165" s="1473"/>
      <c r="BP165" s="1473"/>
    </row>
    <row r="166" s="200" customFormat="1" ht="36" customHeight="1" spans="1:68">
      <c r="A166" s="533">
        <v>45365</v>
      </c>
      <c r="B166" s="1482" t="s">
        <v>189</v>
      </c>
      <c r="C166" s="1482" t="s">
        <v>190</v>
      </c>
      <c r="D166" s="1483">
        <v>4500126609</v>
      </c>
      <c r="E166" s="1482">
        <v>19972863</v>
      </c>
      <c r="F166" s="1483" t="s">
        <v>734</v>
      </c>
      <c r="G166" s="531" t="s">
        <v>160</v>
      </c>
      <c r="H166" s="532" t="s">
        <v>74</v>
      </c>
      <c r="I166" s="401">
        <v>6058</v>
      </c>
      <c r="J166" s="562">
        <v>0</v>
      </c>
      <c r="K166" s="531">
        <v>13</v>
      </c>
      <c r="L166" s="401">
        <f t="shared" si="46"/>
        <v>466</v>
      </c>
      <c r="M166" s="563">
        <v>45406</v>
      </c>
      <c r="N166" s="563">
        <v>45402</v>
      </c>
      <c r="O166" s="564"/>
      <c r="P166" s="564" t="s">
        <v>92</v>
      </c>
      <c r="Q166" s="564" t="s">
        <v>731</v>
      </c>
      <c r="R166" s="564">
        <v>45377</v>
      </c>
      <c r="S166" s="564" t="s">
        <v>123</v>
      </c>
      <c r="T166" s="564">
        <v>45385</v>
      </c>
      <c r="U166" s="530" t="s">
        <v>735</v>
      </c>
      <c r="V166" s="1498" t="s">
        <v>194</v>
      </c>
      <c r="W166" s="592">
        <v>1.4381</v>
      </c>
      <c r="X166" s="593">
        <f t="shared" si="55"/>
        <v>8712.0098</v>
      </c>
      <c r="Y166" s="401" t="s">
        <v>736</v>
      </c>
      <c r="Z166" s="607" t="s">
        <v>160</v>
      </c>
      <c r="AA166" s="1453" t="s">
        <v>128</v>
      </c>
      <c r="AB166" s="608"/>
      <c r="AC166" s="608"/>
      <c r="AD166" s="608"/>
      <c r="AE166" s="564" t="s">
        <v>80</v>
      </c>
      <c r="AF166" s="564"/>
      <c r="AG166" s="608">
        <f t="shared" si="60"/>
        <v>6058</v>
      </c>
      <c r="AH166" s="608"/>
      <c r="AI166" s="608"/>
      <c r="AJ166" s="608"/>
      <c r="AK166" s="609">
        <f t="shared" si="58"/>
        <v>6058</v>
      </c>
      <c r="AL166" s="401"/>
      <c r="AM166" s="609"/>
      <c r="AN166" s="609"/>
      <c r="AO166" s="609">
        <f t="shared" si="61"/>
        <v>6058</v>
      </c>
      <c r="AP166" s="609"/>
      <c r="AQ166" s="609"/>
      <c r="AR166" s="609"/>
      <c r="AS166" s="609"/>
      <c r="AT166" s="633"/>
      <c r="AU166" s="633"/>
      <c r="AV166" s="633"/>
      <c r="AW166" s="633"/>
      <c r="AX166" s="633"/>
      <c r="AY166" s="633">
        <f t="shared" si="59"/>
        <v>466</v>
      </c>
      <c r="AZ166" s="633"/>
      <c r="BA166" s="633"/>
      <c r="BB166" s="633"/>
      <c r="BC166" s="633"/>
      <c r="BD166" s="633"/>
      <c r="BE166" s="633"/>
      <c r="BF166" s="633"/>
      <c r="BG166" s="633"/>
      <c r="BH166" s="633"/>
      <c r="BI166" s="633"/>
      <c r="BJ166" s="633"/>
      <c r="BK166" s="633"/>
      <c r="BL166" s="633"/>
      <c r="BM166" s="401">
        <f t="shared" si="40"/>
        <v>6058</v>
      </c>
      <c r="BO166" s="1473"/>
      <c r="BP166" s="1473"/>
    </row>
    <row r="167" s="200" customFormat="1" ht="36" customHeight="1" spans="1:68">
      <c r="A167" s="533">
        <v>45363</v>
      </c>
      <c r="B167" s="1482" t="s">
        <v>232</v>
      </c>
      <c r="C167" s="1482" t="s">
        <v>233</v>
      </c>
      <c r="D167" s="1483">
        <v>4500126582</v>
      </c>
      <c r="E167" s="1482">
        <v>19977193</v>
      </c>
      <c r="F167" s="534" t="s">
        <v>737</v>
      </c>
      <c r="G167" s="531" t="s">
        <v>160</v>
      </c>
      <c r="H167" s="532" t="s">
        <v>74</v>
      </c>
      <c r="I167" s="401">
        <v>403</v>
      </c>
      <c r="J167" s="562">
        <v>0</v>
      </c>
      <c r="K167" s="531">
        <v>13</v>
      </c>
      <c r="L167" s="401">
        <f t="shared" si="46"/>
        <v>31</v>
      </c>
      <c r="M167" s="563">
        <v>45406</v>
      </c>
      <c r="N167" s="563">
        <v>45402</v>
      </c>
      <c r="O167" s="564"/>
      <c r="P167" s="564" t="s">
        <v>92</v>
      </c>
      <c r="Q167" s="564" t="s">
        <v>738</v>
      </c>
      <c r="R167" s="564">
        <v>45377</v>
      </c>
      <c r="S167" s="564" t="s">
        <v>123</v>
      </c>
      <c r="T167" s="564">
        <v>45383</v>
      </c>
      <c r="U167" s="530" t="s">
        <v>739</v>
      </c>
      <c r="V167" s="1498" t="s">
        <v>194</v>
      </c>
      <c r="W167" s="592">
        <v>1.4483</v>
      </c>
      <c r="X167" s="593">
        <f t="shared" si="55"/>
        <v>583.6649</v>
      </c>
      <c r="Y167" s="401" t="s">
        <v>740</v>
      </c>
      <c r="Z167" s="607" t="s">
        <v>160</v>
      </c>
      <c r="AA167" s="1453" t="s">
        <v>128</v>
      </c>
      <c r="AB167" s="608"/>
      <c r="AC167" s="608"/>
      <c r="AD167" s="608"/>
      <c r="AE167" s="564" t="s">
        <v>80</v>
      </c>
      <c r="AF167" s="564"/>
      <c r="AG167" s="608">
        <f t="shared" si="60"/>
        <v>403</v>
      </c>
      <c r="AH167" s="608"/>
      <c r="AI167" s="608"/>
      <c r="AJ167" s="608"/>
      <c r="AK167" s="609">
        <f t="shared" si="58"/>
        <v>403</v>
      </c>
      <c r="AL167" s="401"/>
      <c r="AM167" s="609"/>
      <c r="AN167" s="609"/>
      <c r="AO167" s="609">
        <f t="shared" si="61"/>
        <v>403</v>
      </c>
      <c r="AP167" s="609"/>
      <c r="AQ167" s="609"/>
      <c r="AR167" s="609"/>
      <c r="AS167" s="609"/>
      <c r="AT167" s="633"/>
      <c r="AU167" s="633"/>
      <c r="AV167" s="633"/>
      <c r="AW167" s="633"/>
      <c r="AX167" s="633"/>
      <c r="AY167" s="633">
        <f t="shared" si="59"/>
        <v>31</v>
      </c>
      <c r="AZ167" s="633"/>
      <c r="BA167" s="633"/>
      <c r="BB167" s="633"/>
      <c r="BC167" s="633"/>
      <c r="BD167" s="633"/>
      <c r="BE167" s="633"/>
      <c r="BF167" s="633"/>
      <c r="BG167" s="633"/>
      <c r="BH167" s="633"/>
      <c r="BI167" s="633"/>
      <c r="BJ167" s="633"/>
      <c r="BK167" s="633"/>
      <c r="BL167" s="633"/>
      <c r="BM167" s="401">
        <f t="shared" si="40"/>
        <v>403</v>
      </c>
      <c r="BO167" s="1473"/>
      <c r="BP167" s="1473"/>
    </row>
    <row r="168" s="200" customFormat="1" ht="36" customHeight="1" spans="1:68">
      <c r="A168" s="533">
        <v>45363</v>
      </c>
      <c r="B168" s="1482" t="s">
        <v>232</v>
      </c>
      <c r="C168" s="1482" t="s">
        <v>233</v>
      </c>
      <c r="D168" s="1483">
        <v>4500126582</v>
      </c>
      <c r="E168" s="1482">
        <v>19965239</v>
      </c>
      <c r="F168" s="534" t="s">
        <v>741</v>
      </c>
      <c r="G168" s="531" t="s">
        <v>160</v>
      </c>
      <c r="H168" s="532" t="s">
        <v>74</v>
      </c>
      <c r="I168" s="401">
        <v>325</v>
      </c>
      <c r="J168" s="562">
        <v>0</v>
      </c>
      <c r="K168" s="531">
        <v>13</v>
      </c>
      <c r="L168" s="401">
        <f t="shared" si="46"/>
        <v>25</v>
      </c>
      <c r="M168" s="563">
        <v>45406</v>
      </c>
      <c r="N168" s="563">
        <v>45402</v>
      </c>
      <c r="O168" s="564"/>
      <c r="P168" s="564" t="s">
        <v>92</v>
      </c>
      <c r="Q168" s="564" t="s">
        <v>738</v>
      </c>
      <c r="R168" s="564">
        <v>45377</v>
      </c>
      <c r="S168" s="564" t="s">
        <v>123</v>
      </c>
      <c r="T168" s="564">
        <v>45383</v>
      </c>
      <c r="U168" s="530" t="s">
        <v>739</v>
      </c>
      <c r="V168" s="1498" t="s">
        <v>194</v>
      </c>
      <c r="W168" s="592">
        <v>1.4483</v>
      </c>
      <c r="X168" s="593">
        <f t="shared" si="55"/>
        <v>470.6975</v>
      </c>
      <c r="Y168" s="401" t="s">
        <v>740</v>
      </c>
      <c r="Z168" s="607" t="s">
        <v>160</v>
      </c>
      <c r="AA168" s="1453" t="s">
        <v>128</v>
      </c>
      <c r="AB168" s="608"/>
      <c r="AC168" s="608"/>
      <c r="AD168" s="608"/>
      <c r="AE168" s="564" t="s">
        <v>80</v>
      </c>
      <c r="AF168" s="564"/>
      <c r="AG168" s="608">
        <f t="shared" si="60"/>
        <v>325</v>
      </c>
      <c r="AH168" s="608"/>
      <c r="AI168" s="608"/>
      <c r="AJ168" s="608"/>
      <c r="AK168" s="609">
        <f t="shared" si="58"/>
        <v>325</v>
      </c>
      <c r="AL168" s="401"/>
      <c r="AM168" s="609"/>
      <c r="AN168" s="609"/>
      <c r="AO168" s="609">
        <f t="shared" si="61"/>
        <v>325</v>
      </c>
      <c r="AP168" s="609"/>
      <c r="AQ168" s="609"/>
      <c r="AR168" s="609"/>
      <c r="AS168" s="609"/>
      <c r="AT168" s="633"/>
      <c r="AU168" s="633"/>
      <c r="AV168" s="633"/>
      <c r="AW168" s="633"/>
      <c r="AX168" s="633"/>
      <c r="AY168" s="633">
        <f t="shared" si="59"/>
        <v>25</v>
      </c>
      <c r="AZ168" s="633"/>
      <c r="BA168" s="633"/>
      <c r="BB168" s="633"/>
      <c r="BC168" s="633"/>
      <c r="BD168" s="633"/>
      <c r="BE168" s="633"/>
      <c r="BF168" s="633"/>
      <c r="BG168" s="633"/>
      <c r="BH168" s="633"/>
      <c r="BI168" s="633"/>
      <c r="BJ168" s="633"/>
      <c r="BK168" s="633"/>
      <c r="BL168" s="633"/>
      <c r="BM168" s="401">
        <f t="shared" si="40"/>
        <v>325</v>
      </c>
      <c r="BO168" s="1473"/>
      <c r="BP168" s="1473"/>
    </row>
    <row r="169" s="200" customFormat="1" ht="36" customHeight="1" spans="1:68">
      <c r="A169" s="533">
        <v>45363</v>
      </c>
      <c r="B169" s="1482" t="s">
        <v>189</v>
      </c>
      <c r="C169" s="1482" t="s">
        <v>190</v>
      </c>
      <c r="D169" s="1483">
        <v>4500126567</v>
      </c>
      <c r="E169" s="1482">
        <v>19977192</v>
      </c>
      <c r="F169" s="1483" t="s">
        <v>742</v>
      </c>
      <c r="G169" s="531" t="s">
        <v>160</v>
      </c>
      <c r="H169" s="532" t="s">
        <v>74</v>
      </c>
      <c r="I169" s="401">
        <v>2834</v>
      </c>
      <c r="J169" s="562">
        <v>0</v>
      </c>
      <c r="K169" s="531">
        <v>13</v>
      </c>
      <c r="L169" s="401">
        <f t="shared" si="46"/>
        <v>218</v>
      </c>
      <c r="M169" s="563">
        <v>45406</v>
      </c>
      <c r="N169" s="563">
        <v>45402</v>
      </c>
      <c r="O169" s="564"/>
      <c r="P169" s="564" t="s">
        <v>92</v>
      </c>
      <c r="Q169" s="564" t="s">
        <v>738</v>
      </c>
      <c r="R169" s="564">
        <v>45377</v>
      </c>
      <c r="S169" s="564" t="s">
        <v>123</v>
      </c>
      <c r="T169" s="564">
        <v>45383</v>
      </c>
      <c r="U169" s="530" t="s">
        <v>743</v>
      </c>
      <c r="V169" s="1498" t="s">
        <v>194</v>
      </c>
      <c r="W169" s="592">
        <v>1.4381</v>
      </c>
      <c r="X169" s="593">
        <f t="shared" si="55"/>
        <v>4075.5754</v>
      </c>
      <c r="Y169" s="401" t="s">
        <v>744</v>
      </c>
      <c r="Z169" s="607" t="s">
        <v>160</v>
      </c>
      <c r="AA169" s="1453" t="s">
        <v>128</v>
      </c>
      <c r="AB169" s="608"/>
      <c r="AC169" s="608"/>
      <c r="AD169" s="608"/>
      <c r="AE169" s="564" t="s">
        <v>80</v>
      </c>
      <c r="AF169" s="564"/>
      <c r="AG169" s="608">
        <f t="shared" si="60"/>
        <v>2834</v>
      </c>
      <c r="AH169" s="608"/>
      <c r="AI169" s="608"/>
      <c r="AJ169" s="608"/>
      <c r="AK169" s="609">
        <f t="shared" si="58"/>
        <v>2834</v>
      </c>
      <c r="AL169" s="401"/>
      <c r="AM169" s="609"/>
      <c r="AN169" s="609"/>
      <c r="AO169" s="609">
        <f t="shared" si="61"/>
        <v>2834</v>
      </c>
      <c r="AP169" s="609"/>
      <c r="AQ169" s="609"/>
      <c r="AR169" s="609"/>
      <c r="AS169" s="609"/>
      <c r="AT169" s="633"/>
      <c r="AU169" s="633"/>
      <c r="AV169" s="633"/>
      <c r="AW169" s="633"/>
      <c r="AX169" s="633"/>
      <c r="AY169" s="633">
        <f t="shared" si="59"/>
        <v>218</v>
      </c>
      <c r="AZ169" s="633"/>
      <c r="BA169" s="633"/>
      <c r="BB169" s="633"/>
      <c r="BC169" s="633"/>
      <c r="BD169" s="633"/>
      <c r="BE169" s="633"/>
      <c r="BF169" s="633"/>
      <c r="BG169" s="633"/>
      <c r="BH169" s="633"/>
      <c r="BI169" s="633"/>
      <c r="BJ169" s="633"/>
      <c r="BK169" s="633"/>
      <c r="BL169" s="633"/>
      <c r="BM169" s="401">
        <f t="shared" si="40"/>
        <v>2834</v>
      </c>
      <c r="BO169" s="1473"/>
      <c r="BP169" s="1473"/>
    </row>
    <row r="170" s="200" customFormat="1" ht="36" customHeight="1" spans="1:68">
      <c r="A170" s="533">
        <v>45363</v>
      </c>
      <c r="B170" s="1482" t="s">
        <v>189</v>
      </c>
      <c r="C170" s="1482" t="s">
        <v>190</v>
      </c>
      <c r="D170" s="1483">
        <v>4500126567</v>
      </c>
      <c r="E170" s="1482">
        <v>19949064</v>
      </c>
      <c r="F170" s="1483" t="s">
        <v>745</v>
      </c>
      <c r="G170" s="531" t="s">
        <v>160</v>
      </c>
      <c r="H170" s="532" t="s">
        <v>74</v>
      </c>
      <c r="I170" s="401">
        <v>4134</v>
      </c>
      <c r="J170" s="562">
        <v>0</v>
      </c>
      <c r="K170" s="531">
        <v>13</v>
      </c>
      <c r="L170" s="401">
        <f t="shared" si="46"/>
        <v>318</v>
      </c>
      <c r="M170" s="563">
        <v>45406</v>
      </c>
      <c r="N170" s="563">
        <v>45402</v>
      </c>
      <c r="O170" s="564"/>
      <c r="P170" s="564" t="s">
        <v>92</v>
      </c>
      <c r="Q170" s="564" t="s">
        <v>738</v>
      </c>
      <c r="R170" s="564">
        <v>45377</v>
      </c>
      <c r="S170" s="564" t="s">
        <v>123</v>
      </c>
      <c r="T170" s="564">
        <v>45383</v>
      </c>
      <c r="U170" s="530" t="s">
        <v>743</v>
      </c>
      <c r="V170" s="1498" t="s">
        <v>194</v>
      </c>
      <c r="W170" s="592">
        <v>1.4381</v>
      </c>
      <c r="X170" s="593">
        <f t="shared" si="55"/>
        <v>5945.1054</v>
      </c>
      <c r="Y170" s="401" t="s">
        <v>744</v>
      </c>
      <c r="Z170" s="607" t="s">
        <v>160</v>
      </c>
      <c r="AA170" s="1453" t="s">
        <v>128</v>
      </c>
      <c r="AB170" s="608"/>
      <c r="AC170" s="608"/>
      <c r="AD170" s="608"/>
      <c r="AE170" s="564" t="s">
        <v>80</v>
      </c>
      <c r="AF170" s="564"/>
      <c r="AG170" s="608">
        <f t="shared" si="60"/>
        <v>4134</v>
      </c>
      <c r="AH170" s="608"/>
      <c r="AI170" s="608"/>
      <c r="AJ170" s="608"/>
      <c r="AK170" s="609">
        <f t="shared" si="58"/>
        <v>4134</v>
      </c>
      <c r="AL170" s="401"/>
      <c r="AM170" s="609"/>
      <c r="AN170" s="609"/>
      <c r="AO170" s="609">
        <f t="shared" si="61"/>
        <v>4134</v>
      </c>
      <c r="AP170" s="609"/>
      <c r="AQ170" s="609"/>
      <c r="AR170" s="609"/>
      <c r="AS170" s="609"/>
      <c r="AT170" s="633"/>
      <c r="AU170" s="633"/>
      <c r="AV170" s="633"/>
      <c r="AW170" s="633"/>
      <c r="AX170" s="633"/>
      <c r="AY170" s="633">
        <f t="shared" si="59"/>
        <v>318</v>
      </c>
      <c r="AZ170" s="633"/>
      <c r="BA170" s="633"/>
      <c r="BB170" s="633"/>
      <c r="BC170" s="633"/>
      <c r="BD170" s="633"/>
      <c r="BE170" s="633"/>
      <c r="BF170" s="633"/>
      <c r="BG170" s="633"/>
      <c r="BH170" s="633"/>
      <c r="BI170" s="633"/>
      <c r="BJ170" s="633"/>
      <c r="BK170" s="633"/>
      <c r="BL170" s="633"/>
      <c r="BM170" s="401">
        <f t="shared" si="40"/>
        <v>4134</v>
      </c>
      <c r="BO170" s="1473"/>
      <c r="BP170" s="1473"/>
    </row>
    <row r="171" s="200" customFormat="1" ht="36" customHeight="1" spans="1:68">
      <c r="A171" s="533">
        <v>45341</v>
      </c>
      <c r="B171" s="527" t="s">
        <v>746</v>
      </c>
      <c r="C171" s="528" t="s">
        <v>747</v>
      </c>
      <c r="D171" s="534">
        <v>4500124614</v>
      </c>
      <c r="E171" s="530" t="s">
        <v>748</v>
      </c>
      <c r="F171" s="534" t="s">
        <v>749</v>
      </c>
      <c r="G171" s="531" t="s">
        <v>96</v>
      </c>
      <c r="H171" s="532" t="s">
        <v>74</v>
      </c>
      <c r="I171" s="401">
        <v>3600</v>
      </c>
      <c r="J171" s="562">
        <v>0</v>
      </c>
      <c r="K171" s="531">
        <v>50</v>
      </c>
      <c r="L171" s="401">
        <f t="shared" si="46"/>
        <v>72</v>
      </c>
      <c r="M171" s="563">
        <v>45407</v>
      </c>
      <c r="N171" s="563">
        <v>45404</v>
      </c>
      <c r="O171" s="564"/>
      <c r="P171" s="564" t="s">
        <v>92</v>
      </c>
      <c r="Q171" s="564" t="s">
        <v>750</v>
      </c>
      <c r="R171" s="564">
        <v>45330</v>
      </c>
      <c r="S171" s="564" t="s">
        <v>77</v>
      </c>
      <c r="T171" s="564">
        <v>45362</v>
      </c>
      <c r="U171" s="1499" t="s">
        <v>751</v>
      </c>
      <c r="V171" s="596" t="s">
        <v>585</v>
      </c>
      <c r="W171" s="592">
        <v>1.4123</v>
      </c>
      <c r="X171" s="593">
        <f t="shared" si="55"/>
        <v>5084.28</v>
      </c>
      <c r="Y171" s="401" t="s">
        <v>752</v>
      </c>
      <c r="Z171" s="607" t="s">
        <v>96</v>
      </c>
      <c r="AA171" s="1453" t="s">
        <v>128</v>
      </c>
      <c r="AB171" s="608"/>
      <c r="AC171" s="608"/>
      <c r="AD171" s="608"/>
      <c r="AE171" s="564" t="s">
        <v>80</v>
      </c>
      <c r="AF171" s="564"/>
      <c r="AG171" s="608">
        <f t="shared" si="60"/>
        <v>3600</v>
      </c>
      <c r="AH171" s="608"/>
      <c r="AI171" s="608"/>
      <c r="AJ171" s="608"/>
      <c r="AK171" s="609">
        <f t="shared" ref="AK171:AK175" si="62">I171</f>
        <v>3600</v>
      </c>
      <c r="AL171" s="401"/>
      <c r="AM171" s="609"/>
      <c r="AN171" s="609"/>
      <c r="AO171" s="609">
        <f t="shared" ref="AO171:AO175" si="63">I171</f>
        <v>3600</v>
      </c>
      <c r="AP171" s="609"/>
      <c r="AQ171" s="609"/>
      <c r="AR171" s="609"/>
      <c r="AS171" s="609"/>
      <c r="AT171" s="633"/>
      <c r="AU171" s="633"/>
      <c r="AV171" s="633"/>
      <c r="AW171" s="633"/>
      <c r="AX171" s="633"/>
      <c r="AY171" s="633"/>
      <c r="AZ171" s="633"/>
      <c r="BA171" s="633">
        <f t="shared" ref="BA171:BA174" si="64">I171/25</f>
        <v>144</v>
      </c>
      <c r="BB171" s="401"/>
      <c r="BC171" s="401"/>
      <c r="BD171" s="633"/>
      <c r="BE171" s="633"/>
      <c r="BF171" s="633"/>
      <c r="BG171" s="633"/>
      <c r="BH171" s="633"/>
      <c r="BI171" s="633"/>
      <c r="BJ171" s="633"/>
      <c r="BK171" s="633"/>
      <c r="BL171" s="633"/>
      <c r="BM171" s="401">
        <f t="shared" si="40"/>
        <v>3600</v>
      </c>
      <c r="BO171" s="1473"/>
      <c r="BP171" s="1473"/>
    </row>
    <row r="172" s="200" customFormat="1" ht="36" customHeight="1" spans="1:68">
      <c r="A172" s="533">
        <v>45341</v>
      </c>
      <c r="B172" s="527" t="s">
        <v>746</v>
      </c>
      <c r="C172" s="528" t="s">
        <v>747</v>
      </c>
      <c r="D172" s="534">
        <v>4500124614</v>
      </c>
      <c r="E172" s="530" t="s">
        <v>753</v>
      </c>
      <c r="F172" s="534" t="s">
        <v>754</v>
      </c>
      <c r="G172" s="531" t="s">
        <v>96</v>
      </c>
      <c r="H172" s="532" t="s">
        <v>74</v>
      </c>
      <c r="I172" s="401">
        <v>1400</v>
      </c>
      <c r="J172" s="562">
        <v>0</v>
      </c>
      <c r="K172" s="531">
        <v>50</v>
      </c>
      <c r="L172" s="401">
        <f t="shared" si="46"/>
        <v>28</v>
      </c>
      <c r="M172" s="563">
        <v>45407</v>
      </c>
      <c r="N172" s="563">
        <v>45404</v>
      </c>
      <c r="O172" s="564"/>
      <c r="P172" s="564" t="s">
        <v>92</v>
      </c>
      <c r="Q172" s="564" t="s">
        <v>755</v>
      </c>
      <c r="R172" s="564">
        <v>45330</v>
      </c>
      <c r="S172" s="564" t="s">
        <v>77</v>
      </c>
      <c r="T172" s="564">
        <v>45362</v>
      </c>
      <c r="U172" s="1499" t="s">
        <v>751</v>
      </c>
      <c r="V172" s="596" t="s">
        <v>585</v>
      </c>
      <c r="W172" s="592">
        <v>1.4123</v>
      </c>
      <c r="X172" s="593">
        <f t="shared" si="55"/>
        <v>1977.22</v>
      </c>
      <c r="Y172" s="401" t="s">
        <v>752</v>
      </c>
      <c r="Z172" s="607" t="s">
        <v>96</v>
      </c>
      <c r="AA172" s="1453" t="s">
        <v>128</v>
      </c>
      <c r="AB172" s="608"/>
      <c r="AC172" s="608"/>
      <c r="AD172" s="608"/>
      <c r="AE172" s="564" t="s">
        <v>80</v>
      </c>
      <c r="AF172" s="564"/>
      <c r="AG172" s="608">
        <f t="shared" si="60"/>
        <v>1400</v>
      </c>
      <c r="AH172" s="608"/>
      <c r="AI172" s="608"/>
      <c r="AJ172" s="608"/>
      <c r="AK172" s="609">
        <f t="shared" si="62"/>
        <v>1400</v>
      </c>
      <c r="AL172" s="401"/>
      <c r="AM172" s="609"/>
      <c r="AN172" s="609"/>
      <c r="AO172" s="609">
        <f t="shared" si="63"/>
        <v>1400</v>
      </c>
      <c r="AP172" s="609"/>
      <c r="AQ172" s="609"/>
      <c r="AR172" s="609"/>
      <c r="AS172" s="609"/>
      <c r="AT172" s="633"/>
      <c r="AU172" s="633"/>
      <c r="AV172" s="633"/>
      <c r="AW172" s="633"/>
      <c r="AX172" s="633"/>
      <c r="AY172" s="633"/>
      <c r="AZ172" s="633"/>
      <c r="BA172" s="633">
        <f t="shared" si="64"/>
        <v>56</v>
      </c>
      <c r="BB172" s="401"/>
      <c r="BC172" s="401"/>
      <c r="BD172" s="633"/>
      <c r="BE172" s="633"/>
      <c r="BF172" s="633"/>
      <c r="BG172" s="633"/>
      <c r="BH172" s="633"/>
      <c r="BI172" s="633"/>
      <c r="BJ172" s="633"/>
      <c r="BK172" s="633"/>
      <c r="BL172" s="633"/>
      <c r="BM172" s="401">
        <f t="shared" si="40"/>
        <v>1400</v>
      </c>
      <c r="BO172" s="1473"/>
      <c r="BP172" s="1473"/>
    </row>
    <row r="173" s="200" customFormat="1" ht="36" customHeight="1" spans="1:68">
      <c r="A173" s="533">
        <v>45341</v>
      </c>
      <c r="B173" s="527" t="s">
        <v>315</v>
      </c>
      <c r="C173" s="528" t="s">
        <v>180</v>
      </c>
      <c r="D173" s="534">
        <v>4500124528</v>
      </c>
      <c r="E173" s="530" t="s">
        <v>756</v>
      </c>
      <c r="F173" s="534" t="s">
        <v>757</v>
      </c>
      <c r="G173" s="531" t="s">
        <v>73</v>
      </c>
      <c r="H173" s="532" t="s">
        <v>758</v>
      </c>
      <c r="I173" s="401">
        <v>504</v>
      </c>
      <c r="J173" s="562">
        <v>0</v>
      </c>
      <c r="K173" s="531">
        <v>24</v>
      </c>
      <c r="L173" s="401">
        <f t="shared" si="46"/>
        <v>21</v>
      </c>
      <c r="M173" s="563">
        <v>45412</v>
      </c>
      <c r="N173" s="563">
        <v>45408</v>
      </c>
      <c r="O173" s="564"/>
      <c r="P173" s="564" t="s">
        <v>92</v>
      </c>
      <c r="Q173" s="564" t="s">
        <v>759</v>
      </c>
      <c r="R173" s="564" t="s">
        <v>319</v>
      </c>
      <c r="S173" s="564" t="s">
        <v>123</v>
      </c>
      <c r="T173" s="564">
        <v>45351</v>
      </c>
      <c r="U173" s="530" t="s">
        <v>760</v>
      </c>
      <c r="V173" s="596" t="s">
        <v>186</v>
      </c>
      <c r="W173" s="592">
        <v>1.3645</v>
      </c>
      <c r="X173" s="593">
        <f t="shared" si="55"/>
        <v>687.708</v>
      </c>
      <c r="Y173" s="401" t="s">
        <v>761</v>
      </c>
      <c r="Z173" s="607" t="s">
        <v>188</v>
      </c>
      <c r="AA173" s="1453" t="s">
        <v>128</v>
      </c>
      <c r="AB173" s="608"/>
      <c r="AC173" s="608"/>
      <c r="AD173" s="608"/>
      <c r="AE173" s="564" t="s">
        <v>80</v>
      </c>
      <c r="AF173" s="564"/>
      <c r="AG173" s="608">
        <f t="shared" si="60"/>
        <v>504</v>
      </c>
      <c r="AH173" s="608"/>
      <c r="AI173" s="608"/>
      <c r="AJ173" s="608"/>
      <c r="AK173" s="609"/>
      <c r="AL173" s="401">
        <f>AG173</f>
        <v>504</v>
      </c>
      <c r="AM173" s="609"/>
      <c r="AN173" s="609"/>
      <c r="AO173" s="609">
        <f t="shared" ref="AO173:AO179" si="65">AG173</f>
        <v>504</v>
      </c>
      <c r="AP173" s="609"/>
      <c r="AQ173" s="609"/>
      <c r="AR173" s="609"/>
      <c r="AS173" s="609"/>
      <c r="AT173" s="633"/>
      <c r="AU173" s="633"/>
      <c r="AV173" s="633"/>
      <c r="AW173" s="633"/>
      <c r="AX173" s="633"/>
      <c r="AY173" s="633"/>
      <c r="AZ173" s="633"/>
      <c r="BA173" s="633"/>
      <c r="BB173" s="633"/>
      <c r="BC173" s="633"/>
      <c r="BD173" s="633"/>
      <c r="BE173" s="633"/>
      <c r="BF173" s="633"/>
      <c r="BG173" s="633"/>
      <c r="BH173" s="633"/>
      <c r="BI173" s="633"/>
      <c r="BJ173" s="633"/>
      <c r="BK173" s="633"/>
      <c r="BL173" s="633"/>
      <c r="BM173" s="401">
        <f t="shared" si="40"/>
        <v>504</v>
      </c>
      <c r="BO173" s="1473"/>
      <c r="BP173" s="1473"/>
    </row>
    <row r="174" s="200" customFormat="1" ht="36" customHeight="1" spans="1:68">
      <c r="A174" s="533">
        <v>45320</v>
      </c>
      <c r="B174" s="527" t="s">
        <v>762</v>
      </c>
      <c r="C174" s="528" t="s">
        <v>763</v>
      </c>
      <c r="D174" s="534">
        <v>4500123821</v>
      </c>
      <c r="E174" s="530">
        <v>4503643720</v>
      </c>
      <c r="F174" s="534" t="s">
        <v>764</v>
      </c>
      <c r="G174" s="531" t="s">
        <v>96</v>
      </c>
      <c r="H174" s="532" t="s">
        <v>74</v>
      </c>
      <c r="I174" s="401">
        <v>450</v>
      </c>
      <c r="J174" s="562">
        <v>0</v>
      </c>
      <c r="K174" s="531">
        <v>50</v>
      </c>
      <c r="L174" s="401">
        <f t="shared" si="46"/>
        <v>9</v>
      </c>
      <c r="M174" s="563">
        <v>45412</v>
      </c>
      <c r="N174" s="563">
        <v>45408</v>
      </c>
      <c r="O174" s="564"/>
      <c r="P174" s="564" t="s">
        <v>92</v>
      </c>
      <c r="Q174" s="564" t="s">
        <v>765</v>
      </c>
      <c r="R174" s="564">
        <v>45350</v>
      </c>
      <c r="S174" s="564" t="s">
        <v>77</v>
      </c>
      <c r="T174" s="564" t="s">
        <v>77</v>
      </c>
      <c r="U174" s="530" t="s">
        <v>766</v>
      </c>
      <c r="V174" s="564" t="s">
        <v>767</v>
      </c>
      <c r="W174" s="592">
        <v>1.57</v>
      </c>
      <c r="X174" s="593">
        <f t="shared" si="55"/>
        <v>706.5</v>
      </c>
      <c r="Y174" s="401" t="s">
        <v>768</v>
      </c>
      <c r="Z174" s="607" t="s">
        <v>96</v>
      </c>
      <c r="AA174" s="1453" t="s">
        <v>128</v>
      </c>
      <c r="AB174" s="608"/>
      <c r="AC174" s="608"/>
      <c r="AD174" s="608"/>
      <c r="AE174" s="564" t="s">
        <v>80</v>
      </c>
      <c r="AF174" s="564"/>
      <c r="AG174" s="608">
        <f t="shared" si="60"/>
        <v>450</v>
      </c>
      <c r="AH174" s="608"/>
      <c r="AI174" s="608"/>
      <c r="AJ174" s="608"/>
      <c r="AK174" s="609">
        <f t="shared" si="62"/>
        <v>450</v>
      </c>
      <c r="AL174" s="609"/>
      <c r="AM174" s="609"/>
      <c r="AN174" s="609"/>
      <c r="AO174" s="609">
        <f t="shared" si="63"/>
        <v>450</v>
      </c>
      <c r="AP174" s="609"/>
      <c r="AQ174" s="609"/>
      <c r="AR174" s="609"/>
      <c r="AS174" s="609"/>
      <c r="AT174" s="633"/>
      <c r="AU174" s="633"/>
      <c r="AV174" s="633"/>
      <c r="AW174" s="633"/>
      <c r="AX174" s="633"/>
      <c r="AY174" s="633"/>
      <c r="AZ174" s="633"/>
      <c r="BA174" s="633">
        <f t="shared" si="64"/>
        <v>18</v>
      </c>
      <c r="BB174" s="401"/>
      <c r="BC174" s="401"/>
      <c r="BD174" s="633"/>
      <c r="BE174" s="633"/>
      <c r="BF174" s="633"/>
      <c r="BG174" s="633"/>
      <c r="BH174" s="633"/>
      <c r="BI174" s="633"/>
      <c r="BJ174" s="633"/>
      <c r="BK174" s="633"/>
      <c r="BL174" s="633"/>
      <c r="BM174" s="401">
        <f t="shared" si="40"/>
        <v>450</v>
      </c>
      <c r="BO174" s="1473"/>
      <c r="BP174" s="1473"/>
    </row>
    <row r="175" s="200" customFormat="1" ht="36" customHeight="1" spans="1:68">
      <c r="A175" s="533">
        <v>45365</v>
      </c>
      <c r="B175" s="527" t="s">
        <v>769</v>
      </c>
      <c r="C175" s="528" t="s">
        <v>213</v>
      </c>
      <c r="D175" s="534">
        <v>4500126843</v>
      </c>
      <c r="E175" s="530" t="s">
        <v>770</v>
      </c>
      <c r="F175" s="534" t="s">
        <v>771</v>
      </c>
      <c r="G175" s="531" t="s">
        <v>772</v>
      </c>
      <c r="H175" s="532" t="s">
        <v>74</v>
      </c>
      <c r="I175" s="401">
        <v>5928</v>
      </c>
      <c r="J175" s="562">
        <v>13</v>
      </c>
      <c r="K175" s="531">
        <v>52</v>
      </c>
      <c r="L175" s="401">
        <f t="shared" si="46"/>
        <v>114</v>
      </c>
      <c r="M175" s="563">
        <v>45412</v>
      </c>
      <c r="N175" s="563">
        <v>45408</v>
      </c>
      <c r="O175" s="564"/>
      <c r="P175" s="564" t="s">
        <v>92</v>
      </c>
      <c r="Q175" s="564" t="s">
        <v>773</v>
      </c>
      <c r="R175" s="564">
        <v>45365</v>
      </c>
      <c r="S175" s="564" t="s">
        <v>77</v>
      </c>
      <c r="T175" s="564" t="s">
        <v>774</v>
      </c>
      <c r="U175" s="530" t="s">
        <v>775</v>
      </c>
      <c r="V175" s="564" t="s">
        <v>218</v>
      </c>
      <c r="W175" s="592">
        <v>1.65</v>
      </c>
      <c r="X175" s="593">
        <f t="shared" si="55"/>
        <v>9781.2</v>
      </c>
      <c r="Y175" s="401" t="s">
        <v>776</v>
      </c>
      <c r="Z175" s="531" t="s">
        <v>777</v>
      </c>
      <c r="AA175" s="1453" t="s">
        <v>128</v>
      </c>
      <c r="AB175" s="608"/>
      <c r="AC175" s="608"/>
      <c r="AD175" s="608"/>
      <c r="AE175" s="564" t="s">
        <v>80</v>
      </c>
      <c r="AF175" s="564"/>
      <c r="AG175" s="608">
        <f t="shared" si="60"/>
        <v>5928</v>
      </c>
      <c r="AH175" s="608"/>
      <c r="AI175" s="608"/>
      <c r="AJ175" s="608"/>
      <c r="AK175" s="609">
        <f t="shared" si="62"/>
        <v>5928</v>
      </c>
      <c r="AL175" s="609"/>
      <c r="AM175" s="609"/>
      <c r="AN175" s="609"/>
      <c r="AO175" s="609">
        <f t="shared" si="63"/>
        <v>5928</v>
      </c>
      <c r="AP175" s="609"/>
      <c r="AQ175" s="609"/>
      <c r="AR175" s="609"/>
      <c r="AS175" s="609"/>
      <c r="AT175" s="633"/>
      <c r="AU175" s="633"/>
      <c r="AV175" s="633"/>
      <c r="AW175" s="633"/>
      <c r="AX175" s="633"/>
      <c r="AY175" s="633">
        <f t="shared" ref="AY175:AY179" si="66">I175/13</f>
        <v>456</v>
      </c>
      <c r="AZ175" s="633"/>
      <c r="BA175" s="633"/>
      <c r="BB175" s="633"/>
      <c r="BC175" s="633"/>
      <c r="BD175" s="633"/>
      <c r="BE175" s="633"/>
      <c r="BF175" s="633"/>
      <c r="BG175" s="633"/>
      <c r="BH175" s="633"/>
      <c r="BI175" s="633"/>
      <c r="BJ175" s="633"/>
      <c r="BK175" s="633"/>
      <c r="BL175" s="633"/>
      <c r="BM175" s="401">
        <f t="shared" si="40"/>
        <v>5928</v>
      </c>
      <c r="BO175" s="1473"/>
      <c r="BP175" s="1473"/>
    </row>
    <row r="176" s="200" customFormat="1" ht="36" customHeight="1" spans="1:68">
      <c r="A176" s="533">
        <v>45366</v>
      </c>
      <c r="B176" s="527" t="s">
        <v>116</v>
      </c>
      <c r="C176" s="528" t="s">
        <v>117</v>
      </c>
      <c r="D176" s="534">
        <v>4500126855</v>
      </c>
      <c r="E176" s="530" t="s">
        <v>778</v>
      </c>
      <c r="F176" s="534" t="s">
        <v>779</v>
      </c>
      <c r="G176" s="531" t="s">
        <v>120</v>
      </c>
      <c r="H176" s="532" t="s">
        <v>74</v>
      </c>
      <c r="I176" s="401">
        <v>40005</v>
      </c>
      <c r="J176" s="562">
        <v>0</v>
      </c>
      <c r="K176" s="531">
        <v>21</v>
      </c>
      <c r="L176" s="401">
        <f t="shared" si="46"/>
        <v>1905</v>
      </c>
      <c r="M176" s="563">
        <v>45412</v>
      </c>
      <c r="N176" s="563">
        <v>45408</v>
      </c>
      <c r="O176" s="564"/>
      <c r="P176" s="564" t="s">
        <v>92</v>
      </c>
      <c r="Q176" s="564" t="s">
        <v>780</v>
      </c>
      <c r="R176" s="564">
        <v>45373</v>
      </c>
      <c r="S176" s="564" t="s">
        <v>123</v>
      </c>
      <c r="T176" s="564" t="s">
        <v>781</v>
      </c>
      <c r="U176" s="530" t="s">
        <v>782</v>
      </c>
      <c r="V176" s="564" t="s">
        <v>126</v>
      </c>
      <c r="W176" s="592">
        <v>1.4212</v>
      </c>
      <c r="X176" s="593">
        <f t="shared" si="55"/>
        <v>56855.106</v>
      </c>
      <c r="Y176" s="401" t="s">
        <v>783</v>
      </c>
      <c r="Z176" s="607" t="s">
        <v>120</v>
      </c>
      <c r="AA176" s="1453" t="s">
        <v>128</v>
      </c>
      <c r="AB176" s="608"/>
      <c r="AC176" s="608"/>
      <c r="AD176" s="608"/>
      <c r="AE176" s="564" t="s">
        <v>80</v>
      </c>
      <c r="AF176" s="564"/>
      <c r="AG176" s="608">
        <f t="shared" si="60"/>
        <v>40005</v>
      </c>
      <c r="AH176" s="608"/>
      <c r="AI176" s="608"/>
      <c r="AJ176" s="608"/>
      <c r="AK176" s="609">
        <f t="shared" ref="AK176:AK179" si="67">AG176</f>
        <v>40005</v>
      </c>
      <c r="AL176" s="401"/>
      <c r="AM176" s="609"/>
      <c r="AN176" s="609"/>
      <c r="AO176" s="609">
        <f t="shared" si="65"/>
        <v>40005</v>
      </c>
      <c r="AP176" s="609"/>
      <c r="AQ176" s="609"/>
      <c r="AR176" s="609"/>
      <c r="AS176" s="609">
        <f>I176/21</f>
        <v>1905</v>
      </c>
      <c r="AT176" s="633"/>
      <c r="AU176" s="633"/>
      <c r="AV176" s="633"/>
      <c r="AW176" s="633"/>
      <c r="AX176" s="633"/>
      <c r="AY176" s="633"/>
      <c r="AZ176" s="633"/>
      <c r="BA176" s="633"/>
      <c r="BB176" s="633"/>
      <c r="BC176" s="633"/>
      <c r="BD176" s="633"/>
      <c r="BE176" s="633"/>
      <c r="BF176" s="633"/>
      <c r="BG176" s="633"/>
      <c r="BH176" s="633"/>
      <c r="BI176" s="633"/>
      <c r="BJ176" s="633"/>
      <c r="BK176" s="633"/>
      <c r="BL176" s="633"/>
      <c r="BM176" s="401">
        <f t="shared" si="40"/>
        <v>40005</v>
      </c>
      <c r="BO176" s="1473"/>
      <c r="BP176" s="1473"/>
    </row>
    <row r="177" s="200" customFormat="1" ht="36" customHeight="1" spans="1:71">
      <c r="A177" s="533">
        <v>45363</v>
      </c>
      <c r="B177" s="527" t="s">
        <v>784</v>
      </c>
      <c r="C177" s="528" t="s">
        <v>785</v>
      </c>
      <c r="D177" s="534">
        <v>4500126680</v>
      </c>
      <c r="E177" s="530"/>
      <c r="F177" s="534" t="s">
        <v>786</v>
      </c>
      <c r="G177" s="531" t="s">
        <v>96</v>
      </c>
      <c r="H177" s="532" t="s">
        <v>74</v>
      </c>
      <c r="I177" s="401">
        <v>1500</v>
      </c>
      <c r="J177" s="562">
        <v>0</v>
      </c>
      <c r="K177" s="531">
        <v>50</v>
      </c>
      <c r="L177" s="401">
        <f t="shared" si="46"/>
        <v>30</v>
      </c>
      <c r="M177" s="563">
        <v>45418</v>
      </c>
      <c r="N177" s="563">
        <v>45414</v>
      </c>
      <c r="O177" s="1474"/>
      <c r="P177" s="564" t="s">
        <v>92</v>
      </c>
      <c r="Q177" s="1474" t="s">
        <v>787</v>
      </c>
      <c r="R177" s="564">
        <v>45385</v>
      </c>
      <c r="S177" s="564" t="s">
        <v>77</v>
      </c>
      <c r="T177" s="564">
        <v>45389</v>
      </c>
      <c r="U177" s="530" t="s">
        <v>788</v>
      </c>
      <c r="V177" s="564" t="s">
        <v>618</v>
      </c>
      <c r="W177" s="592">
        <v>1.4174</v>
      </c>
      <c r="X177" s="593">
        <f t="shared" si="55"/>
        <v>2126.1</v>
      </c>
      <c r="Y177" s="401" t="s">
        <v>789</v>
      </c>
      <c r="Z177" s="1501" t="s">
        <v>96</v>
      </c>
      <c r="AA177" s="1453" t="s">
        <v>128</v>
      </c>
      <c r="AB177" s="608"/>
      <c r="AC177" s="608"/>
      <c r="AD177" s="608"/>
      <c r="AE177" s="564" t="s">
        <v>80</v>
      </c>
      <c r="AF177" s="564"/>
      <c r="AG177" s="608">
        <f t="shared" si="60"/>
        <v>1500</v>
      </c>
      <c r="AH177" s="608"/>
      <c r="AI177" s="608"/>
      <c r="AJ177" s="608"/>
      <c r="AK177" s="609">
        <f t="shared" ref="AK177:AK184" si="68">I177</f>
        <v>1500</v>
      </c>
      <c r="AL177" s="609"/>
      <c r="AM177" s="609"/>
      <c r="AN177" s="609"/>
      <c r="AO177" s="609">
        <f t="shared" ref="AO177:AO184" si="69">I177</f>
        <v>1500</v>
      </c>
      <c r="AP177" s="609"/>
      <c r="AQ177" s="609"/>
      <c r="AR177" s="609"/>
      <c r="AS177" s="609"/>
      <c r="AT177" s="633"/>
      <c r="AU177" s="633"/>
      <c r="AV177" s="633"/>
      <c r="AW177" s="633"/>
      <c r="AX177" s="633"/>
      <c r="AY177" s="633"/>
      <c r="AZ177" s="633"/>
      <c r="BA177" s="633">
        <f t="shared" ref="BA177:BA182" si="70">I177/25</f>
        <v>60</v>
      </c>
      <c r="BB177" s="633"/>
      <c r="BC177" s="633"/>
      <c r="BD177" s="633"/>
      <c r="BE177" s="633"/>
      <c r="BF177" s="633"/>
      <c r="BG177" s="633"/>
      <c r="BH177" s="633"/>
      <c r="BI177" s="633"/>
      <c r="BJ177" s="633"/>
      <c r="BK177" s="633"/>
      <c r="BL177" s="633"/>
      <c r="BM177" s="201">
        <f t="shared" si="40"/>
        <v>1500</v>
      </c>
      <c r="BN177" s="199"/>
      <c r="BO177" s="198"/>
      <c r="BP177" s="198"/>
      <c r="BQ177" s="199"/>
      <c r="BR177" s="199"/>
      <c r="BS177" s="199"/>
    </row>
    <row r="178" s="200" customFormat="1" ht="36" customHeight="1" spans="1:68">
      <c r="A178" s="533">
        <v>45369</v>
      </c>
      <c r="B178" s="527" t="s">
        <v>158</v>
      </c>
      <c r="C178" s="528" t="s">
        <v>117</v>
      </c>
      <c r="D178" s="534">
        <v>4500126975</v>
      </c>
      <c r="E178" s="530" t="s">
        <v>790</v>
      </c>
      <c r="F178" s="534" t="s">
        <v>791</v>
      </c>
      <c r="G178" s="531" t="s">
        <v>160</v>
      </c>
      <c r="H178" s="532" t="s">
        <v>74</v>
      </c>
      <c r="I178" s="401">
        <v>1365</v>
      </c>
      <c r="J178" s="562">
        <v>0</v>
      </c>
      <c r="K178" s="531">
        <v>13</v>
      </c>
      <c r="L178" s="401">
        <f t="shared" si="46"/>
        <v>105</v>
      </c>
      <c r="M178" s="563">
        <v>45418</v>
      </c>
      <c r="N178" s="563">
        <v>45414</v>
      </c>
      <c r="O178" s="564"/>
      <c r="P178" s="564" t="s">
        <v>92</v>
      </c>
      <c r="Q178" s="564" t="s">
        <v>792</v>
      </c>
      <c r="R178" s="564">
        <v>45379</v>
      </c>
      <c r="S178" s="564" t="s">
        <v>77</v>
      </c>
      <c r="T178" s="564" t="s">
        <v>77</v>
      </c>
      <c r="U178" s="530" t="s">
        <v>793</v>
      </c>
      <c r="V178" s="564" t="s">
        <v>163</v>
      </c>
      <c r="W178" s="592">
        <v>1.4071</v>
      </c>
      <c r="X178" s="593">
        <f t="shared" si="55"/>
        <v>1920.6915</v>
      </c>
      <c r="Y178" s="401" t="s">
        <v>794</v>
      </c>
      <c r="Z178" s="607" t="s">
        <v>160</v>
      </c>
      <c r="AA178" s="1453" t="s">
        <v>128</v>
      </c>
      <c r="AB178" s="608"/>
      <c r="AC178" s="608"/>
      <c r="AD178" s="608"/>
      <c r="AE178" s="564" t="s">
        <v>80</v>
      </c>
      <c r="AF178" s="564"/>
      <c r="AG178" s="608">
        <f t="shared" si="60"/>
        <v>1365</v>
      </c>
      <c r="AH178" s="608"/>
      <c r="AI178" s="608"/>
      <c r="AJ178" s="608"/>
      <c r="AK178" s="609">
        <f t="shared" si="67"/>
        <v>1365</v>
      </c>
      <c r="AL178" s="609"/>
      <c r="AM178" s="609"/>
      <c r="AN178" s="609"/>
      <c r="AO178" s="609">
        <f t="shared" si="65"/>
        <v>1365</v>
      </c>
      <c r="AP178" s="609"/>
      <c r="AQ178" s="609"/>
      <c r="AR178" s="609"/>
      <c r="AS178" s="609"/>
      <c r="AT178" s="633"/>
      <c r="AU178" s="633"/>
      <c r="AV178" s="633"/>
      <c r="AW178" s="633"/>
      <c r="AX178" s="633"/>
      <c r="AY178" s="633">
        <f t="shared" si="66"/>
        <v>105</v>
      </c>
      <c r="AZ178" s="633"/>
      <c r="BA178" s="633"/>
      <c r="BB178" s="633"/>
      <c r="BC178" s="633"/>
      <c r="BD178" s="633"/>
      <c r="BE178" s="633"/>
      <c r="BF178" s="633"/>
      <c r="BG178" s="633"/>
      <c r="BH178" s="633"/>
      <c r="BI178" s="633"/>
      <c r="BJ178" s="633"/>
      <c r="BK178" s="633"/>
      <c r="BL178" s="633"/>
      <c r="BM178" s="401">
        <f t="shared" si="40"/>
        <v>1365</v>
      </c>
      <c r="BO178" s="1473"/>
      <c r="BP178" s="1473"/>
    </row>
    <row r="179" s="200" customFormat="1" ht="36" customHeight="1" spans="1:68">
      <c r="A179" s="533">
        <v>45369</v>
      </c>
      <c r="B179" s="527" t="s">
        <v>158</v>
      </c>
      <c r="C179" s="528" t="s">
        <v>117</v>
      </c>
      <c r="D179" s="534">
        <v>4500126973</v>
      </c>
      <c r="E179" s="530" t="s">
        <v>795</v>
      </c>
      <c r="F179" s="534" t="s">
        <v>796</v>
      </c>
      <c r="G179" s="531" t="s">
        <v>160</v>
      </c>
      <c r="H179" s="532" t="s">
        <v>74</v>
      </c>
      <c r="I179" s="401">
        <v>2535</v>
      </c>
      <c r="J179" s="562">
        <v>0</v>
      </c>
      <c r="K179" s="531">
        <v>13</v>
      </c>
      <c r="L179" s="401">
        <f t="shared" si="46"/>
        <v>195</v>
      </c>
      <c r="M179" s="563">
        <v>45418</v>
      </c>
      <c r="N179" s="563">
        <v>45414</v>
      </c>
      <c r="O179" s="564"/>
      <c r="P179" s="564" t="s">
        <v>92</v>
      </c>
      <c r="Q179" s="564" t="s">
        <v>797</v>
      </c>
      <c r="R179" s="564">
        <v>45379</v>
      </c>
      <c r="S179" s="564" t="s">
        <v>77</v>
      </c>
      <c r="T179" s="564" t="s">
        <v>77</v>
      </c>
      <c r="U179" s="530" t="s">
        <v>793</v>
      </c>
      <c r="V179" s="564" t="s">
        <v>163</v>
      </c>
      <c r="W179" s="592">
        <v>1.4071</v>
      </c>
      <c r="X179" s="593">
        <f t="shared" si="55"/>
        <v>3566.9985</v>
      </c>
      <c r="Y179" s="401" t="s">
        <v>798</v>
      </c>
      <c r="Z179" s="607" t="s">
        <v>160</v>
      </c>
      <c r="AA179" s="1453" t="s">
        <v>128</v>
      </c>
      <c r="AB179" s="608"/>
      <c r="AC179" s="608"/>
      <c r="AD179" s="608"/>
      <c r="AE179" s="564" t="s">
        <v>80</v>
      </c>
      <c r="AF179" s="564"/>
      <c r="AG179" s="608">
        <f t="shared" si="60"/>
        <v>2535</v>
      </c>
      <c r="AH179" s="608"/>
      <c r="AI179" s="608"/>
      <c r="AJ179" s="608"/>
      <c r="AK179" s="609">
        <f t="shared" si="67"/>
        <v>2535</v>
      </c>
      <c r="AL179" s="609"/>
      <c r="AM179" s="609"/>
      <c r="AN179" s="609"/>
      <c r="AO179" s="609">
        <f t="shared" si="65"/>
        <v>2535</v>
      </c>
      <c r="AP179" s="609"/>
      <c r="AQ179" s="609"/>
      <c r="AR179" s="609"/>
      <c r="AS179" s="609"/>
      <c r="AT179" s="633"/>
      <c r="AU179" s="633"/>
      <c r="AV179" s="633"/>
      <c r="AW179" s="633"/>
      <c r="AX179" s="633"/>
      <c r="AY179" s="633">
        <f t="shared" si="66"/>
        <v>195</v>
      </c>
      <c r="AZ179" s="633"/>
      <c r="BA179" s="633"/>
      <c r="BB179" s="633"/>
      <c r="BC179" s="633"/>
      <c r="BD179" s="633"/>
      <c r="BE179" s="633"/>
      <c r="BF179" s="633"/>
      <c r="BG179" s="633"/>
      <c r="BH179" s="633"/>
      <c r="BI179" s="633"/>
      <c r="BJ179" s="633"/>
      <c r="BK179" s="633"/>
      <c r="BL179" s="633"/>
      <c r="BM179" s="401">
        <f t="shared" si="40"/>
        <v>2535</v>
      </c>
      <c r="BO179" s="1473"/>
      <c r="BP179" s="1473"/>
    </row>
    <row r="180" s="200" customFormat="1" ht="36" customHeight="1" spans="1:68">
      <c r="A180" s="533">
        <v>45357</v>
      </c>
      <c r="B180" s="527" t="s">
        <v>799</v>
      </c>
      <c r="C180" s="528" t="s">
        <v>800</v>
      </c>
      <c r="D180" s="534">
        <v>4500125987</v>
      </c>
      <c r="E180" s="530"/>
      <c r="F180" s="534" t="s">
        <v>801</v>
      </c>
      <c r="G180" s="531" t="s">
        <v>96</v>
      </c>
      <c r="H180" s="532" t="s">
        <v>74</v>
      </c>
      <c r="I180" s="401">
        <v>500</v>
      </c>
      <c r="J180" s="562">
        <v>0</v>
      </c>
      <c r="K180" s="531">
        <v>50</v>
      </c>
      <c r="L180" s="401">
        <f t="shared" si="46"/>
        <v>10</v>
      </c>
      <c r="M180" s="563">
        <v>45422</v>
      </c>
      <c r="N180" s="563">
        <v>45418</v>
      </c>
      <c r="O180" s="564"/>
      <c r="P180" s="564" t="s">
        <v>92</v>
      </c>
      <c r="Q180" s="564" t="s">
        <v>802</v>
      </c>
      <c r="R180" s="564">
        <v>45357</v>
      </c>
      <c r="S180" s="564" t="s">
        <v>77</v>
      </c>
      <c r="T180" s="564">
        <v>45379</v>
      </c>
      <c r="U180" s="530" t="s">
        <v>803</v>
      </c>
      <c r="V180" s="564" t="s">
        <v>606</v>
      </c>
      <c r="W180" s="592">
        <v>1.4395</v>
      </c>
      <c r="X180" s="593">
        <f t="shared" si="55"/>
        <v>719.75</v>
      </c>
      <c r="Y180" s="401" t="s">
        <v>804</v>
      </c>
      <c r="Z180" s="607" t="s">
        <v>96</v>
      </c>
      <c r="AA180" s="1453" t="s">
        <v>128</v>
      </c>
      <c r="AB180" s="608"/>
      <c r="AC180" s="608"/>
      <c r="AD180" s="608"/>
      <c r="AE180" s="564" t="s">
        <v>80</v>
      </c>
      <c r="AF180" s="564"/>
      <c r="AG180" s="608">
        <f t="shared" si="60"/>
        <v>500</v>
      </c>
      <c r="AH180" s="608"/>
      <c r="AI180" s="608"/>
      <c r="AJ180" s="608"/>
      <c r="AK180" s="609">
        <f t="shared" si="68"/>
        <v>500</v>
      </c>
      <c r="AL180" s="609"/>
      <c r="AM180" s="609"/>
      <c r="AN180" s="609"/>
      <c r="AO180" s="609">
        <f t="shared" si="69"/>
        <v>500</v>
      </c>
      <c r="AP180" s="609"/>
      <c r="AQ180" s="609"/>
      <c r="AR180" s="609"/>
      <c r="AS180" s="609"/>
      <c r="AT180" s="633"/>
      <c r="AU180" s="633"/>
      <c r="AV180" s="633"/>
      <c r="AW180" s="633"/>
      <c r="AX180" s="633"/>
      <c r="AY180" s="633"/>
      <c r="AZ180" s="633"/>
      <c r="BA180" s="633">
        <f t="shared" si="70"/>
        <v>20</v>
      </c>
      <c r="BB180" s="633"/>
      <c r="BC180" s="633"/>
      <c r="BD180" s="633"/>
      <c r="BE180" s="633"/>
      <c r="BF180" s="633"/>
      <c r="BG180" s="633"/>
      <c r="BH180" s="633"/>
      <c r="BI180" s="633"/>
      <c r="BJ180" s="633"/>
      <c r="BK180" s="633"/>
      <c r="BL180" s="633"/>
      <c r="BM180" s="401">
        <f t="shared" si="40"/>
        <v>500</v>
      </c>
      <c r="BO180" s="1473"/>
      <c r="BP180" s="1473"/>
    </row>
    <row r="181" s="200" customFormat="1" ht="36" customHeight="1" spans="1:68">
      <c r="A181" s="1484">
        <v>45390</v>
      </c>
      <c r="B181" s="1485" t="s">
        <v>805</v>
      </c>
      <c r="C181" s="1486" t="s">
        <v>806</v>
      </c>
      <c r="D181" s="1487">
        <v>4500129172</v>
      </c>
      <c r="E181" s="1488"/>
      <c r="F181" s="1487" t="s">
        <v>807</v>
      </c>
      <c r="G181" s="531" t="s">
        <v>73</v>
      </c>
      <c r="H181" s="532" t="s">
        <v>74</v>
      </c>
      <c r="I181" s="401">
        <v>1440</v>
      </c>
      <c r="J181" s="562">
        <v>0</v>
      </c>
      <c r="K181" s="531">
        <v>24</v>
      </c>
      <c r="L181" s="401">
        <f t="shared" si="46"/>
        <v>60</v>
      </c>
      <c r="M181" s="1495">
        <v>45420</v>
      </c>
      <c r="N181" s="1495">
        <v>45416</v>
      </c>
      <c r="O181" s="564"/>
      <c r="P181" s="564" t="s">
        <v>92</v>
      </c>
      <c r="Q181" s="564" t="s">
        <v>808</v>
      </c>
      <c r="R181" s="564">
        <v>45391</v>
      </c>
      <c r="S181" s="564" t="s">
        <v>77</v>
      </c>
      <c r="T181" s="564">
        <v>45391</v>
      </c>
      <c r="U181" s="530" t="s">
        <v>809</v>
      </c>
      <c r="V181" s="564" t="s">
        <v>618</v>
      </c>
      <c r="W181" s="592">
        <v>1.3595</v>
      </c>
      <c r="X181" s="593">
        <f t="shared" si="55"/>
        <v>1957.68</v>
      </c>
      <c r="Y181" s="401" t="s">
        <v>810</v>
      </c>
      <c r="Z181" s="607" t="s">
        <v>73</v>
      </c>
      <c r="AA181" s="1453" t="s">
        <v>128</v>
      </c>
      <c r="AB181" s="608"/>
      <c r="AC181" s="608"/>
      <c r="AD181" s="608"/>
      <c r="AE181" s="564" t="s">
        <v>80</v>
      </c>
      <c r="AF181" s="564"/>
      <c r="AG181" s="608">
        <f t="shared" si="60"/>
        <v>1440</v>
      </c>
      <c r="AH181" s="608"/>
      <c r="AI181" s="608"/>
      <c r="AJ181" s="608"/>
      <c r="AK181" s="609">
        <f t="shared" si="68"/>
        <v>1440</v>
      </c>
      <c r="AL181" s="609"/>
      <c r="AM181" s="609"/>
      <c r="AN181" s="609"/>
      <c r="AO181" s="609">
        <f>AG181</f>
        <v>1440</v>
      </c>
      <c r="AP181" s="609"/>
      <c r="AQ181" s="609"/>
      <c r="AR181" s="609"/>
      <c r="AS181" s="609"/>
      <c r="AT181" s="633"/>
      <c r="AU181" s="633"/>
      <c r="AV181" s="633"/>
      <c r="AW181" s="401"/>
      <c r="AX181" s="633"/>
      <c r="AY181" s="633"/>
      <c r="AZ181" s="633"/>
      <c r="BA181" s="633"/>
      <c r="BB181" s="633"/>
      <c r="BC181" s="633"/>
      <c r="BD181" s="633"/>
      <c r="BE181" s="633"/>
      <c r="BF181" s="633"/>
      <c r="BG181" s="633"/>
      <c r="BH181" s="633"/>
      <c r="BI181" s="633"/>
      <c r="BJ181" s="633"/>
      <c r="BK181" s="633"/>
      <c r="BL181" s="633"/>
      <c r="BM181" s="401">
        <f t="shared" si="40"/>
        <v>1440</v>
      </c>
      <c r="BO181" s="1473"/>
      <c r="BP181" s="1473"/>
    </row>
    <row r="182" s="200" customFormat="1" ht="36" customHeight="1" spans="1:68">
      <c r="A182" s="1484">
        <v>45390</v>
      </c>
      <c r="B182" s="1485" t="s">
        <v>805</v>
      </c>
      <c r="C182" s="1486" t="s">
        <v>806</v>
      </c>
      <c r="D182" s="1487">
        <v>4500129172</v>
      </c>
      <c r="E182" s="1488"/>
      <c r="F182" s="1487" t="s">
        <v>811</v>
      </c>
      <c r="G182" s="531" t="s">
        <v>96</v>
      </c>
      <c r="H182" s="532" t="s">
        <v>74</v>
      </c>
      <c r="I182" s="401">
        <v>750</v>
      </c>
      <c r="J182" s="562">
        <v>0</v>
      </c>
      <c r="K182" s="531">
        <v>50</v>
      </c>
      <c r="L182" s="401">
        <f t="shared" si="46"/>
        <v>15</v>
      </c>
      <c r="M182" s="1495">
        <v>45420</v>
      </c>
      <c r="N182" s="1495">
        <v>45416</v>
      </c>
      <c r="O182" s="564"/>
      <c r="P182" s="564" t="s">
        <v>92</v>
      </c>
      <c r="Q182" s="564" t="s">
        <v>808</v>
      </c>
      <c r="R182" s="564">
        <v>45391</v>
      </c>
      <c r="S182" s="564" t="s">
        <v>77</v>
      </c>
      <c r="T182" s="564">
        <v>45391</v>
      </c>
      <c r="U182" s="530" t="s">
        <v>812</v>
      </c>
      <c r="V182" s="564" t="s">
        <v>618</v>
      </c>
      <c r="W182" s="592">
        <v>1.4395</v>
      </c>
      <c r="X182" s="593">
        <f t="shared" si="55"/>
        <v>1079.625</v>
      </c>
      <c r="Y182" s="401" t="s">
        <v>810</v>
      </c>
      <c r="Z182" s="607" t="s">
        <v>96</v>
      </c>
      <c r="AA182" s="1453" t="s">
        <v>128</v>
      </c>
      <c r="AB182" s="608"/>
      <c r="AC182" s="608"/>
      <c r="AD182" s="608"/>
      <c r="AE182" s="564" t="s">
        <v>80</v>
      </c>
      <c r="AF182" s="564"/>
      <c r="AG182" s="608">
        <f t="shared" si="60"/>
        <v>750</v>
      </c>
      <c r="AH182" s="608"/>
      <c r="AI182" s="608"/>
      <c r="AJ182" s="608"/>
      <c r="AK182" s="609">
        <f t="shared" si="68"/>
        <v>750</v>
      </c>
      <c r="AL182" s="609"/>
      <c r="AM182" s="609"/>
      <c r="AN182" s="609"/>
      <c r="AO182" s="609">
        <f t="shared" si="69"/>
        <v>750</v>
      </c>
      <c r="AP182" s="609"/>
      <c r="AQ182" s="609"/>
      <c r="AR182" s="609"/>
      <c r="AS182" s="609"/>
      <c r="AT182" s="633"/>
      <c r="AU182" s="633"/>
      <c r="AV182" s="633"/>
      <c r="AW182" s="401"/>
      <c r="AX182" s="633"/>
      <c r="AY182" s="633"/>
      <c r="AZ182" s="633"/>
      <c r="BA182" s="633">
        <f t="shared" si="70"/>
        <v>30</v>
      </c>
      <c r="BB182" s="633"/>
      <c r="BC182" s="633"/>
      <c r="BD182" s="633"/>
      <c r="BE182" s="633"/>
      <c r="BF182" s="633"/>
      <c r="BG182" s="633"/>
      <c r="BH182" s="633"/>
      <c r="BI182" s="633"/>
      <c r="BJ182" s="633"/>
      <c r="BK182" s="633"/>
      <c r="BL182" s="633"/>
      <c r="BM182" s="401">
        <f t="shared" si="40"/>
        <v>750</v>
      </c>
      <c r="BO182" s="1473"/>
      <c r="BP182" s="1473"/>
    </row>
    <row r="183" s="200" customFormat="1" ht="36" customHeight="1" spans="1:68">
      <c r="A183" s="1484">
        <v>45406</v>
      </c>
      <c r="B183" s="1485" t="s">
        <v>70</v>
      </c>
      <c r="C183" s="1486" t="s">
        <v>71</v>
      </c>
      <c r="D183" s="1487" t="s">
        <v>813</v>
      </c>
      <c r="E183" s="1488"/>
      <c r="F183" s="1487"/>
      <c r="G183" s="531" t="s">
        <v>403</v>
      </c>
      <c r="H183" s="532" t="s">
        <v>74</v>
      </c>
      <c r="I183" s="401">
        <v>650</v>
      </c>
      <c r="J183" s="562">
        <v>0</v>
      </c>
      <c r="K183" s="531">
        <v>13</v>
      </c>
      <c r="L183" s="401">
        <f t="shared" si="46"/>
        <v>50</v>
      </c>
      <c r="M183" s="563">
        <v>45421</v>
      </c>
      <c r="N183" s="563">
        <v>45418</v>
      </c>
      <c r="O183" s="564"/>
      <c r="P183" s="564" t="s">
        <v>92</v>
      </c>
      <c r="Q183" s="564"/>
      <c r="R183" s="564">
        <v>45406</v>
      </c>
      <c r="S183" s="564" t="s">
        <v>77</v>
      </c>
      <c r="T183" s="564" t="s">
        <v>77</v>
      </c>
      <c r="U183" s="530" t="s">
        <v>814</v>
      </c>
      <c r="V183" s="564"/>
      <c r="W183" s="592"/>
      <c r="X183" s="593"/>
      <c r="Y183" s="401" t="s">
        <v>815</v>
      </c>
      <c r="Z183" s="607" t="s">
        <v>403</v>
      </c>
      <c r="AA183" s="1453" t="s">
        <v>128</v>
      </c>
      <c r="AB183" s="608"/>
      <c r="AC183" s="608"/>
      <c r="AD183" s="608"/>
      <c r="AE183" s="564" t="s">
        <v>80</v>
      </c>
      <c r="AF183" s="564"/>
      <c r="AG183" s="608">
        <f t="shared" si="60"/>
        <v>650</v>
      </c>
      <c r="AH183" s="608"/>
      <c r="AI183" s="608"/>
      <c r="AJ183" s="608"/>
      <c r="AK183" s="609">
        <f t="shared" si="68"/>
        <v>650</v>
      </c>
      <c r="AL183" s="609"/>
      <c r="AM183" s="609"/>
      <c r="AN183" s="609"/>
      <c r="AO183" s="609">
        <f t="shared" si="69"/>
        <v>650</v>
      </c>
      <c r="AP183" s="609"/>
      <c r="AQ183" s="609"/>
      <c r="AR183" s="609"/>
      <c r="AS183" s="609"/>
      <c r="AT183" s="633"/>
      <c r="AU183" s="633"/>
      <c r="AV183" s="633"/>
      <c r="AW183" s="401"/>
      <c r="AX183" s="633"/>
      <c r="AY183" s="633">
        <f>I183/13</f>
        <v>50</v>
      </c>
      <c r="AZ183" s="633"/>
      <c r="BA183" s="633"/>
      <c r="BB183" s="633"/>
      <c r="BC183" s="633"/>
      <c r="BD183" s="633"/>
      <c r="BE183" s="633"/>
      <c r="BF183" s="633"/>
      <c r="BG183" s="633"/>
      <c r="BH183" s="633"/>
      <c r="BI183" s="633"/>
      <c r="BJ183" s="633"/>
      <c r="BK183" s="633"/>
      <c r="BL183" s="633"/>
      <c r="BM183" s="401">
        <f t="shared" si="40"/>
        <v>650</v>
      </c>
      <c r="BO183" s="1473"/>
      <c r="BP183" s="1473"/>
    </row>
    <row r="184" s="200" customFormat="1" ht="36" customHeight="1" spans="1:68">
      <c r="A184" s="1484">
        <v>45406</v>
      </c>
      <c r="B184" s="1485" t="s">
        <v>70</v>
      </c>
      <c r="C184" s="1486" t="s">
        <v>71</v>
      </c>
      <c r="D184" s="1487" t="s">
        <v>813</v>
      </c>
      <c r="E184" s="1488"/>
      <c r="F184" s="1487"/>
      <c r="G184" s="531" t="s">
        <v>96</v>
      </c>
      <c r="H184" s="532" t="s">
        <v>74</v>
      </c>
      <c r="I184" s="401">
        <v>2000</v>
      </c>
      <c r="J184" s="562">
        <v>0</v>
      </c>
      <c r="K184" s="531">
        <v>25</v>
      </c>
      <c r="L184" s="401">
        <f t="shared" si="46"/>
        <v>80</v>
      </c>
      <c r="M184" s="563">
        <v>45421</v>
      </c>
      <c r="N184" s="563">
        <v>45418</v>
      </c>
      <c r="O184" s="564"/>
      <c r="P184" s="564" t="s">
        <v>92</v>
      </c>
      <c r="Q184" s="564"/>
      <c r="R184" s="564">
        <v>45406</v>
      </c>
      <c r="S184" s="564" t="s">
        <v>77</v>
      </c>
      <c r="T184" s="564" t="s">
        <v>77</v>
      </c>
      <c r="U184" s="530" t="s">
        <v>814</v>
      </c>
      <c r="V184" s="564"/>
      <c r="W184" s="592"/>
      <c r="X184" s="593"/>
      <c r="Y184" s="401" t="s">
        <v>815</v>
      </c>
      <c r="Z184" s="607" t="s">
        <v>96</v>
      </c>
      <c r="AA184" s="1453" t="s">
        <v>128</v>
      </c>
      <c r="AB184" s="608"/>
      <c r="AC184" s="608"/>
      <c r="AD184" s="608"/>
      <c r="AE184" s="564" t="s">
        <v>80</v>
      </c>
      <c r="AF184" s="564"/>
      <c r="AG184" s="608">
        <f t="shared" si="60"/>
        <v>2000</v>
      </c>
      <c r="AH184" s="608"/>
      <c r="AI184" s="608"/>
      <c r="AJ184" s="608"/>
      <c r="AK184" s="609">
        <f t="shared" si="68"/>
        <v>2000</v>
      </c>
      <c r="AL184" s="609"/>
      <c r="AM184" s="609"/>
      <c r="AN184" s="609"/>
      <c r="AO184" s="609">
        <f t="shared" si="69"/>
        <v>2000</v>
      </c>
      <c r="AP184" s="609"/>
      <c r="AQ184" s="609"/>
      <c r="AR184" s="609"/>
      <c r="AS184" s="609"/>
      <c r="AT184" s="633"/>
      <c r="AU184" s="633"/>
      <c r="AV184" s="633"/>
      <c r="AW184" s="401"/>
      <c r="AX184" s="633"/>
      <c r="AY184" s="633"/>
      <c r="AZ184" s="633"/>
      <c r="BA184" s="633">
        <f>I184/25</f>
        <v>80</v>
      </c>
      <c r="BB184" s="633"/>
      <c r="BC184" s="633"/>
      <c r="BD184" s="633"/>
      <c r="BE184" s="633"/>
      <c r="BF184" s="633"/>
      <c r="BG184" s="633"/>
      <c r="BH184" s="633"/>
      <c r="BI184" s="633"/>
      <c r="BJ184" s="633"/>
      <c r="BK184" s="633"/>
      <c r="BL184" s="633"/>
      <c r="BM184" s="401">
        <f t="shared" si="40"/>
        <v>2000</v>
      </c>
      <c r="BO184" s="1473"/>
      <c r="BP184" s="1473"/>
    </row>
    <row r="185" s="200" customFormat="1" ht="36" customHeight="1" spans="1:73">
      <c r="A185" s="533">
        <v>45372</v>
      </c>
      <c r="B185" s="527" t="s">
        <v>816</v>
      </c>
      <c r="C185" s="528" t="s">
        <v>117</v>
      </c>
      <c r="D185" s="534">
        <v>4500127584</v>
      </c>
      <c r="E185" s="530">
        <v>60148394</v>
      </c>
      <c r="F185" s="534" t="s">
        <v>817</v>
      </c>
      <c r="G185" s="531" t="s">
        <v>628</v>
      </c>
      <c r="H185" s="532" t="s">
        <v>623</v>
      </c>
      <c r="I185" s="401">
        <v>7296</v>
      </c>
      <c r="J185" s="562">
        <v>0</v>
      </c>
      <c r="K185" s="531">
        <v>12</v>
      </c>
      <c r="L185" s="401">
        <f t="shared" si="46"/>
        <v>608</v>
      </c>
      <c r="M185" s="563">
        <v>45422</v>
      </c>
      <c r="N185" s="563">
        <v>45418</v>
      </c>
      <c r="O185" s="564"/>
      <c r="P185" s="564" t="s">
        <v>92</v>
      </c>
      <c r="Q185" s="564" t="s">
        <v>818</v>
      </c>
      <c r="R185" s="564">
        <v>45378</v>
      </c>
      <c r="S185" s="564" t="s">
        <v>77</v>
      </c>
      <c r="T185" s="564" t="s">
        <v>819</v>
      </c>
      <c r="U185" s="530" t="s">
        <v>820</v>
      </c>
      <c r="V185" s="564" t="s">
        <v>163</v>
      </c>
      <c r="W185" s="592">
        <v>3.3</v>
      </c>
      <c r="X185" s="593">
        <f t="shared" ref="X185:X188" si="71">I185*W185</f>
        <v>24076.8</v>
      </c>
      <c r="Y185" s="401" t="s">
        <v>821</v>
      </c>
      <c r="Z185" s="607" t="s">
        <v>822</v>
      </c>
      <c r="AA185" s="1453" t="s">
        <v>128</v>
      </c>
      <c r="AB185" s="608"/>
      <c r="AC185" s="608"/>
      <c r="AD185" s="608"/>
      <c r="AE185" s="564" t="s">
        <v>80</v>
      </c>
      <c r="AF185" s="564"/>
      <c r="AG185" s="608">
        <f>I185*2</f>
        <v>14592</v>
      </c>
      <c r="AH185" s="608"/>
      <c r="AI185" s="608"/>
      <c r="AJ185" s="608"/>
      <c r="AK185" s="609">
        <f>I185*2</f>
        <v>14592</v>
      </c>
      <c r="AL185" s="609"/>
      <c r="AM185" s="609"/>
      <c r="AN185" s="609"/>
      <c r="AO185" s="609">
        <f>I185*2</f>
        <v>14592</v>
      </c>
      <c r="AP185" s="609"/>
      <c r="AQ185" s="609"/>
      <c r="AR185" s="609"/>
      <c r="AS185" s="609"/>
      <c r="AT185" s="633"/>
      <c r="AU185" s="633"/>
      <c r="AV185" s="633"/>
      <c r="AW185" s="633"/>
      <c r="AX185" s="633"/>
      <c r="AY185" s="633"/>
      <c r="AZ185" s="633"/>
      <c r="BA185" s="633"/>
      <c r="BB185" s="633"/>
      <c r="BC185" s="633"/>
      <c r="BD185" s="633"/>
      <c r="BE185" s="633"/>
      <c r="BF185" s="633"/>
      <c r="BG185" s="633"/>
      <c r="BH185" s="633"/>
      <c r="BI185" s="633"/>
      <c r="BJ185" s="633"/>
      <c r="BK185" s="633">
        <f>I185</f>
        <v>7296</v>
      </c>
      <c r="BL185" s="633">
        <f>I185</f>
        <v>7296</v>
      </c>
      <c r="BM185" s="401">
        <f t="shared" si="40"/>
        <v>14592</v>
      </c>
      <c r="BO185" s="1473"/>
      <c r="BP185" s="1473"/>
      <c r="BU185" s="1502" t="s">
        <v>629</v>
      </c>
    </row>
    <row r="186" s="200" customFormat="1" ht="36" customHeight="1" spans="1:68">
      <c r="A186" s="533">
        <v>45391</v>
      </c>
      <c r="B186" s="527" t="s">
        <v>823</v>
      </c>
      <c r="C186" s="528" t="s">
        <v>117</v>
      </c>
      <c r="D186" s="534">
        <v>4500129269</v>
      </c>
      <c r="E186" s="1678" t="s">
        <v>824</v>
      </c>
      <c r="F186" s="534" t="s">
        <v>825</v>
      </c>
      <c r="G186" s="531" t="s">
        <v>826</v>
      </c>
      <c r="H186" s="532" t="s">
        <v>74</v>
      </c>
      <c r="I186" s="1496">
        <v>10000</v>
      </c>
      <c r="J186" s="1496">
        <v>0</v>
      </c>
      <c r="K186" s="1496">
        <v>25</v>
      </c>
      <c r="L186" s="1496">
        <f t="shared" si="46"/>
        <v>400</v>
      </c>
      <c r="M186" s="563">
        <v>45425</v>
      </c>
      <c r="N186" s="563">
        <v>45421</v>
      </c>
      <c r="O186" s="564"/>
      <c r="P186" s="564" t="s">
        <v>92</v>
      </c>
      <c r="Q186" s="564" t="s">
        <v>827</v>
      </c>
      <c r="R186" s="564">
        <v>45391</v>
      </c>
      <c r="S186" s="564" t="s">
        <v>77</v>
      </c>
      <c r="T186" s="564" t="s">
        <v>77</v>
      </c>
      <c r="U186" s="530" t="s">
        <v>828</v>
      </c>
      <c r="V186" s="564" t="s">
        <v>829</v>
      </c>
      <c r="W186" s="592">
        <v>1.4605</v>
      </c>
      <c r="X186" s="593">
        <f t="shared" si="71"/>
        <v>14605</v>
      </c>
      <c r="Y186" s="401" t="s">
        <v>830</v>
      </c>
      <c r="Z186" s="607" t="s">
        <v>826</v>
      </c>
      <c r="AA186" s="1453" t="s">
        <v>128</v>
      </c>
      <c r="AB186" s="608"/>
      <c r="AC186" s="608"/>
      <c r="AD186" s="608"/>
      <c r="AE186" s="564" t="s">
        <v>80</v>
      </c>
      <c r="AF186" s="564"/>
      <c r="AG186" s="608">
        <f t="shared" ref="AG186:AG188" si="72">I186</f>
        <v>10000</v>
      </c>
      <c r="AH186" s="608"/>
      <c r="AI186" s="608"/>
      <c r="AJ186" s="608"/>
      <c r="AK186" s="609">
        <f t="shared" ref="AK186:AK188" si="73">I186</f>
        <v>10000</v>
      </c>
      <c r="AL186" s="609"/>
      <c r="AM186" s="609"/>
      <c r="AN186" s="609"/>
      <c r="AO186" s="609">
        <f t="shared" ref="AO186:AO196" si="74">I186</f>
        <v>10000</v>
      </c>
      <c r="AP186" s="609"/>
      <c r="AQ186" s="609"/>
      <c r="AR186" s="609"/>
      <c r="AS186" s="609"/>
      <c r="AT186" s="633"/>
      <c r="AU186" s="633"/>
      <c r="AV186" s="633"/>
      <c r="AW186" s="633"/>
      <c r="AX186" s="633"/>
      <c r="AY186" s="633"/>
      <c r="AZ186" s="633"/>
      <c r="BA186" s="633">
        <f>I186/25</f>
        <v>400</v>
      </c>
      <c r="BB186" s="633"/>
      <c r="BC186" s="633"/>
      <c r="BD186" s="633"/>
      <c r="BE186" s="633"/>
      <c r="BF186" s="633"/>
      <c r="BG186" s="633"/>
      <c r="BH186" s="633"/>
      <c r="BI186" s="633"/>
      <c r="BJ186" s="633"/>
      <c r="BK186" s="633"/>
      <c r="BL186" s="633"/>
      <c r="BM186" s="401">
        <f t="shared" si="40"/>
        <v>10000</v>
      </c>
      <c r="BO186" s="1473"/>
      <c r="BP186" s="1473"/>
    </row>
    <row r="187" s="200" customFormat="1" ht="36" customHeight="1" spans="1:68">
      <c r="A187" s="533">
        <v>45390</v>
      </c>
      <c r="B187" s="527" t="s">
        <v>587</v>
      </c>
      <c r="C187" s="528" t="s">
        <v>117</v>
      </c>
      <c r="D187" s="534">
        <v>4500129012</v>
      </c>
      <c r="E187" s="530">
        <v>6631646264</v>
      </c>
      <c r="F187" s="534" t="s">
        <v>831</v>
      </c>
      <c r="G187" s="531" t="s">
        <v>832</v>
      </c>
      <c r="H187" s="532" t="s">
        <v>833</v>
      </c>
      <c r="I187" s="401">
        <v>1152</v>
      </c>
      <c r="J187" s="562">
        <v>0</v>
      </c>
      <c r="K187" s="531">
        <v>1152</v>
      </c>
      <c r="L187" s="401">
        <f t="shared" si="46"/>
        <v>1</v>
      </c>
      <c r="M187" s="563">
        <v>45426</v>
      </c>
      <c r="N187" s="563">
        <v>45422</v>
      </c>
      <c r="O187" s="1474" t="s">
        <v>834</v>
      </c>
      <c r="P187" s="564" t="s">
        <v>92</v>
      </c>
      <c r="Q187" s="564" t="s">
        <v>835</v>
      </c>
      <c r="R187" s="564" t="s">
        <v>836</v>
      </c>
      <c r="S187" s="564" t="s">
        <v>123</v>
      </c>
      <c r="T187" s="564" t="s">
        <v>837</v>
      </c>
      <c r="U187" s="530" t="s">
        <v>838</v>
      </c>
      <c r="V187" s="564" t="s">
        <v>634</v>
      </c>
      <c r="W187" s="592">
        <v>1752.1376</v>
      </c>
      <c r="X187" s="593">
        <f>W187*L187</f>
        <v>1752.1376</v>
      </c>
      <c r="Y187" s="401" t="s">
        <v>839</v>
      </c>
      <c r="Z187" s="607" t="s">
        <v>832</v>
      </c>
      <c r="AA187" s="1453" t="s">
        <v>128</v>
      </c>
      <c r="AB187" s="608"/>
      <c r="AC187" s="608"/>
      <c r="AD187" s="608"/>
      <c r="AE187" s="564" t="s">
        <v>80</v>
      </c>
      <c r="AF187" s="564"/>
      <c r="AG187" s="608">
        <f t="shared" si="72"/>
        <v>1152</v>
      </c>
      <c r="AH187" s="608"/>
      <c r="AI187" s="608"/>
      <c r="AJ187" s="608"/>
      <c r="AK187" s="609">
        <f t="shared" si="73"/>
        <v>1152</v>
      </c>
      <c r="AL187" s="609"/>
      <c r="AM187" s="609"/>
      <c r="AN187" s="609"/>
      <c r="AQ187" s="609">
        <f>I187</f>
        <v>1152</v>
      </c>
      <c r="AR187" s="609"/>
      <c r="AS187" s="609"/>
      <c r="AT187" s="633"/>
      <c r="AU187" s="633"/>
      <c r="AV187" s="633">
        <f>I187/12</f>
        <v>96</v>
      </c>
      <c r="AW187" s="633"/>
      <c r="AX187" s="633"/>
      <c r="AY187" s="633"/>
      <c r="AZ187" s="633"/>
      <c r="BA187" s="633"/>
      <c r="BB187" s="633"/>
      <c r="BC187" s="633"/>
      <c r="BD187" s="633"/>
      <c r="BE187" s="633"/>
      <c r="BF187" s="633"/>
      <c r="BG187" s="633"/>
      <c r="BH187" s="633"/>
      <c r="BI187" s="633"/>
      <c r="BJ187" s="633"/>
      <c r="BK187" s="633"/>
      <c r="BL187" s="633"/>
      <c r="BM187" s="401">
        <f t="shared" si="40"/>
        <v>1152</v>
      </c>
      <c r="BO187" s="1473"/>
      <c r="BP187" s="1473"/>
    </row>
    <row r="188" s="200" customFormat="1" ht="36" customHeight="1" spans="1:68">
      <c r="A188" s="533">
        <v>45376</v>
      </c>
      <c r="B188" s="527" t="s">
        <v>189</v>
      </c>
      <c r="C188" s="528" t="s">
        <v>190</v>
      </c>
      <c r="D188" s="534">
        <v>4500127869</v>
      </c>
      <c r="E188" s="530">
        <v>19985122</v>
      </c>
      <c r="F188" s="534" t="s">
        <v>840</v>
      </c>
      <c r="G188" s="531" t="s">
        <v>160</v>
      </c>
      <c r="H188" s="532" t="s">
        <v>74</v>
      </c>
      <c r="I188" s="401">
        <v>2327</v>
      </c>
      <c r="J188" s="562">
        <v>0</v>
      </c>
      <c r="K188" s="531">
        <v>13</v>
      </c>
      <c r="L188" s="401">
        <f t="shared" si="46"/>
        <v>179</v>
      </c>
      <c r="M188" s="563">
        <v>45418</v>
      </c>
      <c r="N188" s="563">
        <v>45414</v>
      </c>
      <c r="O188" s="564"/>
      <c r="P188" s="564" t="s">
        <v>92</v>
      </c>
      <c r="Q188" s="564" t="s">
        <v>841</v>
      </c>
      <c r="R188" s="564">
        <v>45384</v>
      </c>
      <c r="S188" s="564" t="s">
        <v>77</v>
      </c>
      <c r="T188" s="564">
        <v>45399</v>
      </c>
      <c r="U188" s="530" t="s">
        <v>842</v>
      </c>
      <c r="V188" s="564" t="s">
        <v>194</v>
      </c>
      <c r="W188" s="592">
        <v>1.4432</v>
      </c>
      <c r="X188" s="593">
        <f t="shared" si="71"/>
        <v>3358.3264</v>
      </c>
      <c r="Y188" s="401" t="s">
        <v>843</v>
      </c>
      <c r="Z188" s="607" t="s">
        <v>160</v>
      </c>
      <c r="AA188" s="1453" t="s">
        <v>128</v>
      </c>
      <c r="AB188" s="608"/>
      <c r="AC188" s="608"/>
      <c r="AD188" s="608"/>
      <c r="AE188" s="564" t="s">
        <v>80</v>
      </c>
      <c r="AF188" s="564"/>
      <c r="AG188" s="608">
        <f t="shared" si="72"/>
        <v>2327</v>
      </c>
      <c r="AH188" s="608"/>
      <c r="AI188" s="608"/>
      <c r="AJ188" s="608"/>
      <c r="AK188" s="609">
        <f t="shared" si="73"/>
        <v>2327</v>
      </c>
      <c r="AL188" s="609"/>
      <c r="AM188" s="609"/>
      <c r="AN188" s="609"/>
      <c r="AO188" s="609">
        <f t="shared" si="74"/>
        <v>2327</v>
      </c>
      <c r="AP188" s="609"/>
      <c r="AQ188" s="609"/>
      <c r="AR188" s="609"/>
      <c r="AS188" s="609"/>
      <c r="AT188" s="633"/>
      <c r="AU188" s="633"/>
      <c r="AV188" s="633"/>
      <c r="AW188" s="633"/>
      <c r="AX188" s="633"/>
      <c r="AY188" s="633">
        <f>I188/13</f>
        <v>179</v>
      </c>
      <c r="AZ188" s="633"/>
      <c r="BA188" s="633"/>
      <c r="BB188" s="633"/>
      <c r="BC188" s="633"/>
      <c r="BD188" s="633"/>
      <c r="BE188" s="633"/>
      <c r="BF188" s="633"/>
      <c r="BG188" s="633"/>
      <c r="BH188" s="633"/>
      <c r="BI188" s="633"/>
      <c r="BJ188" s="633"/>
      <c r="BK188" s="633"/>
      <c r="BL188" s="633"/>
      <c r="BM188" s="401">
        <f t="shared" si="40"/>
        <v>2327</v>
      </c>
      <c r="BO188" s="1473"/>
      <c r="BP188" s="1473"/>
    </row>
    <row r="189" s="3" customFormat="1" ht="36" customHeight="1" spans="1:71">
      <c r="A189" s="1489">
        <v>45406</v>
      </c>
      <c r="B189" s="1490" t="s">
        <v>70</v>
      </c>
      <c r="C189" s="1491" t="s">
        <v>71</v>
      </c>
      <c r="D189" s="1492" t="s">
        <v>844</v>
      </c>
      <c r="E189" s="114"/>
      <c r="F189" s="77"/>
      <c r="G189" s="23" t="s">
        <v>73</v>
      </c>
      <c r="H189" s="24" t="s">
        <v>74</v>
      </c>
      <c r="I189" s="88" t="s">
        <v>845</v>
      </c>
      <c r="J189" s="89">
        <v>0</v>
      </c>
      <c r="K189" s="23">
        <v>24</v>
      </c>
      <c r="L189" s="88" t="e">
        <f t="shared" si="46"/>
        <v>#VALUE!</v>
      </c>
      <c r="M189" s="90">
        <v>45425</v>
      </c>
      <c r="N189" s="90">
        <v>45421</v>
      </c>
      <c r="O189" s="91"/>
      <c r="P189" s="91"/>
      <c r="Q189" s="91"/>
      <c r="R189" s="91" t="s">
        <v>77</v>
      </c>
      <c r="S189" s="91" t="s">
        <v>77</v>
      </c>
      <c r="T189" s="91" t="s">
        <v>77</v>
      </c>
      <c r="U189" s="114" t="s">
        <v>846</v>
      </c>
      <c r="V189" s="91"/>
      <c r="W189" s="116"/>
      <c r="X189" s="117"/>
      <c r="Y189" s="88" t="s">
        <v>847</v>
      </c>
      <c r="Z189" s="470" t="s">
        <v>443</v>
      </c>
      <c r="AA189" s="154"/>
      <c r="AB189" s="155"/>
      <c r="AC189" s="155"/>
      <c r="AD189" s="155"/>
      <c r="AE189" s="91" t="s">
        <v>80</v>
      </c>
      <c r="AF189" s="91"/>
      <c r="AG189" s="155"/>
      <c r="AH189" s="155"/>
      <c r="AI189" s="155"/>
      <c r="AJ189" s="155"/>
      <c r="AK189" s="175"/>
      <c r="AL189" s="175"/>
      <c r="AM189" s="1458"/>
      <c r="AN189" s="1458"/>
      <c r="AO189" s="408"/>
      <c r="AP189" s="408"/>
      <c r="AQ189" s="175"/>
      <c r="AR189" s="175"/>
      <c r="AS189" s="175"/>
      <c r="AT189" s="181"/>
      <c r="AU189" s="181"/>
      <c r="AV189" s="181"/>
      <c r="AW189" s="181"/>
      <c r="AX189" s="181"/>
      <c r="AY189" s="181"/>
      <c r="AZ189" s="181"/>
      <c r="BA189" s="181"/>
      <c r="BB189" s="181"/>
      <c r="BC189" s="181"/>
      <c r="BD189" s="181"/>
      <c r="BE189" s="181"/>
      <c r="BF189" s="181"/>
      <c r="BG189" s="181"/>
      <c r="BH189" s="181"/>
      <c r="BI189" s="181"/>
      <c r="BJ189" s="181"/>
      <c r="BK189" s="181"/>
      <c r="BL189" s="181"/>
      <c r="BM189" s="201">
        <f t="shared" si="40"/>
        <v>0</v>
      </c>
      <c r="BN189" s="199"/>
      <c r="BO189" s="198"/>
      <c r="BP189" s="198"/>
      <c r="BQ189" s="199"/>
      <c r="BR189" s="199"/>
      <c r="BS189" s="199"/>
    </row>
    <row r="190" s="3" customFormat="1" ht="36" customHeight="1" spans="1:71">
      <c r="A190" s="1489">
        <v>45406</v>
      </c>
      <c r="B190" s="1490" t="s">
        <v>70</v>
      </c>
      <c r="C190" s="1491" t="s">
        <v>71</v>
      </c>
      <c r="D190" s="1492" t="s">
        <v>844</v>
      </c>
      <c r="E190" s="114"/>
      <c r="F190" s="77"/>
      <c r="G190" s="23" t="s">
        <v>73</v>
      </c>
      <c r="H190" s="24" t="s">
        <v>74</v>
      </c>
      <c r="I190" s="88" t="s">
        <v>845</v>
      </c>
      <c r="J190" s="89">
        <v>0</v>
      </c>
      <c r="K190" s="23">
        <v>24</v>
      </c>
      <c r="L190" s="88" t="e">
        <f t="shared" si="46"/>
        <v>#VALUE!</v>
      </c>
      <c r="M190" s="90">
        <v>45425</v>
      </c>
      <c r="N190" s="90">
        <v>45421</v>
      </c>
      <c r="O190" s="91"/>
      <c r="P190" s="91"/>
      <c r="Q190" s="91"/>
      <c r="R190" s="91" t="s">
        <v>77</v>
      </c>
      <c r="S190" s="91" t="s">
        <v>77</v>
      </c>
      <c r="T190" s="91" t="s">
        <v>77</v>
      </c>
      <c r="U190" s="114" t="s">
        <v>846</v>
      </c>
      <c r="V190" s="91"/>
      <c r="W190" s="116"/>
      <c r="X190" s="117"/>
      <c r="Y190" s="88" t="s">
        <v>847</v>
      </c>
      <c r="Z190" s="470" t="s">
        <v>443</v>
      </c>
      <c r="AA190" s="154"/>
      <c r="AB190" s="155"/>
      <c r="AC190" s="155"/>
      <c r="AD190" s="155"/>
      <c r="AE190" s="91" t="s">
        <v>80</v>
      </c>
      <c r="AF190" s="91"/>
      <c r="AG190" s="155"/>
      <c r="AH190" s="155"/>
      <c r="AI190" s="155"/>
      <c r="AJ190" s="155"/>
      <c r="AK190" s="175"/>
      <c r="AL190" s="175"/>
      <c r="AM190" s="1458"/>
      <c r="AN190" s="1458"/>
      <c r="AO190" s="408"/>
      <c r="AP190" s="408"/>
      <c r="AQ190" s="175"/>
      <c r="AR190" s="175"/>
      <c r="AS190" s="175"/>
      <c r="AT190" s="181"/>
      <c r="AU190" s="181"/>
      <c r="AV190" s="181"/>
      <c r="AW190" s="181"/>
      <c r="AX190" s="181"/>
      <c r="AY190" s="181"/>
      <c r="AZ190" s="181"/>
      <c r="BA190" s="181"/>
      <c r="BB190" s="181"/>
      <c r="BC190" s="181"/>
      <c r="BD190" s="181"/>
      <c r="BE190" s="181"/>
      <c r="BF190" s="181"/>
      <c r="BG190" s="181"/>
      <c r="BH190" s="181"/>
      <c r="BI190" s="181"/>
      <c r="BJ190" s="181"/>
      <c r="BK190" s="181"/>
      <c r="BL190" s="181"/>
      <c r="BM190" s="201">
        <f t="shared" si="40"/>
        <v>0</v>
      </c>
      <c r="BN190" s="199"/>
      <c r="BO190" s="198"/>
      <c r="BP190" s="198"/>
      <c r="BQ190" s="199"/>
      <c r="BR190" s="199"/>
      <c r="BS190" s="199"/>
    </row>
    <row r="191" s="200" customFormat="1" ht="36" customHeight="1" spans="1:68">
      <c r="A191" s="533">
        <v>45356</v>
      </c>
      <c r="B191" s="527" t="s">
        <v>848</v>
      </c>
      <c r="C191" s="528" t="s">
        <v>849</v>
      </c>
      <c r="D191" s="534">
        <v>4500126134</v>
      </c>
      <c r="E191" s="530"/>
      <c r="F191" s="534" t="s">
        <v>850</v>
      </c>
      <c r="G191" s="1493" t="s">
        <v>96</v>
      </c>
      <c r="H191" s="532" t="s">
        <v>74</v>
      </c>
      <c r="I191" s="1496">
        <v>550</v>
      </c>
      <c r="J191" s="1496">
        <v>0</v>
      </c>
      <c r="K191" s="1496">
        <v>50</v>
      </c>
      <c r="L191" s="1496">
        <f t="shared" si="46"/>
        <v>11</v>
      </c>
      <c r="M191" s="1495">
        <v>45429</v>
      </c>
      <c r="N191" s="1495">
        <v>45425</v>
      </c>
      <c r="O191" s="564"/>
      <c r="P191" s="564" t="s">
        <v>92</v>
      </c>
      <c r="Q191" s="564" t="s">
        <v>851</v>
      </c>
      <c r="R191" s="564">
        <v>45380</v>
      </c>
      <c r="S191" s="564" t="s">
        <v>77</v>
      </c>
      <c r="T191" s="564" t="s">
        <v>77</v>
      </c>
      <c r="U191" s="530" t="s">
        <v>852</v>
      </c>
      <c r="V191" s="564" t="s">
        <v>618</v>
      </c>
      <c r="W191" s="592">
        <v>1.4395</v>
      </c>
      <c r="X191" s="593">
        <f t="shared" ref="X191:X196" si="75">I191*W191</f>
        <v>791.725</v>
      </c>
      <c r="Y191" s="401" t="s">
        <v>853</v>
      </c>
      <c r="Z191" s="607" t="s">
        <v>96</v>
      </c>
      <c r="AA191" s="1453" t="s">
        <v>128</v>
      </c>
      <c r="AB191" s="608"/>
      <c r="AC191" s="608"/>
      <c r="AD191" s="608"/>
      <c r="AE191" s="564" t="s">
        <v>80</v>
      </c>
      <c r="AF191" s="564"/>
      <c r="AG191" s="608">
        <f t="shared" ref="AG191:AG195" si="76">I191</f>
        <v>550</v>
      </c>
      <c r="AH191" s="608"/>
      <c r="AI191" s="608"/>
      <c r="AJ191" s="608"/>
      <c r="AK191" s="609">
        <f t="shared" ref="AK191:AK195" si="77">I191</f>
        <v>550</v>
      </c>
      <c r="AL191" s="609"/>
      <c r="AM191" s="609"/>
      <c r="AN191" s="609"/>
      <c r="AO191" s="609">
        <f t="shared" si="74"/>
        <v>550</v>
      </c>
      <c r="AP191" s="609"/>
      <c r="AQ191" s="609"/>
      <c r="AR191" s="609"/>
      <c r="AS191" s="609"/>
      <c r="AT191" s="633"/>
      <c r="AU191" s="633"/>
      <c r="AV191" s="633"/>
      <c r="AW191" s="633"/>
      <c r="AX191" s="633"/>
      <c r="AY191" s="633"/>
      <c r="AZ191" s="633"/>
      <c r="BA191" s="633">
        <f>I191/25</f>
        <v>22</v>
      </c>
      <c r="BB191" s="633"/>
      <c r="BC191" s="633"/>
      <c r="BD191" s="633"/>
      <c r="BE191" s="633"/>
      <c r="BF191" s="633"/>
      <c r="BG191" s="633"/>
      <c r="BH191" s="633"/>
      <c r="BI191" s="633"/>
      <c r="BJ191" s="633"/>
      <c r="BK191" s="633"/>
      <c r="BL191" s="633"/>
      <c r="BM191" s="401">
        <f t="shared" si="40"/>
        <v>550</v>
      </c>
      <c r="BO191" s="1473"/>
      <c r="BP191" s="1473"/>
    </row>
    <row r="192" s="200" customFormat="1" ht="36" customHeight="1" spans="1:68">
      <c r="A192" s="533">
        <v>45397</v>
      </c>
      <c r="B192" s="527" t="s">
        <v>854</v>
      </c>
      <c r="C192" s="528" t="s">
        <v>117</v>
      </c>
      <c r="D192" s="534">
        <v>4500129952</v>
      </c>
      <c r="E192" s="1494" t="s">
        <v>855</v>
      </c>
      <c r="F192" s="534" t="s">
        <v>856</v>
      </c>
      <c r="G192" s="1493" t="s">
        <v>160</v>
      </c>
      <c r="H192" s="532" t="s">
        <v>74</v>
      </c>
      <c r="I192" s="401">
        <v>5811</v>
      </c>
      <c r="J192" s="562">
        <v>0</v>
      </c>
      <c r="K192" s="531">
        <v>13</v>
      </c>
      <c r="L192" s="401">
        <f t="shared" si="46"/>
        <v>447</v>
      </c>
      <c r="M192" s="563">
        <v>45427</v>
      </c>
      <c r="N192" s="563">
        <v>45423</v>
      </c>
      <c r="O192" s="564" t="s">
        <v>857</v>
      </c>
      <c r="P192" s="564" t="s">
        <v>92</v>
      </c>
      <c r="Q192" s="564" t="s">
        <v>858</v>
      </c>
      <c r="R192" s="564">
        <v>45397</v>
      </c>
      <c r="S192" s="564" t="s">
        <v>77</v>
      </c>
      <c r="T192" s="564" t="s">
        <v>77</v>
      </c>
      <c r="U192" s="530" t="s">
        <v>859</v>
      </c>
      <c r="V192" s="564" t="s">
        <v>396</v>
      </c>
      <c r="W192" s="592">
        <v>1.3778</v>
      </c>
      <c r="X192" s="593">
        <f t="shared" si="75"/>
        <v>8006.3958</v>
      </c>
      <c r="Y192" s="401" t="s">
        <v>860</v>
      </c>
      <c r="Z192" s="607" t="s">
        <v>160</v>
      </c>
      <c r="AA192" s="1453" t="s">
        <v>128</v>
      </c>
      <c r="AB192" s="608"/>
      <c r="AC192" s="608"/>
      <c r="AD192" s="608"/>
      <c r="AE192" s="564" t="s">
        <v>80</v>
      </c>
      <c r="AF192" s="564"/>
      <c r="AG192" s="608">
        <f t="shared" si="76"/>
        <v>5811</v>
      </c>
      <c r="AH192" s="608"/>
      <c r="AI192" s="608"/>
      <c r="AJ192" s="608"/>
      <c r="AK192" s="609">
        <f t="shared" si="77"/>
        <v>5811</v>
      </c>
      <c r="AL192" s="401"/>
      <c r="AM192" s="609"/>
      <c r="AN192" s="609"/>
      <c r="AO192" s="609">
        <f t="shared" si="74"/>
        <v>5811</v>
      </c>
      <c r="AP192" s="609"/>
      <c r="AQ192" s="609"/>
      <c r="AR192" s="609"/>
      <c r="AS192" s="609"/>
      <c r="AT192" s="633"/>
      <c r="AU192" s="633"/>
      <c r="AV192" s="633"/>
      <c r="AW192" s="633"/>
      <c r="AX192" s="633"/>
      <c r="AY192" s="633">
        <f t="shared" ref="AY192:AY195" si="78">I192/13</f>
        <v>447</v>
      </c>
      <c r="AZ192" s="633"/>
      <c r="BA192" s="633"/>
      <c r="BB192" s="633"/>
      <c r="BC192" s="633"/>
      <c r="BD192" s="633"/>
      <c r="BE192" s="633"/>
      <c r="BF192" s="633"/>
      <c r="BG192" s="633"/>
      <c r="BH192" s="633"/>
      <c r="BI192" s="633"/>
      <c r="BJ192" s="633"/>
      <c r="BK192" s="633"/>
      <c r="BL192" s="633"/>
      <c r="BM192" s="401">
        <f t="shared" si="40"/>
        <v>5811</v>
      </c>
      <c r="BO192" s="1473"/>
      <c r="BP192" s="1473"/>
    </row>
    <row r="193" s="200" customFormat="1" ht="36" customHeight="1" spans="1:68">
      <c r="A193" s="1503">
        <v>45383</v>
      </c>
      <c r="B193" s="532" t="s">
        <v>688</v>
      </c>
      <c r="C193" s="1476" t="s">
        <v>689</v>
      </c>
      <c r="D193" s="1504">
        <v>4500128658</v>
      </c>
      <c r="E193" s="1505">
        <v>32314283</v>
      </c>
      <c r="F193" s="1504" t="s">
        <v>861</v>
      </c>
      <c r="G193" s="531" t="s">
        <v>862</v>
      </c>
      <c r="H193" s="532" t="s">
        <v>74</v>
      </c>
      <c r="I193" s="401">
        <v>3250</v>
      </c>
      <c r="J193" s="562">
        <v>0</v>
      </c>
      <c r="K193" s="531">
        <v>13</v>
      </c>
      <c r="L193" s="401">
        <f t="shared" si="46"/>
        <v>250</v>
      </c>
      <c r="M193" s="1495">
        <v>45488</v>
      </c>
      <c r="N193" s="1495">
        <v>45484</v>
      </c>
      <c r="O193" s="564" t="s">
        <v>863</v>
      </c>
      <c r="P193" s="564" t="s">
        <v>92</v>
      </c>
      <c r="Q193" s="564" t="s">
        <v>864</v>
      </c>
      <c r="R193" s="564">
        <v>45383</v>
      </c>
      <c r="S193" s="564" t="s">
        <v>77</v>
      </c>
      <c r="T193" s="564">
        <v>45406</v>
      </c>
      <c r="U193" s="530" t="s">
        <v>865</v>
      </c>
      <c r="V193" s="563" t="s">
        <v>695</v>
      </c>
      <c r="W193" s="592">
        <v>1.4046</v>
      </c>
      <c r="X193" s="593">
        <f t="shared" si="75"/>
        <v>4564.95</v>
      </c>
      <c r="Y193" s="401" t="s">
        <v>866</v>
      </c>
      <c r="Z193" s="607" t="s">
        <v>862</v>
      </c>
      <c r="AA193" s="1453" t="s">
        <v>128</v>
      </c>
      <c r="AB193" s="608"/>
      <c r="AC193" s="608"/>
      <c r="AD193" s="608"/>
      <c r="AE193" s="564" t="s">
        <v>80</v>
      </c>
      <c r="AF193" s="564"/>
      <c r="AG193" s="401"/>
      <c r="AH193" s="608">
        <f>I193</f>
        <v>3250</v>
      </c>
      <c r="AI193" s="608"/>
      <c r="AJ193" s="608"/>
      <c r="AK193" s="609"/>
      <c r="AL193" s="609">
        <f>I193</f>
        <v>3250</v>
      </c>
      <c r="AM193" s="609"/>
      <c r="AN193" s="609"/>
      <c r="AO193" s="609">
        <f t="shared" si="74"/>
        <v>3250</v>
      </c>
      <c r="AP193" s="609"/>
      <c r="AQ193" s="609"/>
      <c r="AR193" s="609"/>
      <c r="AS193" s="609"/>
      <c r="AT193" s="633"/>
      <c r="AU193" s="633"/>
      <c r="AV193" s="633"/>
      <c r="AW193" s="633"/>
      <c r="AX193" s="633"/>
      <c r="AY193" s="633"/>
      <c r="AZ193" s="633">
        <f>I193/13</f>
        <v>250</v>
      </c>
      <c r="BA193" s="633"/>
      <c r="BB193" s="633"/>
      <c r="BC193" s="633"/>
      <c r="BD193" s="633"/>
      <c r="BE193" s="633"/>
      <c r="BF193" s="633"/>
      <c r="BG193" s="633"/>
      <c r="BH193" s="633"/>
      <c r="BI193" s="633"/>
      <c r="BJ193" s="633"/>
      <c r="BK193" s="633"/>
      <c r="BL193" s="633"/>
      <c r="BM193" s="401">
        <f t="shared" si="40"/>
        <v>3250</v>
      </c>
      <c r="BO193" s="1473"/>
      <c r="BP193" s="1473"/>
    </row>
    <row r="194" s="200" customFormat="1" ht="36" customHeight="1" spans="1:68">
      <c r="A194" s="533">
        <v>45383</v>
      </c>
      <c r="B194" s="527" t="s">
        <v>232</v>
      </c>
      <c r="C194" s="528" t="s">
        <v>233</v>
      </c>
      <c r="D194" s="534">
        <v>4500128518</v>
      </c>
      <c r="E194" s="530">
        <v>19995924</v>
      </c>
      <c r="F194" s="534" t="s">
        <v>867</v>
      </c>
      <c r="G194" s="531" t="s">
        <v>160</v>
      </c>
      <c r="H194" s="532" t="s">
        <v>74</v>
      </c>
      <c r="I194" s="401">
        <v>273</v>
      </c>
      <c r="J194" s="562">
        <v>0</v>
      </c>
      <c r="K194" s="531">
        <v>13</v>
      </c>
      <c r="L194" s="401">
        <f t="shared" si="46"/>
        <v>21</v>
      </c>
      <c r="M194" s="563">
        <v>45425</v>
      </c>
      <c r="N194" s="563">
        <v>45421</v>
      </c>
      <c r="O194" s="564"/>
      <c r="P194" s="564" t="s">
        <v>92</v>
      </c>
      <c r="Q194" s="564" t="s">
        <v>868</v>
      </c>
      <c r="R194" s="564">
        <v>45394</v>
      </c>
      <c r="S194" s="564" t="s">
        <v>123</v>
      </c>
      <c r="T194" s="564">
        <v>45404</v>
      </c>
      <c r="U194" s="530" t="s">
        <v>869</v>
      </c>
      <c r="V194" s="564" t="s">
        <v>194</v>
      </c>
      <c r="W194" s="592">
        <v>1.4483</v>
      </c>
      <c r="X194" s="593">
        <f t="shared" si="75"/>
        <v>395.3859</v>
      </c>
      <c r="Y194" s="401" t="s">
        <v>870</v>
      </c>
      <c r="Z194" s="607" t="s">
        <v>160</v>
      </c>
      <c r="AA194" s="1453" t="s">
        <v>128</v>
      </c>
      <c r="AB194" s="608"/>
      <c r="AC194" s="608"/>
      <c r="AD194" s="608"/>
      <c r="AE194" s="564" t="s">
        <v>80</v>
      </c>
      <c r="AF194" s="564"/>
      <c r="AG194" s="608">
        <f t="shared" si="76"/>
        <v>273</v>
      </c>
      <c r="AH194" s="608"/>
      <c r="AI194" s="608"/>
      <c r="AJ194" s="608"/>
      <c r="AK194" s="609">
        <f t="shared" si="77"/>
        <v>273</v>
      </c>
      <c r="AL194" s="609"/>
      <c r="AM194" s="609"/>
      <c r="AN194" s="609"/>
      <c r="AO194" s="609">
        <f t="shared" si="74"/>
        <v>273</v>
      </c>
      <c r="AP194" s="609"/>
      <c r="AQ194" s="609"/>
      <c r="AR194" s="609"/>
      <c r="AS194" s="609"/>
      <c r="AT194" s="633"/>
      <c r="AU194" s="633"/>
      <c r="AV194" s="633"/>
      <c r="AW194" s="633"/>
      <c r="AX194" s="633"/>
      <c r="AY194" s="633">
        <f t="shared" si="78"/>
        <v>21</v>
      </c>
      <c r="AZ194" s="633"/>
      <c r="BA194" s="633"/>
      <c r="BB194" s="633"/>
      <c r="BC194" s="633"/>
      <c r="BD194" s="633"/>
      <c r="BE194" s="633"/>
      <c r="BF194" s="633"/>
      <c r="BG194" s="633"/>
      <c r="BH194" s="633"/>
      <c r="BI194" s="633"/>
      <c r="BJ194" s="633"/>
      <c r="BK194" s="633"/>
      <c r="BL194" s="633"/>
      <c r="BM194" s="401">
        <f t="shared" si="40"/>
        <v>273</v>
      </c>
      <c r="BO194" s="1473"/>
      <c r="BP194" s="1473"/>
    </row>
    <row r="195" s="200" customFormat="1" ht="36" customHeight="1" spans="1:68">
      <c r="A195" s="533">
        <v>45383</v>
      </c>
      <c r="B195" s="527" t="s">
        <v>189</v>
      </c>
      <c r="C195" s="528" t="s">
        <v>190</v>
      </c>
      <c r="D195" s="534">
        <v>4500128517</v>
      </c>
      <c r="E195" s="530">
        <v>19995923</v>
      </c>
      <c r="F195" s="534" t="s">
        <v>871</v>
      </c>
      <c r="G195" s="531" t="s">
        <v>160</v>
      </c>
      <c r="H195" s="532" t="s">
        <v>74</v>
      </c>
      <c r="I195" s="401">
        <v>5525</v>
      </c>
      <c r="J195" s="562">
        <v>0</v>
      </c>
      <c r="K195" s="531">
        <v>13</v>
      </c>
      <c r="L195" s="401">
        <f t="shared" si="46"/>
        <v>425</v>
      </c>
      <c r="M195" s="563">
        <v>45425</v>
      </c>
      <c r="N195" s="563">
        <v>45421</v>
      </c>
      <c r="O195" s="564"/>
      <c r="P195" s="564" t="s">
        <v>92</v>
      </c>
      <c r="Q195" s="564" t="s">
        <v>868</v>
      </c>
      <c r="R195" s="564">
        <v>45394</v>
      </c>
      <c r="S195" s="564" t="s">
        <v>123</v>
      </c>
      <c r="T195" s="564">
        <v>45404</v>
      </c>
      <c r="U195" s="530" t="s">
        <v>872</v>
      </c>
      <c r="V195" s="564" t="s">
        <v>194</v>
      </c>
      <c r="W195" s="592">
        <v>1.4381</v>
      </c>
      <c r="X195" s="593">
        <f t="shared" si="75"/>
        <v>7945.5025</v>
      </c>
      <c r="Y195" s="401" t="s">
        <v>873</v>
      </c>
      <c r="Z195" s="607" t="s">
        <v>160</v>
      </c>
      <c r="AA195" s="1453" t="s">
        <v>128</v>
      </c>
      <c r="AB195" s="608"/>
      <c r="AC195" s="608"/>
      <c r="AD195" s="608"/>
      <c r="AE195" s="564" t="s">
        <v>80</v>
      </c>
      <c r="AF195" s="564"/>
      <c r="AG195" s="608">
        <f t="shared" si="76"/>
        <v>5525</v>
      </c>
      <c r="AH195" s="608"/>
      <c r="AI195" s="608"/>
      <c r="AJ195" s="608"/>
      <c r="AK195" s="609">
        <f t="shared" si="77"/>
        <v>5525</v>
      </c>
      <c r="AL195" s="609"/>
      <c r="AM195" s="609"/>
      <c r="AN195" s="609"/>
      <c r="AO195" s="609">
        <f t="shared" si="74"/>
        <v>5525</v>
      </c>
      <c r="AP195" s="609"/>
      <c r="AQ195" s="609"/>
      <c r="AR195" s="609"/>
      <c r="AS195" s="609"/>
      <c r="AT195" s="633"/>
      <c r="AU195" s="633"/>
      <c r="AV195" s="633"/>
      <c r="AW195" s="633"/>
      <c r="AX195" s="633"/>
      <c r="AY195" s="633">
        <f t="shared" si="78"/>
        <v>425</v>
      </c>
      <c r="AZ195" s="633"/>
      <c r="BA195" s="633"/>
      <c r="BB195" s="633"/>
      <c r="BC195" s="633"/>
      <c r="BD195" s="633"/>
      <c r="BE195" s="633"/>
      <c r="BF195" s="633"/>
      <c r="BG195" s="633"/>
      <c r="BH195" s="633"/>
      <c r="BI195" s="633"/>
      <c r="BJ195" s="633"/>
      <c r="BK195" s="633"/>
      <c r="BL195" s="633"/>
      <c r="BM195" s="401">
        <f t="shared" si="40"/>
        <v>5525</v>
      </c>
      <c r="BO195" s="1473"/>
      <c r="BP195" s="1473"/>
    </row>
    <row r="196" s="200" customFormat="1" ht="36" customHeight="1" spans="1:68">
      <c r="A196" s="533">
        <v>45406</v>
      </c>
      <c r="B196" s="527" t="s">
        <v>874</v>
      </c>
      <c r="C196" s="528" t="s">
        <v>875</v>
      </c>
      <c r="D196" s="534">
        <v>4500131112</v>
      </c>
      <c r="E196" s="530"/>
      <c r="F196" s="534" t="s">
        <v>876</v>
      </c>
      <c r="G196" s="531" t="s">
        <v>877</v>
      </c>
      <c r="H196" s="532" t="s">
        <v>74</v>
      </c>
      <c r="I196" s="1496">
        <v>1500</v>
      </c>
      <c r="J196" s="1496">
        <v>0</v>
      </c>
      <c r="K196" s="1496">
        <v>25</v>
      </c>
      <c r="L196" s="1496">
        <f t="shared" si="46"/>
        <v>60</v>
      </c>
      <c r="M196" s="563">
        <v>45425</v>
      </c>
      <c r="N196" s="563">
        <v>45421</v>
      </c>
      <c r="O196" s="564" t="s">
        <v>878</v>
      </c>
      <c r="P196" s="564" t="s">
        <v>92</v>
      </c>
      <c r="Q196" s="564" t="s">
        <v>879</v>
      </c>
      <c r="R196" s="564">
        <v>45406</v>
      </c>
      <c r="S196" s="564" t="s">
        <v>77</v>
      </c>
      <c r="T196" s="564">
        <v>45406</v>
      </c>
      <c r="U196" s="530" t="s">
        <v>880</v>
      </c>
      <c r="V196" s="564" t="s">
        <v>881</v>
      </c>
      <c r="W196" s="592">
        <v>1.4174</v>
      </c>
      <c r="X196" s="593">
        <f t="shared" si="75"/>
        <v>2126.1</v>
      </c>
      <c r="Y196" s="401" t="s">
        <v>882</v>
      </c>
      <c r="Z196" s="607" t="s">
        <v>877</v>
      </c>
      <c r="AA196" s="1453" t="s">
        <v>128</v>
      </c>
      <c r="AB196" s="608"/>
      <c r="AC196" s="608"/>
      <c r="AD196" s="608"/>
      <c r="AE196" s="564" t="s">
        <v>80</v>
      </c>
      <c r="AF196" s="564"/>
      <c r="AG196" s="608"/>
      <c r="AH196" s="608">
        <f>I196</f>
        <v>1500</v>
      </c>
      <c r="AI196" s="608"/>
      <c r="AJ196" s="608"/>
      <c r="AK196" s="609"/>
      <c r="AL196" s="609">
        <f>I196</f>
        <v>1500</v>
      </c>
      <c r="AM196" s="609"/>
      <c r="AN196" s="609"/>
      <c r="AO196" s="609">
        <f t="shared" si="74"/>
        <v>1500</v>
      </c>
      <c r="AP196" s="609"/>
      <c r="AQ196" s="609"/>
      <c r="AR196" s="609"/>
      <c r="AS196" s="609"/>
      <c r="AT196" s="633"/>
      <c r="AU196" s="633"/>
      <c r="AV196" s="633"/>
      <c r="AW196" s="633"/>
      <c r="AX196" s="633"/>
      <c r="AY196" s="633"/>
      <c r="AZ196" s="633"/>
      <c r="BA196" s="633"/>
      <c r="BB196" s="633">
        <f>I196/25</f>
        <v>60</v>
      </c>
      <c r="BC196" s="633"/>
      <c r="BD196" s="633"/>
      <c r="BE196" s="633"/>
      <c r="BF196" s="633"/>
      <c r="BG196" s="633"/>
      <c r="BH196" s="633"/>
      <c r="BI196" s="633"/>
      <c r="BJ196" s="633"/>
      <c r="BK196" s="633"/>
      <c r="BL196" s="633"/>
      <c r="BM196" s="401">
        <f t="shared" ref="BM196:BM259" si="79">AG196+AH196+AI196</f>
        <v>1500</v>
      </c>
      <c r="BO196" s="1473"/>
      <c r="BP196" s="1473"/>
    </row>
    <row r="197" s="3" customFormat="1" ht="36" customHeight="1" spans="1:71">
      <c r="A197" s="74">
        <v>45411</v>
      </c>
      <c r="B197" s="75"/>
      <c r="C197" s="76"/>
      <c r="D197" s="77" t="s">
        <v>883</v>
      </c>
      <c r="E197" s="114"/>
      <c r="F197" s="77"/>
      <c r="G197" s="23" t="s">
        <v>73</v>
      </c>
      <c r="H197" s="24" t="s">
        <v>74</v>
      </c>
      <c r="I197" s="88" t="s">
        <v>884</v>
      </c>
      <c r="J197" s="89">
        <v>0</v>
      </c>
      <c r="K197" s="23">
        <v>24</v>
      </c>
      <c r="L197" s="88" t="e">
        <f t="shared" si="46"/>
        <v>#VALUE!</v>
      </c>
      <c r="M197" s="90">
        <v>45426</v>
      </c>
      <c r="N197" s="90">
        <v>45422</v>
      </c>
      <c r="O197" s="91"/>
      <c r="P197" s="87"/>
      <c r="Q197" s="91"/>
      <c r="R197" s="91"/>
      <c r="S197" s="91"/>
      <c r="T197" s="91"/>
      <c r="U197" s="114" t="s">
        <v>885</v>
      </c>
      <c r="V197" s="91"/>
      <c r="W197" s="116"/>
      <c r="X197" s="117"/>
      <c r="Y197" s="88"/>
      <c r="Z197" s="470" t="s">
        <v>443</v>
      </c>
      <c r="AA197" s="154"/>
      <c r="AB197" s="155">
        <v>120</v>
      </c>
      <c r="AC197" s="155">
        <v>0</v>
      </c>
      <c r="AD197" s="155"/>
      <c r="AE197" s="91" t="s">
        <v>80</v>
      </c>
      <c r="AF197" s="91" t="s">
        <v>659</v>
      </c>
      <c r="AG197" s="155"/>
      <c r="AH197" s="155"/>
      <c r="AI197" s="155"/>
      <c r="AJ197" s="155"/>
      <c r="AK197" s="175"/>
      <c r="AL197" s="175"/>
      <c r="AM197" s="175"/>
      <c r="AN197" s="175"/>
      <c r="AR197" s="175"/>
      <c r="AS197" s="175"/>
      <c r="AT197" s="181"/>
      <c r="AU197" s="181"/>
      <c r="AV197" s="181"/>
      <c r="AW197" s="181"/>
      <c r="AX197" s="181"/>
      <c r="AY197" s="181"/>
      <c r="AZ197" s="181"/>
      <c r="BA197" s="181"/>
      <c r="BB197" s="181"/>
      <c r="BC197" s="181"/>
      <c r="BD197" s="181"/>
      <c r="BE197" s="181"/>
      <c r="BF197" s="181"/>
      <c r="BG197" s="181"/>
      <c r="BH197" s="181"/>
      <c r="BI197" s="181"/>
      <c r="BJ197" s="181"/>
      <c r="BK197" s="181"/>
      <c r="BL197" s="181"/>
      <c r="BM197" s="201">
        <f t="shared" si="79"/>
        <v>0</v>
      </c>
      <c r="BN197" s="199">
        <f>BN196+BM197</f>
        <v>0</v>
      </c>
      <c r="BO197" s="198"/>
      <c r="BP197" s="198">
        <f>$BO$3+$BP$3-BN197</f>
        <v>0</v>
      </c>
      <c r="BQ197" s="199">
        <f>AS197+AT197+BA197+BB197</f>
        <v>0</v>
      </c>
      <c r="BR197" s="199">
        <f>BR196+BQ197</f>
        <v>0</v>
      </c>
      <c r="BS197" s="199">
        <f>$BS$3-BR197</f>
        <v>0</v>
      </c>
    </row>
    <row r="198" s="200" customFormat="1" ht="36" customHeight="1" spans="1:68">
      <c r="A198" s="533">
        <v>45390</v>
      </c>
      <c r="B198" s="527" t="s">
        <v>189</v>
      </c>
      <c r="C198" s="528" t="s">
        <v>190</v>
      </c>
      <c r="D198" s="534">
        <v>4500129060</v>
      </c>
      <c r="E198" s="530">
        <v>20015725</v>
      </c>
      <c r="F198" s="534" t="s">
        <v>886</v>
      </c>
      <c r="G198" s="531" t="s">
        <v>160</v>
      </c>
      <c r="H198" s="532" t="s">
        <v>74</v>
      </c>
      <c r="I198" s="401">
        <v>7813</v>
      </c>
      <c r="J198" s="562">
        <v>0</v>
      </c>
      <c r="K198" s="531">
        <v>13</v>
      </c>
      <c r="L198" s="401">
        <f t="shared" si="46"/>
        <v>601</v>
      </c>
      <c r="M198" s="1495">
        <v>45427</v>
      </c>
      <c r="N198" s="1495">
        <v>45423</v>
      </c>
      <c r="O198" s="564"/>
      <c r="P198" s="564" t="s">
        <v>92</v>
      </c>
      <c r="Q198" s="564" t="s">
        <v>887</v>
      </c>
      <c r="R198" s="564">
        <v>45408</v>
      </c>
      <c r="S198" s="564" t="s">
        <v>123</v>
      </c>
      <c r="T198" s="564" t="s">
        <v>888</v>
      </c>
      <c r="U198" s="530" t="s">
        <v>889</v>
      </c>
      <c r="V198" s="564" t="s">
        <v>194</v>
      </c>
      <c r="W198" s="592">
        <v>1.4381</v>
      </c>
      <c r="X198" s="593">
        <f t="shared" ref="X198:X200" si="80">I198*W198</f>
        <v>11235.8753</v>
      </c>
      <c r="Y198" s="401" t="s">
        <v>890</v>
      </c>
      <c r="Z198" s="607" t="s">
        <v>160</v>
      </c>
      <c r="AA198" s="1453" t="s">
        <v>128</v>
      </c>
      <c r="AB198" s="608"/>
      <c r="AC198" s="608"/>
      <c r="AD198" s="608"/>
      <c r="AE198" s="564" t="s">
        <v>80</v>
      </c>
      <c r="AF198" s="564"/>
      <c r="AG198" s="608">
        <f t="shared" ref="AG198:AG246" si="81">I198</f>
        <v>7813</v>
      </c>
      <c r="AH198" s="608"/>
      <c r="AI198" s="608"/>
      <c r="AJ198" s="608"/>
      <c r="AK198" s="609">
        <f t="shared" ref="AK198:AK201" si="82">I198</f>
        <v>7813</v>
      </c>
      <c r="AL198" s="401"/>
      <c r="AM198" s="609"/>
      <c r="AN198" s="609"/>
      <c r="AO198" s="609">
        <f t="shared" ref="AO198:AO201" si="83">I198</f>
        <v>7813</v>
      </c>
      <c r="AP198" s="609"/>
      <c r="AQ198" s="609"/>
      <c r="AR198" s="609"/>
      <c r="AS198" s="609"/>
      <c r="AT198" s="633"/>
      <c r="AU198" s="633"/>
      <c r="AV198" s="633"/>
      <c r="AW198" s="633"/>
      <c r="AX198" s="633"/>
      <c r="AY198" s="633">
        <f>I198/13</f>
        <v>601</v>
      </c>
      <c r="AZ198" s="633"/>
      <c r="BA198" s="633"/>
      <c r="BB198" s="633"/>
      <c r="BC198" s="633"/>
      <c r="BD198" s="633"/>
      <c r="BE198" s="633"/>
      <c r="BF198" s="633"/>
      <c r="BG198" s="633"/>
      <c r="BH198" s="633"/>
      <c r="BI198" s="633"/>
      <c r="BJ198" s="633"/>
      <c r="BK198" s="633"/>
      <c r="BL198" s="633"/>
      <c r="BM198" s="401">
        <f t="shared" si="79"/>
        <v>7813</v>
      </c>
      <c r="BO198" s="1473"/>
      <c r="BP198" s="1473"/>
    </row>
    <row r="199" s="200" customFormat="1" ht="36" customHeight="1" spans="1:68">
      <c r="A199" s="533">
        <v>45390</v>
      </c>
      <c r="B199" s="527" t="s">
        <v>232</v>
      </c>
      <c r="C199" s="528" t="s">
        <v>233</v>
      </c>
      <c r="D199" s="534">
        <v>4500129064</v>
      </c>
      <c r="E199" s="530">
        <v>20015726</v>
      </c>
      <c r="F199" s="534" t="s">
        <v>891</v>
      </c>
      <c r="G199" s="531" t="s">
        <v>160</v>
      </c>
      <c r="H199" s="532" t="s">
        <v>74</v>
      </c>
      <c r="I199" s="401">
        <v>260</v>
      </c>
      <c r="J199" s="562">
        <v>0</v>
      </c>
      <c r="K199" s="531">
        <v>13</v>
      </c>
      <c r="L199" s="401">
        <f t="shared" si="46"/>
        <v>20</v>
      </c>
      <c r="M199" s="1495">
        <v>45427</v>
      </c>
      <c r="N199" s="1495">
        <v>45423</v>
      </c>
      <c r="O199" s="564"/>
      <c r="P199" s="564" t="s">
        <v>92</v>
      </c>
      <c r="Q199" s="564" t="s">
        <v>887</v>
      </c>
      <c r="R199" s="564">
        <v>45408</v>
      </c>
      <c r="S199" s="564" t="s">
        <v>123</v>
      </c>
      <c r="T199" s="564" t="s">
        <v>888</v>
      </c>
      <c r="U199" s="530" t="s">
        <v>892</v>
      </c>
      <c r="V199" s="564" t="s">
        <v>194</v>
      </c>
      <c r="W199" s="592">
        <v>1.4483</v>
      </c>
      <c r="X199" s="593">
        <f t="shared" si="80"/>
        <v>376.558</v>
      </c>
      <c r="Y199" s="401" t="s">
        <v>893</v>
      </c>
      <c r="Z199" s="607" t="s">
        <v>160</v>
      </c>
      <c r="AA199" s="1453" t="s">
        <v>128</v>
      </c>
      <c r="AB199" s="608"/>
      <c r="AC199" s="608"/>
      <c r="AD199" s="608"/>
      <c r="AE199" s="564" t="s">
        <v>80</v>
      </c>
      <c r="AF199" s="564"/>
      <c r="AG199" s="608">
        <f t="shared" si="81"/>
        <v>260</v>
      </c>
      <c r="AH199" s="608"/>
      <c r="AI199" s="608"/>
      <c r="AJ199" s="608"/>
      <c r="AK199" s="609">
        <f t="shared" si="82"/>
        <v>260</v>
      </c>
      <c r="AL199" s="401"/>
      <c r="AM199" s="609"/>
      <c r="AN199" s="609"/>
      <c r="AO199" s="609">
        <f t="shared" si="83"/>
        <v>260</v>
      </c>
      <c r="AP199" s="609"/>
      <c r="AQ199" s="609"/>
      <c r="AR199" s="609"/>
      <c r="AS199" s="609"/>
      <c r="AT199" s="633"/>
      <c r="AU199" s="633"/>
      <c r="AV199" s="633"/>
      <c r="AW199" s="633"/>
      <c r="AX199" s="633"/>
      <c r="AY199" s="633">
        <f>I199/13</f>
        <v>20</v>
      </c>
      <c r="AZ199" s="633"/>
      <c r="BA199" s="633"/>
      <c r="BB199" s="633"/>
      <c r="BC199" s="633"/>
      <c r="BD199" s="633"/>
      <c r="BE199" s="633"/>
      <c r="BF199" s="633"/>
      <c r="BG199" s="633"/>
      <c r="BH199" s="633"/>
      <c r="BI199" s="633"/>
      <c r="BJ199" s="633"/>
      <c r="BK199" s="633"/>
      <c r="BL199" s="633"/>
      <c r="BM199" s="401">
        <f t="shared" si="79"/>
        <v>260</v>
      </c>
      <c r="BO199" s="1473"/>
      <c r="BP199" s="1473"/>
    </row>
    <row r="200" s="200" customFormat="1" ht="36" customHeight="1" spans="1:68">
      <c r="A200" s="533">
        <v>45385</v>
      </c>
      <c r="B200" s="527" t="s">
        <v>412</v>
      </c>
      <c r="C200" s="528" t="s">
        <v>190</v>
      </c>
      <c r="D200" s="534">
        <v>4500129002</v>
      </c>
      <c r="E200" s="530">
        <v>81799</v>
      </c>
      <c r="F200" s="534" t="s">
        <v>894</v>
      </c>
      <c r="G200" s="1493" t="s">
        <v>96</v>
      </c>
      <c r="H200" s="532" t="s">
        <v>74</v>
      </c>
      <c r="I200" s="1496">
        <v>5000</v>
      </c>
      <c r="J200" s="1496">
        <v>0</v>
      </c>
      <c r="K200" s="1496">
        <v>50</v>
      </c>
      <c r="L200" s="1496">
        <f t="shared" si="46"/>
        <v>100</v>
      </c>
      <c r="M200" s="563">
        <v>45427</v>
      </c>
      <c r="N200" s="563">
        <v>45423</v>
      </c>
      <c r="O200" s="564"/>
      <c r="P200" s="564" t="s">
        <v>92</v>
      </c>
      <c r="Q200" s="564" t="s">
        <v>818</v>
      </c>
      <c r="R200" s="564">
        <v>45398</v>
      </c>
      <c r="S200" s="564" t="s">
        <v>77</v>
      </c>
      <c r="T200" s="564" t="s">
        <v>895</v>
      </c>
      <c r="U200" s="530" t="s">
        <v>896</v>
      </c>
      <c r="V200" s="564" t="s">
        <v>194</v>
      </c>
      <c r="W200" s="592">
        <v>1.4344</v>
      </c>
      <c r="X200" s="593">
        <f t="shared" si="80"/>
        <v>7172</v>
      </c>
      <c r="Y200" s="401" t="s">
        <v>897</v>
      </c>
      <c r="Z200" s="607" t="s">
        <v>96</v>
      </c>
      <c r="AA200" s="1453" t="s">
        <v>128</v>
      </c>
      <c r="AB200" s="608"/>
      <c r="AC200" s="608"/>
      <c r="AD200" s="608"/>
      <c r="AE200" s="564" t="s">
        <v>80</v>
      </c>
      <c r="AF200" s="564"/>
      <c r="AG200" s="608">
        <f t="shared" si="81"/>
        <v>5000</v>
      </c>
      <c r="AH200" s="608"/>
      <c r="AI200" s="608"/>
      <c r="AJ200" s="608"/>
      <c r="AK200" s="609">
        <f t="shared" si="82"/>
        <v>5000</v>
      </c>
      <c r="AL200" s="401"/>
      <c r="AM200" s="609"/>
      <c r="AN200" s="609"/>
      <c r="AO200" s="609">
        <f t="shared" si="83"/>
        <v>5000</v>
      </c>
      <c r="AP200" s="609"/>
      <c r="AQ200" s="609"/>
      <c r="AR200" s="609"/>
      <c r="AS200" s="609"/>
      <c r="AT200" s="633"/>
      <c r="AU200" s="633"/>
      <c r="AV200" s="633"/>
      <c r="AW200" s="633"/>
      <c r="AX200" s="633"/>
      <c r="AY200" s="633"/>
      <c r="AZ200" s="633"/>
      <c r="BA200" s="633">
        <f>I200/25</f>
        <v>200</v>
      </c>
      <c r="BB200" s="633"/>
      <c r="BC200" s="633"/>
      <c r="BD200" s="633"/>
      <c r="BE200" s="633"/>
      <c r="BF200" s="633"/>
      <c r="BG200" s="633"/>
      <c r="BH200" s="633"/>
      <c r="BI200" s="633"/>
      <c r="BJ200" s="633"/>
      <c r="BK200" s="633"/>
      <c r="BL200" s="633"/>
      <c r="BM200" s="401">
        <f t="shared" si="79"/>
        <v>5000</v>
      </c>
      <c r="BO200" s="1473"/>
      <c r="BP200" s="1473"/>
    </row>
    <row r="201" s="200" customFormat="1" ht="36" customHeight="1" spans="1:68">
      <c r="A201" s="533">
        <v>45385</v>
      </c>
      <c r="B201" s="527" t="s">
        <v>412</v>
      </c>
      <c r="C201" s="528" t="s">
        <v>190</v>
      </c>
      <c r="D201" s="534">
        <v>4500129002</v>
      </c>
      <c r="E201" s="530">
        <v>81799</v>
      </c>
      <c r="F201" s="534" t="s">
        <v>898</v>
      </c>
      <c r="G201" s="1493" t="s">
        <v>386</v>
      </c>
      <c r="H201" s="532" t="s">
        <v>74</v>
      </c>
      <c r="I201" s="1496">
        <v>3000</v>
      </c>
      <c r="J201" s="1496">
        <v>0</v>
      </c>
      <c r="K201" s="1496">
        <v>60</v>
      </c>
      <c r="L201" s="1496">
        <f t="shared" si="46"/>
        <v>50</v>
      </c>
      <c r="M201" s="563">
        <v>45427</v>
      </c>
      <c r="N201" s="563">
        <v>45423</v>
      </c>
      <c r="O201" s="564"/>
      <c r="P201" s="564" t="s">
        <v>92</v>
      </c>
      <c r="Q201" s="564" t="s">
        <v>818</v>
      </c>
      <c r="R201" s="564">
        <v>45398</v>
      </c>
      <c r="S201" s="564" t="s">
        <v>77</v>
      </c>
      <c r="T201" s="564" t="s">
        <v>895</v>
      </c>
      <c r="U201" s="530" t="s">
        <v>896</v>
      </c>
      <c r="V201" s="564" t="s">
        <v>194</v>
      </c>
      <c r="W201" s="592">
        <v>94.928</v>
      </c>
      <c r="X201" s="593">
        <f>L201*W201</f>
        <v>4746.4</v>
      </c>
      <c r="Y201" s="401" t="s">
        <v>897</v>
      </c>
      <c r="Z201" s="607" t="s">
        <v>386</v>
      </c>
      <c r="AA201" s="1453" t="s">
        <v>128</v>
      </c>
      <c r="AB201" s="608"/>
      <c r="AC201" s="608"/>
      <c r="AD201" s="608"/>
      <c r="AE201" s="564" t="s">
        <v>80</v>
      </c>
      <c r="AF201" s="564"/>
      <c r="AG201" s="608">
        <f t="shared" si="81"/>
        <v>3000</v>
      </c>
      <c r="AH201" s="608"/>
      <c r="AI201" s="608"/>
      <c r="AJ201" s="608"/>
      <c r="AK201" s="609">
        <f t="shared" si="82"/>
        <v>3000</v>
      </c>
      <c r="AL201" s="401"/>
      <c r="AM201" s="609"/>
      <c r="AN201" s="609"/>
      <c r="AO201" s="609">
        <f t="shared" si="83"/>
        <v>3000</v>
      </c>
      <c r="AP201" s="609"/>
      <c r="AQ201" s="609"/>
      <c r="AR201" s="609"/>
      <c r="AS201" s="609"/>
      <c r="AT201" s="633"/>
      <c r="AU201" s="633"/>
      <c r="AV201" s="633"/>
      <c r="AW201" s="633"/>
      <c r="AX201" s="633"/>
      <c r="AY201" s="633"/>
      <c r="AZ201" s="633"/>
      <c r="BA201" s="633"/>
      <c r="BB201" s="633"/>
      <c r="BC201" s="633"/>
      <c r="BD201" s="633">
        <f>I201/60</f>
        <v>50</v>
      </c>
      <c r="BE201" s="633"/>
      <c r="BF201" s="633"/>
      <c r="BG201" s="633"/>
      <c r="BH201" s="633"/>
      <c r="BI201" s="633"/>
      <c r="BJ201" s="633"/>
      <c r="BK201" s="633"/>
      <c r="BL201" s="633"/>
      <c r="BM201" s="401">
        <f t="shared" si="79"/>
        <v>3000</v>
      </c>
      <c r="BO201" s="1473"/>
      <c r="BP201" s="1473"/>
    </row>
    <row r="202" s="200" customFormat="1" ht="36" customHeight="1" spans="1:68">
      <c r="A202" s="533">
        <v>45345</v>
      </c>
      <c r="B202" s="527" t="s">
        <v>899</v>
      </c>
      <c r="C202" s="528" t="s">
        <v>117</v>
      </c>
      <c r="D202" s="534">
        <v>4500125088</v>
      </c>
      <c r="E202" s="530">
        <v>740631</v>
      </c>
      <c r="F202" s="534" t="s">
        <v>900</v>
      </c>
      <c r="G202" s="531" t="s">
        <v>245</v>
      </c>
      <c r="H202" s="532" t="s">
        <v>74</v>
      </c>
      <c r="I202" s="401">
        <v>8076</v>
      </c>
      <c r="J202" s="562">
        <v>0</v>
      </c>
      <c r="K202" s="531">
        <v>12</v>
      </c>
      <c r="L202" s="401">
        <f t="shared" si="46"/>
        <v>673</v>
      </c>
      <c r="M202" s="563">
        <v>45428</v>
      </c>
      <c r="N202" s="563">
        <v>45425</v>
      </c>
      <c r="O202" s="564"/>
      <c r="P202" s="564" t="s">
        <v>92</v>
      </c>
      <c r="Q202" s="564" t="s">
        <v>901</v>
      </c>
      <c r="R202" s="564">
        <v>45345</v>
      </c>
      <c r="S202" s="564" t="s">
        <v>77</v>
      </c>
      <c r="T202" s="564" t="s">
        <v>819</v>
      </c>
      <c r="U202" s="530" t="s">
        <v>902</v>
      </c>
      <c r="V202" s="564" t="s">
        <v>903</v>
      </c>
      <c r="W202" s="592">
        <v>1.47</v>
      </c>
      <c r="X202" s="593">
        <f t="shared" ref="X202:X206" si="84">I202*W202</f>
        <v>11871.72</v>
      </c>
      <c r="Y202" s="401" t="s">
        <v>904</v>
      </c>
      <c r="Z202" s="607" t="s">
        <v>249</v>
      </c>
      <c r="AA202" s="1453" t="s">
        <v>128</v>
      </c>
      <c r="AB202" s="608"/>
      <c r="AC202" s="608"/>
      <c r="AD202" s="608"/>
      <c r="AE202" s="564" t="s">
        <v>80</v>
      </c>
      <c r="AF202" s="564"/>
      <c r="AG202" s="608">
        <f t="shared" si="81"/>
        <v>8076</v>
      </c>
      <c r="AH202" s="608"/>
      <c r="AI202" s="608"/>
      <c r="AJ202" s="608"/>
      <c r="AK202" s="609"/>
      <c r="AL202" s="609">
        <f>AG202</f>
        <v>8076</v>
      </c>
      <c r="AM202" s="609"/>
      <c r="AN202" s="609"/>
      <c r="AO202" s="609">
        <f t="shared" ref="AO202:AO205" si="85">AG202</f>
        <v>8076</v>
      </c>
      <c r="AP202" s="609"/>
      <c r="AQ202" s="609"/>
      <c r="AR202" s="609"/>
      <c r="AS202" s="609"/>
      <c r="AT202" s="633"/>
      <c r="AU202" s="633"/>
      <c r="AV202" s="633"/>
      <c r="AW202" s="401"/>
      <c r="AX202" s="633">
        <f>I202/12</f>
        <v>673</v>
      </c>
      <c r="AY202" s="633"/>
      <c r="AZ202" s="633"/>
      <c r="BA202" s="633"/>
      <c r="BB202" s="633"/>
      <c r="BC202" s="633"/>
      <c r="BD202" s="633"/>
      <c r="BE202" s="633"/>
      <c r="BF202" s="633"/>
      <c r="BG202" s="633"/>
      <c r="BH202" s="633"/>
      <c r="BI202" s="633"/>
      <c r="BJ202" s="633"/>
      <c r="BK202" s="633"/>
      <c r="BL202" s="633"/>
      <c r="BM202" s="401">
        <f t="shared" si="79"/>
        <v>8076</v>
      </c>
      <c r="BO202" s="1473"/>
      <c r="BP202" s="1473"/>
    </row>
    <row r="203" s="200" customFormat="1" ht="36" customHeight="1" spans="1:68">
      <c r="A203" s="533">
        <v>45393</v>
      </c>
      <c r="B203" s="527" t="s">
        <v>400</v>
      </c>
      <c r="C203" s="528" t="s">
        <v>117</v>
      </c>
      <c r="D203" s="534">
        <v>4500129544</v>
      </c>
      <c r="E203" s="530">
        <v>82956</v>
      </c>
      <c r="F203" s="534" t="s">
        <v>905</v>
      </c>
      <c r="G203" s="531" t="s">
        <v>403</v>
      </c>
      <c r="H203" s="532" t="s">
        <v>74</v>
      </c>
      <c r="I203" s="401">
        <v>1300</v>
      </c>
      <c r="J203" s="562">
        <v>0</v>
      </c>
      <c r="K203" s="531">
        <v>52</v>
      </c>
      <c r="L203" s="401">
        <f t="shared" si="46"/>
        <v>25</v>
      </c>
      <c r="M203" s="563">
        <v>45429</v>
      </c>
      <c r="N203" s="563">
        <v>45425</v>
      </c>
      <c r="O203" s="564"/>
      <c r="P203" s="564" t="s">
        <v>92</v>
      </c>
      <c r="Q203" s="564" t="s">
        <v>906</v>
      </c>
      <c r="R203" s="564">
        <v>45393</v>
      </c>
      <c r="S203" s="564" t="s">
        <v>77</v>
      </c>
      <c r="T203" s="564">
        <v>45394</v>
      </c>
      <c r="U203" s="530" t="s">
        <v>907</v>
      </c>
      <c r="V203" s="564" t="s">
        <v>406</v>
      </c>
      <c r="W203" s="592">
        <v>1.4432</v>
      </c>
      <c r="X203" s="593">
        <f t="shared" si="84"/>
        <v>1876.16</v>
      </c>
      <c r="Y203" s="401" t="s">
        <v>908</v>
      </c>
      <c r="Z203" s="1500" t="s">
        <v>403</v>
      </c>
      <c r="AA203" s="1453" t="s">
        <v>128</v>
      </c>
      <c r="AB203" s="608"/>
      <c r="AC203" s="608"/>
      <c r="AD203" s="608"/>
      <c r="AE203" s="564" t="s">
        <v>80</v>
      </c>
      <c r="AF203" s="564"/>
      <c r="AG203" s="608">
        <f t="shared" si="81"/>
        <v>1300</v>
      </c>
      <c r="AH203" s="608"/>
      <c r="AI203" s="608"/>
      <c r="AJ203" s="608"/>
      <c r="AK203" s="609">
        <f>AG203</f>
        <v>1300</v>
      </c>
      <c r="AL203" s="609"/>
      <c r="AM203" s="609"/>
      <c r="AN203" s="609"/>
      <c r="AO203" s="609">
        <f t="shared" si="85"/>
        <v>1300</v>
      </c>
      <c r="AP203" s="609"/>
      <c r="AQ203" s="609"/>
      <c r="AR203" s="609"/>
      <c r="AS203" s="609"/>
      <c r="AT203" s="633"/>
      <c r="AU203" s="633"/>
      <c r="AV203" s="633"/>
      <c r="AW203" s="401"/>
      <c r="AX203" s="633"/>
      <c r="AY203" s="633">
        <f>AG203/13</f>
        <v>100</v>
      </c>
      <c r="AZ203" s="633"/>
      <c r="BA203" s="633"/>
      <c r="BB203" s="633"/>
      <c r="BC203" s="633"/>
      <c r="BD203" s="633"/>
      <c r="BE203" s="633"/>
      <c r="BF203" s="633"/>
      <c r="BG203" s="633"/>
      <c r="BH203" s="633"/>
      <c r="BI203" s="633"/>
      <c r="BJ203" s="633"/>
      <c r="BK203" s="633"/>
      <c r="BL203" s="633"/>
      <c r="BM203" s="401">
        <f t="shared" si="79"/>
        <v>1300</v>
      </c>
      <c r="BO203" s="1473"/>
      <c r="BP203" s="1473"/>
    </row>
    <row r="204" s="200" customFormat="1" ht="36" customHeight="1" spans="1:68">
      <c r="A204" s="533">
        <v>45352</v>
      </c>
      <c r="B204" s="527" t="s">
        <v>212</v>
      </c>
      <c r="C204" s="528" t="s">
        <v>213</v>
      </c>
      <c r="D204" s="534">
        <v>4500125731</v>
      </c>
      <c r="E204" s="530"/>
      <c r="F204" s="534" t="s">
        <v>909</v>
      </c>
      <c r="G204" s="531" t="s">
        <v>96</v>
      </c>
      <c r="H204" s="532" t="s">
        <v>74</v>
      </c>
      <c r="I204" s="401">
        <v>5050</v>
      </c>
      <c r="J204" s="562">
        <v>0</v>
      </c>
      <c r="K204" s="531">
        <v>50</v>
      </c>
      <c r="L204" s="401">
        <f t="shared" ref="L204:L267" si="86">I204/K204</f>
        <v>101</v>
      </c>
      <c r="M204" s="563">
        <v>45428</v>
      </c>
      <c r="N204" s="1495">
        <v>45433</v>
      </c>
      <c r="O204" s="564"/>
      <c r="P204" s="564" t="s">
        <v>92</v>
      </c>
      <c r="Q204" s="564" t="s">
        <v>910</v>
      </c>
      <c r="R204" s="564">
        <v>45376</v>
      </c>
      <c r="S204" s="564" t="s">
        <v>77</v>
      </c>
      <c r="T204" s="564" t="s">
        <v>911</v>
      </c>
      <c r="U204" s="1454" t="s">
        <v>912</v>
      </c>
      <c r="V204" s="564" t="s">
        <v>218</v>
      </c>
      <c r="W204" s="592">
        <v>1.4489</v>
      </c>
      <c r="X204" s="593">
        <f t="shared" si="84"/>
        <v>7316.945</v>
      </c>
      <c r="Y204" s="401" t="s">
        <v>913</v>
      </c>
      <c r="Z204" s="607" t="s">
        <v>220</v>
      </c>
      <c r="AA204" s="1453" t="s">
        <v>128</v>
      </c>
      <c r="AB204" s="608"/>
      <c r="AC204" s="608"/>
      <c r="AD204" s="608"/>
      <c r="AE204" s="564" t="s">
        <v>80</v>
      </c>
      <c r="AF204" s="564"/>
      <c r="AG204" s="608">
        <f t="shared" si="81"/>
        <v>5050</v>
      </c>
      <c r="AH204" s="608"/>
      <c r="AI204" s="608"/>
      <c r="AJ204" s="608"/>
      <c r="AK204" s="609"/>
      <c r="AL204" s="609">
        <f t="shared" ref="AL204:AL209" si="87">I204</f>
        <v>5050</v>
      </c>
      <c r="AM204" s="609"/>
      <c r="AN204" s="609"/>
      <c r="AO204" s="609">
        <f t="shared" si="85"/>
        <v>5050</v>
      </c>
      <c r="AP204" s="609"/>
      <c r="AQ204" s="609"/>
      <c r="AR204" s="609"/>
      <c r="AS204" s="609"/>
      <c r="AT204" s="633"/>
      <c r="AU204" s="633"/>
      <c r="AV204" s="633"/>
      <c r="AW204" s="401"/>
      <c r="AX204" s="633"/>
      <c r="AY204" s="633"/>
      <c r="AZ204" s="633"/>
      <c r="BA204" s="633"/>
      <c r="BB204" s="633">
        <f>I204/25</f>
        <v>202</v>
      </c>
      <c r="BC204" s="633"/>
      <c r="BD204" s="633"/>
      <c r="BE204" s="633"/>
      <c r="BF204" s="633"/>
      <c r="BG204" s="633"/>
      <c r="BH204" s="633"/>
      <c r="BI204" s="633"/>
      <c r="BJ204" s="633"/>
      <c r="BK204" s="633"/>
      <c r="BL204" s="633"/>
      <c r="BM204" s="401">
        <f t="shared" si="79"/>
        <v>5050</v>
      </c>
      <c r="BO204" s="1473"/>
      <c r="BP204" s="1473"/>
    </row>
    <row r="205" s="200" customFormat="1" ht="36" customHeight="1" spans="1:68">
      <c r="A205" s="533">
        <v>45363</v>
      </c>
      <c r="B205" s="527" t="s">
        <v>212</v>
      </c>
      <c r="C205" s="528" t="s">
        <v>213</v>
      </c>
      <c r="D205" s="534">
        <v>4500126574</v>
      </c>
      <c r="E205" s="530">
        <v>4400388910</v>
      </c>
      <c r="F205" s="534" t="s">
        <v>914</v>
      </c>
      <c r="G205" s="531" t="s">
        <v>96</v>
      </c>
      <c r="H205" s="532" t="s">
        <v>74</v>
      </c>
      <c r="I205" s="401">
        <v>4550</v>
      </c>
      <c r="J205" s="562">
        <v>0</v>
      </c>
      <c r="K205" s="531">
        <v>50</v>
      </c>
      <c r="L205" s="401">
        <f t="shared" si="86"/>
        <v>91</v>
      </c>
      <c r="M205" s="563">
        <v>45428</v>
      </c>
      <c r="N205" s="1495">
        <v>45433</v>
      </c>
      <c r="O205" s="564"/>
      <c r="P205" s="564" t="s">
        <v>92</v>
      </c>
      <c r="Q205" s="564" t="s">
        <v>910</v>
      </c>
      <c r="R205" s="564">
        <v>45376</v>
      </c>
      <c r="S205" s="564" t="s">
        <v>77</v>
      </c>
      <c r="T205" s="564" t="s">
        <v>911</v>
      </c>
      <c r="U205" s="530" t="s">
        <v>912</v>
      </c>
      <c r="V205" s="564" t="s">
        <v>218</v>
      </c>
      <c r="W205" s="592">
        <v>1.4539</v>
      </c>
      <c r="X205" s="593">
        <f t="shared" si="84"/>
        <v>6615.245</v>
      </c>
      <c r="Y205" s="401" t="s">
        <v>915</v>
      </c>
      <c r="Z205" s="607" t="s">
        <v>220</v>
      </c>
      <c r="AA205" s="1453" t="s">
        <v>128</v>
      </c>
      <c r="AB205" s="608"/>
      <c r="AC205" s="608"/>
      <c r="AD205" s="608"/>
      <c r="AE205" s="564" t="s">
        <v>80</v>
      </c>
      <c r="AF205" s="564"/>
      <c r="AG205" s="608">
        <f t="shared" si="81"/>
        <v>4550</v>
      </c>
      <c r="AH205" s="608"/>
      <c r="AI205" s="608"/>
      <c r="AJ205" s="608"/>
      <c r="AK205" s="609"/>
      <c r="AL205" s="609">
        <f t="shared" si="87"/>
        <v>4550</v>
      </c>
      <c r="AM205" s="609"/>
      <c r="AN205" s="609"/>
      <c r="AO205" s="609">
        <f t="shared" si="85"/>
        <v>4550</v>
      </c>
      <c r="AP205" s="609"/>
      <c r="AQ205" s="609"/>
      <c r="AR205" s="609"/>
      <c r="AS205" s="609"/>
      <c r="AT205" s="633"/>
      <c r="AU205" s="633"/>
      <c r="AV205" s="633"/>
      <c r="AW205" s="401"/>
      <c r="AX205" s="633"/>
      <c r="AY205" s="633"/>
      <c r="AZ205" s="633"/>
      <c r="BA205" s="633"/>
      <c r="BB205" s="633">
        <f>I205/25</f>
        <v>182</v>
      </c>
      <c r="BC205" s="633"/>
      <c r="BD205" s="633"/>
      <c r="BE205" s="633"/>
      <c r="BF205" s="633"/>
      <c r="BG205" s="633"/>
      <c r="BH205" s="633"/>
      <c r="BI205" s="633"/>
      <c r="BJ205" s="633"/>
      <c r="BK205" s="633"/>
      <c r="BL205" s="633"/>
      <c r="BM205" s="401">
        <f t="shared" si="79"/>
        <v>4550</v>
      </c>
      <c r="BO205" s="1473"/>
      <c r="BP205" s="1473"/>
    </row>
    <row r="206" s="200" customFormat="1" ht="36" customHeight="1" spans="1:68">
      <c r="A206" s="1506">
        <v>45377</v>
      </c>
      <c r="B206" s="527" t="s">
        <v>916</v>
      </c>
      <c r="C206" s="528" t="s">
        <v>917</v>
      </c>
      <c r="D206" s="534">
        <v>4500127973</v>
      </c>
      <c r="E206" s="1479" t="s">
        <v>918</v>
      </c>
      <c r="F206" s="534" t="s">
        <v>919</v>
      </c>
      <c r="G206" s="531" t="s">
        <v>96</v>
      </c>
      <c r="H206" s="532" t="s">
        <v>74</v>
      </c>
      <c r="I206" s="401">
        <v>3200</v>
      </c>
      <c r="J206" s="562">
        <v>0</v>
      </c>
      <c r="K206" s="531">
        <v>50</v>
      </c>
      <c r="L206" s="401">
        <f t="shared" si="86"/>
        <v>64</v>
      </c>
      <c r="M206" s="563">
        <v>45418</v>
      </c>
      <c r="N206" s="1495">
        <v>45433</v>
      </c>
      <c r="O206" s="564"/>
      <c r="P206" s="564" t="s">
        <v>92</v>
      </c>
      <c r="Q206" s="564" t="s">
        <v>920</v>
      </c>
      <c r="R206" s="564">
        <v>45407</v>
      </c>
      <c r="S206" s="564" t="s">
        <v>77</v>
      </c>
      <c r="T206" s="564">
        <v>45408</v>
      </c>
      <c r="U206" s="530" t="s">
        <v>921</v>
      </c>
      <c r="V206" s="564" t="s">
        <v>618</v>
      </c>
      <c r="W206" s="592">
        <v>1.4174</v>
      </c>
      <c r="X206" s="593">
        <f t="shared" si="84"/>
        <v>4535.68</v>
      </c>
      <c r="Y206" s="401" t="s">
        <v>922</v>
      </c>
      <c r="Z206" s="607" t="s">
        <v>96</v>
      </c>
      <c r="AA206" s="1453" t="s">
        <v>128</v>
      </c>
      <c r="AB206" s="608"/>
      <c r="AC206" s="608"/>
      <c r="AD206" s="608"/>
      <c r="AE206" s="564" t="s">
        <v>80</v>
      </c>
      <c r="AF206" s="564"/>
      <c r="AG206" s="608">
        <f t="shared" si="81"/>
        <v>3200</v>
      </c>
      <c r="AH206" s="608"/>
      <c r="AI206" s="608"/>
      <c r="AJ206" s="608"/>
      <c r="AK206" s="609">
        <f t="shared" ref="AK206:AK210" si="88">I206</f>
        <v>3200</v>
      </c>
      <c r="AL206" s="609"/>
      <c r="AM206" s="609"/>
      <c r="AN206" s="609"/>
      <c r="AO206" s="609">
        <f>I206</f>
        <v>3200</v>
      </c>
      <c r="AP206" s="609"/>
      <c r="AQ206" s="609"/>
      <c r="AR206" s="609"/>
      <c r="AS206" s="609"/>
      <c r="AT206" s="633"/>
      <c r="AU206" s="633"/>
      <c r="AV206" s="633"/>
      <c r="AW206" s="633"/>
      <c r="AX206" s="633"/>
      <c r="AY206" s="633"/>
      <c r="AZ206" s="633"/>
      <c r="BA206" s="633">
        <f>I206/25</f>
        <v>128</v>
      </c>
      <c r="BB206" s="633"/>
      <c r="BC206" s="633"/>
      <c r="BD206" s="633"/>
      <c r="BE206" s="633"/>
      <c r="BF206" s="633"/>
      <c r="BG206" s="633"/>
      <c r="BH206" s="633"/>
      <c r="BI206" s="633"/>
      <c r="BJ206" s="633"/>
      <c r="BK206" s="633"/>
      <c r="BL206" s="633"/>
      <c r="BM206" s="401">
        <f t="shared" si="79"/>
        <v>3200</v>
      </c>
      <c r="BO206" s="1473"/>
      <c r="BP206" s="1473"/>
    </row>
    <row r="207" s="200" customFormat="1" ht="36" customHeight="1" spans="1:68">
      <c r="A207" s="1506">
        <v>45377</v>
      </c>
      <c r="B207" s="527" t="s">
        <v>916</v>
      </c>
      <c r="C207" s="528" t="s">
        <v>917</v>
      </c>
      <c r="D207" s="534">
        <v>4500127973</v>
      </c>
      <c r="E207" s="1479" t="s">
        <v>918</v>
      </c>
      <c r="F207" s="534" t="s">
        <v>923</v>
      </c>
      <c r="G207" s="531" t="s">
        <v>386</v>
      </c>
      <c r="H207" s="532" t="s">
        <v>74</v>
      </c>
      <c r="I207" s="511">
        <v>1020</v>
      </c>
      <c r="J207" s="562">
        <v>0</v>
      </c>
      <c r="K207" s="531">
        <v>60</v>
      </c>
      <c r="L207" s="401">
        <f t="shared" si="86"/>
        <v>17</v>
      </c>
      <c r="M207" s="563">
        <v>45418</v>
      </c>
      <c r="N207" s="1495">
        <v>45433</v>
      </c>
      <c r="O207" s="564"/>
      <c r="P207" s="564" t="s">
        <v>92</v>
      </c>
      <c r="Q207" s="564" t="s">
        <v>920</v>
      </c>
      <c r="R207" s="564">
        <v>45407</v>
      </c>
      <c r="S207" s="564" t="s">
        <v>77</v>
      </c>
      <c r="T207" s="564">
        <v>45408</v>
      </c>
      <c r="U207" s="530" t="s">
        <v>921</v>
      </c>
      <c r="V207" s="564" t="s">
        <v>618</v>
      </c>
      <c r="W207" s="592">
        <v>94.9298</v>
      </c>
      <c r="X207" s="593">
        <f t="shared" ref="X207:X209" si="89">W207*L207</f>
        <v>1613.8066</v>
      </c>
      <c r="Y207" s="401" t="s">
        <v>922</v>
      </c>
      <c r="Z207" s="607" t="s">
        <v>386</v>
      </c>
      <c r="AA207" s="1453" t="s">
        <v>128</v>
      </c>
      <c r="AB207" s="608"/>
      <c r="AC207" s="608"/>
      <c r="AD207" s="608"/>
      <c r="AE207" s="564" t="s">
        <v>80</v>
      </c>
      <c r="AF207" s="564"/>
      <c r="AG207" s="608">
        <f t="shared" si="81"/>
        <v>1020</v>
      </c>
      <c r="AH207" s="608"/>
      <c r="AI207" s="608"/>
      <c r="AJ207" s="608"/>
      <c r="AK207" s="401">
        <f t="shared" si="88"/>
        <v>1020</v>
      </c>
      <c r="AM207" s="609"/>
      <c r="AN207" s="609"/>
      <c r="AO207" s="609">
        <f t="shared" ref="AO207:AO209" si="90">AG207</f>
        <v>1020</v>
      </c>
      <c r="AP207" s="609"/>
      <c r="AQ207" s="609"/>
      <c r="AR207" s="609"/>
      <c r="AS207" s="609"/>
      <c r="AT207" s="633"/>
      <c r="AU207" s="633"/>
      <c r="AV207" s="633"/>
      <c r="AW207" s="633"/>
      <c r="AX207" s="633"/>
      <c r="AY207" s="633"/>
      <c r="AZ207" s="633"/>
      <c r="BA207" s="633"/>
      <c r="BB207" s="633"/>
      <c r="BC207" s="633"/>
      <c r="BD207" s="633">
        <f>I207/60</f>
        <v>17</v>
      </c>
      <c r="BF207" s="633"/>
      <c r="BG207" s="633"/>
      <c r="BH207" s="633"/>
      <c r="BI207" s="633"/>
      <c r="BJ207" s="633"/>
      <c r="BK207" s="633"/>
      <c r="BL207" s="633"/>
      <c r="BM207" s="401">
        <f t="shared" si="79"/>
        <v>1020</v>
      </c>
      <c r="BO207" s="1473"/>
      <c r="BP207" s="1473"/>
    </row>
    <row r="208" s="200" customFormat="1" ht="36" customHeight="1" spans="1:68">
      <c r="A208" s="533">
        <v>45348</v>
      </c>
      <c r="B208" s="527" t="s">
        <v>924</v>
      </c>
      <c r="C208" s="528" t="s">
        <v>500</v>
      </c>
      <c r="D208" s="534">
        <v>4500125337</v>
      </c>
      <c r="E208" s="530">
        <v>5200004061</v>
      </c>
      <c r="F208" s="534" t="s">
        <v>925</v>
      </c>
      <c r="G208" s="531" t="s">
        <v>259</v>
      </c>
      <c r="H208" s="532" t="s">
        <v>74</v>
      </c>
      <c r="I208" s="401">
        <v>3000</v>
      </c>
      <c r="J208" s="562">
        <v>0</v>
      </c>
      <c r="K208" s="531">
        <v>12</v>
      </c>
      <c r="L208" s="401">
        <f t="shared" si="86"/>
        <v>250</v>
      </c>
      <c r="M208" s="563">
        <v>45428</v>
      </c>
      <c r="N208" s="1495">
        <v>45433</v>
      </c>
      <c r="O208" s="564"/>
      <c r="P208" s="564" t="s">
        <v>92</v>
      </c>
      <c r="Q208" s="564" t="s">
        <v>920</v>
      </c>
      <c r="R208" s="564">
        <v>45399</v>
      </c>
      <c r="S208" s="564" t="s">
        <v>77</v>
      </c>
      <c r="T208" s="564" t="s">
        <v>926</v>
      </c>
      <c r="U208" s="530" t="s">
        <v>927</v>
      </c>
      <c r="V208" s="596" t="s">
        <v>255</v>
      </c>
      <c r="W208" s="592">
        <v>1.407</v>
      </c>
      <c r="X208" s="593">
        <f t="shared" si="89"/>
        <v>351.75</v>
      </c>
      <c r="Y208" s="401" t="s">
        <v>928</v>
      </c>
      <c r="Z208" s="607" t="s">
        <v>249</v>
      </c>
      <c r="AA208" s="1453" t="s">
        <v>128</v>
      </c>
      <c r="AB208" s="608"/>
      <c r="AC208" s="608"/>
      <c r="AD208" s="608"/>
      <c r="AE208" s="564" t="s">
        <v>80</v>
      </c>
      <c r="AF208" s="564"/>
      <c r="AG208" s="608">
        <f t="shared" si="81"/>
        <v>3000</v>
      </c>
      <c r="AH208" s="608"/>
      <c r="AI208" s="608"/>
      <c r="AJ208" s="608"/>
      <c r="AK208" s="609"/>
      <c r="AL208" s="609">
        <f>AG208</f>
        <v>3000</v>
      </c>
      <c r="AM208" s="609"/>
      <c r="AN208" s="609"/>
      <c r="AO208" s="609">
        <f t="shared" si="90"/>
        <v>3000</v>
      </c>
      <c r="AP208" s="609"/>
      <c r="AQ208" s="609"/>
      <c r="AR208" s="609"/>
      <c r="AS208" s="609"/>
      <c r="AT208" s="633"/>
      <c r="AU208" s="633"/>
      <c r="AV208" s="633"/>
      <c r="AW208" s="401"/>
      <c r="AX208" s="633">
        <f>I208/12</f>
        <v>250</v>
      </c>
      <c r="AY208" s="633"/>
      <c r="AZ208" s="633"/>
      <c r="BA208" s="633"/>
      <c r="BB208" s="633"/>
      <c r="BC208" s="633"/>
      <c r="BD208" s="633"/>
      <c r="BE208" s="633"/>
      <c r="BF208" s="633"/>
      <c r="BG208" s="633"/>
      <c r="BH208" s="633"/>
      <c r="BI208" s="633"/>
      <c r="BJ208" s="633"/>
      <c r="BK208" s="633"/>
      <c r="BL208" s="633"/>
      <c r="BM208" s="401">
        <f t="shared" si="79"/>
        <v>3000</v>
      </c>
      <c r="BO208" s="1473"/>
      <c r="BP208" s="1473"/>
    </row>
    <row r="209" s="200" customFormat="1" ht="36" customHeight="1" spans="1:68">
      <c r="A209" s="533">
        <v>45348</v>
      </c>
      <c r="B209" s="527" t="s">
        <v>924</v>
      </c>
      <c r="C209" s="528" t="s">
        <v>500</v>
      </c>
      <c r="D209" s="534">
        <v>4500125337</v>
      </c>
      <c r="E209" s="530">
        <v>5200004061</v>
      </c>
      <c r="F209" s="534" t="s">
        <v>929</v>
      </c>
      <c r="G209" s="531" t="s">
        <v>930</v>
      </c>
      <c r="H209" s="532" t="s">
        <v>74</v>
      </c>
      <c r="I209" s="1513">
        <v>15000</v>
      </c>
      <c r="J209" s="562">
        <v>0</v>
      </c>
      <c r="K209" s="531">
        <v>60</v>
      </c>
      <c r="L209" s="1514">
        <f t="shared" si="86"/>
        <v>250</v>
      </c>
      <c r="M209" s="563">
        <v>45428</v>
      </c>
      <c r="N209" s="1495">
        <v>45433</v>
      </c>
      <c r="O209" s="564" t="s">
        <v>931</v>
      </c>
      <c r="P209" s="564" t="s">
        <v>92</v>
      </c>
      <c r="Q209" s="564" t="s">
        <v>920</v>
      </c>
      <c r="R209" s="564">
        <v>45399</v>
      </c>
      <c r="S209" s="564" t="s">
        <v>77</v>
      </c>
      <c r="T209" s="564" t="s">
        <v>926</v>
      </c>
      <c r="U209" s="1499" t="s">
        <v>932</v>
      </c>
      <c r="V209" s="564" t="s">
        <v>410</v>
      </c>
      <c r="W209" s="592">
        <v>94.322</v>
      </c>
      <c r="X209" s="593">
        <f t="shared" si="89"/>
        <v>23580.5</v>
      </c>
      <c r="Y209" s="401" t="s">
        <v>928</v>
      </c>
      <c r="Z209" s="607" t="s">
        <v>391</v>
      </c>
      <c r="AA209" s="1453" t="s">
        <v>128</v>
      </c>
      <c r="AB209" s="608"/>
      <c r="AC209" s="608"/>
      <c r="AD209" s="608"/>
      <c r="AE209" s="564" t="s">
        <v>80</v>
      </c>
      <c r="AF209" s="564"/>
      <c r="AG209" s="608">
        <f t="shared" si="81"/>
        <v>15000</v>
      </c>
      <c r="AH209" s="608"/>
      <c r="AI209" s="608"/>
      <c r="AJ209" s="608"/>
      <c r="AK209" s="609"/>
      <c r="AL209" s="401">
        <f t="shared" si="87"/>
        <v>15000</v>
      </c>
      <c r="AM209" s="609"/>
      <c r="AN209" s="609"/>
      <c r="AO209" s="609">
        <f t="shared" si="90"/>
        <v>15000</v>
      </c>
      <c r="AP209" s="609"/>
      <c r="AQ209" s="609"/>
      <c r="AR209" s="609"/>
      <c r="AS209" s="609"/>
      <c r="AT209" s="633"/>
      <c r="AU209" s="633"/>
      <c r="AV209" s="633"/>
      <c r="AW209" s="401"/>
      <c r="AX209" s="633"/>
      <c r="AY209" s="633"/>
      <c r="AZ209" s="633"/>
      <c r="BA209" s="633"/>
      <c r="BB209" s="633"/>
      <c r="BC209" s="633"/>
      <c r="BD209" s="633"/>
      <c r="BE209" s="633">
        <f>I209/60</f>
        <v>250</v>
      </c>
      <c r="BF209" s="633"/>
      <c r="BG209" s="633"/>
      <c r="BH209" s="633"/>
      <c r="BI209" s="633"/>
      <c r="BJ209" s="633"/>
      <c r="BK209" s="633"/>
      <c r="BL209" s="633"/>
      <c r="BM209" s="401">
        <f t="shared" si="79"/>
        <v>15000</v>
      </c>
      <c r="BO209" s="1473"/>
      <c r="BP209" s="1473"/>
    </row>
    <row r="210" s="200" customFormat="1" ht="36" customHeight="1" spans="1:68">
      <c r="A210" s="533">
        <v>45401</v>
      </c>
      <c r="B210" s="527" t="s">
        <v>933</v>
      </c>
      <c r="C210" s="528" t="s">
        <v>934</v>
      </c>
      <c r="D210" s="534">
        <v>4500130675</v>
      </c>
      <c r="E210" s="530">
        <v>5000001492</v>
      </c>
      <c r="F210" s="534" t="s">
        <v>935</v>
      </c>
      <c r="G210" s="531" t="s">
        <v>160</v>
      </c>
      <c r="H210" s="532" t="s">
        <v>74</v>
      </c>
      <c r="I210" s="401">
        <v>7332</v>
      </c>
      <c r="J210" s="562">
        <v>0</v>
      </c>
      <c r="K210" s="531">
        <v>13</v>
      </c>
      <c r="L210" s="401">
        <f t="shared" si="86"/>
        <v>564</v>
      </c>
      <c r="M210" s="563">
        <v>45426</v>
      </c>
      <c r="N210" s="1495">
        <v>45433</v>
      </c>
      <c r="O210" s="564" t="s">
        <v>863</v>
      </c>
      <c r="P210" s="564" t="s">
        <v>92</v>
      </c>
      <c r="Q210" s="564" t="s">
        <v>936</v>
      </c>
      <c r="R210" s="564">
        <v>45401</v>
      </c>
      <c r="S210" s="564" t="s">
        <v>77</v>
      </c>
      <c r="T210" s="564">
        <v>45404</v>
      </c>
      <c r="U210" s="1499" t="s">
        <v>937</v>
      </c>
      <c r="V210" s="564" t="s">
        <v>938</v>
      </c>
      <c r="W210" s="592">
        <v>1.3778</v>
      </c>
      <c r="X210" s="593">
        <f t="shared" ref="X210:X223" si="91">I210*W210</f>
        <v>10102.0296</v>
      </c>
      <c r="Y210" s="401" t="s">
        <v>939</v>
      </c>
      <c r="Z210" s="607" t="s">
        <v>940</v>
      </c>
      <c r="AA210" s="1453" t="s">
        <v>128</v>
      </c>
      <c r="AB210" s="608"/>
      <c r="AC210" s="608"/>
      <c r="AD210" s="608"/>
      <c r="AE210" s="564" t="s">
        <v>80</v>
      </c>
      <c r="AF210" s="564"/>
      <c r="AG210" s="608">
        <f t="shared" si="81"/>
        <v>7332</v>
      </c>
      <c r="AH210" s="608"/>
      <c r="AI210" s="608"/>
      <c r="AJ210" s="608"/>
      <c r="AK210" s="609">
        <f t="shared" si="88"/>
        <v>7332</v>
      </c>
      <c r="AL210" s="609"/>
      <c r="AM210" s="609"/>
      <c r="AN210" s="609"/>
      <c r="AR210" s="609">
        <f>I210</f>
        <v>7332</v>
      </c>
      <c r="AS210" s="609"/>
      <c r="AT210" s="633"/>
      <c r="AU210" s="633"/>
      <c r="AV210" s="633"/>
      <c r="AW210" s="633"/>
      <c r="AX210" s="633"/>
      <c r="AY210" s="633">
        <f t="shared" ref="AY210:AY214" si="92">I210/13</f>
        <v>564</v>
      </c>
      <c r="AZ210" s="633"/>
      <c r="BA210" s="633"/>
      <c r="BB210" s="633"/>
      <c r="BC210" s="633"/>
      <c r="BD210" s="633"/>
      <c r="BE210" s="633"/>
      <c r="BF210" s="633"/>
      <c r="BG210" s="633"/>
      <c r="BH210" s="633"/>
      <c r="BI210" s="633"/>
      <c r="BJ210" s="633"/>
      <c r="BK210" s="633"/>
      <c r="BL210" s="633"/>
      <c r="BM210" s="401">
        <f t="shared" si="79"/>
        <v>7332</v>
      </c>
      <c r="BO210" s="1473"/>
      <c r="BP210" s="1473"/>
    </row>
    <row r="211" s="200" customFormat="1" ht="36" customHeight="1" spans="1:68">
      <c r="A211" s="533">
        <v>45362</v>
      </c>
      <c r="B211" s="527" t="s">
        <v>523</v>
      </c>
      <c r="C211" s="528" t="s">
        <v>351</v>
      </c>
      <c r="D211" s="534">
        <v>4500126515</v>
      </c>
      <c r="E211" s="530">
        <v>2300874229</v>
      </c>
      <c r="F211" s="534" t="s">
        <v>941</v>
      </c>
      <c r="G211" s="1493" t="s">
        <v>826</v>
      </c>
      <c r="H211" s="532" t="s">
        <v>74</v>
      </c>
      <c r="I211" s="1496">
        <v>15050</v>
      </c>
      <c r="J211" s="1496">
        <v>0</v>
      </c>
      <c r="K211" s="1496">
        <v>25</v>
      </c>
      <c r="L211" s="1496">
        <f t="shared" si="86"/>
        <v>602</v>
      </c>
      <c r="M211" s="563">
        <v>45427</v>
      </c>
      <c r="N211" s="1495">
        <v>45433</v>
      </c>
      <c r="O211" s="564" t="s">
        <v>863</v>
      </c>
      <c r="P211" s="564" t="s">
        <v>92</v>
      </c>
      <c r="Q211" s="564" t="s">
        <v>942</v>
      </c>
      <c r="R211" s="564">
        <v>45366</v>
      </c>
      <c r="S211" s="564" t="s">
        <v>77</v>
      </c>
      <c r="T211" s="564" t="s">
        <v>77</v>
      </c>
      <c r="U211" s="530" t="s">
        <v>943</v>
      </c>
      <c r="V211" s="564" t="s">
        <v>529</v>
      </c>
      <c r="W211" s="592">
        <v>1.4243</v>
      </c>
      <c r="X211" s="593">
        <f t="shared" si="91"/>
        <v>21435.715</v>
      </c>
      <c r="Y211" s="401" t="s">
        <v>944</v>
      </c>
      <c r="Z211" s="607" t="s">
        <v>945</v>
      </c>
      <c r="AA211" s="1453" t="s">
        <v>128</v>
      </c>
      <c r="AB211" s="608"/>
      <c r="AC211" s="608"/>
      <c r="AD211" s="608"/>
      <c r="AE211" s="564" t="s">
        <v>80</v>
      </c>
      <c r="AF211" s="564"/>
      <c r="AG211" s="608">
        <f t="shared" si="81"/>
        <v>15050</v>
      </c>
      <c r="AH211" s="608"/>
      <c r="AI211" s="608"/>
      <c r="AJ211" s="608"/>
      <c r="AK211" s="609"/>
      <c r="AL211" s="401"/>
      <c r="AM211" s="401"/>
      <c r="AN211" s="609">
        <f>I211</f>
        <v>15050</v>
      </c>
      <c r="AO211" s="609">
        <f t="shared" ref="AO211:AO220" si="93">I211</f>
        <v>15050</v>
      </c>
      <c r="AP211" s="609"/>
      <c r="AQ211" s="609"/>
      <c r="AR211" s="609"/>
      <c r="AS211" s="609"/>
      <c r="AT211" s="633"/>
      <c r="AU211" s="633"/>
      <c r="AV211" s="633"/>
      <c r="AW211" s="633"/>
      <c r="AX211" s="633"/>
      <c r="AY211" s="633"/>
      <c r="AZ211" s="633"/>
      <c r="BA211" s="633"/>
      <c r="BB211" s="633">
        <f>I211/25</f>
        <v>602</v>
      </c>
      <c r="BC211" s="633"/>
      <c r="BD211" s="633"/>
      <c r="BE211" s="633"/>
      <c r="BF211" s="633"/>
      <c r="BG211" s="633"/>
      <c r="BH211" s="633"/>
      <c r="BI211" s="633"/>
      <c r="BJ211" s="633"/>
      <c r="BK211" s="633"/>
      <c r="BL211" s="633"/>
      <c r="BM211" s="401">
        <f t="shared" si="79"/>
        <v>15050</v>
      </c>
      <c r="BO211" s="1473"/>
      <c r="BP211" s="1473"/>
    </row>
    <row r="212" s="200" customFormat="1" ht="36" customHeight="1" spans="1:68">
      <c r="A212" s="533">
        <v>45362</v>
      </c>
      <c r="B212" s="527" t="s">
        <v>523</v>
      </c>
      <c r="C212" s="528" t="s">
        <v>351</v>
      </c>
      <c r="D212" s="534">
        <v>4500126515</v>
      </c>
      <c r="E212" s="530">
        <v>2300875206</v>
      </c>
      <c r="F212" s="534" t="s">
        <v>946</v>
      </c>
      <c r="G212" s="1493" t="s">
        <v>826</v>
      </c>
      <c r="H212" s="532" t="s">
        <v>74</v>
      </c>
      <c r="I212" s="1496">
        <v>2600</v>
      </c>
      <c r="J212" s="1496">
        <v>0</v>
      </c>
      <c r="K212" s="1496">
        <v>25</v>
      </c>
      <c r="L212" s="1496">
        <f t="shared" si="86"/>
        <v>104</v>
      </c>
      <c r="M212" s="563">
        <v>45427</v>
      </c>
      <c r="N212" s="1495">
        <v>45433</v>
      </c>
      <c r="O212" s="564"/>
      <c r="P212" s="564" t="s">
        <v>92</v>
      </c>
      <c r="Q212" s="564" t="s">
        <v>942</v>
      </c>
      <c r="R212" s="564">
        <v>45366</v>
      </c>
      <c r="S212" s="564" t="s">
        <v>77</v>
      </c>
      <c r="T212" s="564" t="s">
        <v>77</v>
      </c>
      <c r="U212" s="530" t="s">
        <v>943</v>
      </c>
      <c r="V212" s="564" t="s">
        <v>529</v>
      </c>
      <c r="W212" s="592">
        <v>1.4243</v>
      </c>
      <c r="X212" s="593">
        <f t="shared" si="91"/>
        <v>3703.18</v>
      </c>
      <c r="Y212" s="401" t="s">
        <v>944</v>
      </c>
      <c r="Z212" s="607" t="s">
        <v>945</v>
      </c>
      <c r="AA212" s="1453" t="s">
        <v>128</v>
      </c>
      <c r="AB212" s="608"/>
      <c r="AC212" s="608"/>
      <c r="AD212" s="608"/>
      <c r="AE212" s="564" t="s">
        <v>80</v>
      </c>
      <c r="AF212" s="564"/>
      <c r="AG212" s="608">
        <f t="shared" si="81"/>
        <v>2600</v>
      </c>
      <c r="AH212" s="608"/>
      <c r="AI212" s="608"/>
      <c r="AJ212" s="608"/>
      <c r="AK212" s="609"/>
      <c r="AL212" s="401"/>
      <c r="AM212" s="609"/>
      <c r="AN212" s="609">
        <f>I212</f>
        <v>2600</v>
      </c>
      <c r="AO212" s="609">
        <f t="shared" si="93"/>
        <v>2600</v>
      </c>
      <c r="AP212" s="609"/>
      <c r="AQ212" s="609"/>
      <c r="AR212" s="609"/>
      <c r="AS212" s="609"/>
      <c r="AT212" s="633"/>
      <c r="AU212" s="633"/>
      <c r="AV212" s="633"/>
      <c r="AW212" s="633"/>
      <c r="AX212" s="633"/>
      <c r="AY212" s="633"/>
      <c r="AZ212" s="633"/>
      <c r="BA212" s="633"/>
      <c r="BB212" s="633">
        <f>I212/25</f>
        <v>104</v>
      </c>
      <c r="BC212" s="633"/>
      <c r="BD212" s="633"/>
      <c r="BE212" s="633"/>
      <c r="BF212" s="633"/>
      <c r="BG212" s="633"/>
      <c r="BH212" s="633"/>
      <c r="BI212" s="633"/>
      <c r="BJ212" s="633"/>
      <c r="BK212" s="633"/>
      <c r="BL212" s="633"/>
      <c r="BM212" s="401">
        <f t="shared" si="79"/>
        <v>2600</v>
      </c>
      <c r="BO212" s="1473"/>
      <c r="BP212" s="1473"/>
    </row>
    <row r="213" s="200" customFormat="1" ht="36" customHeight="1" spans="1:71">
      <c r="A213" s="526">
        <v>45399</v>
      </c>
      <c r="B213" s="1507" t="s">
        <v>189</v>
      </c>
      <c r="C213" s="1508" t="s">
        <v>190</v>
      </c>
      <c r="D213" s="529">
        <v>4500130307</v>
      </c>
      <c r="E213" s="1509">
        <v>20029320</v>
      </c>
      <c r="F213" s="529" t="s">
        <v>947</v>
      </c>
      <c r="G213" s="1510" t="s">
        <v>160</v>
      </c>
      <c r="H213" s="532" t="s">
        <v>74</v>
      </c>
      <c r="I213" s="401">
        <v>4446</v>
      </c>
      <c r="J213" s="562">
        <v>0</v>
      </c>
      <c r="K213" s="531">
        <v>13</v>
      </c>
      <c r="L213" s="401">
        <f t="shared" si="86"/>
        <v>342</v>
      </c>
      <c r="M213" s="1495">
        <v>45433</v>
      </c>
      <c r="N213" s="1495">
        <v>45433</v>
      </c>
      <c r="O213" s="1515"/>
      <c r="P213" s="564" t="s">
        <v>92</v>
      </c>
      <c r="Q213" s="1515" t="s">
        <v>948</v>
      </c>
      <c r="R213" s="569">
        <v>45411</v>
      </c>
      <c r="S213" s="564" t="s">
        <v>123</v>
      </c>
      <c r="T213" s="1519" t="s">
        <v>949</v>
      </c>
      <c r="U213" s="1509" t="s">
        <v>950</v>
      </c>
      <c r="V213" s="1509" t="s">
        <v>194</v>
      </c>
      <c r="W213" s="592">
        <v>1.4432</v>
      </c>
      <c r="X213" s="593">
        <f t="shared" si="91"/>
        <v>6416.4672</v>
      </c>
      <c r="Y213" s="616" t="s">
        <v>951</v>
      </c>
      <c r="Z213" s="607" t="s">
        <v>160</v>
      </c>
      <c r="AA213" s="1525" t="s">
        <v>128</v>
      </c>
      <c r="AB213" s="614"/>
      <c r="AC213" s="614"/>
      <c r="AD213" s="614"/>
      <c r="AE213" s="1515" t="s">
        <v>80</v>
      </c>
      <c r="AF213" s="1515"/>
      <c r="AG213" s="608">
        <f t="shared" si="81"/>
        <v>4446</v>
      </c>
      <c r="AH213" s="614"/>
      <c r="AI213" s="614"/>
      <c r="AJ213" s="615"/>
      <c r="AK213" s="609">
        <f t="shared" ref="AK213:AK227" si="94">I213</f>
        <v>4446</v>
      </c>
      <c r="AL213" s="615"/>
      <c r="AM213" s="615"/>
      <c r="AN213" s="615"/>
      <c r="AO213" s="609">
        <f t="shared" si="93"/>
        <v>4446</v>
      </c>
      <c r="AP213" s="615"/>
      <c r="AQ213" s="615"/>
      <c r="AR213" s="615"/>
      <c r="AS213" s="615"/>
      <c r="AT213" s="1526"/>
      <c r="AU213" s="1526"/>
      <c r="AV213" s="1526"/>
      <c r="AW213" s="616"/>
      <c r="AX213" s="632"/>
      <c r="AY213" s="633">
        <f t="shared" si="92"/>
        <v>342</v>
      </c>
      <c r="AZ213" s="632"/>
      <c r="BA213" s="632"/>
      <c r="BB213" s="632"/>
      <c r="BC213" s="632"/>
      <c r="BD213" s="632"/>
      <c r="BE213" s="632"/>
      <c r="BF213" s="632"/>
      <c r="BG213" s="632"/>
      <c r="BH213" s="632"/>
      <c r="BI213" s="632"/>
      <c r="BJ213" s="632"/>
      <c r="BK213" s="632"/>
      <c r="BL213" s="632"/>
      <c r="BM213" s="201">
        <f t="shared" si="79"/>
        <v>4446</v>
      </c>
      <c r="BN213" s="199"/>
      <c r="BO213" s="198"/>
      <c r="BP213" s="198"/>
      <c r="BQ213" s="199"/>
      <c r="BR213" s="199"/>
      <c r="BS213" s="199"/>
    </row>
    <row r="214" s="200" customFormat="1" ht="36" customHeight="1" spans="1:71">
      <c r="A214" s="526">
        <v>45399</v>
      </c>
      <c r="B214" s="1507" t="s">
        <v>232</v>
      </c>
      <c r="C214" s="1508" t="s">
        <v>233</v>
      </c>
      <c r="D214" s="529">
        <v>4500130331</v>
      </c>
      <c r="E214" s="1509">
        <v>20029321</v>
      </c>
      <c r="F214" s="529" t="s">
        <v>952</v>
      </c>
      <c r="G214" s="1510" t="s">
        <v>160</v>
      </c>
      <c r="H214" s="532" t="s">
        <v>74</v>
      </c>
      <c r="I214" s="401">
        <v>273</v>
      </c>
      <c r="J214" s="562">
        <v>0</v>
      </c>
      <c r="K214" s="531">
        <v>13</v>
      </c>
      <c r="L214" s="401">
        <f t="shared" si="86"/>
        <v>21</v>
      </c>
      <c r="M214" s="1495">
        <v>45433</v>
      </c>
      <c r="N214" s="1495">
        <v>45433</v>
      </c>
      <c r="O214" s="1515"/>
      <c r="P214" s="564" t="s">
        <v>92</v>
      </c>
      <c r="Q214" s="1515" t="s">
        <v>948</v>
      </c>
      <c r="R214" s="569">
        <v>45411</v>
      </c>
      <c r="S214" s="564" t="s">
        <v>123</v>
      </c>
      <c r="T214" s="1519" t="s">
        <v>949</v>
      </c>
      <c r="U214" s="1509" t="s">
        <v>953</v>
      </c>
      <c r="V214" s="1509" t="s">
        <v>194</v>
      </c>
      <c r="W214" s="592">
        <v>1.4483</v>
      </c>
      <c r="X214" s="593">
        <f t="shared" si="91"/>
        <v>395.3859</v>
      </c>
      <c r="Y214" s="616" t="s">
        <v>954</v>
      </c>
      <c r="Z214" s="607" t="s">
        <v>160</v>
      </c>
      <c r="AA214" s="1525" t="s">
        <v>128</v>
      </c>
      <c r="AB214" s="614"/>
      <c r="AC214" s="614"/>
      <c r="AD214" s="614"/>
      <c r="AE214" s="1515" t="s">
        <v>80</v>
      </c>
      <c r="AF214" s="1515"/>
      <c r="AG214" s="608">
        <f t="shared" si="81"/>
        <v>273</v>
      </c>
      <c r="AH214" s="614"/>
      <c r="AI214" s="614"/>
      <c r="AJ214" s="615"/>
      <c r="AK214" s="609">
        <f t="shared" si="94"/>
        <v>273</v>
      </c>
      <c r="AL214" s="615"/>
      <c r="AM214" s="615"/>
      <c r="AN214" s="615"/>
      <c r="AO214" s="609">
        <f t="shared" si="93"/>
        <v>273</v>
      </c>
      <c r="AP214" s="615"/>
      <c r="AQ214" s="615"/>
      <c r="AR214" s="615"/>
      <c r="AS214" s="615"/>
      <c r="AT214" s="1526"/>
      <c r="AU214" s="1526"/>
      <c r="AV214" s="1526"/>
      <c r="AW214" s="616"/>
      <c r="AX214" s="632"/>
      <c r="AY214" s="633">
        <f t="shared" si="92"/>
        <v>21</v>
      </c>
      <c r="AZ214" s="632"/>
      <c r="BA214" s="632"/>
      <c r="BB214" s="632"/>
      <c r="BC214" s="632"/>
      <c r="BD214" s="632"/>
      <c r="BE214" s="632"/>
      <c r="BF214" s="632"/>
      <c r="BG214" s="632"/>
      <c r="BH214" s="632"/>
      <c r="BI214" s="632"/>
      <c r="BJ214" s="632"/>
      <c r="BK214" s="632"/>
      <c r="BL214" s="632"/>
      <c r="BM214" s="201">
        <f t="shared" si="79"/>
        <v>273</v>
      </c>
      <c r="BN214" s="199"/>
      <c r="BO214" s="198"/>
      <c r="BP214" s="198"/>
      <c r="BQ214" s="199"/>
      <c r="BR214" s="199"/>
      <c r="BS214" s="199"/>
    </row>
    <row r="215" s="200" customFormat="1" ht="36" customHeight="1" spans="1:68">
      <c r="A215" s="533">
        <v>45384</v>
      </c>
      <c r="B215" s="527" t="s">
        <v>955</v>
      </c>
      <c r="C215" s="528" t="s">
        <v>213</v>
      </c>
      <c r="D215" s="534">
        <v>4500128687</v>
      </c>
      <c r="E215" s="530" t="s">
        <v>956</v>
      </c>
      <c r="F215" s="534" t="s">
        <v>957</v>
      </c>
      <c r="G215" s="1493" t="s">
        <v>96</v>
      </c>
      <c r="H215" s="532" t="s">
        <v>74</v>
      </c>
      <c r="I215" s="1496">
        <v>50</v>
      </c>
      <c r="J215" s="1496">
        <v>0</v>
      </c>
      <c r="K215" s="1496">
        <v>50</v>
      </c>
      <c r="L215" s="1496">
        <f t="shared" si="86"/>
        <v>1</v>
      </c>
      <c r="M215" s="563">
        <v>45427</v>
      </c>
      <c r="N215" s="1495">
        <v>45433</v>
      </c>
      <c r="O215" s="564"/>
      <c r="P215" s="564" t="s">
        <v>92</v>
      </c>
      <c r="Q215" s="564" t="s">
        <v>958</v>
      </c>
      <c r="R215" s="564">
        <v>45397</v>
      </c>
      <c r="S215" s="564" t="s">
        <v>77</v>
      </c>
      <c r="T215" s="564" t="s">
        <v>77</v>
      </c>
      <c r="U215" s="530" t="s">
        <v>959</v>
      </c>
      <c r="V215" s="564" t="s">
        <v>218</v>
      </c>
      <c r="W215" s="592">
        <v>1.4395</v>
      </c>
      <c r="X215" s="593">
        <f t="shared" si="91"/>
        <v>71.975</v>
      </c>
      <c r="Y215" s="401" t="s">
        <v>960</v>
      </c>
      <c r="Z215" s="607" t="s">
        <v>96</v>
      </c>
      <c r="AA215" s="1453" t="s">
        <v>128</v>
      </c>
      <c r="AB215" s="608"/>
      <c r="AC215" s="608"/>
      <c r="AD215" s="608"/>
      <c r="AE215" s="564" t="s">
        <v>80</v>
      </c>
      <c r="AF215" s="564"/>
      <c r="AG215" s="608">
        <f t="shared" si="81"/>
        <v>50</v>
      </c>
      <c r="AH215" s="608"/>
      <c r="AI215" s="608"/>
      <c r="AJ215" s="608"/>
      <c r="AK215" s="609">
        <f t="shared" si="94"/>
        <v>50</v>
      </c>
      <c r="AL215" s="401"/>
      <c r="AM215" s="609"/>
      <c r="AN215" s="609"/>
      <c r="AO215" s="609">
        <f t="shared" si="93"/>
        <v>50</v>
      </c>
      <c r="AP215" s="609"/>
      <c r="AQ215" s="609"/>
      <c r="AR215" s="609"/>
      <c r="AS215" s="609"/>
      <c r="AT215" s="633"/>
      <c r="AU215" s="633"/>
      <c r="AV215" s="633"/>
      <c r="AW215" s="633"/>
      <c r="AX215" s="633"/>
      <c r="AY215" s="633"/>
      <c r="AZ215" s="633"/>
      <c r="BA215" s="633">
        <f>I215/25</f>
        <v>2</v>
      </c>
      <c r="BB215" s="633"/>
      <c r="BC215" s="633"/>
      <c r="BD215" s="633"/>
      <c r="BE215" s="633"/>
      <c r="BF215" s="633"/>
      <c r="BG215" s="633"/>
      <c r="BH215" s="633"/>
      <c r="BI215" s="633"/>
      <c r="BJ215" s="633"/>
      <c r="BK215" s="633"/>
      <c r="BL215" s="633"/>
      <c r="BM215" s="401">
        <f t="shared" si="79"/>
        <v>50</v>
      </c>
      <c r="BO215" s="1473"/>
      <c r="BP215" s="1473"/>
    </row>
    <row r="216" s="200" customFormat="1" ht="36" customHeight="1" spans="1:68">
      <c r="A216" s="533">
        <v>45384</v>
      </c>
      <c r="B216" s="527" t="s">
        <v>955</v>
      </c>
      <c r="C216" s="528" t="s">
        <v>213</v>
      </c>
      <c r="D216" s="534">
        <v>4500128745</v>
      </c>
      <c r="E216" s="530" t="s">
        <v>961</v>
      </c>
      <c r="F216" s="534" t="s">
        <v>962</v>
      </c>
      <c r="G216" s="1493" t="s">
        <v>96</v>
      </c>
      <c r="H216" s="532" t="s">
        <v>74</v>
      </c>
      <c r="I216" s="1496">
        <v>1250</v>
      </c>
      <c r="J216" s="1496">
        <v>0</v>
      </c>
      <c r="K216" s="1496">
        <v>50</v>
      </c>
      <c r="L216" s="1496">
        <f t="shared" si="86"/>
        <v>25</v>
      </c>
      <c r="M216" s="563">
        <v>45427</v>
      </c>
      <c r="N216" s="1495">
        <v>45433</v>
      </c>
      <c r="O216" s="564"/>
      <c r="P216" s="564" t="s">
        <v>92</v>
      </c>
      <c r="Q216" s="564" t="s">
        <v>963</v>
      </c>
      <c r="R216" s="564">
        <v>45397</v>
      </c>
      <c r="S216" s="564" t="s">
        <v>77</v>
      </c>
      <c r="T216" s="564" t="s">
        <v>77</v>
      </c>
      <c r="U216" s="530" t="s">
        <v>959</v>
      </c>
      <c r="V216" s="564" t="s">
        <v>218</v>
      </c>
      <c r="W216" s="592">
        <v>1.4344</v>
      </c>
      <c r="X216" s="593">
        <f t="shared" si="91"/>
        <v>1793</v>
      </c>
      <c r="Y216" s="401" t="s">
        <v>964</v>
      </c>
      <c r="Z216" s="607" t="s">
        <v>96</v>
      </c>
      <c r="AA216" s="1453" t="s">
        <v>128</v>
      </c>
      <c r="AB216" s="608"/>
      <c r="AC216" s="608"/>
      <c r="AD216" s="608"/>
      <c r="AE216" s="564" t="s">
        <v>80</v>
      </c>
      <c r="AF216" s="564"/>
      <c r="AG216" s="608">
        <f t="shared" si="81"/>
        <v>1250</v>
      </c>
      <c r="AH216" s="608"/>
      <c r="AI216" s="608"/>
      <c r="AJ216" s="608"/>
      <c r="AK216" s="609">
        <f t="shared" si="94"/>
        <v>1250</v>
      </c>
      <c r="AL216" s="401"/>
      <c r="AM216" s="609"/>
      <c r="AN216" s="609"/>
      <c r="AO216" s="609">
        <f t="shared" si="93"/>
        <v>1250</v>
      </c>
      <c r="AP216" s="609"/>
      <c r="AQ216" s="609"/>
      <c r="AR216" s="609"/>
      <c r="AS216" s="609"/>
      <c r="AT216" s="633"/>
      <c r="AU216" s="633"/>
      <c r="AV216" s="633"/>
      <c r="AW216" s="633"/>
      <c r="AX216" s="633"/>
      <c r="AY216" s="633"/>
      <c r="AZ216" s="633"/>
      <c r="BA216" s="633">
        <f>I216/25</f>
        <v>50</v>
      </c>
      <c r="BB216" s="633"/>
      <c r="BC216" s="633"/>
      <c r="BD216" s="633"/>
      <c r="BE216" s="633"/>
      <c r="BF216" s="633"/>
      <c r="BG216" s="633"/>
      <c r="BH216" s="633"/>
      <c r="BI216" s="633"/>
      <c r="BJ216" s="633"/>
      <c r="BK216" s="633"/>
      <c r="BL216" s="633"/>
      <c r="BM216" s="401">
        <f t="shared" si="79"/>
        <v>1250</v>
      </c>
      <c r="BO216" s="1473"/>
      <c r="BP216" s="1473"/>
    </row>
    <row r="217" s="200" customFormat="1" ht="36" customHeight="1" spans="1:68">
      <c r="A217" s="533">
        <v>45355</v>
      </c>
      <c r="B217" s="527" t="s">
        <v>965</v>
      </c>
      <c r="C217" s="528" t="s">
        <v>117</v>
      </c>
      <c r="D217" s="534">
        <v>4500125354</v>
      </c>
      <c r="E217" s="530" t="s">
        <v>966</v>
      </c>
      <c r="F217" s="534" t="s">
        <v>967</v>
      </c>
      <c r="G217" s="531" t="s">
        <v>215</v>
      </c>
      <c r="H217" s="532" t="s">
        <v>74</v>
      </c>
      <c r="I217" s="401">
        <v>42</v>
      </c>
      <c r="J217" s="562">
        <v>0</v>
      </c>
      <c r="K217" s="531">
        <v>42</v>
      </c>
      <c r="L217" s="401">
        <f t="shared" si="86"/>
        <v>1</v>
      </c>
      <c r="M217" s="563">
        <v>45432</v>
      </c>
      <c r="N217" s="1495">
        <v>45433</v>
      </c>
      <c r="O217" s="564" t="s">
        <v>968</v>
      </c>
      <c r="P217" s="564" t="s">
        <v>92</v>
      </c>
      <c r="Q217" s="564" t="s">
        <v>969</v>
      </c>
      <c r="R217" s="564">
        <v>45391</v>
      </c>
      <c r="S217" s="564" t="s">
        <v>123</v>
      </c>
      <c r="T217" s="564">
        <v>45408</v>
      </c>
      <c r="U217" s="1499" t="s">
        <v>970</v>
      </c>
      <c r="V217" s="564" t="s">
        <v>971</v>
      </c>
      <c r="W217" s="592">
        <v>1.4389</v>
      </c>
      <c r="X217" s="593">
        <f t="shared" si="91"/>
        <v>60.4338</v>
      </c>
      <c r="Y217" s="401" t="s">
        <v>972</v>
      </c>
      <c r="Z217" s="607" t="s">
        <v>215</v>
      </c>
      <c r="AA217" s="1453" t="s">
        <v>128</v>
      </c>
      <c r="AB217" s="608"/>
      <c r="AC217" s="608"/>
      <c r="AD217" s="608"/>
      <c r="AE217" s="564" t="s">
        <v>80</v>
      </c>
      <c r="AF217" s="564"/>
      <c r="AG217" s="608">
        <f t="shared" si="81"/>
        <v>42</v>
      </c>
      <c r="AH217" s="608"/>
      <c r="AI217" s="608"/>
      <c r="AJ217" s="608"/>
      <c r="AK217" s="609">
        <f t="shared" si="94"/>
        <v>42</v>
      </c>
      <c r="AL217" s="609"/>
      <c r="AM217" s="609"/>
      <c r="AN217" s="609"/>
      <c r="AO217" s="609">
        <f t="shared" si="93"/>
        <v>42</v>
      </c>
      <c r="AP217" s="609"/>
      <c r="AQ217" s="609"/>
      <c r="AR217" s="609"/>
      <c r="AS217" s="609">
        <f t="shared" ref="AS217:AS220" si="95">I217/21</f>
        <v>2</v>
      </c>
      <c r="AT217" s="633"/>
      <c r="AU217" s="633"/>
      <c r="AV217" s="633"/>
      <c r="AW217" s="401"/>
      <c r="AX217" s="633"/>
      <c r="AY217" s="633"/>
      <c r="AZ217" s="633"/>
      <c r="BA217" s="633"/>
      <c r="BB217" s="633"/>
      <c r="BC217" s="633"/>
      <c r="BD217" s="633"/>
      <c r="BE217" s="633"/>
      <c r="BF217" s="633"/>
      <c r="BG217" s="633"/>
      <c r="BH217" s="633"/>
      <c r="BI217" s="633"/>
      <c r="BJ217" s="633"/>
      <c r="BK217" s="633"/>
      <c r="BL217" s="633"/>
      <c r="BM217" s="401">
        <f t="shared" si="79"/>
        <v>42</v>
      </c>
      <c r="BO217" s="1473"/>
      <c r="BP217" s="1473"/>
    </row>
    <row r="218" s="200" customFormat="1" ht="36" customHeight="1" spans="1:68">
      <c r="A218" s="533">
        <v>45355</v>
      </c>
      <c r="B218" s="527" t="s">
        <v>965</v>
      </c>
      <c r="C218" s="528" t="s">
        <v>117</v>
      </c>
      <c r="D218" s="534">
        <v>4500125354</v>
      </c>
      <c r="E218" s="530" t="s">
        <v>973</v>
      </c>
      <c r="F218" s="534" t="s">
        <v>974</v>
      </c>
      <c r="G218" s="531" t="s">
        <v>215</v>
      </c>
      <c r="H218" s="532" t="s">
        <v>74</v>
      </c>
      <c r="I218" s="401">
        <v>126</v>
      </c>
      <c r="J218" s="562">
        <v>0</v>
      </c>
      <c r="K218" s="531">
        <v>42</v>
      </c>
      <c r="L218" s="401">
        <f t="shared" si="86"/>
        <v>3</v>
      </c>
      <c r="M218" s="563">
        <v>45432</v>
      </c>
      <c r="N218" s="1495">
        <v>45433</v>
      </c>
      <c r="O218" s="564" t="s">
        <v>968</v>
      </c>
      <c r="P218" s="564" t="s">
        <v>92</v>
      </c>
      <c r="Q218" s="564" t="s">
        <v>969</v>
      </c>
      <c r="R218" s="564">
        <v>45391</v>
      </c>
      <c r="S218" s="564" t="s">
        <v>123</v>
      </c>
      <c r="T218" s="564">
        <v>45408</v>
      </c>
      <c r="U218" s="1499" t="s">
        <v>970</v>
      </c>
      <c r="V218" s="564" t="s">
        <v>971</v>
      </c>
      <c r="W218" s="592">
        <v>1.5017</v>
      </c>
      <c r="X218" s="593">
        <f t="shared" si="91"/>
        <v>189.2142</v>
      </c>
      <c r="Y218" s="401" t="s">
        <v>972</v>
      </c>
      <c r="Z218" s="607" t="s">
        <v>215</v>
      </c>
      <c r="AA218" s="1453" t="s">
        <v>128</v>
      </c>
      <c r="AB218" s="608"/>
      <c r="AC218" s="608"/>
      <c r="AD218" s="608"/>
      <c r="AE218" s="564" t="s">
        <v>80</v>
      </c>
      <c r="AF218" s="564"/>
      <c r="AG218" s="608">
        <f t="shared" si="81"/>
        <v>126</v>
      </c>
      <c r="AH218" s="608"/>
      <c r="AI218" s="608"/>
      <c r="AJ218" s="608"/>
      <c r="AK218" s="609">
        <f t="shared" si="94"/>
        <v>126</v>
      </c>
      <c r="AL218" s="609"/>
      <c r="AM218" s="609"/>
      <c r="AN218" s="609"/>
      <c r="AO218" s="609">
        <f t="shared" si="93"/>
        <v>126</v>
      </c>
      <c r="AP218" s="609"/>
      <c r="AQ218" s="609"/>
      <c r="AR218" s="609"/>
      <c r="AS218" s="609">
        <f t="shared" si="95"/>
        <v>6</v>
      </c>
      <c r="AT218" s="633"/>
      <c r="AU218" s="633"/>
      <c r="AV218" s="633"/>
      <c r="AW218" s="401"/>
      <c r="AX218" s="633"/>
      <c r="AY218" s="633"/>
      <c r="AZ218" s="633"/>
      <c r="BA218" s="633"/>
      <c r="BB218" s="633"/>
      <c r="BC218" s="633"/>
      <c r="BD218" s="633"/>
      <c r="BE218" s="633"/>
      <c r="BF218" s="633"/>
      <c r="BG218" s="633"/>
      <c r="BH218" s="633"/>
      <c r="BI218" s="633"/>
      <c r="BJ218" s="633"/>
      <c r="BK218" s="633"/>
      <c r="BL218" s="633"/>
      <c r="BM218" s="401">
        <f t="shared" si="79"/>
        <v>126</v>
      </c>
      <c r="BO218" s="1473"/>
      <c r="BP218" s="1473"/>
    </row>
    <row r="219" s="200" customFormat="1" ht="36" customHeight="1" spans="1:68">
      <c r="A219" s="533">
        <v>45355</v>
      </c>
      <c r="B219" s="527" t="s">
        <v>965</v>
      </c>
      <c r="C219" s="528" t="s">
        <v>117</v>
      </c>
      <c r="D219" s="534">
        <v>4500125354</v>
      </c>
      <c r="E219" s="530" t="s">
        <v>975</v>
      </c>
      <c r="F219" s="534" t="s">
        <v>976</v>
      </c>
      <c r="G219" s="531" t="s">
        <v>215</v>
      </c>
      <c r="H219" s="532" t="s">
        <v>74</v>
      </c>
      <c r="I219" s="401">
        <v>294</v>
      </c>
      <c r="J219" s="562">
        <v>0</v>
      </c>
      <c r="K219" s="531">
        <v>42</v>
      </c>
      <c r="L219" s="401">
        <f t="shared" si="86"/>
        <v>7</v>
      </c>
      <c r="M219" s="563">
        <v>45432</v>
      </c>
      <c r="N219" s="1495">
        <v>45433</v>
      </c>
      <c r="O219" s="564" t="s">
        <v>968</v>
      </c>
      <c r="P219" s="564" t="s">
        <v>92</v>
      </c>
      <c r="Q219" s="564" t="s">
        <v>969</v>
      </c>
      <c r="R219" s="564">
        <v>45391</v>
      </c>
      <c r="S219" s="564" t="s">
        <v>123</v>
      </c>
      <c r="T219" s="564">
        <v>45408</v>
      </c>
      <c r="U219" s="1499" t="s">
        <v>970</v>
      </c>
      <c r="V219" s="564" t="s">
        <v>971</v>
      </c>
      <c r="W219" s="592">
        <v>1.5017</v>
      </c>
      <c r="X219" s="593">
        <f t="shared" si="91"/>
        <v>441.4998</v>
      </c>
      <c r="Y219" s="401" t="s">
        <v>972</v>
      </c>
      <c r="Z219" s="607" t="s">
        <v>215</v>
      </c>
      <c r="AA219" s="1453" t="s">
        <v>128</v>
      </c>
      <c r="AB219" s="608"/>
      <c r="AC219" s="608"/>
      <c r="AD219" s="608"/>
      <c r="AE219" s="564" t="s">
        <v>80</v>
      </c>
      <c r="AF219" s="564"/>
      <c r="AG219" s="608">
        <f t="shared" si="81"/>
        <v>294</v>
      </c>
      <c r="AH219" s="608"/>
      <c r="AI219" s="608"/>
      <c r="AJ219" s="608"/>
      <c r="AK219" s="609">
        <f t="shared" si="94"/>
        <v>294</v>
      </c>
      <c r="AL219" s="609"/>
      <c r="AM219" s="609"/>
      <c r="AN219" s="609"/>
      <c r="AO219" s="609">
        <f t="shared" si="93"/>
        <v>294</v>
      </c>
      <c r="AP219" s="609"/>
      <c r="AQ219" s="609"/>
      <c r="AR219" s="609"/>
      <c r="AS219" s="609">
        <f t="shared" si="95"/>
        <v>14</v>
      </c>
      <c r="AT219" s="633"/>
      <c r="AU219" s="633"/>
      <c r="AV219" s="633"/>
      <c r="AW219" s="401"/>
      <c r="AX219" s="633"/>
      <c r="AY219" s="633"/>
      <c r="AZ219" s="633"/>
      <c r="BA219" s="633"/>
      <c r="BB219" s="633"/>
      <c r="BC219" s="633"/>
      <c r="BD219" s="633"/>
      <c r="BE219" s="633"/>
      <c r="BF219" s="633"/>
      <c r="BG219" s="633"/>
      <c r="BH219" s="633"/>
      <c r="BI219" s="633"/>
      <c r="BJ219" s="633"/>
      <c r="BK219" s="633"/>
      <c r="BL219" s="633"/>
      <c r="BM219" s="401">
        <f t="shared" si="79"/>
        <v>294</v>
      </c>
      <c r="BO219" s="1473"/>
      <c r="BP219" s="1473"/>
    </row>
    <row r="220" s="200" customFormat="1" ht="36" customHeight="1" spans="1:68">
      <c r="A220" s="533">
        <v>45355</v>
      </c>
      <c r="B220" s="527" t="s">
        <v>965</v>
      </c>
      <c r="C220" s="528" t="s">
        <v>117</v>
      </c>
      <c r="D220" s="534">
        <v>4500125354</v>
      </c>
      <c r="E220" s="1499" t="s">
        <v>977</v>
      </c>
      <c r="F220" s="534" t="s">
        <v>978</v>
      </c>
      <c r="G220" s="531" t="s">
        <v>215</v>
      </c>
      <c r="H220" s="532" t="s">
        <v>74</v>
      </c>
      <c r="I220" s="401">
        <v>252</v>
      </c>
      <c r="J220" s="562">
        <v>0</v>
      </c>
      <c r="K220" s="531">
        <v>42</v>
      </c>
      <c r="L220" s="401">
        <f t="shared" si="86"/>
        <v>6</v>
      </c>
      <c r="M220" s="563">
        <v>45432</v>
      </c>
      <c r="N220" s="1495">
        <v>45433</v>
      </c>
      <c r="O220" s="564" t="s">
        <v>968</v>
      </c>
      <c r="P220" s="564" t="s">
        <v>92</v>
      </c>
      <c r="Q220" s="564" t="s">
        <v>969</v>
      </c>
      <c r="R220" s="564">
        <v>45404</v>
      </c>
      <c r="S220" s="564" t="s">
        <v>123</v>
      </c>
      <c r="T220" s="564">
        <v>45408</v>
      </c>
      <c r="U220" s="1499" t="s">
        <v>970</v>
      </c>
      <c r="V220" s="564" t="s">
        <v>971</v>
      </c>
      <c r="W220" s="592">
        <v>1.5017</v>
      </c>
      <c r="X220" s="593">
        <f t="shared" si="91"/>
        <v>378.4284</v>
      </c>
      <c r="Y220" s="401" t="s">
        <v>972</v>
      </c>
      <c r="Z220" s="607" t="s">
        <v>215</v>
      </c>
      <c r="AA220" s="1453" t="s">
        <v>128</v>
      </c>
      <c r="AB220" s="608"/>
      <c r="AC220" s="608"/>
      <c r="AD220" s="608"/>
      <c r="AE220" s="564" t="s">
        <v>80</v>
      </c>
      <c r="AF220" s="564"/>
      <c r="AG220" s="608">
        <f t="shared" si="81"/>
        <v>252</v>
      </c>
      <c r="AH220" s="608"/>
      <c r="AI220" s="608"/>
      <c r="AJ220" s="608"/>
      <c r="AK220" s="609">
        <f t="shared" si="94"/>
        <v>252</v>
      </c>
      <c r="AL220" s="609"/>
      <c r="AM220" s="609"/>
      <c r="AN220" s="609"/>
      <c r="AO220" s="609">
        <f t="shared" si="93"/>
        <v>252</v>
      </c>
      <c r="AP220" s="609"/>
      <c r="AQ220" s="609"/>
      <c r="AR220" s="609"/>
      <c r="AS220" s="609">
        <f t="shared" si="95"/>
        <v>12</v>
      </c>
      <c r="AT220" s="633"/>
      <c r="AU220" s="633"/>
      <c r="AV220" s="633"/>
      <c r="AW220" s="401"/>
      <c r="AX220" s="633"/>
      <c r="AY220" s="633"/>
      <c r="AZ220" s="633"/>
      <c r="BA220" s="633"/>
      <c r="BB220" s="633"/>
      <c r="BC220" s="633"/>
      <c r="BD220" s="633"/>
      <c r="BE220" s="633"/>
      <c r="BF220" s="633"/>
      <c r="BG220" s="633"/>
      <c r="BH220" s="633"/>
      <c r="BI220" s="633"/>
      <c r="BJ220" s="633"/>
      <c r="BK220" s="633"/>
      <c r="BL220" s="633"/>
      <c r="BM220" s="401">
        <f t="shared" si="79"/>
        <v>252</v>
      </c>
      <c r="BO220" s="1473"/>
      <c r="BP220" s="1473"/>
    </row>
    <row r="221" s="200" customFormat="1" ht="36" customHeight="1" spans="1:68">
      <c r="A221" s="533">
        <v>45390</v>
      </c>
      <c r="B221" s="527" t="s">
        <v>587</v>
      </c>
      <c r="C221" s="528" t="s">
        <v>117</v>
      </c>
      <c r="D221" s="534">
        <v>4500129028</v>
      </c>
      <c r="E221" s="530">
        <v>6631642396</v>
      </c>
      <c r="F221" s="534" t="s">
        <v>979</v>
      </c>
      <c r="G221" s="531" t="s">
        <v>245</v>
      </c>
      <c r="H221" s="532" t="s">
        <v>74</v>
      </c>
      <c r="I221" s="401">
        <v>8208</v>
      </c>
      <c r="J221" s="562">
        <v>0</v>
      </c>
      <c r="K221" s="531">
        <v>12</v>
      </c>
      <c r="L221" s="401">
        <f t="shared" si="86"/>
        <v>684</v>
      </c>
      <c r="M221" s="563">
        <v>45434</v>
      </c>
      <c r="N221" s="1495">
        <v>45435</v>
      </c>
      <c r="O221" s="1474" t="s">
        <v>980</v>
      </c>
      <c r="P221" s="564" t="s">
        <v>92</v>
      </c>
      <c r="Q221" s="564" t="s">
        <v>981</v>
      </c>
      <c r="R221" s="564" t="s">
        <v>836</v>
      </c>
      <c r="S221" s="564" t="s">
        <v>123</v>
      </c>
      <c r="T221" s="564" t="s">
        <v>837</v>
      </c>
      <c r="U221" s="530" t="s">
        <v>982</v>
      </c>
      <c r="V221" s="564" t="s">
        <v>634</v>
      </c>
      <c r="W221" s="592">
        <v>1.3969</v>
      </c>
      <c r="X221" s="593">
        <f t="shared" si="91"/>
        <v>11465.7552</v>
      </c>
      <c r="Y221" s="401" t="s">
        <v>983</v>
      </c>
      <c r="Z221" s="607" t="s">
        <v>245</v>
      </c>
      <c r="AA221" s="1453" t="s">
        <v>128</v>
      </c>
      <c r="AB221" s="608"/>
      <c r="AC221" s="608"/>
      <c r="AD221" s="608"/>
      <c r="AE221" s="564" t="s">
        <v>80</v>
      </c>
      <c r="AF221" s="564"/>
      <c r="AG221" s="608">
        <f t="shared" si="81"/>
        <v>8208</v>
      </c>
      <c r="AH221" s="608"/>
      <c r="AI221" s="608"/>
      <c r="AJ221" s="608"/>
      <c r="AK221" s="609">
        <f t="shared" si="94"/>
        <v>8208</v>
      </c>
      <c r="AL221" s="609"/>
      <c r="AM221" s="609"/>
      <c r="AN221" s="609"/>
      <c r="AO221" s="609"/>
      <c r="AP221" s="609"/>
      <c r="AQ221" s="609">
        <f t="shared" ref="AQ221:AQ227" si="96">I221</f>
        <v>8208</v>
      </c>
      <c r="AR221" s="609"/>
      <c r="AS221" s="609"/>
      <c r="AT221" s="633"/>
      <c r="AU221" s="633"/>
      <c r="AV221" s="633">
        <f t="shared" ref="AV221:AV226" si="97">I221/12</f>
        <v>684</v>
      </c>
      <c r="AW221" s="401"/>
      <c r="AX221" s="633"/>
      <c r="AY221" s="633"/>
      <c r="AZ221" s="633"/>
      <c r="BA221" s="633"/>
      <c r="BB221" s="633"/>
      <c r="BC221" s="633"/>
      <c r="BD221" s="633"/>
      <c r="BE221" s="633"/>
      <c r="BF221" s="633"/>
      <c r="BG221" s="633"/>
      <c r="BH221" s="633"/>
      <c r="BI221" s="633"/>
      <c r="BJ221" s="633"/>
      <c r="BK221" s="633"/>
      <c r="BL221" s="633"/>
      <c r="BM221" s="401">
        <f t="shared" si="79"/>
        <v>8208</v>
      </c>
      <c r="BO221" s="1473"/>
      <c r="BP221" s="1473"/>
    </row>
    <row r="222" s="200" customFormat="1" ht="36" customHeight="1" spans="1:68">
      <c r="A222" s="533">
        <v>45390</v>
      </c>
      <c r="B222" s="527" t="s">
        <v>587</v>
      </c>
      <c r="C222" s="528" t="s">
        <v>117</v>
      </c>
      <c r="D222" s="534">
        <v>4500129028</v>
      </c>
      <c r="E222" s="530">
        <v>6631642397</v>
      </c>
      <c r="F222" s="534" t="s">
        <v>984</v>
      </c>
      <c r="G222" s="531" t="s">
        <v>245</v>
      </c>
      <c r="H222" s="532" t="s">
        <v>74</v>
      </c>
      <c r="I222" s="401">
        <v>10488</v>
      </c>
      <c r="J222" s="562">
        <v>0</v>
      </c>
      <c r="K222" s="531">
        <v>12</v>
      </c>
      <c r="L222" s="401">
        <f t="shared" si="86"/>
        <v>874</v>
      </c>
      <c r="M222" s="563">
        <v>45434</v>
      </c>
      <c r="N222" s="1495">
        <v>45435</v>
      </c>
      <c r="O222" s="1474" t="s">
        <v>980</v>
      </c>
      <c r="P222" s="564" t="s">
        <v>92</v>
      </c>
      <c r="Q222" s="564" t="s">
        <v>981</v>
      </c>
      <c r="R222" s="564" t="s">
        <v>836</v>
      </c>
      <c r="S222" s="564" t="s">
        <v>123</v>
      </c>
      <c r="T222" s="564" t="s">
        <v>837</v>
      </c>
      <c r="U222" s="530" t="s">
        <v>982</v>
      </c>
      <c r="V222" s="564" t="s">
        <v>634</v>
      </c>
      <c r="W222" s="592">
        <v>1.3969</v>
      </c>
      <c r="X222" s="593">
        <f t="shared" si="91"/>
        <v>14650.6872</v>
      </c>
      <c r="Y222" s="401" t="s">
        <v>985</v>
      </c>
      <c r="Z222" s="607" t="s">
        <v>245</v>
      </c>
      <c r="AA222" s="1453" t="s">
        <v>128</v>
      </c>
      <c r="AB222" s="608"/>
      <c r="AC222" s="608"/>
      <c r="AD222" s="608"/>
      <c r="AE222" s="564" t="s">
        <v>80</v>
      </c>
      <c r="AF222" s="564"/>
      <c r="AG222" s="608">
        <f t="shared" si="81"/>
        <v>10488</v>
      </c>
      <c r="AH222" s="608"/>
      <c r="AI222" s="608"/>
      <c r="AJ222" s="608"/>
      <c r="AK222" s="609">
        <f t="shared" si="94"/>
        <v>10488</v>
      </c>
      <c r="AL222" s="609"/>
      <c r="AM222" s="609"/>
      <c r="AN222" s="609"/>
      <c r="AO222" s="609"/>
      <c r="AP222" s="609"/>
      <c r="AQ222" s="609">
        <f t="shared" si="96"/>
        <v>10488</v>
      </c>
      <c r="AR222" s="609"/>
      <c r="AS222" s="609"/>
      <c r="AT222" s="633"/>
      <c r="AU222" s="633"/>
      <c r="AV222" s="633">
        <f t="shared" si="97"/>
        <v>874</v>
      </c>
      <c r="AW222" s="401"/>
      <c r="AX222" s="633"/>
      <c r="AY222" s="633"/>
      <c r="AZ222" s="633"/>
      <c r="BA222" s="633"/>
      <c r="BB222" s="633"/>
      <c r="BC222" s="633"/>
      <c r="BD222" s="633"/>
      <c r="BE222" s="633"/>
      <c r="BF222" s="633"/>
      <c r="BG222" s="633"/>
      <c r="BH222" s="633"/>
      <c r="BI222" s="633"/>
      <c r="BJ222" s="633"/>
      <c r="BK222" s="633"/>
      <c r="BL222" s="633"/>
      <c r="BM222" s="401">
        <f t="shared" si="79"/>
        <v>10488</v>
      </c>
      <c r="BO222" s="1473"/>
      <c r="BP222" s="1473"/>
    </row>
    <row r="223" s="200" customFormat="1" ht="36" customHeight="1" spans="1:68">
      <c r="A223" s="533">
        <v>45390</v>
      </c>
      <c r="B223" s="527" t="s">
        <v>587</v>
      </c>
      <c r="C223" s="528" t="s">
        <v>117</v>
      </c>
      <c r="D223" s="534">
        <v>4500129028</v>
      </c>
      <c r="E223" s="530">
        <v>6631642401</v>
      </c>
      <c r="F223" s="534" t="s">
        <v>986</v>
      </c>
      <c r="G223" s="531" t="s">
        <v>245</v>
      </c>
      <c r="H223" s="532" t="s">
        <v>74</v>
      </c>
      <c r="I223" s="401">
        <v>9792</v>
      </c>
      <c r="J223" s="562">
        <v>0</v>
      </c>
      <c r="K223" s="531">
        <v>12</v>
      </c>
      <c r="L223" s="401">
        <f t="shared" si="86"/>
        <v>816</v>
      </c>
      <c r="M223" s="563">
        <v>45434</v>
      </c>
      <c r="N223" s="1495">
        <v>45435</v>
      </c>
      <c r="O223" s="1474" t="s">
        <v>980</v>
      </c>
      <c r="P223" s="564" t="s">
        <v>92</v>
      </c>
      <c r="Q223" s="564" t="s">
        <v>981</v>
      </c>
      <c r="R223" s="564" t="s">
        <v>836</v>
      </c>
      <c r="S223" s="564" t="s">
        <v>123</v>
      </c>
      <c r="T223" s="564" t="s">
        <v>837</v>
      </c>
      <c r="U223" s="530" t="s">
        <v>982</v>
      </c>
      <c r="V223" s="564" t="s">
        <v>634</v>
      </c>
      <c r="W223" s="592">
        <v>1.4019</v>
      </c>
      <c r="X223" s="593">
        <f t="shared" si="91"/>
        <v>13727.4048</v>
      </c>
      <c r="Y223" s="401" t="s">
        <v>987</v>
      </c>
      <c r="Z223" s="607" t="s">
        <v>245</v>
      </c>
      <c r="AA223" s="1453" t="s">
        <v>128</v>
      </c>
      <c r="AB223" s="608"/>
      <c r="AC223" s="608"/>
      <c r="AD223" s="608"/>
      <c r="AE223" s="564" t="s">
        <v>80</v>
      </c>
      <c r="AF223" s="564"/>
      <c r="AG223" s="608">
        <f t="shared" si="81"/>
        <v>9792</v>
      </c>
      <c r="AH223" s="608"/>
      <c r="AI223" s="608"/>
      <c r="AJ223" s="608"/>
      <c r="AK223" s="609">
        <f t="shared" si="94"/>
        <v>9792</v>
      </c>
      <c r="AL223" s="609"/>
      <c r="AM223" s="609"/>
      <c r="AN223" s="609"/>
      <c r="AO223" s="609"/>
      <c r="AP223" s="609"/>
      <c r="AQ223" s="609">
        <f t="shared" si="96"/>
        <v>9792</v>
      </c>
      <c r="AR223" s="609"/>
      <c r="AS223" s="609"/>
      <c r="AT223" s="633"/>
      <c r="AU223" s="633"/>
      <c r="AV223" s="633">
        <f t="shared" si="97"/>
        <v>816</v>
      </c>
      <c r="AW223" s="401"/>
      <c r="AX223" s="633"/>
      <c r="AY223" s="633"/>
      <c r="AZ223" s="633"/>
      <c r="BA223" s="633"/>
      <c r="BB223" s="633"/>
      <c r="BC223" s="633"/>
      <c r="BD223" s="633"/>
      <c r="BE223" s="633"/>
      <c r="BF223" s="633"/>
      <c r="BG223" s="633"/>
      <c r="BH223" s="633"/>
      <c r="BI223" s="633"/>
      <c r="BJ223" s="633"/>
      <c r="BK223" s="633"/>
      <c r="BL223" s="633"/>
      <c r="BM223" s="401">
        <f t="shared" si="79"/>
        <v>9792</v>
      </c>
      <c r="BO223" s="1473"/>
      <c r="BP223" s="1473"/>
    </row>
    <row r="224" s="200" customFormat="1" ht="36" customHeight="1" spans="1:68">
      <c r="A224" s="533">
        <v>45390</v>
      </c>
      <c r="B224" s="527" t="s">
        <v>587</v>
      </c>
      <c r="C224" s="528" t="s">
        <v>117</v>
      </c>
      <c r="D224" s="534">
        <v>4500129014</v>
      </c>
      <c r="E224" s="530">
        <v>6631646263</v>
      </c>
      <c r="F224" s="534" t="s">
        <v>988</v>
      </c>
      <c r="G224" s="531" t="s">
        <v>832</v>
      </c>
      <c r="H224" s="532" t="s">
        <v>833</v>
      </c>
      <c r="I224" s="401">
        <v>1152</v>
      </c>
      <c r="J224" s="562">
        <v>0</v>
      </c>
      <c r="K224" s="531">
        <v>1152</v>
      </c>
      <c r="L224" s="401">
        <f t="shared" si="86"/>
        <v>1</v>
      </c>
      <c r="M224" s="563">
        <v>45434</v>
      </c>
      <c r="N224" s="1495">
        <v>45435</v>
      </c>
      <c r="O224" s="1474" t="s">
        <v>980</v>
      </c>
      <c r="P224" s="564" t="s">
        <v>92</v>
      </c>
      <c r="Q224" s="564" t="s">
        <v>958</v>
      </c>
      <c r="R224" s="564" t="s">
        <v>836</v>
      </c>
      <c r="S224" s="564" t="s">
        <v>123</v>
      </c>
      <c r="T224" s="564" t="s">
        <v>837</v>
      </c>
      <c r="U224" s="530" t="s">
        <v>989</v>
      </c>
      <c r="V224" s="564" t="s">
        <v>634</v>
      </c>
      <c r="W224" s="592">
        <v>1752.1376</v>
      </c>
      <c r="X224" s="593">
        <f t="shared" ref="X224:X226" si="98">W224*L224</f>
        <v>1752.1376</v>
      </c>
      <c r="Y224" s="401" t="s">
        <v>990</v>
      </c>
      <c r="Z224" s="607" t="s">
        <v>832</v>
      </c>
      <c r="AA224" s="1453" t="s">
        <v>128</v>
      </c>
      <c r="AB224" s="608"/>
      <c r="AC224" s="608"/>
      <c r="AD224" s="608"/>
      <c r="AE224" s="564" t="s">
        <v>80</v>
      </c>
      <c r="AF224" s="564"/>
      <c r="AG224" s="608">
        <f t="shared" si="81"/>
        <v>1152</v>
      </c>
      <c r="AH224" s="608"/>
      <c r="AI224" s="608"/>
      <c r="AJ224" s="608"/>
      <c r="AK224" s="609">
        <f t="shared" si="94"/>
        <v>1152</v>
      </c>
      <c r="AL224" s="609"/>
      <c r="AM224" s="609"/>
      <c r="AN224" s="609"/>
      <c r="AO224" s="609"/>
      <c r="AP224" s="609"/>
      <c r="AQ224" s="609">
        <f t="shared" si="96"/>
        <v>1152</v>
      </c>
      <c r="AR224" s="609"/>
      <c r="AS224" s="609"/>
      <c r="AT224" s="633"/>
      <c r="AU224" s="633"/>
      <c r="AV224" s="633">
        <f t="shared" si="97"/>
        <v>96</v>
      </c>
      <c r="AW224" s="401"/>
      <c r="AX224" s="633"/>
      <c r="AY224" s="633"/>
      <c r="AZ224" s="633"/>
      <c r="BA224" s="633"/>
      <c r="BB224" s="633"/>
      <c r="BC224" s="633"/>
      <c r="BD224" s="633"/>
      <c r="BE224" s="633"/>
      <c r="BF224" s="633"/>
      <c r="BG224" s="633"/>
      <c r="BH224" s="633"/>
      <c r="BI224" s="633"/>
      <c r="BJ224" s="633"/>
      <c r="BK224" s="633"/>
      <c r="BL224" s="633"/>
      <c r="BM224" s="401">
        <f t="shared" si="79"/>
        <v>1152</v>
      </c>
      <c r="BO224" s="1473"/>
      <c r="BP224" s="1473"/>
    </row>
    <row r="225" s="200" customFormat="1" ht="36" customHeight="1" spans="1:68">
      <c r="A225" s="1484">
        <v>45392</v>
      </c>
      <c r="B225" s="1485" t="s">
        <v>587</v>
      </c>
      <c r="C225" s="1508" t="s">
        <v>117</v>
      </c>
      <c r="D225" s="1487">
        <v>4500129421</v>
      </c>
      <c r="E225" s="1488">
        <v>6631646271</v>
      </c>
      <c r="F225" s="1487" t="s">
        <v>991</v>
      </c>
      <c r="G225" s="531" t="s">
        <v>832</v>
      </c>
      <c r="H225" s="532" t="s">
        <v>833</v>
      </c>
      <c r="I225" s="401">
        <v>1152</v>
      </c>
      <c r="J225" s="562">
        <v>0</v>
      </c>
      <c r="K225" s="531">
        <v>1152</v>
      </c>
      <c r="L225" s="401">
        <f t="shared" si="86"/>
        <v>1</v>
      </c>
      <c r="M225" s="563">
        <v>45434</v>
      </c>
      <c r="N225" s="1495">
        <v>45435</v>
      </c>
      <c r="O225" s="1474" t="s">
        <v>980</v>
      </c>
      <c r="P225" s="564" t="s">
        <v>92</v>
      </c>
      <c r="Q225" s="564" t="s">
        <v>992</v>
      </c>
      <c r="R225" s="564">
        <v>45392</v>
      </c>
      <c r="S225" s="564" t="s">
        <v>123</v>
      </c>
      <c r="T225" s="564" t="s">
        <v>837</v>
      </c>
      <c r="U225" s="530" t="s">
        <v>993</v>
      </c>
      <c r="V225" s="564" t="s">
        <v>634</v>
      </c>
      <c r="W225" s="592">
        <v>1752.1376</v>
      </c>
      <c r="X225" s="593">
        <f t="shared" si="98"/>
        <v>1752.1376</v>
      </c>
      <c r="Y225" s="401" t="s">
        <v>994</v>
      </c>
      <c r="Z225" s="607" t="s">
        <v>832</v>
      </c>
      <c r="AA225" s="1453" t="s">
        <v>128</v>
      </c>
      <c r="AB225" s="608"/>
      <c r="AC225" s="608"/>
      <c r="AD225" s="608"/>
      <c r="AE225" s="564" t="s">
        <v>80</v>
      </c>
      <c r="AF225" s="564"/>
      <c r="AG225" s="608">
        <f t="shared" si="81"/>
        <v>1152</v>
      </c>
      <c r="AH225" s="608"/>
      <c r="AI225" s="608"/>
      <c r="AJ225" s="608"/>
      <c r="AK225" s="609">
        <f t="shared" si="94"/>
        <v>1152</v>
      </c>
      <c r="AL225" s="609"/>
      <c r="AM225" s="609"/>
      <c r="AN225" s="609"/>
      <c r="AO225" s="609"/>
      <c r="AP225" s="609"/>
      <c r="AQ225" s="609">
        <f t="shared" si="96"/>
        <v>1152</v>
      </c>
      <c r="AR225" s="609"/>
      <c r="AS225" s="609"/>
      <c r="AT225" s="633"/>
      <c r="AU225" s="633"/>
      <c r="AV225" s="633">
        <f t="shared" si="97"/>
        <v>96</v>
      </c>
      <c r="AW225" s="401"/>
      <c r="AX225" s="633"/>
      <c r="AY225" s="633"/>
      <c r="AZ225" s="633"/>
      <c r="BA225" s="633"/>
      <c r="BB225" s="633"/>
      <c r="BC225" s="633"/>
      <c r="BD225" s="633"/>
      <c r="BE225" s="633"/>
      <c r="BF225" s="633"/>
      <c r="BG225" s="633"/>
      <c r="BH225" s="633"/>
      <c r="BI225" s="633"/>
      <c r="BJ225" s="633"/>
      <c r="BK225" s="633"/>
      <c r="BL225" s="633"/>
      <c r="BM225" s="401">
        <f t="shared" si="79"/>
        <v>1152</v>
      </c>
      <c r="BO225" s="1473"/>
      <c r="BP225" s="1473"/>
    </row>
    <row r="226" s="200" customFormat="1" ht="36" customHeight="1" spans="1:68">
      <c r="A226" s="1484">
        <v>45392</v>
      </c>
      <c r="B226" s="1485" t="s">
        <v>587</v>
      </c>
      <c r="C226" s="1508" t="s">
        <v>117</v>
      </c>
      <c r="D226" s="1487">
        <v>4500129421</v>
      </c>
      <c r="E226" s="1488">
        <v>6631646272</v>
      </c>
      <c r="F226" s="1487" t="s">
        <v>995</v>
      </c>
      <c r="G226" s="531" t="s">
        <v>832</v>
      </c>
      <c r="H226" s="532" t="s">
        <v>833</v>
      </c>
      <c r="I226" s="401">
        <v>1152</v>
      </c>
      <c r="J226" s="562">
        <v>0</v>
      </c>
      <c r="K226" s="531">
        <v>1152</v>
      </c>
      <c r="L226" s="401">
        <f t="shared" si="86"/>
        <v>1</v>
      </c>
      <c r="M226" s="563">
        <v>45434</v>
      </c>
      <c r="N226" s="1495">
        <v>45435</v>
      </c>
      <c r="O226" s="1474" t="s">
        <v>980</v>
      </c>
      <c r="P226" s="564" t="s">
        <v>92</v>
      </c>
      <c r="Q226" s="564" t="s">
        <v>992</v>
      </c>
      <c r="R226" s="564">
        <v>45392</v>
      </c>
      <c r="S226" s="564" t="s">
        <v>123</v>
      </c>
      <c r="T226" s="564" t="s">
        <v>837</v>
      </c>
      <c r="U226" s="530" t="s">
        <v>993</v>
      </c>
      <c r="V226" s="564" t="s">
        <v>634</v>
      </c>
      <c r="W226" s="592">
        <v>1752.1376</v>
      </c>
      <c r="X226" s="593">
        <f t="shared" si="98"/>
        <v>1752.1376</v>
      </c>
      <c r="Y226" s="401" t="s">
        <v>996</v>
      </c>
      <c r="Z226" s="607" t="s">
        <v>832</v>
      </c>
      <c r="AA226" s="1453" t="s">
        <v>128</v>
      </c>
      <c r="AB226" s="608"/>
      <c r="AC226" s="608"/>
      <c r="AD226" s="608"/>
      <c r="AE226" s="564" t="s">
        <v>80</v>
      </c>
      <c r="AF226" s="564"/>
      <c r="AG226" s="608">
        <f t="shared" si="81"/>
        <v>1152</v>
      </c>
      <c r="AH226" s="608"/>
      <c r="AI226" s="608"/>
      <c r="AJ226" s="608"/>
      <c r="AK226" s="609">
        <f t="shared" si="94"/>
        <v>1152</v>
      </c>
      <c r="AL226" s="609"/>
      <c r="AM226" s="609"/>
      <c r="AN226" s="609"/>
      <c r="AO226" s="609"/>
      <c r="AP226" s="609"/>
      <c r="AQ226" s="609">
        <f t="shared" si="96"/>
        <v>1152</v>
      </c>
      <c r="AR226" s="609"/>
      <c r="AS226" s="609"/>
      <c r="AT226" s="633"/>
      <c r="AU226" s="633"/>
      <c r="AV226" s="633">
        <f t="shared" si="97"/>
        <v>96</v>
      </c>
      <c r="AW226" s="401"/>
      <c r="AX226" s="633"/>
      <c r="AY226" s="633"/>
      <c r="AZ226" s="633"/>
      <c r="BA226" s="633"/>
      <c r="BB226" s="633"/>
      <c r="BC226" s="633"/>
      <c r="BD226" s="633"/>
      <c r="BE226" s="633"/>
      <c r="BF226" s="633"/>
      <c r="BG226" s="633"/>
      <c r="BH226" s="633"/>
      <c r="BI226" s="633"/>
      <c r="BJ226" s="633"/>
      <c r="BK226" s="633"/>
      <c r="BL226" s="633"/>
      <c r="BM226" s="401">
        <f t="shared" si="79"/>
        <v>1152</v>
      </c>
      <c r="BO226" s="1473"/>
      <c r="BP226" s="1473"/>
    </row>
    <row r="227" s="200" customFormat="1" ht="36" customHeight="1" spans="1:68">
      <c r="A227" s="526">
        <v>45412</v>
      </c>
      <c r="B227" s="1507" t="s">
        <v>997</v>
      </c>
      <c r="C227" s="1508" t="s">
        <v>117</v>
      </c>
      <c r="D227" s="529">
        <v>4500132364</v>
      </c>
      <c r="E227" s="1679" t="s">
        <v>998</v>
      </c>
      <c r="F227" s="529" t="s">
        <v>999</v>
      </c>
      <c r="G227" s="1510" t="s">
        <v>1000</v>
      </c>
      <c r="H227" s="532" t="s">
        <v>74</v>
      </c>
      <c r="I227" s="401">
        <v>504</v>
      </c>
      <c r="J227" s="562">
        <v>0</v>
      </c>
      <c r="K227" s="531">
        <v>12</v>
      </c>
      <c r="L227" s="401">
        <f t="shared" si="86"/>
        <v>42</v>
      </c>
      <c r="M227" s="570">
        <v>45442</v>
      </c>
      <c r="N227" s="570">
        <v>45439</v>
      </c>
      <c r="O227" s="1516" t="s">
        <v>1001</v>
      </c>
      <c r="P227" s="564" t="s">
        <v>92</v>
      </c>
      <c r="Q227" s="1515" t="s">
        <v>1002</v>
      </c>
      <c r="R227" s="1515" t="s">
        <v>1003</v>
      </c>
      <c r="S227" s="1515" t="s">
        <v>77</v>
      </c>
      <c r="T227" s="580" t="s">
        <v>1004</v>
      </c>
      <c r="U227" s="1509" t="s">
        <v>1005</v>
      </c>
      <c r="V227" s="1515" t="s">
        <v>1006</v>
      </c>
      <c r="W227" s="1520">
        <v>1.3645</v>
      </c>
      <c r="X227" s="1521">
        <f>I227*W227</f>
        <v>687.708</v>
      </c>
      <c r="Y227" s="616" t="s">
        <v>1007</v>
      </c>
      <c r="Z227" s="1510" t="s">
        <v>1000</v>
      </c>
      <c r="AA227" s="1453" t="s">
        <v>128</v>
      </c>
      <c r="AB227" s="614"/>
      <c r="AC227" s="614"/>
      <c r="AD227" s="614"/>
      <c r="AE227" s="1515" t="s">
        <v>80</v>
      </c>
      <c r="AF227" s="1515"/>
      <c r="AG227" s="608">
        <f t="shared" si="81"/>
        <v>504</v>
      </c>
      <c r="AH227" s="614"/>
      <c r="AI227" s="614"/>
      <c r="AJ227" s="614"/>
      <c r="AK227" s="609">
        <f t="shared" si="94"/>
        <v>504</v>
      </c>
      <c r="AL227" s="615"/>
      <c r="AM227" s="615"/>
      <c r="AN227" s="615"/>
      <c r="AP227" s="615"/>
      <c r="AQ227" s="609">
        <f t="shared" si="96"/>
        <v>504</v>
      </c>
      <c r="AR227" s="615"/>
      <c r="AS227" s="615"/>
      <c r="AW227" s="616"/>
      <c r="AX227" s="632"/>
      <c r="AY227" s="632"/>
      <c r="AZ227" s="632"/>
      <c r="BA227" s="632"/>
      <c r="BB227" s="632"/>
      <c r="BC227" s="632"/>
      <c r="BD227" s="632"/>
      <c r="BE227" s="632"/>
      <c r="BF227" s="632"/>
      <c r="BG227" s="632"/>
      <c r="BH227" s="632"/>
      <c r="BI227" s="632"/>
      <c r="BJ227" s="632"/>
      <c r="BK227" s="632"/>
      <c r="BL227" s="632"/>
      <c r="BM227" s="401">
        <f t="shared" si="79"/>
        <v>504</v>
      </c>
      <c r="BO227" s="1473"/>
      <c r="BP227" s="1473"/>
    </row>
    <row r="228" s="200" customFormat="1" ht="36" customHeight="1" spans="1:68">
      <c r="A228" s="533">
        <v>45404</v>
      </c>
      <c r="B228" s="527" t="s">
        <v>561</v>
      </c>
      <c r="C228" s="528" t="s">
        <v>190</v>
      </c>
      <c r="D228" s="534">
        <v>4500130934</v>
      </c>
      <c r="E228" s="530">
        <v>2352705</v>
      </c>
      <c r="F228" s="534" t="s">
        <v>1008</v>
      </c>
      <c r="G228" s="531" t="s">
        <v>107</v>
      </c>
      <c r="H228" s="532" t="s">
        <v>74</v>
      </c>
      <c r="I228" s="1513">
        <v>510</v>
      </c>
      <c r="J228" s="562">
        <v>0</v>
      </c>
      <c r="K228" s="531">
        <v>30</v>
      </c>
      <c r="L228" s="401">
        <f t="shared" si="86"/>
        <v>17</v>
      </c>
      <c r="M228" s="563">
        <v>45432</v>
      </c>
      <c r="N228" s="1495">
        <v>45433</v>
      </c>
      <c r="O228" s="564"/>
      <c r="P228" s="564" t="s">
        <v>92</v>
      </c>
      <c r="Q228" s="564" t="s">
        <v>1009</v>
      </c>
      <c r="R228" s="564">
        <v>45411</v>
      </c>
      <c r="S228" s="564" t="s">
        <v>123</v>
      </c>
      <c r="T228" s="564">
        <v>45418</v>
      </c>
      <c r="U228" s="1499" t="s">
        <v>1010</v>
      </c>
      <c r="V228" s="564" t="s">
        <v>1011</v>
      </c>
      <c r="W228" s="592">
        <v>56.8266</v>
      </c>
      <c r="X228" s="593">
        <f t="shared" ref="X228:X231" si="99">W228*L228</f>
        <v>966.0522</v>
      </c>
      <c r="Y228" s="401" t="s">
        <v>1012</v>
      </c>
      <c r="Z228" s="531" t="s">
        <v>107</v>
      </c>
      <c r="AA228" s="1453" t="s">
        <v>128</v>
      </c>
      <c r="AB228" s="608"/>
      <c r="AC228" s="608"/>
      <c r="AD228" s="608"/>
      <c r="AE228" s="564" t="s">
        <v>80</v>
      </c>
      <c r="AF228" s="564"/>
      <c r="AG228" s="608">
        <f t="shared" si="81"/>
        <v>510</v>
      </c>
      <c r="AH228" s="608"/>
      <c r="AI228" s="608"/>
      <c r="AJ228" s="608"/>
      <c r="AK228" s="609">
        <f t="shared" ref="AK228:AK231" si="100">AG228</f>
        <v>510</v>
      </c>
      <c r="AL228" s="401"/>
      <c r="AM228" s="609"/>
      <c r="AN228" s="609"/>
      <c r="AO228" s="609">
        <f t="shared" ref="AO228:AO232" si="101">AG228</f>
        <v>510</v>
      </c>
      <c r="AP228" s="609"/>
      <c r="AQ228" s="609"/>
      <c r="AR228" s="609"/>
      <c r="AS228" s="609"/>
      <c r="AT228" s="633"/>
      <c r="AU228" s="633"/>
      <c r="AV228" s="633"/>
      <c r="AW228" s="633"/>
      <c r="AX228" s="633"/>
      <c r="AY228" s="633"/>
      <c r="AZ228" s="633"/>
      <c r="BA228" s="633"/>
      <c r="BB228" s="633"/>
      <c r="BC228" s="633"/>
      <c r="BD228" s="633"/>
      <c r="BE228" s="633"/>
      <c r="BF228" s="633">
        <f t="shared" ref="BF228:BF231" si="102">I228/30</f>
        <v>17</v>
      </c>
      <c r="BG228" s="633"/>
      <c r="BH228" s="633">
        <f t="shared" ref="BH228:BH231" si="103">BF228</f>
        <v>17</v>
      </c>
      <c r="BI228" s="633"/>
      <c r="BJ228" s="633"/>
      <c r="BK228" s="633"/>
      <c r="BL228" s="633"/>
      <c r="BM228" s="401">
        <f t="shared" si="79"/>
        <v>510</v>
      </c>
      <c r="BO228" s="1473"/>
      <c r="BP228" s="1473"/>
    </row>
    <row r="229" s="200" customFormat="1" ht="36" customHeight="1" spans="1:68">
      <c r="A229" s="533">
        <v>45404</v>
      </c>
      <c r="B229" s="527" t="s">
        <v>561</v>
      </c>
      <c r="C229" s="528" t="s">
        <v>190</v>
      </c>
      <c r="D229" s="534">
        <v>4500130934</v>
      </c>
      <c r="E229" s="530">
        <v>2352712</v>
      </c>
      <c r="F229" s="534" t="s">
        <v>1013</v>
      </c>
      <c r="G229" s="531" t="s">
        <v>107</v>
      </c>
      <c r="H229" s="532" t="s">
        <v>74</v>
      </c>
      <c r="I229" s="1513">
        <v>510</v>
      </c>
      <c r="J229" s="562">
        <v>0</v>
      </c>
      <c r="K229" s="531">
        <v>30</v>
      </c>
      <c r="L229" s="401">
        <f t="shared" si="86"/>
        <v>17</v>
      </c>
      <c r="M229" s="563">
        <v>45432</v>
      </c>
      <c r="N229" s="1495">
        <v>45433</v>
      </c>
      <c r="O229" s="564"/>
      <c r="P229" s="564" t="s">
        <v>92</v>
      </c>
      <c r="Q229" s="564" t="s">
        <v>1009</v>
      </c>
      <c r="R229" s="564">
        <v>45411</v>
      </c>
      <c r="S229" s="564" t="s">
        <v>123</v>
      </c>
      <c r="T229" s="564">
        <v>45418</v>
      </c>
      <c r="U229" s="1499" t="s">
        <v>1010</v>
      </c>
      <c r="V229" s="564" t="s">
        <v>1011</v>
      </c>
      <c r="W229" s="592">
        <v>56.8266</v>
      </c>
      <c r="X229" s="593">
        <f t="shared" si="99"/>
        <v>966.0522</v>
      </c>
      <c r="Y229" s="401" t="s">
        <v>1012</v>
      </c>
      <c r="Z229" s="531" t="s">
        <v>107</v>
      </c>
      <c r="AA229" s="1453" t="s">
        <v>128</v>
      </c>
      <c r="AB229" s="608"/>
      <c r="AC229" s="608"/>
      <c r="AD229" s="608"/>
      <c r="AE229" s="564" t="s">
        <v>80</v>
      </c>
      <c r="AF229" s="564"/>
      <c r="AG229" s="608">
        <f t="shared" si="81"/>
        <v>510</v>
      </c>
      <c r="AH229" s="608"/>
      <c r="AI229" s="608"/>
      <c r="AJ229" s="608"/>
      <c r="AK229" s="609">
        <f t="shared" si="100"/>
        <v>510</v>
      </c>
      <c r="AL229" s="401"/>
      <c r="AM229" s="609"/>
      <c r="AN229" s="609"/>
      <c r="AO229" s="609">
        <f t="shared" si="101"/>
        <v>510</v>
      </c>
      <c r="AP229" s="609"/>
      <c r="AQ229" s="609"/>
      <c r="AR229" s="609"/>
      <c r="AS229" s="609"/>
      <c r="AT229" s="633"/>
      <c r="AU229" s="633"/>
      <c r="AV229" s="633"/>
      <c r="AW229" s="633"/>
      <c r="AX229" s="633"/>
      <c r="AY229" s="633"/>
      <c r="AZ229" s="633"/>
      <c r="BA229" s="633"/>
      <c r="BB229" s="633"/>
      <c r="BC229" s="633"/>
      <c r="BD229" s="633"/>
      <c r="BE229" s="633"/>
      <c r="BF229" s="633">
        <f t="shared" si="102"/>
        <v>17</v>
      </c>
      <c r="BG229" s="633"/>
      <c r="BH229" s="633">
        <f t="shared" si="103"/>
        <v>17</v>
      </c>
      <c r="BI229" s="633"/>
      <c r="BJ229" s="633"/>
      <c r="BK229" s="633"/>
      <c r="BL229" s="633"/>
      <c r="BM229" s="401">
        <f t="shared" si="79"/>
        <v>510</v>
      </c>
      <c r="BO229" s="1473"/>
      <c r="BP229" s="1473"/>
    </row>
    <row r="230" s="200" customFormat="1" ht="36" customHeight="1" spans="1:68">
      <c r="A230" s="533">
        <v>45432</v>
      </c>
      <c r="B230" s="527" t="s">
        <v>561</v>
      </c>
      <c r="C230" s="528" t="s">
        <v>190</v>
      </c>
      <c r="D230" s="534">
        <v>4500130934</v>
      </c>
      <c r="E230" s="530">
        <v>2352712</v>
      </c>
      <c r="F230" s="534" t="s">
        <v>1014</v>
      </c>
      <c r="G230" s="531" t="s">
        <v>107</v>
      </c>
      <c r="H230" s="532" t="s">
        <v>74</v>
      </c>
      <c r="I230" s="511">
        <v>990</v>
      </c>
      <c r="J230" s="562">
        <v>0</v>
      </c>
      <c r="K230" s="531">
        <v>30</v>
      </c>
      <c r="L230" s="401">
        <f t="shared" si="86"/>
        <v>33</v>
      </c>
      <c r="M230" s="563">
        <v>45432</v>
      </c>
      <c r="N230" s="563">
        <v>45433</v>
      </c>
      <c r="O230" s="564"/>
      <c r="P230" s="564" t="s">
        <v>92</v>
      </c>
      <c r="Q230" s="564" t="s">
        <v>1009</v>
      </c>
      <c r="R230" s="564">
        <v>45411</v>
      </c>
      <c r="S230" s="564" t="s">
        <v>123</v>
      </c>
      <c r="T230" s="564">
        <v>45418</v>
      </c>
      <c r="U230" s="530" t="s">
        <v>1010</v>
      </c>
      <c r="V230" s="564" t="s">
        <v>1011</v>
      </c>
      <c r="W230" s="592">
        <v>56.8266</v>
      </c>
      <c r="X230" s="593">
        <f t="shared" si="99"/>
        <v>1875.2778</v>
      </c>
      <c r="Y230" s="401" t="s">
        <v>1015</v>
      </c>
      <c r="Z230" s="531" t="s">
        <v>107</v>
      </c>
      <c r="AA230" s="1453" t="s">
        <v>128</v>
      </c>
      <c r="AB230" s="608"/>
      <c r="AC230" s="608"/>
      <c r="AD230" s="608"/>
      <c r="AE230" s="564" t="s">
        <v>80</v>
      </c>
      <c r="AF230" s="564"/>
      <c r="AG230" s="608">
        <f t="shared" si="81"/>
        <v>990</v>
      </c>
      <c r="AH230" s="608"/>
      <c r="AI230" s="608"/>
      <c r="AJ230" s="608"/>
      <c r="AK230" s="609">
        <f t="shared" si="100"/>
        <v>990</v>
      </c>
      <c r="AL230" s="401"/>
      <c r="AM230" s="609"/>
      <c r="AN230" s="609"/>
      <c r="AO230" s="609">
        <f t="shared" si="101"/>
        <v>990</v>
      </c>
      <c r="AP230" s="609"/>
      <c r="AQ230" s="609"/>
      <c r="AR230" s="609"/>
      <c r="AS230" s="609"/>
      <c r="AT230" s="633"/>
      <c r="AU230" s="633"/>
      <c r="AV230" s="633"/>
      <c r="AW230" s="633"/>
      <c r="AX230" s="633"/>
      <c r="AY230" s="633"/>
      <c r="AZ230" s="633"/>
      <c r="BA230" s="633"/>
      <c r="BB230" s="633"/>
      <c r="BC230" s="633"/>
      <c r="BD230" s="633"/>
      <c r="BE230" s="633"/>
      <c r="BF230" s="633">
        <f t="shared" si="102"/>
        <v>33</v>
      </c>
      <c r="BG230" s="633"/>
      <c r="BH230" s="633">
        <f t="shared" si="103"/>
        <v>33</v>
      </c>
      <c r="BI230" s="633"/>
      <c r="BJ230" s="633"/>
      <c r="BK230" s="633"/>
      <c r="BL230" s="633"/>
      <c r="BM230" s="401">
        <f t="shared" si="79"/>
        <v>990</v>
      </c>
      <c r="BO230" s="1473"/>
      <c r="BP230" s="1473"/>
    </row>
    <row r="231" s="200" customFormat="1" ht="36" customHeight="1" spans="1:68">
      <c r="A231" s="533">
        <v>45432</v>
      </c>
      <c r="B231" s="527" t="s">
        <v>561</v>
      </c>
      <c r="C231" s="528" t="s">
        <v>190</v>
      </c>
      <c r="D231" s="534">
        <v>4500130934</v>
      </c>
      <c r="E231" s="530">
        <v>2352712</v>
      </c>
      <c r="F231" s="534" t="s">
        <v>1016</v>
      </c>
      <c r="G231" s="531" t="s">
        <v>107</v>
      </c>
      <c r="H231" s="532" t="s">
        <v>74</v>
      </c>
      <c r="I231" s="511">
        <v>990</v>
      </c>
      <c r="J231" s="562">
        <v>0</v>
      </c>
      <c r="K231" s="531">
        <v>30</v>
      </c>
      <c r="L231" s="401">
        <f t="shared" si="86"/>
        <v>33</v>
      </c>
      <c r="M231" s="563">
        <v>45432</v>
      </c>
      <c r="N231" s="563">
        <v>45433</v>
      </c>
      <c r="O231" s="564"/>
      <c r="P231" s="564" t="s">
        <v>92</v>
      </c>
      <c r="Q231" s="564" t="s">
        <v>1009</v>
      </c>
      <c r="R231" s="564">
        <v>45411</v>
      </c>
      <c r="S231" s="564" t="s">
        <v>123</v>
      </c>
      <c r="T231" s="564">
        <v>45418</v>
      </c>
      <c r="U231" s="530" t="s">
        <v>1010</v>
      </c>
      <c r="V231" s="564" t="s">
        <v>1011</v>
      </c>
      <c r="W231" s="592">
        <v>56.8266</v>
      </c>
      <c r="X231" s="593">
        <f t="shared" si="99"/>
        <v>1875.2778</v>
      </c>
      <c r="Y231" s="401" t="s">
        <v>1015</v>
      </c>
      <c r="Z231" s="531" t="s">
        <v>107</v>
      </c>
      <c r="AA231" s="1453" t="s">
        <v>128</v>
      </c>
      <c r="AB231" s="608"/>
      <c r="AC231" s="608"/>
      <c r="AD231" s="608"/>
      <c r="AE231" s="564" t="s">
        <v>80</v>
      </c>
      <c r="AF231" s="564"/>
      <c r="AG231" s="608">
        <f t="shared" si="81"/>
        <v>990</v>
      </c>
      <c r="AH231" s="608"/>
      <c r="AI231" s="608"/>
      <c r="AJ231" s="608"/>
      <c r="AK231" s="609">
        <f t="shared" si="100"/>
        <v>990</v>
      </c>
      <c r="AL231" s="401"/>
      <c r="AM231" s="609"/>
      <c r="AN231" s="609"/>
      <c r="AO231" s="609">
        <f t="shared" si="101"/>
        <v>990</v>
      </c>
      <c r="AP231" s="609"/>
      <c r="AQ231" s="609"/>
      <c r="AR231" s="609"/>
      <c r="AS231" s="609"/>
      <c r="AT231" s="633"/>
      <c r="AU231" s="633"/>
      <c r="AV231" s="633"/>
      <c r="AW231" s="633"/>
      <c r="AX231" s="633"/>
      <c r="AY231" s="633"/>
      <c r="AZ231" s="633"/>
      <c r="BA231" s="633"/>
      <c r="BB231" s="633"/>
      <c r="BC231" s="633"/>
      <c r="BD231" s="633"/>
      <c r="BE231" s="633"/>
      <c r="BF231" s="633">
        <f t="shared" si="102"/>
        <v>33</v>
      </c>
      <c r="BG231" s="633"/>
      <c r="BH231" s="633">
        <f t="shared" si="103"/>
        <v>33</v>
      </c>
      <c r="BI231" s="633"/>
      <c r="BJ231" s="633"/>
      <c r="BK231" s="633"/>
      <c r="BL231" s="633"/>
      <c r="BM231" s="401">
        <f t="shared" si="79"/>
        <v>990</v>
      </c>
      <c r="BO231" s="1473"/>
      <c r="BP231" s="1473"/>
    </row>
    <row r="232" s="200" customFormat="1" ht="36" customHeight="1" spans="1:68">
      <c r="A232" s="533">
        <v>45378</v>
      </c>
      <c r="B232" s="527" t="s">
        <v>1017</v>
      </c>
      <c r="C232" s="528" t="s">
        <v>1018</v>
      </c>
      <c r="D232" s="534">
        <v>4500128101</v>
      </c>
      <c r="E232" s="530" t="s">
        <v>1019</v>
      </c>
      <c r="F232" s="534" t="s">
        <v>1020</v>
      </c>
      <c r="G232" s="531" t="s">
        <v>96</v>
      </c>
      <c r="H232" s="532" t="s">
        <v>74</v>
      </c>
      <c r="I232" s="401">
        <v>5000</v>
      </c>
      <c r="J232" s="562">
        <v>0</v>
      </c>
      <c r="K232" s="531">
        <v>50</v>
      </c>
      <c r="L232" s="401">
        <f t="shared" si="86"/>
        <v>100</v>
      </c>
      <c r="M232" s="563">
        <v>45434</v>
      </c>
      <c r="N232" s="1495">
        <v>45434</v>
      </c>
      <c r="O232" s="564" t="s">
        <v>1021</v>
      </c>
      <c r="P232" s="564" t="s">
        <v>92</v>
      </c>
      <c r="Q232" s="564"/>
      <c r="R232" s="564">
        <v>45378</v>
      </c>
      <c r="S232" s="564" t="s">
        <v>77</v>
      </c>
      <c r="T232" s="564">
        <v>45405</v>
      </c>
      <c r="U232" s="1522" t="s">
        <v>1022</v>
      </c>
      <c r="V232" s="564" t="s">
        <v>585</v>
      </c>
      <c r="W232" s="592">
        <v>1.4656</v>
      </c>
      <c r="X232" s="593">
        <f t="shared" ref="X232:X236" si="104">I232*W232</f>
        <v>7328</v>
      </c>
      <c r="Y232" s="401" t="s">
        <v>1023</v>
      </c>
      <c r="Z232" s="607" t="s">
        <v>96</v>
      </c>
      <c r="AA232" s="1453" t="s">
        <v>128</v>
      </c>
      <c r="AB232" s="608"/>
      <c r="AC232" s="608"/>
      <c r="AD232" s="608"/>
      <c r="AE232" s="564" t="s">
        <v>80</v>
      </c>
      <c r="AF232" s="564"/>
      <c r="AG232" s="608">
        <f t="shared" si="81"/>
        <v>5000</v>
      </c>
      <c r="AH232" s="608"/>
      <c r="AI232" s="608"/>
      <c r="AJ232" s="608"/>
      <c r="AK232" s="609">
        <f t="shared" ref="AK232:AK246" si="105">I232</f>
        <v>5000</v>
      </c>
      <c r="AL232" s="609"/>
      <c r="AM232" s="609"/>
      <c r="AN232" s="609"/>
      <c r="AO232" s="609">
        <f t="shared" si="101"/>
        <v>5000</v>
      </c>
      <c r="AP232" s="609"/>
      <c r="AQ232" s="609"/>
      <c r="AR232" s="609"/>
      <c r="AS232" s="609"/>
      <c r="AT232" s="633"/>
      <c r="AU232" s="633"/>
      <c r="AV232" s="633"/>
      <c r="AW232" s="401"/>
      <c r="AX232" s="633"/>
      <c r="AY232" s="633"/>
      <c r="AZ232" s="633"/>
      <c r="BA232" s="633">
        <f>I232/25</f>
        <v>200</v>
      </c>
      <c r="BB232" s="633"/>
      <c r="BC232" s="633"/>
      <c r="BD232" s="633"/>
      <c r="BE232" s="633"/>
      <c r="BF232" s="633"/>
      <c r="BG232" s="633"/>
      <c r="BH232" s="633"/>
      <c r="BI232" s="633"/>
      <c r="BJ232" s="633"/>
      <c r="BK232" s="633"/>
      <c r="BL232" s="633"/>
      <c r="BM232" s="401">
        <f t="shared" si="79"/>
        <v>5000</v>
      </c>
      <c r="BO232" s="1473"/>
      <c r="BP232" s="1473"/>
    </row>
    <row r="233" s="200" customFormat="1" ht="36" customHeight="1" spans="1:68">
      <c r="A233" s="1477">
        <v>45401</v>
      </c>
      <c r="B233" s="1475" t="s">
        <v>232</v>
      </c>
      <c r="C233" s="1476" t="s">
        <v>190</v>
      </c>
      <c r="D233" s="534">
        <v>4500130748</v>
      </c>
      <c r="E233" s="1511" t="s">
        <v>1024</v>
      </c>
      <c r="F233" s="534" t="s">
        <v>1025</v>
      </c>
      <c r="G233" s="1510" t="s">
        <v>160</v>
      </c>
      <c r="H233" s="532" t="s">
        <v>74</v>
      </c>
      <c r="I233" s="401">
        <v>156</v>
      </c>
      <c r="J233" s="562">
        <v>0</v>
      </c>
      <c r="K233" s="531">
        <v>13</v>
      </c>
      <c r="L233" s="401">
        <f t="shared" si="86"/>
        <v>12</v>
      </c>
      <c r="M233" s="1517">
        <v>45441</v>
      </c>
      <c r="N233" s="1517">
        <v>45439</v>
      </c>
      <c r="O233" s="1515"/>
      <c r="P233" s="564" t="s">
        <v>92</v>
      </c>
      <c r="Q233" s="1515"/>
      <c r="R233" s="1523">
        <v>45419</v>
      </c>
      <c r="S233" s="564" t="s">
        <v>123</v>
      </c>
      <c r="T233" s="1519" t="s">
        <v>1026</v>
      </c>
      <c r="U233" s="1509" t="s">
        <v>1027</v>
      </c>
      <c r="V233" s="1524" t="s">
        <v>1011</v>
      </c>
      <c r="W233" s="592">
        <v>1.4483</v>
      </c>
      <c r="X233" s="593">
        <f t="shared" si="104"/>
        <v>225.9348</v>
      </c>
      <c r="Y233" s="616" t="s">
        <v>1028</v>
      </c>
      <c r="Z233" s="607" t="s">
        <v>160</v>
      </c>
      <c r="AA233" s="1525" t="s">
        <v>128</v>
      </c>
      <c r="AB233" s="614"/>
      <c r="AC233" s="614"/>
      <c r="AD233" s="614"/>
      <c r="AE233" s="1515" t="s">
        <v>80</v>
      </c>
      <c r="AF233" s="1515"/>
      <c r="AG233" s="608">
        <f t="shared" si="81"/>
        <v>156</v>
      </c>
      <c r="AH233" s="614"/>
      <c r="AI233" s="614"/>
      <c r="AJ233" s="614"/>
      <c r="AK233" s="609">
        <f t="shared" si="105"/>
        <v>156</v>
      </c>
      <c r="AL233" s="615"/>
      <c r="AM233" s="615"/>
      <c r="AN233" s="615"/>
      <c r="AO233" s="609">
        <f>I233</f>
        <v>156</v>
      </c>
      <c r="AP233" s="609"/>
      <c r="AQ233" s="609"/>
      <c r="AR233" s="615"/>
      <c r="AS233" s="615"/>
      <c r="AT233" s="401"/>
      <c r="AU233" s="401"/>
      <c r="AV233" s="633"/>
      <c r="AW233" s="401"/>
      <c r="AX233" s="632"/>
      <c r="AY233" s="633">
        <f>I233/13</f>
        <v>12</v>
      </c>
      <c r="AZ233" s="632"/>
      <c r="BA233" s="632"/>
      <c r="BB233" s="632"/>
      <c r="BC233" s="632"/>
      <c r="BD233" s="632"/>
      <c r="BE233" s="632"/>
      <c r="BF233" s="632"/>
      <c r="BG233" s="632"/>
      <c r="BH233" s="632"/>
      <c r="BI233" s="632"/>
      <c r="BJ233" s="632"/>
      <c r="BK233" s="632"/>
      <c r="BL233" s="632"/>
      <c r="BM233" s="401">
        <f t="shared" si="79"/>
        <v>156</v>
      </c>
      <c r="BO233" s="1473"/>
      <c r="BP233" s="1473"/>
    </row>
    <row r="234" s="200" customFormat="1" ht="36" customHeight="1" spans="1:68">
      <c r="A234" s="1477">
        <v>45401</v>
      </c>
      <c r="B234" s="1475" t="s">
        <v>189</v>
      </c>
      <c r="C234" s="1476" t="s">
        <v>190</v>
      </c>
      <c r="D234" s="534">
        <v>4500130759</v>
      </c>
      <c r="E234" s="1511">
        <v>20040230</v>
      </c>
      <c r="F234" s="534" t="s">
        <v>1029</v>
      </c>
      <c r="G234" s="1510" t="s">
        <v>160</v>
      </c>
      <c r="H234" s="532" t="s">
        <v>74</v>
      </c>
      <c r="I234" s="401">
        <v>2379</v>
      </c>
      <c r="J234" s="562">
        <v>0</v>
      </c>
      <c r="K234" s="531">
        <v>13</v>
      </c>
      <c r="L234" s="401">
        <f t="shared" si="86"/>
        <v>183</v>
      </c>
      <c r="M234" s="1517">
        <v>45441</v>
      </c>
      <c r="N234" s="1517">
        <v>45439</v>
      </c>
      <c r="O234" s="1515"/>
      <c r="P234" s="564" t="s">
        <v>92</v>
      </c>
      <c r="Q234" s="1515"/>
      <c r="R234" s="1523">
        <v>45419</v>
      </c>
      <c r="S234" s="564" t="s">
        <v>123</v>
      </c>
      <c r="T234" s="1519" t="s">
        <v>1026</v>
      </c>
      <c r="U234" s="1509" t="s">
        <v>1030</v>
      </c>
      <c r="V234" s="1524" t="s">
        <v>1011</v>
      </c>
      <c r="W234" s="592">
        <v>1.4432</v>
      </c>
      <c r="X234" s="593">
        <f t="shared" si="104"/>
        <v>3433.3728</v>
      </c>
      <c r="Y234" s="616" t="s">
        <v>1031</v>
      </c>
      <c r="Z234" s="607" t="s">
        <v>160</v>
      </c>
      <c r="AA234" s="1525" t="s">
        <v>128</v>
      </c>
      <c r="AB234" s="614"/>
      <c r="AC234" s="614"/>
      <c r="AD234" s="614"/>
      <c r="AE234" s="1515" t="s">
        <v>80</v>
      </c>
      <c r="AF234" s="1515"/>
      <c r="AG234" s="608">
        <f t="shared" si="81"/>
        <v>2379</v>
      </c>
      <c r="AH234" s="614"/>
      <c r="AI234" s="614"/>
      <c r="AJ234" s="614"/>
      <c r="AK234" s="609">
        <f t="shared" si="105"/>
        <v>2379</v>
      </c>
      <c r="AL234" s="615"/>
      <c r="AM234" s="615"/>
      <c r="AN234" s="615"/>
      <c r="AO234" s="609">
        <f>I234</f>
        <v>2379</v>
      </c>
      <c r="AP234" s="609"/>
      <c r="AQ234" s="609"/>
      <c r="AR234" s="615"/>
      <c r="AS234" s="615"/>
      <c r="AT234" s="401"/>
      <c r="AU234" s="401"/>
      <c r="AV234" s="633"/>
      <c r="AW234" s="401"/>
      <c r="AX234" s="632"/>
      <c r="AY234" s="633">
        <f>I234/13</f>
        <v>183</v>
      </c>
      <c r="AZ234" s="632"/>
      <c r="BA234" s="632"/>
      <c r="BB234" s="632"/>
      <c r="BC234" s="632"/>
      <c r="BD234" s="632"/>
      <c r="BE234" s="632"/>
      <c r="BF234" s="632"/>
      <c r="BG234" s="632"/>
      <c r="BH234" s="632"/>
      <c r="BI234" s="632"/>
      <c r="BJ234" s="632"/>
      <c r="BK234" s="632"/>
      <c r="BL234" s="632"/>
      <c r="BM234" s="401">
        <f t="shared" si="79"/>
        <v>2379</v>
      </c>
      <c r="BO234" s="1473"/>
      <c r="BP234" s="1473"/>
    </row>
    <row r="235" s="200" customFormat="1" ht="36" customHeight="1" spans="1:68">
      <c r="A235" s="526">
        <v>45412</v>
      </c>
      <c r="B235" s="1507" t="s">
        <v>997</v>
      </c>
      <c r="C235" s="1508" t="s">
        <v>117</v>
      </c>
      <c r="D235" s="529">
        <v>4500132364</v>
      </c>
      <c r="E235" s="1679" t="s">
        <v>1032</v>
      </c>
      <c r="F235" s="529" t="s">
        <v>1033</v>
      </c>
      <c r="G235" s="1510" t="s">
        <v>1000</v>
      </c>
      <c r="H235" s="532" t="s">
        <v>74</v>
      </c>
      <c r="I235" s="401">
        <v>1512</v>
      </c>
      <c r="J235" s="562">
        <v>0</v>
      </c>
      <c r="K235" s="531">
        <v>12</v>
      </c>
      <c r="L235" s="401">
        <f t="shared" si="86"/>
        <v>126</v>
      </c>
      <c r="M235" s="570">
        <v>45442</v>
      </c>
      <c r="N235" s="570">
        <v>45439</v>
      </c>
      <c r="O235" s="1516" t="s">
        <v>1001</v>
      </c>
      <c r="P235" s="564" t="s">
        <v>92</v>
      </c>
      <c r="Q235" s="1515" t="s">
        <v>1002</v>
      </c>
      <c r="R235" s="1515" t="s">
        <v>1003</v>
      </c>
      <c r="S235" s="1515" t="s">
        <v>77</v>
      </c>
      <c r="T235" s="580" t="s">
        <v>1004</v>
      </c>
      <c r="U235" s="1509" t="s">
        <v>1005</v>
      </c>
      <c r="V235" s="1515" t="s">
        <v>1006</v>
      </c>
      <c r="W235" s="1520">
        <v>1.3595</v>
      </c>
      <c r="X235" s="1521">
        <f t="shared" si="104"/>
        <v>2055.564</v>
      </c>
      <c r="Y235" s="616" t="s">
        <v>1007</v>
      </c>
      <c r="Z235" s="1510" t="s">
        <v>1000</v>
      </c>
      <c r="AA235" s="1453" t="s">
        <v>128</v>
      </c>
      <c r="AB235" s="614"/>
      <c r="AC235" s="614"/>
      <c r="AD235" s="614"/>
      <c r="AE235" s="1515" t="s">
        <v>80</v>
      </c>
      <c r="AF235" s="1515"/>
      <c r="AG235" s="608">
        <f t="shared" si="81"/>
        <v>1512</v>
      </c>
      <c r="AH235" s="614"/>
      <c r="AI235" s="614"/>
      <c r="AJ235" s="614"/>
      <c r="AK235" s="609">
        <f t="shared" si="105"/>
        <v>1512</v>
      </c>
      <c r="AL235" s="615"/>
      <c r="AM235" s="615"/>
      <c r="AN235" s="615"/>
      <c r="AP235" s="615"/>
      <c r="AQ235" s="609">
        <f t="shared" ref="AQ235:AQ239" si="106">I235</f>
        <v>1512</v>
      </c>
      <c r="AR235" s="615"/>
      <c r="AS235" s="615"/>
      <c r="AW235" s="616"/>
      <c r="AX235" s="632"/>
      <c r="AY235" s="632"/>
      <c r="AZ235" s="632"/>
      <c r="BA235" s="632"/>
      <c r="BB235" s="632"/>
      <c r="BC235" s="632"/>
      <c r="BD235" s="632"/>
      <c r="BE235" s="632"/>
      <c r="BF235" s="632"/>
      <c r="BG235" s="632"/>
      <c r="BH235" s="632"/>
      <c r="BI235" s="632"/>
      <c r="BJ235" s="632"/>
      <c r="BK235" s="632"/>
      <c r="BL235" s="632"/>
      <c r="BM235" s="401">
        <f t="shared" si="79"/>
        <v>1512</v>
      </c>
      <c r="BO235" s="1473"/>
      <c r="BP235" s="1473"/>
    </row>
    <row r="236" s="200" customFormat="1" ht="36" customHeight="1" spans="1:68">
      <c r="A236" s="526">
        <v>45412</v>
      </c>
      <c r="B236" s="1507" t="s">
        <v>997</v>
      </c>
      <c r="C236" s="1508" t="s">
        <v>117</v>
      </c>
      <c r="D236" s="529">
        <v>4500132364</v>
      </c>
      <c r="E236" s="1679" t="s">
        <v>1034</v>
      </c>
      <c r="F236" s="529" t="s">
        <v>1035</v>
      </c>
      <c r="G236" s="1510" t="s">
        <v>1000</v>
      </c>
      <c r="H236" s="532" t="s">
        <v>74</v>
      </c>
      <c r="I236" s="401">
        <v>504</v>
      </c>
      <c r="J236" s="562">
        <v>0</v>
      </c>
      <c r="K236" s="531">
        <v>12</v>
      </c>
      <c r="L236" s="401">
        <f t="shared" si="86"/>
        <v>42</v>
      </c>
      <c r="M236" s="570">
        <v>45442</v>
      </c>
      <c r="N236" s="570">
        <v>45439</v>
      </c>
      <c r="O236" s="1516" t="s">
        <v>1001</v>
      </c>
      <c r="P236" s="564" t="s">
        <v>92</v>
      </c>
      <c r="Q236" s="1515" t="s">
        <v>1002</v>
      </c>
      <c r="R236" s="1515" t="s">
        <v>1003</v>
      </c>
      <c r="S236" s="1515" t="s">
        <v>77</v>
      </c>
      <c r="T236" s="580" t="s">
        <v>1004</v>
      </c>
      <c r="U236" s="1509" t="s">
        <v>1005</v>
      </c>
      <c r="V236" s="1515" t="s">
        <v>1006</v>
      </c>
      <c r="W236" s="1520">
        <v>1.3645</v>
      </c>
      <c r="X236" s="1521">
        <f t="shared" si="104"/>
        <v>687.708</v>
      </c>
      <c r="Y236" s="616" t="s">
        <v>1036</v>
      </c>
      <c r="Z236" s="1510" t="s">
        <v>1000</v>
      </c>
      <c r="AA236" s="1453" t="s">
        <v>128</v>
      </c>
      <c r="AB236" s="614"/>
      <c r="AC236" s="614"/>
      <c r="AD236" s="614"/>
      <c r="AE236" s="1515" t="s">
        <v>80</v>
      </c>
      <c r="AF236" s="1515"/>
      <c r="AG236" s="608">
        <f t="shared" si="81"/>
        <v>504</v>
      </c>
      <c r="AH236" s="614"/>
      <c r="AI236" s="614"/>
      <c r="AJ236" s="614"/>
      <c r="AK236" s="609">
        <f t="shared" si="105"/>
        <v>504</v>
      </c>
      <c r="AL236" s="615"/>
      <c r="AM236" s="615"/>
      <c r="AN236" s="615"/>
      <c r="AP236" s="615"/>
      <c r="AQ236" s="609">
        <f t="shared" si="106"/>
        <v>504</v>
      </c>
      <c r="AR236" s="615"/>
      <c r="AS236" s="615"/>
      <c r="AW236" s="616"/>
      <c r="AX236" s="632"/>
      <c r="AY236" s="632"/>
      <c r="AZ236" s="632"/>
      <c r="BA236" s="632"/>
      <c r="BB236" s="632"/>
      <c r="BC236" s="632"/>
      <c r="BD236" s="632"/>
      <c r="BE236" s="632"/>
      <c r="BF236" s="632"/>
      <c r="BG236" s="632"/>
      <c r="BH236" s="632"/>
      <c r="BI236" s="632"/>
      <c r="BJ236" s="632"/>
      <c r="BK236" s="632"/>
      <c r="BL236" s="632"/>
      <c r="BM236" s="401">
        <f t="shared" si="79"/>
        <v>504</v>
      </c>
      <c r="BO236" s="1473"/>
      <c r="BP236" s="1473"/>
    </row>
    <row r="237" s="200" customFormat="1" ht="36" customHeight="1" spans="1:71">
      <c r="A237" s="533">
        <v>45390</v>
      </c>
      <c r="B237" s="527" t="s">
        <v>587</v>
      </c>
      <c r="C237" s="528" t="s">
        <v>117</v>
      </c>
      <c r="D237" s="534">
        <v>4500129013</v>
      </c>
      <c r="E237" s="530">
        <v>6631646260</v>
      </c>
      <c r="F237" s="534" t="s">
        <v>1037</v>
      </c>
      <c r="G237" s="531" t="s">
        <v>832</v>
      </c>
      <c r="H237" s="532" t="s">
        <v>833</v>
      </c>
      <c r="I237" s="401">
        <v>1152</v>
      </c>
      <c r="J237" s="562">
        <v>0</v>
      </c>
      <c r="K237" s="531">
        <v>1152</v>
      </c>
      <c r="L237" s="401">
        <f t="shared" si="86"/>
        <v>1</v>
      </c>
      <c r="M237" s="563">
        <v>45429</v>
      </c>
      <c r="N237" s="1495">
        <v>45433</v>
      </c>
      <c r="O237" s="1474" t="s">
        <v>1038</v>
      </c>
      <c r="P237" s="564" t="s">
        <v>92</v>
      </c>
      <c r="Q237" s="564" t="s">
        <v>1039</v>
      </c>
      <c r="R237" s="564" t="s">
        <v>836</v>
      </c>
      <c r="S237" s="564" t="s">
        <v>123</v>
      </c>
      <c r="T237" s="564" t="s">
        <v>837</v>
      </c>
      <c r="U237" s="1454" t="s">
        <v>838</v>
      </c>
      <c r="V237" s="564" t="s">
        <v>634</v>
      </c>
      <c r="W237" s="592">
        <v>1752.1376</v>
      </c>
      <c r="X237" s="593">
        <f t="shared" ref="X237:X239" si="107">W237*L237</f>
        <v>1752.1376</v>
      </c>
      <c r="Y237" s="401" t="s">
        <v>1040</v>
      </c>
      <c r="Z237" s="607" t="s">
        <v>832</v>
      </c>
      <c r="AA237" s="1453" t="s">
        <v>128</v>
      </c>
      <c r="AB237" s="608"/>
      <c r="AC237" s="608"/>
      <c r="AD237" s="608"/>
      <c r="AE237" s="564" t="s">
        <v>80</v>
      </c>
      <c r="AF237" s="564"/>
      <c r="AG237" s="608">
        <f t="shared" si="81"/>
        <v>1152</v>
      </c>
      <c r="AH237" s="608"/>
      <c r="AI237" s="608"/>
      <c r="AJ237" s="608"/>
      <c r="AK237" s="609">
        <f t="shared" si="105"/>
        <v>1152</v>
      </c>
      <c r="AL237" s="609"/>
      <c r="AM237" s="609"/>
      <c r="AN237" s="609"/>
      <c r="AO237" s="609"/>
      <c r="AP237" s="609"/>
      <c r="AQ237" s="609">
        <f t="shared" si="106"/>
        <v>1152</v>
      </c>
      <c r="AR237" s="609"/>
      <c r="AS237" s="609"/>
      <c r="AT237" s="633"/>
      <c r="AU237" s="633"/>
      <c r="AV237" s="633">
        <f t="shared" ref="AV237:AV239" si="108">I237/12</f>
        <v>96</v>
      </c>
      <c r="AW237" s="401"/>
      <c r="AX237" s="633"/>
      <c r="AY237" s="633"/>
      <c r="AZ237" s="633"/>
      <c r="BA237" s="633"/>
      <c r="BB237" s="633"/>
      <c r="BC237" s="633"/>
      <c r="BD237" s="633"/>
      <c r="BE237" s="633"/>
      <c r="BF237" s="633"/>
      <c r="BG237" s="633"/>
      <c r="BH237" s="633"/>
      <c r="BI237" s="633"/>
      <c r="BJ237" s="633"/>
      <c r="BK237" s="633"/>
      <c r="BL237" s="633"/>
      <c r="BM237" s="201">
        <f t="shared" si="79"/>
        <v>1152</v>
      </c>
      <c r="BN237" s="199"/>
      <c r="BO237" s="198"/>
      <c r="BP237" s="198"/>
      <c r="BQ237" s="199"/>
      <c r="BR237" s="199"/>
      <c r="BS237" s="199"/>
    </row>
    <row r="238" s="200" customFormat="1" ht="36" customHeight="1" spans="1:71">
      <c r="A238" s="533">
        <v>45390</v>
      </c>
      <c r="B238" s="527" t="s">
        <v>587</v>
      </c>
      <c r="C238" s="528" t="s">
        <v>117</v>
      </c>
      <c r="D238" s="534">
        <v>4500129013</v>
      </c>
      <c r="E238" s="530" t="s">
        <v>1041</v>
      </c>
      <c r="F238" s="534" t="s">
        <v>1042</v>
      </c>
      <c r="G238" s="531" t="s">
        <v>832</v>
      </c>
      <c r="H238" s="532" t="s">
        <v>833</v>
      </c>
      <c r="I238" s="401">
        <v>1152</v>
      </c>
      <c r="J238" s="562">
        <v>0</v>
      </c>
      <c r="K238" s="531">
        <v>1152</v>
      </c>
      <c r="L238" s="401">
        <f t="shared" si="86"/>
        <v>1</v>
      </c>
      <c r="M238" s="563">
        <v>45429</v>
      </c>
      <c r="N238" s="1495">
        <v>45433</v>
      </c>
      <c r="O238" s="1474" t="s">
        <v>1038</v>
      </c>
      <c r="P238" s="564" t="s">
        <v>92</v>
      </c>
      <c r="Q238" s="564" t="s">
        <v>1043</v>
      </c>
      <c r="R238" s="564" t="s">
        <v>836</v>
      </c>
      <c r="S238" s="564" t="s">
        <v>123</v>
      </c>
      <c r="T238" s="564" t="s">
        <v>837</v>
      </c>
      <c r="U238" s="1454" t="s">
        <v>838</v>
      </c>
      <c r="V238" s="564" t="s">
        <v>634</v>
      </c>
      <c r="W238" s="592">
        <v>1752.1376</v>
      </c>
      <c r="X238" s="593">
        <f t="shared" si="107"/>
        <v>1752.1376</v>
      </c>
      <c r="Y238" s="401" t="s">
        <v>1040</v>
      </c>
      <c r="Z238" s="607" t="s">
        <v>832</v>
      </c>
      <c r="AA238" s="1453" t="s">
        <v>128</v>
      </c>
      <c r="AB238" s="608"/>
      <c r="AC238" s="608"/>
      <c r="AD238" s="608"/>
      <c r="AE238" s="564" t="s">
        <v>80</v>
      </c>
      <c r="AF238" s="564"/>
      <c r="AG238" s="608">
        <f t="shared" si="81"/>
        <v>1152</v>
      </c>
      <c r="AH238" s="608"/>
      <c r="AI238" s="608"/>
      <c r="AJ238" s="608"/>
      <c r="AK238" s="609">
        <f t="shared" si="105"/>
        <v>1152</v>
      </c>
      <c r="AL238" s="609"/>
      <c r="AM238" s="609"/>
      <c r="AN238" s="609"/>
      <c r="AO238" s="609"/>
      <c r="AP238" s="609"/>
      <c r="AQ238" s="609">
        <f t="shared" si="106"/>
        <v>1152</v>
      </c>
      <c r="AR238" s="609"/>
      <c r="AS238" s="609"/>
      <c r="AT238" s="633"/>
      <c r="AU238" s="633"/>
      <c r="AV238" s="633">
        <f t="shared" si="108"/>
        <v>96</v>
      </c>
      <c r="AW238" s="401"/>
      <c r="AX238" s="633"/>
      <c r="AY238" s="633"/>
      <c r="AZ238" s="633"/>
      <c r="BA238" s="633"/>
      <c r="BB238" s="633"/>
      <c r="BC238" s="633"/>
      <c r="BD238" s="633"/>
      <c r="BE238" s="633"/>
      <c r="BF238" s="633"/>
      <c r="BG238" s="633"/>
      <c r="BH238" s="633"/>
      <c r="BI238" s="633"/>
      <c r="BJ238" s="633"/>
      <c r="BK238" s="633"/>
      <c r="BL238" s="633"/>
      <c r="BM238" s="201">
        <f t="shared" si="79"/>
        <v>1152</v>
      </c>
      <c r="BN238" s="199"/>
      <c r="BO238" s="198"/>
      <c r="BP238" s="198"/>
      <c r="BQ238" s="199"/>
      <c r="BR238" s="199"/>
      <c r="BS238" s="199"/>
    </row>
    <row r="239" s="200" customFormat="1" ht="36" customHeight="1" spans="1:71">
      <c r="A239" s="533">
        <v>45390</v>
      </c>
      <c r="B239" s="527" t="s">
        <v>587</v>
      </c>
      <c r="C239" s="528" t="s">
        <v>117</v>
      </c>
      <c r="D239" s="534">
        <v>4500129013</v>
      </c>
      <c r="E239" s="530">
        <v>6631646265</v>
      </c>
      <c r="F239" s="534" t="s">
        <v>1044</v>
      </c>
      <c r="G239" s="531" t="s">
        <v>832</v>
      </c>
      <c r="H239" s="532" t="s">
        <v>833</v>
      </c>
      <c r="I239" s="401">
        <v>1152</v>
      </c>
      <c r="J239" s="562">
        <v>0</v>
      </c>
      <c r="K239" s="531">
        <v>1152</v>
      </c>
      <c r="L239" s="401">
        <f t="shared" si="86"/>
        <v>1</v>
      </c>
      <c r="M239" s="563">
        <v>45429</v>
      </c>
      <c r="N239" s="1495">
        <v>45433</v>
      </c>
      <c r="O239" s="1474" t="s">
        <v>1038</v>
      </c>
      <c r="P239" s="564" t="s">
        <v>92</v>
      </c>
      <c r="Q239" s="564" t="s">
        <v>1045</v>
      </c>
      <c r="R239" s="564" t="s">
        <v>836</v>
      </c>
      <c r="S239" s="564" t="s">
        <v>123</v>
      </c>
      <c r="T239" s="564" t="s">
        <v>837</v>
      </c>
      <c r="U239" s="1454" t="s">
        <v>838</v>
      </c>
      <c r="V239" s="564" t="s">
        <v>634</v>
      </c>
      <c r="W239" s="592">
        <v>1752.1376</v>
      </c>
      <c r="X239" s="593">
        <f t="shared" si="107"/>
        <v>1752.1376</v>
      </c>
      <c r="Y239" s="401" t="s">
        <v>1040</v>
      </c>
      <c r="Z239" s="607" t="s">
        <v>832</v>
      </c>
      <c r="AA239" s="1453" t="s">
        <v>128</v>
      </c>
      <c r="AB239" s="608"/>
      <c r="AC239" s="608"/>
      <c r="AD239" s="608"/>
      <c r="AE239" s="564" t="s">
        <v>80</v>
      </c>
      <c r="AF239" s="564"/>
      <c r="AG239" s="608">
        <f t="shared" si="81"/>
        <v>1152</v>
      </c>
      <c r="AH239" s="608"/>
      <c r="AI239" s="608"/>
      <c r="AJ239" s="608"/>
      <c r="AK239" s="609">
        <f t="shared" si="105"/>
        <v>1152</v>
      </c>
      <c r="AL239" s="609"/>
      <c r="AM239" s="609"/>
      <c r="AN239" s="609"/>
      <c r="AO239" s="609"/>
      <c r="AP239" s="609"/>
      <c r="AQ239" s="609">
        <f t="shared" si="106"/>
        <v>1152</v>
      </c>
      <c r="AR239" s="609"/>
      <c r="AS239" s="609"/>
      <c r="AT239" s="633"/>
      <c r="AU239" s="633"/>
      <c r="AV239" s="633">
        <f t="shared" si="108"/>
        <v>96</v>
      </c>
      <c r="AW239" s="401"/>
      <c r="AX239" s="633"/>
      <c r="AY239" s="633"/>
      <c r="AZ239" s="633"/>
      <c r="BA239" s="633"/>
      <c r="BB239" s="633"/>
      <c r="BC239" s="633"/>
      <c r="BD239" s="633"/>
      <c r="BE239" s="633"/>
      <c r="BF239" s="633"/>
      <c r="BG239" s="633"/>
      <c r="BH239" s="633"/>
      <c r="BI239" s="633"/>
      <c r="BJ239" s="633"/>
      <c r="BK239" s="633"/>
      <c r="BL239" s="633"/>
      <c r="BM239" s="201">
        <f t="shared" si="79"/>
        <v>1152</v>
      </c>
      <c r="BN239" s="199"/>
      <c r="BO239" s="198"/>
      <c r="BP239" s="198"/>
      <c r="BQ239" s="199"/>
      <c r="BR239" s="199"/>
      <c r="BS239" s="199"/>
    </row>
    <row r="240" s="200" customFormat="1" ht="36" customHeight="1" spans="1:71">
      <c r="A240" s="533">
        <v>45383</v>
      </c>
      <c r="B240" s="527" t="s">
        <v>1046</v>
      </c>
      <c r="C240" s="528" t="s">
        <v>1047</v>
      </c>
      <c r="D240" s="534">
        <v>4500128544</v>
      </c>
      <c r="E240" s="530"/>
      <c r="F240" s="534" t="s">
        <v>1048</v>
      </c>
      <c r="G240" s="531" t="s">
        <v>207</v>
      </c>
      <c r="H240" s="532" t="s">
        <v>74</v>
      </c>
      <c r="I240" s="401">
        <v>1056</v>
      </c>
      <c r="J240" s="562">
        <v>0</v>
      </c>
      <c r="K240" s="531">
        <v>48</v>
      </c>
      <c r="L240" s="401">
        <f t="shared" si="86"/>
        <v>22</v>
      </c>
      <c r="M240" s="563">
        <v>45432</v>
      </c>
      <c r="N240" s="1495">
        <v>45433</v>
      </c>
      <c r="O240" s="564" t="s">
        <v>1049</v>
      </c>
      <c r="P240" s="564" t="s">
        <v>92</v>
      </c>
      <c r="Q240" s="564" t="s">
        <v>1050</v>
      </c>
      <c r="R240" s="564">
        <v>45405</v>
      </c>
      <c r="S240" s="564" t="s">
        <v>77</v>
      </c>
      <c r="T240" s="564">
        <v>45407</v>
      </c>
      <c r="U240" s="530" t="s">
        <v>1051</v>
      </c>
      <c r="V240" s="564" t="s">
        <v>491</v>
      </c>
      <c r="W240" s="592">
        <v>1.4064</v>
      </c>
      <c r="X240" s="593">
        <f>I240*W240</f>
        <v>1485.1584</v>
      </c>
      <c r="Y240" s="401" t="s">
        <v>1052</v>
      </c>
      <c r="Z240" s="607" t="s">
        <v>207</v>
      </c>
      <c r="AA240" s="1453" t="s">
        <v>128</v>
      </c>
      <c r="AB240" s="608"/>
      <c r="AC240" s="608"/>
      <c r="AD240" s="608"/>
      <c r="AE240" s="564" t="s">
        <v>80</v>
      </c>
      <c r="AF240" s="564"/>
      <c r="AG240" s="608">
        <f t="shared" si="81"/>
        <v>1056</v>
      </c>
      <c r="AH240" s="608"/>
      <c r="AI240" s="608"/>
      <c r="AJ240" s="608"/>
      <c r="AK240" s="401">
        <f t="shared" si="105"/>
        <v>1056</v>
      </c>
      <c r="AL240" s="401"/>
      <c r="AM240" s="609"/>
      <c r="AN240" s="609"/>
      <c r="AO240" s="609">
        <f>AG240</f>
        <v>1056</v>
      </c>
      <c r="AP240" s="609"/>
      <c r="AQ240" s="609"/>
      <c r="AR240" s="609"/>
      <c r="AS240" s="609"/>
      <c r="AT240" s="633"/>
      <c r="AU240" s="633"/>
      <c r="AV240" s="633"/>
      <c r="AW240" s="633">
        <f>AG240/12</f>
        <v>88</v>
      </c>
      <c r="AX240" s="633"/>
      <c r="AY240" s="633"/>
      <c r="AZ240" s="633"/>
      <c r="BA240" s="633"/>
      <c r="BB240" s="633"/>
      <c r="BC240" s="633"/>
      <c r="BD240" s="633"/>
      <c r="BE240" s="633"/>
      <c r="BF240" s="633"/>
      <c r="BG240" s="633"/>
      <c r="BH240" s="633"/>
      <c r="BI240" s="633"/>
      <c r="BJ240" s="633"/>
      <c r="BK240" s="633"/>
      <c r="BL240" s="633"/>
      <c r="BM240" s="201">
        <f t="shared" si="79"/>
        <v>1056</v>
      </c>
      <c r="BN240" s="199"/>
      <c r="BO240" s="198"/>
      <c r="BP240" s="198"/>
      <c r="BQ240" s="199"/>
      <c r="BR240" s="199"/>
      <c r="BS240" s="199"/>
    </row>
    <row r="241" s="200" customFormat="1" ht="36" customHeight="1" spans="1:71">
      <c r="A241" s="526">
        <v>45392</v>
      </c>
      <c r="B241" s="1507" t="s">
        <v>587</v>
      </c>
      <c r="C241" s="1508" t="s">
        <v>117</v>
      </c>
      <c r="D241" s="529">
        <v>4500129422</v>
      </c>
      <c r="E241" s="1509">
        <v>6631646262</v>
      </c>
      <c r="F241" s="529" t="s">
        <v>1053</v>
      </c>
      <c r="G241" s="1510" t="s">
        <v>832</v>
      </c>
      <c r="H241" s="532" t="s">
        <v>833</v>
      </c>
      <c r="I241" s="401">
        <v>1152</v>
      </c>
      <c r="J241" s="562">
        <v>0</v>
      </c>
      <c r="K241" s="531">
        <v>1152</v>
      </c>
      <c r="L241" s="401">
        <f t="shared" si="86"/>
        <v>1</v>
      </c>
      <c r="M241" s="563">
        <v>45439</v>
      </c>
      <c r="N241" s="1495">
        <v>45437</v>
      </c>
      <c r="O241" s="1474" t="s">
        <v>1001</v>
      </c>
      <c r="P241" s="564" t="s">
        <v>92</v>
      </c>
      <c r="Q241" s="1515" t="s">
        <v>835</v>
      </c>
      <c r="R241" s="564">
        <v>45392</v>
      </c>
      <c r="S241" s="564" t="s">
        <v>123</v>
      </c>
      <c r="T241" s="564" t="s">
        <v>837</v>
      </c>
      <c r="U241" s="1509" t="s">
        <v>993</v>
      </c>
      <c r="V241" s="1509" t="s">
        <v>634</v>
      </c>
      <c r="W241" s="592">
        <v>1752.1376</v>
      </c>
      <c r="X241" s="593">
        <f t="shared" ref="X241:X244" si="109">W241*L241</f>
        <v>1752.1376</v>
      </c>
      <c r="Y241" s="616" t="s">
        <v>1054</v>
      </c>
      <c r="Z241" s="607" t="s">
        <v>832</v>
      </c>
      <c r="AA241" s="1525" t="s">
        <v>128</v>
      </c>
      <c r="AB241" s="614"/>
      <c r="AC241" s="614"/>
      <c r="AD241" s="614"/>
      <c r="AE241" s="1515" t="s">
        <v>80</v>
      </c>
      <c r="AF241" s="1515"/>
      <c r="AG241" s="608">
        <f t="shared" si="81"/>
        <v>1152</v>
      </c>
      <c r="AH241" s="614"/>
      <c r="AI241" s="614"/>
      <c r="AJ241" s="615"/>
      <c r="AK241" s="609">
        <f t="shared" si="105"/>
        <v>1152</v>
      </c>
      <c r="AL241" s="615"/>
      <c r="AM241" s="615"/>
      <c r="AN241" s="615"/>
      <c r="AO241" s="609"/>
      <c r="AP241" s="609"/>
      <c r="AQ241" s="609">
        <f t="shared" ref="AQ241:AQ244" si="110">I241</f>
        <v>1152</v>
      </c>
      <c r="AR241" s="615"/>
      <c r="AS241" s="615"/>
      <c r="AT241" s="1526"/>
      <c r="AU241" s="1526"/>
      <c r="AV241" s="633">
        <f t="shared" ref="AV241:AV244" si="111">I241/12</f>
        <v>96</v>
      </c>
      <c r="AW241" s="616"/>
      <c r="AX241" s="632"/>
      <c r="AY241" s="632"/>
      <c r="AZ241" s="632"/>
      <c r="BA241" s="632"/>
      <c r="BB241" s="632"/>
      <c r="BC241" s="632"/>
      <c r="BD241" s="632"/>
      <c r="BE241" s="632"/>
      <c r="BF241" s="632"/>
      <c r="BG241" s="632"/>
      <c r="BH241" s="632"/>
      <c r="BI241" s="632"/>
      <c r="BJ241" s="632"/>
      <c r="BK241" s="632"/>
      <c r="BL241" s="632"/>
      <c r="BM241" s="201">
        <f t="shared" si="79"/>
        <v>1152</v>
      </c>
      <c r="BN241" s="199"/>
      <c r="BO241" s="198"/>
      <c r="BP241" s="198"/>
      <c r="BQ241" s="199"/>
      <c r="BR241" s="199"/>
      <c r="BS241" s="199"/>
    </row>
    <row r="242" s="200" customFormat="1" ht="36" customHeight="1" spans="1:71">
      <c r="A242" s="526">
        <v>45392</v>
      </c>
      <c r="B242" s="1507" t="s">
        <v>587</v>
      </c>
      <c r="C242" s="1508" t="s">
        <v>117</v>
      </c>
      <c r="D242" s="529">
        <v>4500129422</v>
      </c>
      <c r="E242" s="1509">
        <v>6631646267</v>
      </c>
      <c r="F242" s="529" t="s">
        <v>1055</v>
      </c>
      <c r="G242" s="1510" t="s">
        <v>832</v>
      </c>
      <c r="H242" s="532" t="s">
        <v>833</v>
      </c>
      <c r="I242" s="401">
        <v>1152</v>
      </c>
      <c r="J242" s="562">
        <v>0</v>
      </c>
      <c r="K242" s="531">
        <v>1152</v>
      </c>
      <c r="L242" s="401">
        <f t="shared" si="86"/>
        <v>1</v>
      </c>
      <c r="M242" s="563">
        <v>45439</v>
      </c>
      <c r="N242" s="1495">
        <v>45437</v>
      </c>
      <c r="O242" s="1474" t="s">
        <v>1001</v>
      </c>
      <c r="P242" s="564" t="s">
        <v>92</v>
      </c>
      <c r="Q242" s="1515" t="s">
        <v>1045</v>
      </c>
      <c r="R242" s="564">
        <v>45392</v>
      </c>
      <c r="S242" s="564" t="s">
        <v>123</v>
      </c>
      <c r="T242" s="564" t="s">
        <v>837</v>
      </c>
      <c r="U242" s="1509" t="s">
        <v>993</v>
      </c>
      <c r="V242" s="1509" t="s">
        <v>634</v>
      </c>
      <c r="W242" s="592">
        <v>1752.1376</v>
      </c>
      <c r="X242" s="593">
        <f t="shared" si="109"/>
        <v>1752.1376</v>
      </c>
      <c r="Y242" s="616" t="s">
        <v>1054</v>
      </c>
      <c r="Z242" s="607" t="s">
        <v>832</v>
      </c>
      <c r="AA242" s="1525" t="s">
        <v>128</v>
      </c>
      <c r="AB242" s="614"/>
      <c r="AC242" s="614"/>
      <c r="AD242" s="614"/>
      <c r="AE242" s="1515" t="s">
        <v>80</v>
      </c>
      <c r="AF242" s="1515"/>
      <c r="AG242" s="608">
        <f t="shared" si="81"/>
        <v>1152</v>
      </c>
      <c r="AH242" s="614"/>
      <c r="AI242" s="614"/>
      <c r="AJ242" s="615"/>
      <c r="AK242" s="609">
        <f t="shared" si="105"/>
        <v>1152</v>
      </c>
      <c r="AL242" s="615"/>
      <c r="AM242" s="615"/>
      <c r="AN242" s="615"/>
      <c r="AO242" s="609"/>
      <c r="AP242" s="609"/>
      <c r="AQ242" s="609">
        <f t="shared" si="110"/>
        <v>1152</v>
      </c>
      <c r="AR242" s="615"/>
      <c r="AS242" s="615"/>
      <c r="AT242" s="1526"/>
      <c r="AU242" s="1526"/>
      <c r="AV242" s="633">
        <f t="shared" si="111"/>
        <v>96</v>
      </c>
      <c r="AW242" s="616"/>
      <c r="AX242" s="632"/>
      <c r="AY242" s="632"/>
      <c r="AZ242" s="632"/>
      <c r="BA242" s="632"/>
      <c r="BB242" s="632"/>
      <c r="BC242" s="632"/>
      <c r="BD242" s="632"/>
      <c r="BE242" s="632"/>
      <c r="BF242" s="632"/>
      <c r="BG242" s="632"/>
      <c r="BH242" s="632"/>
      <c r="BI242" s="632"/>
      <c r="BJ242" s="632"/>
      <c r="BK242" s="632"/>
      <c r="BL242" s="632"/>
      <c r="BM242" s="201">
        <f t="shared" si="79"/>
        <v>1152</v>
      </c>
      <c r="BN242" s="199"/>
      <c r="BO242" s="198"/>
      <c r="BP242" s="198"/>
      <c r="BQ242" s="199"/>
      <c r="BR242" s="199"/>
      <c r="BS242" s="199"/>
    </row>
    <row r="243" s="200" customFormat="1" ht="36" customHeight="1" spans="1:71">
      <c r="A243" s="526">
        <v>45392</v>
      </c>
      <c r="B243" s="1507" t="s">
        <v>587</v>
      </c>
      <c r="C243" s="1508" t="s">
        <v>117</v>
      </c>
      <c r="D243" s="529">
        <v>4500129422</v>
      </c>
      <c r="E243" s="1509">
        <v>6631646268</v>
      </c>
      <c r="F243" s="529" t="s">
        <v>1056</v>
      </c>
      <c r="G243" s="1510" t="s">
        <v>832</v>
      </c>
      <c r="H243" s="532" t="s">
        <v>833</v>
      </c>
      <c r="I243" s="401">
        <v>1152</v>
      </c>
      <c r="J243" s="562">
        <v>0</v>
      </c>
      <c r="K243" s="531">
        <v>1152</v>
      </c>
      <c r="L243" s="401">
        <f t="shared" si="86"/>
        <v>1</v>
      </c>
      <c r="M243" s="563">
        <v>45439</v>
      </c>
      <c r="N243" s="1495">
        <v>45437</v>
      </c>
      <c r="O243" s="1474" t="s">
        <v>1001</v>
      </c>
      <c r="P243" s="564" t="s">
        <v>92</v>
      </c>
      <c r="Q243" s="1515" t="s">
        <v>835</v>
      </c>
      <c r="R243" s="564">
        <v>45392</v>
      </c>
      <c r="S243" s="564" t="s">
        <v>123</v>
      </c>
      <c r="T243" s="564" t="s">
        <v>837</v>
      </c>
      <c r="U243" s="1509" t="s">
        <v>993</v>
      </c>
      <c r="V243" s="1509" t="s">
        <v>634</v>
      </c>
      <c r="W243" s="592">
        <v>1752.1376</v>
      </c>
      <c r="X243" s="593">
        <f t="shared" si="109"/>
        <v>1752.1376</v>
      </c>
      <c r="Y243" s="616" t="s">
        <v>1057</v>
      </c>
      <c r="Z243" s="607" t="s">
        <v>832</v>
      </c>
      <c r="AA243" s="1525" t="s">
        <v>128</v>
      </c>
      <c r="AB243" s="614"/>
      <c r="AC243" s="614"/>
      <c r="AD243" s="614"/>
      <c r="AE243" s="1515" t="s">
        <v>80</v>
      </c>
      <c r="AF243" s="1515"/>
      <c r="AG243" s="608">
        <f t="shared" si="81"/>
        <v>1152</v>
      </c>
      <c r="AH243" s="614"/>
      <c r="AI243" s="614"/>
      <c r="AJ243" s="615"/>
      <c r="AK243" s="609">
        <f t="shared" si="105"/>
        <v>1152</v>
      </c>
      <c r="AL243" s="615"/>
      <c r="AM243" s="615"/>
      <c r="AN243" s="615"/>
      <c r="AO243" s="609"/>
      <c r="AP243" s="609"/>
      <c r="AQ243" s="609">
        <f t="shared" si="110"/>
        <v>1152</v>
      </c>
      <c r="AR243" s="615"/>
      <c r="AS243" s="615"/>
      <c r="AT243" s="1526"/>
      <c r="AU243" s="1526"/>
      <c r="AV243" s="633">
        <f t="shared" si="111"/>
        <v>96</v>
      </c>
      <c r="AW243" s="616"/>
      <c r="AX243" s="632"/>
      <c r="AY243" s="632"/>
      <c r="AZ243" s="632"/>
      <c r="BA243" s="632"/>
      <c r="BB243" s="632"/>
      <c r="BC243" s="632"/>
      <c r="BD243" s="632"/>
      <c r="BE243" s="632"/>
      <c r="BF243" s="632"/>
      <c r="BG243" s="632"/>
      <c r="BH243" s="632"/>
      <c r="BI243" s="632"/>
      <c r="BJ243" s="632"/>
      <c r="BK243" s="632"/>
      <c r="BL243" s="632"/>
      <c r="BM243" s="201">
        <f t="shared" si="79"/>
        <v>1152</v>
      </c>
      <c r="BN243" s="199"/>
      <c r="BO243" s="198"/>
      <c r="BP243" s="198"/>
      <c r="BQ243" s="199"/>
      <c r="BR243" s="199"/>
      <c r="BS243" s="199"/>
    </row>
    <row r="244" s="200" customFormat="1" ht="36" customHeight="1" spans="1:71">
      <c r="A244" s="526">
        <v>45392</v>
      </c>
      <c r="B244" s="1507" t="s">
        <v>587</v>
      </c>
      <c r="C244" s="1508" t="s">
        <v>117</v>
      </c>
      <c r="D244" s="529">
        <v>4500129422</v>
      </c>
      <c r="E244" s="1509">
        <v>6631646270</v>
      </c>
      <c r="F244" s="529" t="s">
        <v>1058</v>
      </c>
      <c r="G244" s="1510" t="s">
        <v>832</v>
      </c>
      <c r="H244" s="532" t="s">
        <v>833</v>
      </c>
      <c r="I244" s="401">
        <v>1152</v>
      </c>
      <c r="J244" s="562">
        <v>0</v>
      </c>
      <c r="K244" s="531">
        <v>1152</v>
      </c>
      <c r="L244" s="401">
        <f t="shared" si="86"/>
        <v>1</v>
      </c>
      <c r="M244" s="563">
        <v>45439</v>
      </c>
      <c r="N244" s="1495">
        <v>45437</v>
      </c>
      <c r="O244" s="1474" t="s">
        <v>1001</v>
      </c>
      <c r="P244" s="564" t="s">
        <v>92</v>
      </c>
      <c r="Q244" s="1515" t="s">
        <v>992</v>
      </c>
      <c r="R244" s="564">
        <v>45392</v>
      </c>
      <c r="S244" s="564" t="s">
        <v>123</v>
      </c>
      <c r="T244" s="564" t="s">
        <v>837</v>
      </c>
      <c r="U244" s="1509" t="s">
        <v>993</v>
      </c>
      <c r="V244" s="1509" t="s">
        <v>634</v>
      </c>
      <c r="W244" s="592">
        <v>1752.1376</v>
      </c>
      <c r="X244" s="593">
        <f t="shared" si="109"/>
        <v>1752.1376</v>
      </c>
      <c r="Y244" s="616" t="s">
        <v>1057</v>
      </c>
      <c r="Z244" s="607" t="s">
        <v>832</v>
      </c>
      <c r="AA244" s="1525" t="s">
        <v>128</v>
      </c>
      <c r="AB244" s="614"/>
      <c r="AC244" s="614"/>
      <c r="AD244" s="614"/>
      <c r="AE244" s="1515" t="s">
        <v>80</v>
      </c>
      <c r="AF244" s="1515"/>
      <c r="AG244" s="608">
        <f t="shared" si="81"/>
        <v>1152</v>
      </c>
      <c r="AH244" s="614"/>
      <c r="AI244" s="614"/>
      <c r="AJ244" s="615"/>
      <c r="AK244" s="609">
        <f t="shared" si="105"/>
        <v>1152</v>
      </c>
      <c r="AL244" s="615"/>
      <c r="AM244" s="615"/>
      <c r="AN244" s="615"/>
      <c r="AO244" s="609"/>
      <c r="AP244" s="609"/>
      <c r="AQ244" s="609">
        <f t="shared" si="110"/>
        <v>1152</v>
      </c>
      <c r="AR244" s="615"/>
      <c r="AS244" s="615"/>
      <c r="AT244" s="1526"/>
      <c r="AU244" s="1526"/>
      <c r="AV244" s="633">
        <f t="shared" si="111"/>
        <v>96</v>
      </c>
      <c r="AW244" s="616"/>
      <c r="AX244" s="632"/>
      <c r="AY244" s="632"/>
      <c r="AZ244" s="632"/>
      <c r="BA244" s="632"/>
      <c r="BB244" s="632"/>
      <c r="BC244" s="632"/>
      <c r="BD244" s="632"/>
      <c r="BE244" s="632"/>
      <c r="BF244" s="632"/>
      <c r="BG244" s="632"/>
      <c r="BH244" s="632"/>
      <c r="BI244" s="632"/>
      <c r="BJ244" s="632"/>
      <c r="BK244" s="632"/>
      <c r="BL244" s="632"/>
      <c r="BM244" s="201">
        <f t="shared" si="79"/>
        <v>1152</v>
      </c>
      <c r="BN244" s="199"/>
      <c r="BO244" s="198"/>
      <c r="BP244" s="198"/>
      <c r="BQ244" s="199"/>
      <c r="BR244" s="199"/>
      <c r="BS244" s="199"/>
    </row>
    <row r="245" s="200" customFormat="1" ht="36" customHeight="1" spans="1:68">
      <c r="A245" s="533">
        <v>45397</v>
      </c>
      <c r="B245" s="527" t="s">
        <v>933</v>
      </c>
      <c r="C245" s="528" t="s">
        <v>934</v>
      </c>
      <c r="D245" s="534">
        <v>4500130675</v>
      </c>
      <c r="E245" s="530">
        <v>5000001492</v>
      </c>
      <c r="F245" s="534" t="s">
        <v>1059</v>
      </c>
      <c r="G245" s="1493" t="s">
        <v>160</v>
      </c>
      <c r="H245" s="532" t="s">
        <v>74</v>
      </c>
      <c r="I245" s="401">
        <v>4810</v>
      </c>
      <c r="J245" s="562">
        <v>0</v>
      </c>
      <c r="K245" s="531">
        <v>13</v>
      </c>
      <c r="L245" s="401">
        <f t="shared" si="86"/>
        <v>370</v>
      </c>
      <c r="M245" s="563">
        <v>45432</v>
      </c>
      <c r="N245" s="1495">
        <v>45433</v>
      </c>
      <c r="O245" s="564"/>
      <c r="P245" s="564" t="s">
        <v>92</v>
      </c>
      <c r="Q245" s="564" t="s">
        <v>1060</v>
      </c>
      <c r="R245" s="564">
        <v>45401</v>
      </c>
      <c r="S245" s="564" t="s">
        <v>77</v>
      </c>
      <c r="T245" s="564">
        <v>45404</v>
      </c>
      <c r="U245" s="1499" t="s">
        <v>937</v>
      </c>
      <c r="V245" s="564" t="s">
        <v>938</v>
      </c>
      <c r="W245" s="592">
        <v>1.3778</v>
      </c>
      <c r="X245" s="593">
        <f t="shared" ref="X245:X252" si="112">I245*W245</f>
        <v>6627.218</v>
      </c>
      <c r="Y245" s="401" t="s">
        <v>1061</v>
      </c>
      <c r="Z245" s="607" t="s">
        <v>940</v>
      </c>
      <c r="AA245" s="1453" t="s">
        <v>128</v>
      </c>
      <c r="AB245" s="608"/>
      <c r="AC245" s="608"/>
      <c r="AD245" s="608"/>
      <c r="AE245" s="564" t="s">
        <v>80</v>
      </c>
      <c r="AF245" s="564"/>
      <c r="AG245" s="608">
        <f t="shared" si="81"/>
        <v>4810</v>
      </c>
      <c r="AH245" s="608"/>
      <c r="AI245" s="608"/>
      <c r="AJ245" s="608"/>
      <c r="AK245" s="609">
        <f t="shared" si="105"/>
        <v>4810</v>
      </c>
      <c r="AL245" s="609"/>
      <c r="AM245" s="609"/>
      <c r="AN245" s="609"/>
      <c r="AO245" s="609"/>
      <c r="AP245" s="609"/>
      <c r="AQ245" s="609"/>
      <c r="AR245" s="609">
        <f>I245</f>
        <v>4810</v>
      </c>
      <c r="AS245" s="609"/>
      <c r="AT245" s="633"/>
      <c r="AU245" s="633"/>
      <c r="AV245" s="633"/>
      <c r="AW245" s="401"/>
      <c r="AX245" s="633"/>
      <c r="AY245" s="633">
        <f t="shared" ref="AY245:AY249" si="113">I245/13</f>
        <v>370</v>
      </c>
      <c r="AZ245" s="633"/>
      <c r="BA245" s="633"/>
      <c r="BB245" s="633"/>
      <c r="BC245" s="633"/>
      <c r="BD245" s="633"/>
      <c r="BE245" s="633"/>
      <c r="BF245" s="633"/>
      <c r="BG245" s="633"/>
      <c r="BH245" s="633"/>
      <c r="BI245" s="633"/>
      <c r="BJ245" s="633"/>
      <c r="BK245" s="633"/>
      <c r="BL245" s="633"/>
      <c r="BM245" s="401">
        <f t="shared" si="79"/>
        <v>4810</v>
      </c>
      <c r="BO245" s="1473"/>
      <c r="BP245" s="1473"/>
    </row>
    <row r="246" s="200" customFormat="1" ht="36" customHeight="1" spans="1:68">
      <c r="A246" s="533">
        <v>45397</v>
      </c>
      <c r="B246" s="527" t="s">
        <v>933</v>
      </c>
      <c r="C246" s="528" t="s">
        <v>934</v>
      </c>
      <c r="D246" s="534">
        <v>4500130675</v>
      </c>
      <c r="E246" s="530">
        <v>5000001492</v>
      </c>
      <c r="F246" s="534" t="s">
        <v>1062</v>
      </c>
      <c r="G246" s="1493" t="s">
        <v>160</v>
      </c>
      <c r="H246" s="532" t="s">
        <v>74</v>
      </c>
      <c r="I246" s="401">
        <v>1209</v>
      </c>
      <c r="J246" s="562">
        <v>0</v>
      </c>
      <c r="K246" s="531">
        <v>13</v>
      </c>
      <c r="L246" s="401">
        <f t="shared" si="86"/>
        <v>93</v>
      </c>
      <c r="M246" s="563">
        <v>45432</v>
      </c>
      <c r="N246" s="1495">
        <v>45433</v>
      </c>
      <c r="O246" s="564"/>
      <c r="P246" s="564" t="s">
        <v>92</v>
      </c>
      <c r="Q246" s="564" t="s">
        <v>1060</v>
      </c>
      <c r="R246" s="564">
        <v>45401</v>
      </c>
      <c r="S246" s="564" t="s">
        <v>77</v>
      </c>
      <c r="T246" s="564">
        <v>45404</v>
      </c>
      <c r="U246" s="1499" t="s">
        <v>937</v>
      </c>
      <c r="V246" s="564" t="s">
        <v>938</v>
      </c>
      <c r="W246" s="592">
        <v>1.3779</v>
      </c>
      <c r="X246" s="593">
        <f t="shared" si="112"/>
        <v>1665.8811</v>
      </c>
      <c r="Y246" s="401" t="s">
        <v>1061</v>
      </c>
      <c r="Z246" s="607" t="s">
        <v>940</v>
      </c>
      <c r="AA246" s="1453" t="s">
        <v>128</v>
      </c>
      <c r="AB246" s="608"/>
      <c r="AC246" s="608"/>
      <c r="AD246" s="608"/>
      <c r="AE246" s="564" t="s">
        <v>80</v>
      </c>
      <c r="AF246" s="564"/>
      <c r="AG246" s="608">
        <f t="shared" si="81"/>
        <v>1209</v>
      </c>
      <c r="AH246" s="608"/>
      <c r="AI246" s="608"/>
      <c r="AJ246" s="608"/>
      <c r="AK246" s="609">
        <f t="shared" si="105"/>
        <v>1209</v>
      </c>
      <c r="AL246" s="609"/>
      <c r="AM246" s="609"/>
      <c r="AN246" s="609"/>
      <c r="AO246" s="609"/>
      <c r="AP246" s="609"/>
      <c r="AQ246" s="609"/>
      <c r="AR246" s="609">
        <f>I246</f>
        <v>1209</v>
      </c>
      <c r="AS246" s="609"/>
      <c r="AT246" s="633"/>
      <c r="AU246" s="633"/>
      <c r="AV246" s="633"/>
      <c r="AW246" s="401"/>
      <c r="AX246" s="633"/>
      <c r="AY246" s="633">
        <f t="shared" si="113"/>
        <v>93</v>
      </c>
      <c r="AZ246" s="633"/>
      <c r="BA246" s="633"/>
      <c r="BB246" s="633"/>
      <c r="BC246" s="633"/>
      <c r="BD246" s="633"/>
      <c r="BE246" s="633"/>
      <c r="BF246" s="633"/>
      <c r="BG246" s="633"/>
      <c r="BH246" s="633"/>
      <c r="BI246" s="633"/>
      <c r="BJ246" s="633"/>
      <c r="BK246" s="633"/>
      <c r="BL246" s="633"/>
      <c r="BM246" s="401">
        <f t="shared" si="79"/>
        <v>1209</v>
      </c>
      <c r="BO246" s="1473"/>
      <c r="BP246" s="1473"/>
    </row>
    <row r="247" s="200" customFormat="1" ht="36" customHeight="1" spans="1:73">
      <c r="A247" s="1484">
        <v>45397</v>
      </c>
      <c r="B247" s="1485" t="s">
        <v>816</v>
      </c>
      <c r="C247" s="1508" t="s">
        <v>117</v>
      </c>
      <c r="D247" s="1487">
        <v>4500129515</v>
      </c>
      <c r="E247" s="1488">
        <v>70041635</v>
      </c>
      <c r="F247" s="1487" t="s">
        <v>1063</v>
      </c>
      <c r="G247" s="531" t="s">
        <v>628</v>
      </c>
      <c r="H247" s="532" t="s">
        <v>623</v>
      </c>
      <c r="I247" s="401">
        <v>600</v>
      </c>
      <c r="J247" s="562">
        <v>0</v>
      </c>
      <c r="K247" s="531">
        <v>12</v>
      </c>
      <c r="L247" s="401">
        <f t="shared" si="86"/>
        <v>50</v>
      </c>
      <c r="M247" s="563">
        <v>45435</v>
      </c>
      <c r="N247" s="1495">
        <v>45435</v>
      </c>
      <c r="O247" s="564"/>
      <c r="P247" s="564" t="s">
        <v>92</v>
      </c>
      <c r="Q247" s="564" t="s">
        <v>1064</v>
      </c>
      <c r="R247" s="564">
        <v>45398</v>
      </c>
      <c r="S247" s="564" t="s">
        <v>77</v>
      </c>
      <c r="T247" s="564" t="s">
        <v>1065</v>
      </c>
      <c r="U247" s="530" t="s">
        <v>1066</v>
      </c>
      <c r="V247" s="564" t="s">
        <v>163</v>
      </c>
      <c r="W247" s="592">
        <v>3.3</v>
      </c>
      <c r="X247" s="593">
        <f t="shared" si="112"/>
        <v>1980</v>
      </c>
      <c r="Y247" s="401" t="s">
        <v>1067</v>
      </c>
      <c r="Z247" s="607" t="s">
        <v>822</v>
      </c>
      <c r="AA247" s="1453" t="s">
        <v>128</v>
      </c>
      <c r="AB247" s="608"/>
      <c r="AC247" s="608"/>
      <c r="AD247" s="608"/>
      <c r="AE247" s="564" t="s">
        <v>80</v>
      </c>
      <c r="AF247" s="564"/>
      <c r="AG247" s="608">
        <f>I247*2</f>
        <v>1200</v>
      </c>
      <c r="AH247" s="608"/>
      <c r="AI247" s="608"/>
      <c r="AJ247" s="608"/>
      <c r="AK247" s="609">
        <f>I247*2</f>
        <v>1200</v>
      </c>
      <c r="AL247" s="401"/>
      <c r="AM247" s="609"/>
      <c r="AN247" s="609"/>
      <c r="AO247" s="609">
        <f>I247*2</f>
        <v>1200</v>
      </c>
      <c r="AP247" s="609"/>
      <c r="AQ247" s="609"/>
      <c r="AR247" s="609"/>
      <c r="AS247" s="609"/>
      <c r="AT247" s="633"/>
      <c r="AU247" s="633"/>
      <c r="AV247" s="633"/>
      <c r="AW247" s="401"/>
      <c r="AX247" s="633"/>
      <c r="AY247" s="633"/>
      <c r="AZ247" s="633"/>
      <c r="BA247" s="633"/>
      <c r="BB247" s="633"/>
      <c r="BC247" s="633"/>
      <c r="BD247" s="633"/>
      <c r="BE247" s="633"/>
      <c r="BF247" s="633"/>
      <c r="BG247" s="633"/>
      <c r="BH247" s="633"/>
      <c r="BI247" s="633"/>
      <c r="BJ247" s="633"/>
      <c r="BK247" s="633">
        <f>I247*2</f>
        <v>1200</v>
      </c>
      <c r="BL247" s="633">
        <f>I247*2</f>
        <v>1200</v>
      </c>
      <c r="BM247" s="401">
        <f t="shared" si="79"/>
        <v>1200</v>
      </c>
      <c r="BO247" s="1473"/>
      <c r="BP247" s="1473"/>
      <c r="BU247" s="1502" t="s">
        <v>1068</v>
      </c>
    </row>
    <row r="248" s="401" customFormat="1" ht="36" customHeight="1" spans="1:71">
      <c r="A248" s="533">
        <v>45390</v>
      </c>
      <c r="B248" s="527" t="s">
        <v>587</v>
      </c>
      <c r="C248" s="528" t="s">
        <v>117</v>
      </c>
      <c r="D248" s="534">
        <v>4500129031</v>
      </c>
      <c r="E248" s="530">
        <v>6631642399</v>
      </c>
      <c r="F248" s="534" t="s">
        <v>1069</v>
      </c>
      <c r="G248" s="531" t="s">
        <v>245</v>
      </c>
      <c r="H248" s="532" t="s">
        <v>74</v>
      </c>
      <c r="I248" s="401">
        <v>12168</v>
      </c>
      <c r="J248" s="562">
        <v>0</v>
      </c>
      <c r="K248" s="531">
        <v>12</v>
      </c>
      <c r="L248" s="401">
        <f t="shared" si="86"/>
        <v>1014</v>
      </c>
      <c r="M248" s="563">
        <v>45439</v>
      </c>
      <c r="N248" s="1495">
        <v>45437</v>
      </c>
      <c r="O248" s="1474" t="s">
        <v>1001</v>
      </c>
      <c r="P248" s="564" t="s">
        <v>92</v>
      </c>
      <c r="Q248" s="564"/>
      <c r="R248" s="564" t="s">
        <v>836</v>
      </c>
      <c r="S248" s="564" t="s">
        <v>123</v>
      </c>
      <c r="T248" s="564" t="s">
        <v>837</v>
      </c>
      <c r="U248" s="530" t="s">
        <v>982</v>
      </c>
      <c r="V248" s="530" t="s">
        <v>634</v>
      </c>
      <c r="W248" s="592">
        <v>1.3969</v>
      </c>
      <c r="X248" s="593">
        <f t="shared" si="112"/>
        <v>16997.4792</v>
      </c>
      <c r="Y248" s="401" t="s">
        <v>1070</v>
      </c>
      <c r="Z248" s="607" t="s">
        <v>245</v>
      </c>
      <c r="AA248" s="1453" t="s">
        <v>128</v>
      </c>
      <c r="AB248" s="608"/>
      <c r="AC248" s="608"/>
      <c r="AD248" s="608"/>
      <c r="AE248" s="564" t="s">
        <v>80</v>
      </c>
      <c r="AF248" s="564"/>
      <c r="AG248" s="608">
        <f t="shared" ref="AG248:AG258" si="114">I248</f>
        <v>12168</v>
      </c>
      <c r="AH248" s="608"/>
      <c r="AI248" s="608"/>
      <c r="AJ248" s="609"/>
      <c r="AK248" s="609">
        <f t="shared" ref="AK248:AK250" si="115">I248</f>
        <v>12168</v>
      </c>
      <c r="AL248" s="609"/>
      <c r="AM248" s="609"/>
      <c r="AN248" s="609"/>
      <c r="AO248" s="609"/>
      <c r="AP248" s="609"/>
      <c r="AQ248" s="609">
        <f>I248</f>
        <v>12168</v>
      </c>
      <c r="AR248" s="609"/>
      <c r="AS248" s="609"/>
      <c r="AT248" s="633"/>
      <c r="AU248" s="633"/>
      <c r="AV248" s="633">
        <f>I248/12</f>
        <v>1014</v>
      </c>
      <c r="AX248" s="633"/>
      <c r="AY248" s="633"/>
      <c r="AZ248" s="633"/>
      <c r="BA248" s="633"/>
      <c r="BB248" s="633"/>
      <c r="BC248" s="633"/>
      <c r="BD248" s="633"/>
      <c r="BE248" s="633"/>
      <c r="BF248" s="633"/>
      <c r="BG248" s="633"/>
      <c r="BH248" s="633"/>
      <c r="BI248" s="633"/>
      <c r="BJ248" s="633"/>
      <c r="BK248" s="633"/>
      <c r="BL248" s="633"/>
      <c r="BM248" s="401">
        <f t="shared" si="79"/>
        <v>12168</v>
      </c>
      <c r="BN248" s="200"/>
      <c r="BO248" s="1473"/>
      <c r="BP248" s="1473"/>
      <c r="BQ248" s="200"/>
      <c r="BR248" s="200"/>
      <c r="BS248" s="200"/>
    </row>
    <row r="249" s="200" customFormat="1" ht="36" customHeight="1" spans="1:68">
      <c r="A249" s="526">
        <v>45411</v>
      </c>
      <c r="B249" s="1507" t="s">
        <v>189</v>
      </c>
      <c r="C249" s="1508" t="s">
        <v>190</v>
      </c>
      <c r="D249" s="529">
        <v>4500131786</v>
      </c>
      <c r="E249" s="1509">
        <v>20068397</v>
      </c>
      <c r="F249" s="529" t="s">
        <v>1071</v>
      </c>
      <c r="G249" s="1510" t="s">
        <v>160</v>
      </c>
      <c r="H249" s="532" t="s">
        <v>74</v>
      </c>
      <c r="I249" s="401">
        <v>13000</v>
      </c>
      <c r="J249" s="562">
        <v>0</v>
      </c>
      <c r="K249" s="531">
        <v>13</v>
      </c>
      <c r="L249" s="401">
        <f t="shared" si="86"/>
        <v>1000</v>
      </c>
      <c r="M249" s="570">
        <v>45440</v>
      </c>
      <c r="N249" s="1517">
        <v>45439</v>
      </c>
      <c r="O249" s="1515"/>
      <c r="P249" s="564" t="s">
        <v>92</v>
      </c>
      <c r="Q249" s="1515" t="s">
        <v>1072</v>
      </c>
      <c r="R249" s="564" t="s">
        <v>1073</v>
      </c>
      <c r="S249" s="564" t="s">
        <v>123</v>
      </c>
      <c r="T249" s="1519" t="s">
        <v>1074</v>
      </c>
      <c r="U249" s="1509" t="s">
        <v>1075</v>
      </c>
      <c r="V249" s="1509" t="s">
        <v>1011</v>
      </c>
      <c r="W249" s="592">
        <v>1.3686</v>
      </c>
      <c r="X249" s="593">
        <f t="shared" si="112"/>
        <v>17791.8</v>
      </c>
      <c r="Y249" s="616" t="s">
        <v>1076</v>
      </c>
      <c r="Z249" s="607" t="s">
        <v>160</v>
      </c>
      <c r="AA249" s="1525" t="s">
        <v>128</v>
      </c>
      <c r="AB249" s="614"/>
      <c r="AC249" s="614"/>
      <c r="AD249" s="614"/>
      <c r="AE249" s="1515" t="s">
        <v>80</v>
      </c>
      <c r="AF249" s="1515"/>
      <c r="AG249" s="608">
        <f t="shared" si="114"/>
        <v>13000</v>
      </c>
      <c r="AH249" s="614"/>
      <c r="AI249" s="614"/>
      <c r="AJ249" s="615"/>
      <c r="AK249" s="609">
        <f t="shared" si="115"/>
        <v>13000</v>
      </c>
      <c r="AL249" s="615"/>
      <c r="AM249" s="615"/>
      <c r="AN249" s="615"/>
      <c r="AO249" s="609">
        <f t="shared" ref="AO249:AO253" si="116">I249</f>
        <v>13000</v>
      </c>
      <c r="AP249" s="609"/>
      <c r="AQ249" s="609"/>
      <c r="AR249" s="615"/>
      <c r="AS249" s="615"/>
      <c r="AT249" s="1526"/>
      <c r="AU249" s="1526"/>
      <c r="AV249" s="633"/>
      <c r="AW249" s="616"/>
      <c r="AX249" s="632"/>
      <c r="AY249" s="633">
        <f t="shared" si="113"/>
        <v>1000</v>
      </c>
      <c r="AZ249" s="632"/>
      <c r="BA249" s="632"/>
      <c r="BB249" s="632"/>
      <c r="BC249" s="632"/>
      <c r="BD249" s="632"/>
      <c r="BE249" s="632"/>
      <c r="BF249" s="632"/>
      <c r="BG249" s="632"/>
      <c r="BH249" s="632"/>
      <c r="BI249" s="632"/>
      <c r="BJ249" s="632"/>
      <c r="BK249" s="632"/>
      <c r="BL249" s="632"/>
      <c r="BM249" s="401">
        <f t="shared" si="79"/>
        <v>13000</v>
      </c>
      <c r="BO249" s="1473"/>
      <c r="BP249" s="1473"/>
    </row>
    <row r="250" s="200" customFormat="1" ht="36" customHeight="1" spans="1:68">
      <c r="A250" s="533">
        <v>45390</v>
      </c>
      <c r="B250" s="527" t="s">
        <v>587</v>
      </c>
      <c r="C250" s="528" t="s">
        <v>117</v>
      </c>
      <c r="D250" s="529">
        <v>4500129036</v>
      </c>
      <c r="E250" s="1509">
        <v>6631642398</v>
      </c>
      <c r="F250" s="529" t="s">
        <v>1077</v>
      </c>
      <c r="G250" s="1510" t="s">
        <v>245</v>
      </c>
      <c r="H250" s="532" t="s">
        <v>74</v>
      </c>
      <c r="I250" s="401">
        <v>14784</v>
      </c>
      <c r="J250" s="562">
        <v>0</v>
      </c>
      <c r="K250" s="531">
        <v>12</v>
      </c>
      <c r="L250" s="401">
        <f t="shared" si="86"/>
        <v>1232</v>
      </c>
      <c r="M250" s="570">
        <v>45443</v>
      </c>
      <c r="N250" s="570">
        <v>45439</v>
      </c>
      <c r="O250" s="1474" t="s">
        <v>1078</v>
      </c>
      <c r="P250" s="564" t="s">
        <v>92</v>
      </c>
      <c r="Q250" s="1515" t="s">
        <v>992</v>
      </c>
      <c r="R250" s="564" t="s">
        <v>836</v>
      </c>
      <c r="S250" s="564" t="s">
        <v>123</v>
      </c>
      <c r="T250" s="564" t="s">
        <v>837</v>
      </c>
      <c r="U250" s="1509" t="s">
        <v>982</v>
      </c>
      <c r="V250" s="530" t="s">
        <v>634</v>
      </c>
      <c r="W250" s="592">
        <v>1.3969</v>
      </c>
      <c r="X250" s="593">
        <f t="shared" si="112"/>
        <v>20651.7696</v>
      </c>
      <c r="Y250" s="616" t="s">
        <v>1079</v>
      </c>
      <c r="Z250" s="607" t="s">
        <v>245</v>
      </c>
      <c r="AA250" s="1525" t="s">
        <v>128</v>
      </c>
      <c r="AB250" s="614"/>
      <c r="AC250" s="614"/>
      <c r="AD250" s="614"/>
      <c r="AE250" s="1515" t="s">
        <v>80</v>
      </c>
      <c r="AF250" s="1515"/>
      <c r="AG250" s="614">
        <f t="shared" si="114"/>
        <v>14784</v>
      </c>
      <c r="AH250" s="614"/>
      <c r="AI250" s="614"/>
      <c r="AJ250" s="614"/>
      <c r="AK250" s="609">
        <f t="shared" si="115"/>
        <v>14784</v>
      </c>
      <c r="AL250" s="615"/>
      <c r="AM250" s="615"/>
      <c r="AN250" s="615"/>
      <c r="AO250" s="615"/>
      <c r="AP250" s="615"/>
      <c r="AQ250" s="609">
        <f t="shared" ref="AQ250:AQ256" si="117">I250</f>
        <v>14784</v>
      </c>
      <c r="AR250" s="615"/>
      <c r="AS250" s="615"/>
      <c r="AT250" s="401"/>
      <c r="AU250" s="401"/>
      <c r="AV250" s="633">
        <f t="shared" ref="AV250:AV256" si="118">I250/12</f>
        <v>1232</v>
      </c>
      <c r="AW250" s="401"/>
      <c r="AX250" s="632"/>
      <c r="AY250" s="632"/>
      <c r="AZ250" s="632"/>
      <c r="BA250" s="632"/>
      <c r="BB250" s="632"/>
      <c r="BC250" s="632"/>
      <c r="BD250" s="632"/>
      <c r="BE250" s="632"/>
      <c r="BF250" s="632"/>
      <c r="BG250" s="632"/>
      <c r="BH250" s="632"/>
      <c r="BI250" s="632"/>
      <c r="BJ250" s="632"/>
      <c r="BK250" s="632"/>
      <c r="BL250" s="632"/>
      <c r="BM250" s="401">
        <f t="shared" si="79"/>
        <v>14784</v>
      </c>
      <c r="BO250" s="1473"/>
      <c r="BP250" s="1473"/>
    </row>
    <row r="251" s="200" customFormat="1" ht="36" customHeight="1" spans="1:68">
      <c r="A251" s="533">
        <v>45401</v>
      </c>
      <c r="B251" s="527" t="s">
        <v>1080</v>
      </c>
      <c r="C251" s="528" t="s">
        <v>117</v>
      </c>
      <c r="D251" s="529">
        <v>4500130646</v>
      </c>
      <c r="E251" s="1509">
        <v>3880</v>
      </c>
      <c r="F251" s="529" t="s">
        <v>1081</v>
      </c>
      <c r="G251" s="1510" t="s">
        <v>120</v>
      </c>
      <c r="H251" s="532" t="s">
        <v>74</v>
      </c>
      <c r="I251" s="401">
        <v>2016</v>
      </c>
      <c r="J251" s="562">
        <v>0</v>
      </c>
      <c r="K251" s="531">
        <v>21</v>
      </c>
      <c r="L251" s="401">
        <f t="shared" si="86"/>
        <v>96</v>
      </c>
      <c r="M251" s="570">
        <v>45443</v>
      </c>
      <c r="N251" s="570">
        <v>45439</v>
      </c>
      <c r="O251" s="1515"/>
      <c r="P251" s="564" t="s">
        <v>92</v>
      </c>
      <c r="Q251" s="1515" t="s">
        <v>1082</v>
      </c>
      <c r="R251" s="564">
        <v>45397</v>
      </c>
      <c r="S251" s="564" t="s">
        <v>77</v>
      </c>
      <c r="T251" s="564" t="s">
        <v>77</v>
      </c>
      <c r="U251" s="1509" t="s">
        <v>1083</v>
      </c>
      <c r="V251" s="530" t="s">
        <v>1084</v>
      </c>
      <c r="W251" s="592">
        <v>1.4585</v>
      </c>
      <c r="X251" s="593">
        <f t="shared" si="112"/>
        <v>2940.336</v>
      </c>
      <c r="Y251" s="616" t="s">
        <v>1085</v>
      </c>
      <c r="Z251" s="607" t="s">
        <v>120</v>
      </c>
      <c r="AA251" s="1525" t="s">
        <v>128</v>
      </c>
      <c r="AB251" s="614"/>
      <c r="AC251" s="614"/>
      <c r="AD251" s="614"/>
      <c r="AE251" s="1515" t="s">
        <v>80</v>
      </c>
      <c r="AF251" s="1515"/>
      <c r="AG251" s="608">
        <f t="shared" si="114"/>
        <v>2016</v>
      </c>
      <c r="AH251" s="614"/>
      <c r="AI251" s="614"/>
      <c r="AJ251" s="614"/>
      <c r="AK251" s="609">
        <f>AG251</f>
        <v>2016</v>
      </c>
      <c r="AL251" s="615"/>
      <c r="AM251" s="615"/>
      <c r="AN251" s="615"/>
      <c r="AO251" s="615">
        <f t="shared" si="116"/>
        <v>2016</v>
      </c>
      <c r="AP251" s="615"/>
      <c r="AQ251" s="609"/>
      <c r="AR251" s="615"/>
      <c r="AS251" s="609">
        <f>I251/21</f>
        <v>96</v>
      </c>
      <c r="AT251" s="401"/>
      <c r="AU251" s="401"/>
      <c r="AV251" s="633"/>
      <c r="AW251" s="401"/>
      <c r="AX251" s="632"/>
      <c r="AY251" s="632"/>
      <c r="AZ251" s="632"/>
      <c r="BA251" s="632"/>
      <c r="BB251" s="632"/>
      <c r="BC251" s="632"/>
      <c r="BD251" s="632"/>
      <c r="BE251" s="632"/>
      <c r="BF251" s="632"/>
      <c r="BG251" s="632"/>
      <c r="BH251" s="632"/>
      <c r="BI251" s="632"/>
      <c r="BJ251" s="632"/>
      <c r="BK251" s="632"/>
      <c r="BL251" s="632"/>
      <c r="BM251" s="401">
        <f t="shared" si="79"/>
        <v>2016</v>
      </c>
      <c r="BO251" s="1473"/>
      <c r="BP251" s="1473"/>
    </row>
    <row r="252" s="200" customFormat="1" ht="36" customHeight="1" spans="1:68">
      <c r="A252" s="1477">
        <v>45397</v>
      </c>
      <c r="B252" s="1475" t="s">
        <v>1086</v>
      </c>
      <c r="C252" s="1476" t="s">
        <v>1087</v>
      </c>
      <c r="D252" s="534">
        <v>4500130005</v>
      </c>
      <c r="E252" s="1511" t="s">
        <v>1088</v>
      </c>
      <c r="F252" s="534" t="s">
        <v>1089</v>
      </c>
      <c r="G252" s="1510" t="s">
        <v>96</v>
      </c>
      <c r="H252" s="1512" t="s">
        <v>74</v>
      </c>
      <c r="I252" s="616">
        <v>5500</v>
      </c>
      <c r="J252" s="1518">
        <v>0</v>
      </c>
      <c r="K252" s="1510">
        <v>50</v>
      </c>
      <c r="L252" s="616">
        <f t="shared" si="86"/>
        <v>110</v>
      </c>
      <c r="M252" s="1495">
        <v>45446</v>
      </c>
      <c r="N252" s="570">
        <v>45442</v>
      </c>
      <c r="O252" s="1515"/>
      <c r="P252" s="564" t="s">
        <v>92</v>
      </c>
      <c r="Q252" s="1515" t="s">
        <v>1090</v>
      </c>
      <c r="R252" s="1523">
        <v>45411</v>
      </c>
      <c r="S252" s="1519" t="s">
        <v>77</v>
      </c>
      <c r="T252" s="1519" t="s">
        <v>1091</v>
      </c>
      <c r="U252" s="1509" t="s">
        <v>1092</v>
      </c>
      <c r="V252" s="530" t="s">
        <v>618</v>
      </c>
      <c r="W252" s="1520">
        <v>1.4294</v>
      </c>
      <c r="X252" s="1521">
        <f t="shared" si="112"/>
        <v>7861.7</v>
      </c>
      <c r="Y252" s="616" t="s">
        <v>1093</v>
      </c>
      <c r="Z252" s="607" t="s">
        <v>96</v>
      </c>
      <c r="AA252" s="1525" t="s">
        <v>128</v>
      </c>
      <c r="AB252" s="614"/>
      <c r="AC252" s="614"/>
      <c r="AD252" s="614"/>
      <c r="AE252" s="1515" t="s">
        <v>80</v>
      </c>
      <c r="AF252" s="1515"/>
      <c r="AG252" s="614">
        <f t="shared" si="114"/>
        <v>5500</v>
      </c>
      <c r="AH252" s="614"/>
      <c r="AI252" s="614"/>
      <c r="AJ252" s="614"/>
      <c r="AK252" s="609">
        <f t="shared" ref="AK252:AK256" si="119">I252</f>
        <v>5500</v>
      </c>
      <c r="AL252" s="615"/>
      <c r="AM252" s="615"/>
      <c r="AN252" s="615"/>
      <c r="AO252" s="615">
        <f t="shared" si="116"/>
        <v>5500</v>
      </c>
      <c r="AP252" s="615"/>
      <c r="AQ252" s="609"/>
      <c r="AR252" s="615"/>
      <c r="AS252" s="615"/>
      <c r="AT252" s="401"/>
      <c r="AU252" s="401"/>
      <c r="AV252" s="633"/>
      <c r="AW252" s="401"/>
      <c r="AX252" s="632"/>
      <c r="AY252" s="632"/>
      <c r="AZ252" s="632"/>
      <c r="BA252" s="633">
        <f>I252/25</f>
        <v>220</v>
      </c>
      <c r="BB252" s="632"/>
      <c r="BC252" s="632"/>
      <c r="BD252" s="632"/>
      <c r="BE252" s="632"/>
      <c r="BF252" s="632"/>
      <c r="BG252" s="632"/>
      <c r="BH252" s="632"/>
      <c r="BI252" s="632"/>
      <c r="BJ252" s="632"/>
      <c r="BK252" s="632"/>
      <c r="BL252" s="632"/>
      <c r="BM252" s="401">
        <f t="shared" si="79"/>
        <v>5500</v>
      </c>
      <c r="BO252" s="1473"/>
      <c r="BP252" s="1473"/>
    </row>
    <row r="253" s="200" customFormat="1" ht="36" customHeight="1" spans="1:68">
      <c r="A253" s="533">
        <v>45407</v>
      </c>
      <c r="B253" s="527" t="s">
        <v>1094</v>
      </c>
      <c r="C253" s="528" t="s">
        <v>1095</v>
      </c>
      <c r="D253" s="529">
        <v>4500131426</v>
      </c>
      <c r="E253" s="1509"/>
      <c r="F253" s="529" t="s">
        <v>1096</v>
      </c>
      <c r="G253" s="1510" t="s">
        <v>386</v>
      </c>
      <c r="H253" s="532" t="s">
        <v>74</v>
      </c>
      <c r="I253" s="511">
        <v>900</v>
      </c>
      <c r="J253" s="562">
        <v>0</v>
      </c>
      <c r="K253" s="531">
        <v>60</v>
      </c>
      <c r="L253" s="401">
        <f t="shared" si="86"/>
        <v>15</v>
      </c>
      <c r="M253" s="570">
        <v>45446</v>
      </c>
      <c r="N253" s="570">
        <v>45442</v>
      </c>
      <c r="O253" s="1515"/>
      <c r="P253" s="564" t="s">
        <v>92</v>
      </c>
      <c r="Q253" s="1515" t="s">
        <v>1097</v>
      </c>
      <c r="R253" s="1523">
        <v>45419</v>
      </c>
      <c r="S253" s="564" t="s">
        <v>77</v>
      </c>
      <c r="T253" s="1519" t="s">
        <v>1098</v>
      </c>
      <c r="U253" s="1509" t="s">
        <v>1099</v>
      </c>
      <c r="V253" s="564" t="s">
        <v>618</v>
      </c>
      <c r="W253" s="592">
        <v>100.5413</v>
      </c>
      <c r="X253" s="593">
        <f t="shared" ref="X253:X256" si="120">W253*L253</f>
        <v>1508.1195</v>
      </c>
      <c r="Y253" s="616" t="s">
        <v>1100</v>
      </c>
      <c r="Z253" s="607" t="s">
        <v>386</v>
      </c>
      <c r="AA253" s="1525" t="s">
        <v>128</v>
      </c>
      <c r="AB253" s="614"/>
      <c r="AC253" s="614"/>
      <c r="AD253" s="614"/>
      <c r="AE253" s="1515" t="s">
        <v>80</v>
      </c>
      <c r="AF253" s="1515"/>
      <c r="AG253" s="608">
        <f t="shared" si="114"/>
        <v>900</v>
      </c>
      <c r="AH253" s="614"/>
      <c r="AI253" s="614"/>
      <c r="AJ253" s="614"/>
      <c r="AK253" s="401">
        <f t="shared" si="119"/>
        <v>900</v>
      </c>
      <c r="AL253" s="615"/>
      <c r="AM253" s="615"/>
      <c r="AN253" s="615"/>
      <c r="AO253" s="609">
        <f t="shared" si="116"/>
        <v>900</v>
      </c>
      <c r="AP253" s="609"/>
      <c r="AQ253" s="609"/>
      <c r="AR253" s="615"/>
      <c r="AS253" s="615"/>
      <c r="AT253" s="401"/>
      <c r="AU253" s="401"/>
      <c r="AV253" s="633"/>
      <c r="AW253" s="401"/>
      <c r="AX253" s="632"/>
      <c r="AY253" s="632"/>
      <c r="AZ253" s="632"/>
      <c r="BA253" s="632"/>
      <c r="BB253" s="632"/>
      <c r="BC253" s="632"/>
      <c r="BD253" s="633">
        <f>I253/60</f>
        <v>15</v>
      </c>
      <c r="BF253" s="632"/>
      <c r="BG253" s="632"/>
      <c r="BH253" s="632"/>
      <c r="BI253" s="632"/>
      <c r="BJ253" s="632"/>
      <c r="BK253" s="632"/>
      <c r="BL253" s="632"/>
      <c r="BM253" s="401">
        <f t="shared" si="79"/>
        <v>900</v>
      </c>
      <c r="BO253" s="1473"/>
      <c r="BP253" s="1473"/>
    </row>
    <row r="254" s="200" customFormat="1" ht="36" customHeight="1" spans="1:68">
      <c r="A254" s="533">
        <v>45411</v>
      </c>
      <c r="B254" s="527" t="s">
        <v>587</v>
      </c>
      <c r="C254" s="528" t="s">
        <v>117</v>
      </c>
      <c r="D254" s="529">
        <v>4500131236</v>
      </c>
      <c r="E254" s="1509">
        <v>6631646269</v>
      </c>
      <c r="F254" s="529" t="s">
        <v>1101</v>
      </c>
      <c r="G254" s="1510" t="s">
        <v>832</v>
      </c>
      <c r="H254" s="532" t="s">
        <v>833</v>
      </c>
      <c r="I254" s="401">
        <v>2304</v>
      </c>
      <c r="J254" s="562">
        <v>0</v>
      </c>
      <c r="K254" s="531">
        <v>1152</v>
      </c>
      <c r="L254" s="401">
        <f t="shared" si="86"/>
        <v>2</v>
      </c>
      <c r="M254" s="570">
        <v>45446</v>
      </c>
      <c r="N254" s="570">
        <v>45442</v>
      </c>
      <c r="O254" s="1474" t="s">
        <v>1078</v>
      </c>
      <c r="P254" s="564" t="s">
        <v>92</v>
      </c>
      <c r="Q254" s="1515" t="s">
        <v>835</v>
      </c>
      <c r="R254" s="1523" t="s">
        <v>1102</v>
      </c>
      <c r="S254" s="564" t="s">
        <v>123</v>
      </c>
      <c r="T254" s="580" t="s">
        <v>1004</v>
      </c>
      <c r="U254" s="1509" t="s">
        <v>1103</v>
      </c>
      <c r="V254" s="564" t="s">
        <v>1006</v>
      </c>
      <c r="W254" s="592">
        <v>1752.1376</v>
      </c>
      <c r="X254" s="593">
        <f t="shared" si="120"/>
        <v>3504.2752</v>
      </c>
      <c r="Y254" s="616" t="s">
        <v>1104</v>
      </c>
      <c r="Z254" s="607" t="s">
        <v>832</v>
      </c>
      <c r="AA254" s="1525" t="s">
        <v>128</v>
      </c>
      <c r="AB254" s="614"/>
      <c r="AC254" s="614"/>
      <c r="AD254" s="614"/>
      <c r="AE254" s="1515" t="s">
        <v>80</v>
      </c>
      <c r="AF254" s="1515"/>
      <c r="AG254" s="608">
        <f t="shared" si="114"/>
        <v>2304</v>
      </c>
      <c r="AH254" s="614"/>
      <c r="AI254" s="614"/>
      <c r="AJ254" s="614"/>
      <c r="AK254" s="609">
        <f t="shared" si="119"/>
        <v>2304</v>
      </c>
      <c r="AL254" s="615"/>
      <c r="AM254" s="615"/>
      <c r="AN254" s="615"/>
      <c r="AO254" s="615"/>
      <c r="AP254" s="615"/>
      <c r="AQ254" s="609">
        <f t="shared" si="117"/>
        <v>2304</v>
      </c>
      <c r="AR254" s="615"/>
      <c r="AS254" s="615"/>
      <c r="AT254" s="401"/>
      <c r="AU254" s="401"/>
      <c r="AV254" s="633">
        <f t="shared" si="118"/>
        <v>192</v>
      </c>
      <c r="AW254" s="401"/>
      <c r="AX254" s="632"/>
      <c r="AY254" s="632"/>
      <c r="AZ254" s="632"/>
      <c r="BA254" s="632"/>
      <c r="BB254" s="632"/>
      <c r="BC254" s="632"/>
      <c r="BD254" s="632"/>
      <c r="BE254" s="632"/>
      <c r="BF254" s="632"/>
      <c r="BG254" s="632"/>
      <c r="BH254" s="632"/>
      <c r="BI254" s="632"/>
      <c r="BJ254" s="632"/>
      <c r="BK254" s="632"/>
      <c r="BL254" s="632"/>
      <c r="BM254" s="401">
        <f t="shared" si="79"/>
        <v>2304</v>
      </c>
      <c r="BO254" s="1473"/>
      <c r="BP254" s="1473"/>
    </row>
    <row r="255" s="200" customFormat="1" ht="36" customHeight="1" spans="1:68">
      <c r="A255" s="533">
        <v>45411</v>
      </c>
      <c r="B255" s="527" t="s">
        <v>587</v>
      </c>
      <c r="C255" s="528" t="s">
        <v>117</v>
      </c>
      <c r="D255" s="529">
        <v>4500131236</v>
      </c>
      <c r="E255" s="1509">
        <v>6631646278</v>
      </c>
      <c r="F255" s="529" t="s">
        <v>1105</v>
      </c>
      <c r="G255" s="1510" t="s">
        <v>832</v>
      </c>
      <c r="H255" s="532" t="s">
        <v>833</v>
      </c>
      <c r="I255" s="401">
        <v>1152</v>
      </c>
      <c r="J255" s="562">
        <v>0</v>
      </c>
      <c r="K255" s="531">
        <v>1152</v>
      </c>
      <c r="L255" s="401">
        <f t="shared" si="86"/>
        <v>1</v>
      </c>
      <c r="M255" s="570">
        <v>45446</v>
      </c>
      <c r="N255" s="570">
        <v>45442</v>
      </c>
      <c r="O255" s="1474" t="s">
        <v>1078</v>
      </c>
      <c r="P255" s="564" t="s">
        <v>92</v>
      </c>
      <c r="Q255" s="1515" t="s">
        <v>1106</v>
      </c>
      <c r="R255" s="1523" t="s">
        <v>1102</v>
      </c>
      <c r="S255" s="564" t="s">
        <v>123</v>
      </c>
      <c r="T255" s="580" t="s">
        <v>1004</v>
      </c>
      <c r="U255" s="1509" t="s">
        <v>1103</v>
      </c>
      <c r="V255" s="564" t="s">
        <v>1006</v>
      </c>
      <c r="W255" s="592">
        <v>1752.1376</v>
      </c>
      <c r="X255" s="593">
        <f t="shared" si="120"/>
        <v>1752.1376</v>
      </c>
      <c r="Y255" s="616" t="s">
        <v>1107</v>
      </c>
      <c r="Z255" s="607" t="s">
        <v>832</v>
      </c>
      <c r="AA255" s="1525" t="s">
        <v>128</v>
      </c>
      <c r="AB255" s="614"/>
      <c r="AC255" s="614"/>
      <c r="AD255" s="614"/>
      <c r="AE255" s="1515" t="s">
        <v>80</v>
      </c>
      <c r="AF255" s="1515"/>
      <c r="AG255" s="608">
        <f t="shared" si="114"/>
        <v>1152</v>
      </c>
      <c r="AH255" s="614"/>
      <c r="AI255" s="614"/>
      <c r="AJ255" s="614"/>
      <c r="AK255" s="609">
        <f t="shared" si="119"/>
        <v>1152</v>
      </c>
      <c r="AL255" s="615"/>
      <c r="AM255" s="615"/>
      <c r="AN255" s="615"/>
      <c r="AO255" s="615"/>
      <c r="AP255" s="615"/>
      <c r="AQ255" s="609">
        <f t="shared" si="117"/>
        <v>1152</v>
      </c>
      <c r="AR255" s="615"/>
      <c r="AS255" s="615"/>
      <c r="AT255" s="401"/>
      <c r="AU255" s="401"/>
      <c r="AV255" s="633">
        <f t="shared" si="118"/>
        <v>96</v>
      </c>
      <c r="AW255" s="401"/>
      <c r="AX255" s="632"/>
      <c r="AY255" s="632"/>
      <c r="AZ255" s="632"/>
      <c r="BA255" s="632"/>
      <c r="BB255" s="632"/>
      <c r="BC255" s="632"/>
      <c r="BD255" s="632"/>
      <c r="BE255" s="632"/>
      <c r="BF255" s="632"/>
      <c r="BG255" s="632"/>
      <c r="BH255" s="632"/>
      <c r="BI255" s="632"/>
      <c r="BJ255" s="632"/>
      <c r="BK255" s="632"/>
      <c r="BL255" s="632"/>
      <c r="BM255" s="401">
        <f t="shared" si="79"/>
        <v>1152</v>
      </c>
      <c r="BO255" s="1473"/>
      <c r="BP255" s="1473"/>
    </row>
    <row r="256" s="200" customFormat="1" ht="36" customHeight="1" spans="1:68">
      <c r="A256" s="533">
        <v>45411</v>
      </c>
      <c r="B256" s="527" t="s">
        <v>587</v>
      </c>
      <c r="C256" s="528" t="s">
        <v>117</v>
      </c>
      <c r="D256" s="529">
        <v>4500131236</v>
      </c>
      <c r="E256" s="1509">
        <v>6631646279</v>
      </c>
      <c r="F256" s="529" t="s">
        <v>1108</v>
      </c>
      <c r="G256" s="1510" t="s">
        <v>832</v>
      </c>
      <c r="H256" s="532" t="s">
        <v>833</v>
      </c>
      <c r="I256" s="401">
        <v>1152</v>
      </c>
      <c r="J256" s="562">
        <v>0</v>
      </c>
      <c r="K256" s="531">
        <v>1152</v>
      </c>
      <c r="L256" s="401">
        <f t="shared" si="86"/>
        <v>1</v>
      </c>
      <c r="M256" s="570">
        <v>45446</v>
      </c>
      <c r="N256" s="570">
        <v>45442</v>
      </c>
      <c r="O256" s="1474" t="s">
        <v>1078</v>
      </c>
      <c r="P256" s="564" t="s">
        <v>92</v>
      </c>
      <c r="Q256" s="1515" t="s">
        <v>1106</v>
      </c>
      <c r="R256" s="1523" t="s">
        <v>1102</v>
      </c>
      <c r="S256" s="564" t="s">
        <v>123</v>
      </c>
      <c r="T256" s="580" t="s">
        <v>1004</v>
      </c>
      <c r="U256" s="1509" t="s">
        <v>1103</v>
      </c>
      <c r="V256" s="564" t="s">
        <v>1006</v>
      </c>
      <c r="W256" s="592">
        <v>1752.1376</v>
      </c>
      <c r="X256" s="593">
        <f t="shared" si="120"/>
        <v>1752.1376</v>
      </c>
      <c r="Y256" s="616" t="s">
        <v>1107</v>
      </c>
      <c r="Z256" s="607" t="s">
        <v>832</v>
      </c>
      <c r="AA256" s="1525" t="s">
        <v>128</v>
      </c>
      <c r="AB256" s="614"/>
      <c r="AC256" s="614"/>
      <c r="AD256" s="614"/>
      <c r="AE256" s="1515" t="s">
        <v>80</v>
      </c>
      <c r="AF256" s="1515"/>
      <c r="AG256" s="608">
        <f t="shared" si="114"/>
        <v>1152</v>
      </c>
      <c r="AH256" s="614"/>
      <c r="AI256" s="614"/>
      <c r="AJ256" s="614"/>
      <c r="AK256" s="609">
        <f t="shared" si="119"/>
        <v>1152</v>
      </c>
      <c r="AL256" s="615"/>
      <c r="AM256" s="615"/>
      <c r="AN256" s="615"/>
      <c r="AO256" s="615"/>
      <c r="AP256" s="615"/>
      <c r="AQ256" s="609">
        <f t="shared" si="117"/>
        <v>1152</v>
      </c>
      <c r="AR256" s="615"/>
      <c r="AS256" s="615"/>
      <c r="AT256" s="401"/>
      <c r="AU256" s="401"/>
      <c r="AV256" s="633">
        <f t="shared" si="118"/>
        <v>96</v>
      </c>
      <c r="AW256" s="401"/>
      <c r="AX256" s="632"/>
      <c r="AY256" s="632"/>
      <c r="AZ256" s="632"/>
      <c r="BA256" s="632"/>
      <c r="BB256" s="632"/>
      <c r="BC256" s="632"/>
      <c r="BD256" s="632"/>
      <c r="BE256" s="632"/>
      <c r="BF256" s="632"/>
      <c r="BG256" s="632"/>
      <c r="BH256" s="632"/>
      <c r="BI256" s="632"/>
      <c r="BJ256" s="632"/>
      <c r="BK256" s="632"/>
      <c r="BL256" s="632"/>
      <c r="BM256" s="401">
        <f t="shared" si="79"/>
        <v>1152</v>
      </c>
      <c r="BO256" s="1473"/>
      <c r="BP256" s="1473"/>
    </row>
    <row r="257" s="200" customFormat="1" ht="36" customHeight="1" spans="1:68">
      <c r="A257" s="533">
        <v>45363</v>
      </c>
      <c r="B257" s="527" t="s">
        <v>1109</v>
      </c>
      <c r="C257" s="528" t="s">
        <v>221</v>
      </c>
      <c r="D257" s="534">
        <v>4500126575</v>
      </c>
      <c r="E257" s="530">
        <v>4400388906</v>
      </c>
      <c r="F257" s="534" t="s">
        <v>1110</v>
      </c>
      <c r="G257" s="531" t="s">
        <v>96</v>
      </c>
      <c r="H257" s="532" t="s">
        <v>74</v>
      </c>
      <c r="I257" s="401">
        <v>2550</v>
      </c>
      <c r="J257" s="562">
        <v>0</v>
      </c>
      <c r="K257" s="531">
        <v>50</v>
      </c>
      <c r="L257" s="401">
        <f t="shared" si="86"/>
        <v>51</v>
      </c>
      <c r="M257" s="563">
        <v>45439</v>
      </c>
      <c r="N257" s="1495">
        <v>45446</v>
      </c>
      <c r="O257" s="564"/>
      <c r="P257" s="564" t="s">
        <v>92</v>
      </c>
      <c r="Q257" s="564" t="s">
        <v>1111</v>
      </c>
      <c r="R257" s="564">
        <v>45376</v>
      </c>
      <c r="S257" s="564" t="s">
        <v>77</v>
      </c>
      <c r="T257" s="564" t="s">
        <v>911</v>
      </c>
      <c r="U257" s="1454" t="s">
        <v>912</v>
      </c>
      <c r="V257" s="564" t="s">
        <v>218</v>
      </c>
      <c r="W257" s="592">
        <v>1.4539</v>
      </c>
      <c r="X257" s="593">
        <f t="shared" ref="X257:X273" si="121">I257*W257</f>
        <v>3707.445</v>
      </c>
      <c r="Y257" s="401" t="s">
        <v>1112</v>
      </c>
      <c r="Z257" s="607" t="s">
        <v>220</v>
      </c>
      <c r="AA257" s="1453" t="s">
        <v>128</v>
      </c>
      <c r="AB257" s="608"/>
      <c r="AC257" s="608"/>
      <c r="AD257" s="608"/>
      <c r="AE257" s="564" t="s">
        <v>80</v>
      </c>
      <c r="AF257" s="564"/>
      <c r="AG257" s="608">
        <f t="shared" si="114"/>
        <v>2550</v>
      </c>
      <c r="AH257" s="608"/>
      <c r="AI257" s="608"/>
      <c r="AJ257" s="608"/>
      <c r="AK257" s="609"/>
      <c r="AL257" s="609">
        <f t="shared" ref="AL257:AL260" si="122">I257</f>
        <v>2550</v>
      </c>
      <c r="AM257" s="609"/>
      <c r="AN257" s="609"/>
      <c r="AO257" s="609">
        <f>AG257</f>
        <v>2550</v>
      </c>
      <c r="AP257" s="609"/>
      <c r="AQ257" s="609"/>
      <c r="AR257" s="609"/>
      <c r="AS257" s="609"/>
      <c r="AT257" s="633"/>
      <c r="AU257" s="633"/>
      <c r="AV257" s="633"/>
      <c r="AW257" s="401"/>
      <c r="AX257" s="633"/>
      <c r="AY257" s="633"/>
      <c r="AZ257" s="633"/>
      <c r="BA257" s="633"/>
      <c r="BB257" s="633">
        <f t="shared" ref="BB257:BB260" si="123">I257/25</f>
        <v>102</v>
      </c>
      <c r="BC257" s="633"/>
      <c r="BD257" s="633"/>
      <c r="BE257" s="633"/>
      <c r="BF257" s="633"/>
      <c r="BG257" s="633"/>
      <c r="BH257" s="633"/>
      <c r="BI257" s="633"/>
      <c r="BJ257" s="633"/>
      <c r="BK257" s="633"/>
      <c r="BL257" s="633"/>
      <c r="BM257" s="401">
        <f t="shared" si="79"/>
        <v>2550</v>
      </c>
      <c r="BO257" s="1473"/>
      <c r="BP257" s="1473"/>
    </row>
    <row r="258" s="200" customFormat="1" ht="36" customHeight="1" spans="1:68">
      <c r="A258" s="1527">
        <v>45378</v>
      </c>
      <c r="B258" s="535" t="s">
        <v>1113</v>
      </c>
      <c r="C258" s="536" t="s">
        <v>477</v>
      </c>
      <c r="D258" s="1528">
        <v>4500128106</v>
      </c>
      <c r="E258" s="582">
        <v>4400387015</v>
      </c>
      <c r="F258" s="1528" t="s">
        <v>1114</v>
      </c>
      <c r="G258" s="538" t="s">
        <v>215</v>
      </c>
      <c r="H258" s="539" t="s">
        <v>74</v>
      </c>
      <c r="I258" s="1549">
        <v>6048</v>
      </c>
      <c r="J258" s="566">
        <v>0</v>
      </c>
      <c r="K258" s="538">
        <v>42</v>
      </c>
      <c r="L258" s="1549">
        <f t="shared" si="86"/>
        <v>144</v>
      </c>
      <c r="M258" s="568">
        <v>45439</v>
      </c>
      <c r="N258" s="1495">
        <v>45446</v>
      </c>
      <c r="O258" s="569"/>
      <c r="P258" s="564" t="s">
        <v>92</v>
      </c>
      <c r="Q258" s="569" t="s">
        <v>1043</v>
      </c>
      <c r="R258" s="569">
        <v>45397</v>
      </c>
      <c r="S258" s="569" t="s">
        <v>77</v>
      </c>
      <c r="T258" s="569" t="s">
        <v>1115</v>
      </c>
      <c r="U258" s="582" t="s">
        <v>1116</v>
      </c>
      <c r="V258" s="582" t="s">
        <v>218</v>
      </c>
      <c r="W258" s="597">
        <v>1.4489</v>
      </c>
      <c r="X258" s="598">
        <f t="shared" si="121"/>
        <v>8762.9472</v>
      </c>
      <c r="Y258" s="1549" t="s">
        <v>1117</v>
      </c>
      <c r="Z258" s="611" t="s">
        <v>220</v>
      </c>
      <c r="AA258" s="1553" t="s">
        <v>128</v>
      </c>
      <c r="AB258" s="612"/>
      <c r="AC258" s="612"/>
      <c r="AD258" s="612"/>
      <c r="AE258" s="569" t="s">
        <v>80</v>
      </c>
      <c r="AF258" s="569"/>
      <c r="AG258" s="612">
        <f t="shared" si="114"/>
        <v>6048</v>
      </c>
      <c r="AH258" s="612"/>
      <c r="AI258" s="612"/>
      <c r="AJ258" s="613"/>
      <c r="AK258" s="613"/>
      <c r="AL258" s="613">
        <f t="shared" si="122"/>
        <v>6048</v>
      </c>
      <c r="AM258" s="613"/>
      <c r="AN258" s="613"/>
      <c r="AO258" s="613">
        <f t="shared" ref="AO258:AO266" si="124">I258</f>
        <v>6048</v>
      </c>
      <c r="AP258" s="613"/>
      <c r="AQ258" s="613"/>
      <c r="AR258" s="613"/>
      <c r="AS258" s="613"/>
      <c r="AT258" s="635">
        <f>I258/21</f>
        <v>288</v>
      </c>
      <c r="AU258" s="635"/>
      <c r="AV258" s="635"/>
      <c r="AW258" s="635"/>
      <c r="AX258" s="635"/>
      <c r="AY258" s="635"/>
      <c r="AZ258" s="635"/>
      <c r="BA258" s="635"/>
      <c r="BB258" s="635"/>
      <c r="BC258" s="635"/>
      <c r="BD258" s="635"/>
      <c r="BE258" s="635"/>
      <c r="BF258" s="635"/>
      <c r="BG258" s="635"/>
      <c r="BH258" s="635"/>
      <c r="BI258" s="635"/>
      <c r="BJ258" s="635"/>
      <c r="BK258" s="635"/>
      <c r="BL258" s="635"/>
      <c r="BM258" s="401">
        <f t="shared" si="79"/>
        <v>6048</v>
      </c>
      <c r="BO258" s="1473"/>
      <c r="BP258" s="1473"/>
    </row>
    <row r="259" s="200" customFormat="1" ht="36" customHeight="1" spans="1:68">
      <c r="A259" s="533">
        <v>45366</v>
      </c>
      <c r="B259" s="527" t="s">
        <v>1118</v>
      </c>
      <c r="C259" s="528" t="s">
        <v>1119</v>
      </c>
      <c r="D259" s="534">
        <v>4500126092</v>
      </c>
      <c r="E259" s="530">
        <v>300519296</v>
      </c>
      <c r="F259" s="534" t="s">
        <v>1120</v>
      </c>
      <c r="G259" s="531" t="s">
        <v>877</v>
      </c>
      <c r="H259" s="532" t="s">
        <v>74</v>
      </c>
      <c r="I259" s="1496">
        <v>400</v>
      </c>
      <c r="J259" s="1496">
        <v>0</v>
      </c>
      <c r="K259" s="1496">
        <v>25</v>
      </c>
      <c r="L259" s="1496">
        <f t="shared" si="86"/>
        <v>16</v>
      </c>
      <c r="M259" s="563">
        <v>45436</v>
      </c>
      <c r="N259" s="1495">
        <v>45446</v>
      </c>
      <c r="O259" s="564"/>
      <c r="P259" s="564" t="s">
        <v>92</v>
      </c>
      <c r="Q259" s="564" t="s">
        <v>1121</v>
      </c>
      <c r="R259" s="564">
        <v>45399</v>
      </c>
      <c r="S259" s="564" t="s">
        <v>77</v>
      </c>
      <c r="T259" s="564" t="s">
        <v>1122</v>
      </c>
      <c r="U259" s="530" t="s">
        <v>1123</v>
      </c>
      <c r="V259" s="530" t="s">
        <v>1124</v>
      </c>
      <c r="W259" s="592">
        <v>1.4395</v>
      </c>
      <c r="X259" s="593">
        <f t="shared" si="121"/>
        <v>575.8</v>
      </c>
      <c r="Y259" s="401" t="s">
        <v>1125</v>
      </c>
      <c r="Z259" s="607" t="s">
        <v>877</v>
      </c>
      <c r="AA259" s="1453" t="s">
        <v>128</v>
      </c>
      <c r="AB259" s="608"/>
      <c r="AC259" s="608"/>
      <c r="AD259" s="608"/>
      <c r="AE259" s="564" t="s">
        <v>80</v>
      </c>
      <c r="AF259" s="564"/>
      <c r="AG259" s="608"/>
      <c r="AH259" s="608">
        <f>I259</f>
        <v>400</v>
      </c>
      <c r="AI259" s="608"/>
      <c r="AJ259" s="608"/>
      <c r="AK259" s="609"/>
      <c r="AL259" s="609">
        <f t="shared" si="122"/>
        <v>400</v>
      </c>
      <c r="AM259" s="609"/>
      <c r="AN259" s="609"/>
      <c r="AO259" s="609">
        <f t="shared" si="124"/>
        <v>400</v>
      </c>
      <c r="AP259" s="609"/>
      <c r="AQ259" s="609"/>
      <c r="AR259" s="609"/>
      <c r="AS259" s="609"/>
      <c r="AT259" s="633"/>
      <c r="AU259" s="633"/>
      <c r="AV259" s="633"/>
      <c r="AW259" s="633"/>
      <c r="AX259" s="633"/>
      <c r="AY259" s="633"/>
      <c r="AZ259" s="633"/>
      <c r="BA259" s="633"/>
      <c r="BB259" s="633">
        <f t="shared" si="123"/>
        <v>16</v>
      </c>
      <c r="BC259" s="633"/>
      <c r="BD259" s="633"/>
      <c r="BE259" s="633"/>
      <c r="BF259" s="633"/>
      <c r="BG259" s="633"/>
      <c r="BH259" s="633"/>
      <c r="BI259" s="633"/>
      <c r="BJ259" s="633"/>
      <c r="BK259" s="633"/>
      <c r="BL259" s="633"/>
      <c r="BM259" s="401">
        <f t="shared" si="79"/>
        <v>400</v>
      </c>
      <c r="BO259" s="1473"/>
      <c r="BP259" s="1473"/>
    </row>
    <row r="260" s="200" customFormat="1" ht="36" customHeight="1" spans="1:68">
      <c r="A260" s="526">
        <v>45364</v>
      </c>
      <c r="B260" s="1507" t="s">
        <v>1126</v>
      </c>
      <c r="C260" s="1508" t="s">
        <v>180</v>
      </c>
      <c r="D260" s="529">
        <v>4500126734</v>
      </c>
      <c r="E260" s="1509">
        <v>4400387680</v>
      </c>
      <c r="F260" s="529" t="s">
        <v>1127</v>
      </c>
      <c r="G260" s="1510" t="s">
        <v>96</v>
      </c>
      <c r="H260" s="1512" t="s">
        <v>74</v>
      </c>
      <c r="I260" s="616">
        <v>2500</v>
      </c>
      <c r="J260" s="1518">
        <v>0</v>
      </c>
      <c r="K260" s="1510">
        <v>50</v>
      </c>
      <c r="L260" s="616">
        <f t="shared" si="86"/>
        <v>50</v>
      </c>
      <c r="M260" s="570">
        <v>45442</v>
      </c>
      <c r="N260" s="1495">
        <v>45446</v>
      </c>
      <c r="O260" s="1515"/>
      <c r="P260" s="564" t="s">
        <v>92</v>
      </c>
      <c r="Q260" s="1515" t="s">
        <v>835</v>
      </c>
      <c r="R260" s="1515">
        <v>45389</v>
      </c>
      <c r="S260" s="1515" t="s">
        <v>77</v>
      </c>
      <c r="T260" s="1515">
        <v>45398</v>
      </c>
      <c r="U260" s="1509" t="s">
        <v>1128</v>
      </c>
      <c r="V260" s="1515" t="s">
        <v>1129</v>
      </c>
      <c r="W260" s="1520">
        <v>1.4539</v>
      </c>
      <c r="X260" s="1521">
        <f t="shared" si="121"/>
        <v>3634.75</v>
      </c>
      <c r="Y260" s="616" t="s">
        <v>1130</v>
      </c>
      <c r="Z260" s="1554" t="s">
        <v>220</v>
      </c>
      <c r="AA260" s="1525" t="s">
        <v>128</v>
      </c>
      <c r="AB260" s="614"/>
      <c r="AC260" s="614"/>
      <c r="AD260" s="614"/>
      <c r="AE260" s="1515" t="s">
        <v>80</v>
      </c>
      <c r="AF260" s="1515"/>
      <c r="AG260" s="614">
        <f t="shared" ref="AG260:AG267" si="125">I260</f>
        <v>2500</v>
      </c>
      <c r="AH260" s="614"/>
      <c r="AI260" s="614"/>
      <c r="AJ260" s="614"/>
      <c r="AK260" s="615"/>
      <c r="AL260" s="615">
        <f t="shared" si="122"/>
        <v>2500</v>
      </c>
      <c r="AM260" s="615"/>
      <c r="AN260" s="615"/>
      <c r="AO260" s="615">
        <f t="shared" si="124"/>
        <v>2500</v>
      </c>
      <c r="AP260" s="615"/>
      <c r="AQ260" s="615"/>
      <c r="AR260" s="615"/>
      <c r="AS260" s="615"/>
      <c r="AW260" s="616"/>
      <c r="AX260" s="632"/>
      <c r="AY260" s="632"/>
      <c r="AZ260" s="632"/>
      <c r="BA260" s="632"/>
      <c r="BB260" s="632">
        <f t="shared" si="123"/>
        <v>100</v>
      </c>
      <c r="BC260" s="632"/>
      <c r="BD260" s="632"/>
      <c r="BE260" s="632"/>
      <c r="BF260" s="632"/>
      <c r="BG260" s="632"/>
      <c r="BH260" s="632"/>
      <c r="BI260" s="632"/>
      <c r="BJ260" s="632"/>
      <c r="BK260" s="632"/>
      <c r="BL260" s="632"/>
      <c r="BM260" s="401">
        <f t="shared" ref="BM260:BM323" si="126">AG260+AH260+AI260</f>
        <v>2500</v>
      </c>
      <c r="BO260" s="1473"/>
      <c r="BP260" s="1473"/>
    </row>
    <row r="261" s="200" customFormat="1" ht="36" customHeight="1" spans="1:68">
      <c r="A261" s="526">
        <v>45411</v>
      </c>
      <c r="B261" s="1507" t="s">
        <v>189</v>
      </c>
      <c r="C261" s="1508" t="s">
        <v>190</v>
      </c>
      <c r="D261" s="529">
        <v>4500131786</v>
      </c>
      <c r="E261" s="1509">
        <v>20068397</v>
      </c>
      <c r="F261" s="529" t="s">
        <v>1131</v>
      </c>
      <c r="G261" s="1510" t="s">
        <v>160</v>
      </c>
      <c r="H261" s="532" t="s">
        <v>74</v>
      </c>
      <c r="I261" s="401">
        <v>13000</v>
      </c>
      <c r="J261" s="562">
        <v>0</v>
      </c>
      <c r="K261" s="531">
        <v>13</v>
      </c>
      <c r="L261" s="401">
        <f t="shared" si="86"/>
        <v>1000</v>
      </c>
      <c r="M261" s="570">
        <v>45447</v>
      </c>
      <c r="N261" s="1517">
        <v>45447</v>
      </c>
      <c r="O261" s="1515"/>
      <c r="P261" s="564" t="s">
        <v>92</v>
      </c>
      <c r="Q261" s="1515" t="s">
        <v>1072</v>
      </c>
      <c r="R261" s="564" t="s">
        <v>1073</v>
      </c>
      <c r="S261" s="564" t="s">
        <v>123</v>
      </c>
      <c r="T261" s="1519" t="s">
        <v>1074</v>
      </c>
      <c r="U261" s="1509" t="s">
        <v>1075</v>
      </c>
      <c r="V261" s="1509" t="s">
        <v>1011</v>
      </c>
      <c r="W261" s="592">
        <v>1.3686</v>
      </c>
      <c r="X261" s="593">
        <f t="shared" si="121"/>
        <v>17791.8</v>
      </c>
      <c r="Y261" s="616" t="s">
        <v>1132</v>
      </c>
      <c r="Z261" s="607" t="s">
        <v>160</v>
      </c>
      <c r="AA261" s="1525" t="s">
        <v>128</v>
      </c>
      <c r="AB261" s="614"/>
      <c r="AC261" s="614"/>
      <c r="AD261" s="614"/>
      <c r="AE261" s="1515" t="s">
        <v>80</v>
      </c>
      <c r="AF261" s="1515"/>
      <c r="AG261" s="608">
        <f t="shared" si="125"/>
        <v>13000</v>
      </c>
      <c r="AH261" s="614"/>
      <c r="AI261" s="614"/>
      <c r="AJ261" s="615"/>
      <c r="AK261" s="609">
        <f t="shared" ref="AK261:AK267" si="127">I261</f>
        <v>13000</v>
      </c>
      <c r="AL261" s="615"/>
      <c r="AM261" s="615"/>
      <c r="AN261" s="615"/>
      <c r="AO261" s="609">
        <f t="shared" si="124"/>
        <v>13000</v>
      </c>
      <c r="AP261" s="609"/>
      <c r="AQ261" s="609"/>
      <c r="AR261" s="615"/>
      <c r="AS261" s="615"/>
      <c r="AT261" s="1526"/>
      <c r="AU261" s="1526"/>
      <c r="AV261" s="633"/>
      <c r="AW261" s="616"/>
      <c r="AX261" s="632"/>
      <c r="AY261" s="633">
        <f>I261/13</f>
        <v>1000</v>
      </c>
      <c r="AZ261" s="632"/>
      <c r="BA261" s="632"/>
      <c r="BB261" s="632"/>
      <c r="BC261" s="632"/>
      <c r="BD261" s="632"/>
      <c r="BE261" s="632"/>
      <c r="BF261" s="632"/>
      <c r="BG261" s="632"/>
      <c r="BH261" s="632"/>
      <c r="BI261" s="632"/>
      <c r="BJ261" s="632"/>
      <c r="BK261" s="632"/>
      <c r="BL261" s="632"/>
      <c r="BM261" s="401">
        <f t="shared" si="126"/>
        <v>13000</v>
      </c>
      <c r="BO261" s="1473"/>
      <c r="BP261" s="1473"/>
    </row>
    <row r="262" s="200" customFormat="1" ht="36" customHeight="1" spans="1:68">
      <c r="A262" s="1529">
        <v>45411</v>
      </c>
      <c r="B262" s="1530" t="s">
        <v>1133</v>
      </c>
      <c r="C262" s="1476" t="s">
        <v>1134</v>
      </c>
      <c r="D262" s="534">
        <v>4500132066</v>
      </c>
      <c r="E262" s="1531" t="s">
        <v>1135</v>
      </c>
      <c r="F262" s="534" t="s">
        <v>1136</v>
      </c>
      <c r="G262" s="1510" t="s">
        <v>96</v>
      </c>
      <c r="H262" s="1512" t="s">
        <v>74</v>
      </c>
      <c r="I262" s="616">
        <v>10000</v>
      </c>
      <c r="J262" s="1518">
        <v>0</v>
      </c>
      <c r="K262" s="1510">
        <v>50</v>
      </c>
      <c r="L262" s="616">
        <f t="shared" si="86"/>
        <v>200</v>
      </c>
      <c r="M262" s="570">
        <v>45448</v>
      </c>
      <c r="N262" s="1517">
        <v>45448</v>
      </c>
      <c r="O262" s="1515"/>
      <c r="P262" s="564" t="s">
        <v>92</v>
      </c>
      <c r="Q262" s="1515" t="s">
        <v>1137</v>
      </c>
      <c r="R262" s="564">
        <v>45410</v>
      </c>
      <c r="S262" s="564" t="s">
        <v>77</v>
      </c>
      <c r="T262" s="580" t="s">
        <v>1138</v>
      </c>
      <c r="U262" s="530" t="s">
        <v>1139</v>
      </c>
      <c r="V262" s="530" t="s">
        <v>1140</v>
      </c>
      <c r="W262" s="1520">
        <v>1.4605</v>
      </c>
      <c r="X262" s="1521">
        <f t="shared" si="121"/>
        <v>14605</v>
      </c>
      <c r="Y262" s="616" t="s">
        <v>1141</v>
      </c>
      <c r="Z262" s="607" t="s">
        <v>96</v>
      </c>
      <c r="AA262" s="1525" t="s">
        <v>128</v>
      </c>
      <c r="AB262" s="614"/>
      <c r="AC262" s="614"/>
      <c r="AD262" s="614"/>
      <c r="AE262" s="1515" t="s">
        <v>80</v>
      </c>
      <c r="AF262" s="1515"/>
      <c r="AG262" s="614">
        <f t="shared" si="125"/>
        <v>10000</v>
      </c>
      <c r="AH262" s="608"/>
      <c r="AI262" s="614"/>
      <c r="AJ262" s="614"/>
      <c r="AK262" s="609">
        <f t="shared" si="127"/>
        <v>10000</v>
      </c>
      <c r="AL262" s="613"/>
      <c r="AM262" s="615"/>
      <c r="AN262" s="615"/>
      <c r="AO262" s="615">
        <f t="shared" si="124"/>
        <v>10000</v>
      </c>
      <c r="AP262" s="613"/>
      <c r="AQ262" s="609"/>
      <c r="AR262" s="615"/>
      <c r="AS262" s="615"/>
      <c r="AT262" s="635"/>
      <c r="AU262" s="635"/>
      <c r="AV262" s="633"/>
      <c r="AW262" s="401"/>
      <c r="AX262" s="632"/>
      <c r="AY262" s="632"/>
      <c r="AZ262" s="632"/>
      <c r="BA262" s="633">
        <f t="shared" ref="BA262:BA265" si="128">I262/25</f>
        <v>400</v>
      </c>
      <c r="BB262" s="633"/>
      <c r="BC262" s="632"/>
      <c r="BD262" s="632"/>
      <c r="BE262" s="632"/>
      <c r="BF262" s="632"/>
      <c r="BG262" s="632"/>
      <c r="BH262" s="632"/>
      <c r="BI262" s="632"/>
      <c r="BJ262" s="632"/>
      <c r="BK262" s="632"/>
      <c r="BL262" s="632"/>
      <c r="BM262" s="401">
        <f t="shared" si="126"/>
        <v>10000</v>
      </c>
      <c r="BO262" s="1473"/>
      <c r="BP262" s="1473"/>
    </row>
    <row r="263" s="200" customFormat="1" ht="36" customHeight="1" spans="1:68">
      <c r="A263" s="533">
        <v>16438</v>
      </c>
      <c r="B263" s="527" t="s">
        <v>1142</v>
      </c>
      <c r="C263" s="528" t="s">
        <v>1143</v>
      </c>
      <c r="D263" s="534">
        <v>4500131403</v>
      </c>
      <c r="E263" s="530" t="s">
        <v>1144</v>
      </c>
      <c r="F263" s="534" t="s">
        <v>1145</v>
      </c>
      <c r="G263" s="531" t="s">
        <v>403</v>
      </c>
      <c r="H263" s="532" t="s">
        <v>74</v>
      </c>
      <c r="I263" s="401">
        <v>5044</v>
      </c>
      <c r="J263" s="562">
        <v>0</v>
      </c>
      <c r="K263" s="531">
        <v>52</v>
      </c>
      <c r="L263" s="401">
        <f t="shared" si="86"/>
        <v>97</v>
      </c>
      <c r="M263" s="563">
        <v>45449</v>
      </c>
      <c r="N263" s="1517">
        <v>45448</v>
      </c>
      <c r="O263" s="564"/>
      <c r="P263" s="564" t="s">
        <v>92</v>
      </c>
      <c r="Q263" s="564" t="s">
        <v>992</v>
      </c>
      <c r="R263" s="564">
        <v>45420</v>
      </c>
      <c r="S263" s="564" t="s">
        <v>77</v>
      </c>
      <c r="T263" s="580" t="s">
        <v>1146</v>
      </c>
      <c r="U263" s="1454" t="s">
        <v>1147</v>
      </c>
      <c r="V263" s="530" t="s">
        <v>1140</v>
      </c>
      <c r="W263" s="592">
        <v>1.3863</v>
      </c>
      <c r="X263" s="593">
        <f t="shared" si="121"/>
        <v>6992.4972</v>
      </c>
      <c r="Y263" s="401" t="s">
        <v>1148</v>
      </c>
      <c r="Z263" s="1500" t="s">
        <v>403</v>
      </c>
      <c r="AA263" s="1453" t="s">
        <v>128</v>
      </c>
      <c r="AB263" s="608"/>
      <c r="AC263" s="608"/>
      <c r="AD263" s="608"/>
      <c r="AE263" s="564" t="s">
        <v>80</v>
      </c>
      <c r="AF263" s="564"/>
      <c r="AG263" s="608">
        <f t="shared" si="125"/>
        <v>5044</v>
      </c>
      <c r="AH263" s="608"/>
      <c r="AI263" s="608"/>
      <c r="AJ263" s="608"/>
      <c r="AK263" s="609">
        <f t="shared" si="127"/>
        <v>5044</v>
      </c>
      <c r="AL263" s="609"/>
      <c r="AM263" s="609"/>
      <c r="AN263" s="609"/>
      <c r="AO263" s="609">
        <f t="shared" si="124"/>
        <v>5044</v>
      </c>
      <c r="AP263" s="615"/>
      <c r="AQ263" s="609"/>
      <c r="AR263" s="609"/>
      <c r="AS263" s="609"/>
      <c r="AT263" s="633"/>
      <c r="AU263" s="633"/>
      <c r="AV263" s="633"/>
      <c r="AW263" s="633"/>
      <c r="AX263" s="633"/>
      <c r="AY263" s="633">
        <f>AG263/13</f>
        <v>388</v>
      </c>
      <c r="AZ263" s="633"/>
      <c r="BA263" s="633"/>
      <c r="BB263" s="633"/>
      <c r="BC263" s="633"/>
      <c r="BD263" s="633"/>
      <c r="BE263" s="633"/>
      <c r="BF263" s="633"/>
      <c r="BG263" s="633"/>
      <c r="BH263" s="633"/>
      <c r="BI263" s="633"/>
      <c r="BJ263" s="633"/>
      <c r="BK263" s="633"/>
      <c r="BL263" s="633"/>
      <c r="BM263" s="401">
        <f t="shared" si="126"/>
        <v>5044</v>
      </c>
      <c r="BO263" s="1473"/>
      <c r="BP263" s="1473"/>
    </row>
    <row r="264" s="200" customFormat="1" ht="36" customHeight="1" spans="1:68">
      <c r="A264" s="533">
        <v>45406</v>
      </c>
      <c r="B264" s="527" t="s">
        <v>823</v>
      </c>
      <c r="C264" s="528" t="s">
        <v>117</v>
      </c>
      <c r="D264" s="534">
        <v>4500130853</v>
      </c>
      <c r="E264" s="530">
        <v>32990251</v>
      </c>
      <c r="F264" s="534" t="s">
        <v>1149</v>
      </c>
      <c r="G264" s="531" t="s">
        <v>826</v>
      </c>
      <c r="H264" s="532" t="s">
        <v>74</v>
      </c>
      <c r="I264" s="1496">
        <v>3925</v>
      </c>
      <c r="J264" s="1496">
        <v>0</v>
      </c>
      <c r="K264" s="1496">
        <v>25</v>
      </c>
      <c r="L264" s="1496">
        <f t="shared" si="86"/>
        <v>157</v>
      </c>
      <c r="M264" s="563">
        <v>45449</v>
      </c>
      <c r="N264" s="1495">
        <v>45449</v>
      </c>
      <c r="O264" s="564"/>
      <c r="P264" s="564" t="s">
        <v>92</v>
      </c>
      <c r="Q264" s="564" t="s">
        <v>1150</v>
      </c>
      <c r="R264" s="564">
        <v>45407</v>
      </c>
      <c r="S264" s="564" t="s">
        <v>77</v>
      </c>
      <c r="T264" s="564" t="s">
        <v>77</v>
      </c>
      <c r="U264" s="1454" t="s">
        <v>828</v>
      </c>
      <c r="V264" s="530" t="s">
        <v>829</v>
      </c>
      <c r="W264" s="592">
        <v>1.4344</v>
      </c>
      <c r="X264" s="593">
        <f t="shared" si="121"/>
        <v>5630.02</v>
      </c>
      <c r="Y264" s="401" t="s">
        <v>1151</v>
      </c>
      <c r="Z264" s="607" t="s">
        <v>826</v>
      </c>
      <c r="AA264" s="1453" t="s">
        <v>128</v>
      </c>
      <c r="AB264" s="608"/>
      <c r="AC264" s="608"/>
      <c r="AD264" s="608"/>
      <c r="AE264" s="564" t="s">
        <v>80</v>
      </c>
      <c r="AF264" s="1515"/>
      <c r="AG264" s="614">
        <f t="shared" si="125"/>
        <v>3925</v>
      </c>
      <c r="AH264" s="608"/>
      <c r="AI264" s="608"/>
      <c r="AJ264" s="608"/>
      <c r="AK264" s="609">
        <f t="shared" si="127"/>
        <v>3925</v>
      </c>
      <c r="AL264" s="609"/>
      <c r="AM264" s="609"/>
      <c r="AN264" s="609"/>
      <c r="AO264" s="609">
        <f t="shared" si="124"/>
        <v>3925</v>
      </c>
      <c r="AP264" s="609"/>
      <c r="AQ264" s="609"/>
      <c r="AR264" s="609"/>
      <c r="AS264" s="609"/>
      <c r="AT264" s="633"/>
      <c r="AU264" s="633"/>
      <c r="AV264" s="633"/>
      <c r="AW264" s="633"/>
      <c r="AX264" s="633"/>
      <c r="AY264" s="633"/>
      <c r="AZ264" s="633"/>
      <c r="BA264" s="633">
        <f t="shared" si="128"/>
        <v>157</v>
      </c>
      <c r="BB264" s="633"/>
      <c r="BC264" s="633"/>
      <c r="BD264" s="633"/>
      <c r="BE264" s="633"/>
      <c r="BF264" s="633"/>
      <c r="BG264" s="633"/>
      <c r="BH264" s="633"/>
      <c r="BI264" s="633"/>
      <c r="BJ264" s="633"/>
      <c r="BK264" s="633"/>
      <c r="BL264" s="633"/>
      <c r="BM264" s="401">
        <f t="shared" si="126"/>
        <v>3925</v>
      </c>
      <c r="BO264" s="1473"/>
      <c r="BP264" s="1473"/>
    </row>
    <row r="265" s="200" customFormat="1" ht="36" customHeight="1" spans="1:68">
      <c r="A265" s="533">
        <v>45406</v>
      </c>
      <c r="B265" s="527" t="s">
        <v>823</v>
      </c>
      <c r="C265" s="528" t="s">
        <v>117</v>
      </c>
      <c r="D265" s="534">
        <v>4500130874</v>
      </c>
      <c r="E265" s="530">
        <v>32990269</v>
      </c>
      <c r="F265" s="534" t="s">
        <v>1152</v>
      </c>
      <c r="G265" s="531" t="s">
        <v>826</v>
      </c>
      <c r="H265" s="532" t="s">
        <v>74</v>
      </c>
      <c r="I265" s="1496">
        <v>5150</v>
      </c>
      <c r="J265" s="1496">
        <v>0</v>
      </c>
      <c r="K265" s="1496">
        <v>25</v>
      </c>
      <c r="L265" s="1496">
        <f t="shared" si="86"/>
        <v>206</v>
      </c>
      <c r="M265" s="563">
        <v>45449</v>
      </c>
      <c r="N265" s="1495">
        <v>45449</v>
      </c>
      <c r="O265" s="564"/>
      <c r="P265" s="564" t="s">
        <v>92</v>
      </c>
      <c r="Q265" s="564" t="s">
        <v>1150</v>
      </c>
      <c r="R265" s="564">
        <v>45407</v>
      </c>
      <c r="S265" s="564" t="s">
        <v>77</v>
      </c>
      <c r="T265" s="564" t="s">
        <v>77</v>
      </c>
      <c r="U265" s="1454" t="s">
        <v>828</v>
      </c>
      <c r="V265" s="530" t="s">
        <v>829</v>
      </c>
      <c r="W265" s="592">
        <v>1.4294</v>
      </c>
      <c r="X265" s="593">
        <f t="shared" si="121"/>
        <v>7361.41</v>
      </c>
      <c r="Y265" s="401" t="s">
        <v>1153</v>
      </c>
      <c r="Z265" s="607" t="s">
        <v>826</v>
      </c>
      <c r="AA265" s="1453" t="s">
        <v>128</v>
      </c>
      <c r="AB265" s="608"/>
      <c r="AC265" s="608"/>
      <c r="AD265" s="608"/>
      <c r="AE265" s="564" t="s">
        <v>80</v>
      </c>
      <c r="AF265" s="1515"/>
      <c r="AG265" s="614">
        <f t="shared" si="125"/>
        <v>5150</v>
      </c>
      <c r="AH265" s="608"/>
      <c r="AI265" s="608"/>
      <c r="AJ265" s="608"/>
      <c r="AK265" s="609">
        <f t="shared" si="127"/>
        <v>5150</v>
      </c>
      <c r="AL265" s="609"/>
      <c r="AM265" s="609"/>
      <c r="AN265" s="609"/>
      <c r="AO265" s="609">
        <f t="shared" si="124"/>
        <v>5150</v>
      </c>
      <c r="AP265" s="609"/>
      <c r="AQ265" s="609"/>
      <c r="AR265" s="609"/>
      <c r="AS265" s="609"/>
      <c r="AT265" s="633"/>
      <c r="AU265" s="633"/>
      <c r="AV265" s="633"/>
      <c r="AW265" s="633"/>
      <c r="AX265" s="633"/>
      <c r="AY265" s="633"/>
      <c r="AZ265" s="633"/>
      <c r="BA265" s="633">
        <f t="shared" si="128"/>
        <v>206</v>
      </c>
      <c r="BB265" s="633"/>
      <c r="BC265" s="633"/>
      <c r="BD265" s="633"/>
      <c r="BE265" s="633"/>
      <c r="BF265" s="633"/>
      <c r="BG265" s="633"/>
      <c r="BH265" s="633"/>
      <c r="BI265" s="633"/>
      <c r="BJ265" s="633"/>
      <c r="BK265" s="633"/>
      <c r="BL265" s="633"/>
      <c r="BM265" s="401">
        <f t="shared" si="126"/>
        <v>5150</v>
      </c>
      <c r="BO265" s="1473"/>
      <c r="BP265" s="1473"/>
    </row>
    <row r="266" s="200" customFormat="1" ht="36" customHeight="1" spans="1:68">
      <c r="A266" s="526">
        <v>45411</v>
      </c>
      <c r="B266" s="1507" t="s">
        <v>189</v>
      </c>
      <c r="C266" s="1508" t="s">
        <v>190</v>
      </c>
      <c r="D266" s="529">
        <v>4500131786</v>
      </c>
      <c r="E266" s="1509">
        <v>20068397</v>
      </c>
      <c r="F266" s="529" t="s">
        <v>1154</v>
      </c>
      <c r="G266" s="1510" t="s">
        <v>160</v>
      </c>
      <c r="H266" s="532" t="s">
        <v>74</v>
      </c>
      <c r="I266" s="401">
        <v>5993</v>
      </c>
      <c r="J266" s="562">
        <v>0</v>
      </c>
      <c r="K266" s="531">
        <v>13</v>
      </c>
      <c r="L266" s="401">
        <f t="shared" si="86"/>
        <v>461</v>
      </c>
      <c r="M266" s="570">
        <v>45454</v>
      </c>
      <c r="N266" s="570">
        <v>45450</v>
      </c>
      <c r="O266" s="1515"/>
      <c r="P266" s="564" t="s">
        <v>92</v>
      </c>
      <c r="Q266" s="1515" t="s">
        <v>1155</v>
      </c>
      <c r="R266" s="564" t="s">
        <v>1073</v>
      </c>
      <c r="S266" s="564" t="s">
        <v>123</v>
      </c>
      <c r="T266" s="1519" t="s">
        <v>1156</v>
      </c>
      <c r="U266" s="1509" t="s">
        <v>1075</v>
      </c>
      <c r="V266" s="1509" t="s">
        <v>1011</v>
      </c>
      <c r="W266" s="592">
        <v>1.4217</v>
      </c>
      <c r="X266" s="593">
        <f t="shared" si="121"/>
        <v>8520.2481</v>
      </c>
      <c r="Y266" s="616" t="s">
        <v>1157</v>
      </c>
      <c r="Z266" s="607" t="s">
        <v>160</v>
      </c>
      <c r="AA266" s="1525" t="s">
        <v>128</v>
      </c>
      <c r="AB266" s="614"/>
      <c r="AC266" s="614"/>
      <c r="AD266" s="614"/>
      <c r="AE266" s="1515" t="s">
        <v>80</v>
      </c>
      <c r="AF266" s="1515"/>
      <c r="AG266" s="608">
        <f t="shared" si="125"/>
        <v>5993</v>
      </c>
      <c r="AH266" s="614"/>
      <c r="AI266" s="614"/>
      <c r="AJ266" s="615"/>
      <c r="AK266" s="609">
        <f t="shared" si="127"/>
        <v>5993</v>
      </c>
      <c r="AL266" s="615"/>
      <c r="AM266" s="615"/>
      <c r="AN266" s="615"/>
      <c r="AO266" s="609">
        <f t="shared" si="124"/>
        <v>5993</v>
      </c>
      <c r="AP266" s="609"/>
      <c r="AQ266" s="609"/>
      <c r="AR266" s="615"/>
      <c r="AS266" s="615"/>
      <c r="AT266" s="1526"/>
      <c r="AU266" s="1526"/>
      <c r="AV266" s="633"/>
      <c r="AW266" s="616"/>
      <c r="AX266" s="632"/>
      <c r="AY266" s="633">
        <f>I266/13</f>
        <v>461</v>
      </c>
      <c r="AZ266" s="632"/>
      <c r="BA266" s="632"/>
      <c r="BB266" s="632"/>
      <c r="BC266" s="632"/>
      <c r="BD266" s="632"/>
      <c r="BE266" s="632"/>
      <c r="BF266" s="632"/>
      <c r="BG266" s="632"/>
      <c r="BH266" s="632"/>
      <c r="BI266" s="632"/>
      <c r="BJ266" s="632"/>
      <c r="BK266" s="632"/>
      <c r="BL266" s="632"/>
      <c r="BM266" s="401">
        <f t="shared" si="126"/>
        <v>5993</v>
      </c>
      <c r="BO266" s="1473"/>
      <c r="BP266" s="1473"/>
    </row>
    <row r="267" s="200" customFormat="1" ht="36" customHeight="1" spans="1:68">
      <c r="A267" s="533">
        <v>45406</v>
      </c>
      <c r="B267" s="527" t="s">
        <v>933</v>
      </c>
      <c r="C267" s="528" t="s">
        <v>934</v>
      </c>
      <c r="D267" s="529">
        <v>4500130675</v>
      </c>
      <c r="E267" s="530">
        <v>5000001492</v>
      </c>
      <c r="F267" s="529" t="s">
        <v>1158</v>
      </c>
      <c r="G267" s="1510" t="s">
        <v>160</v>
      </c>
      <c r="H267" s="532" t="s">
        <v>74</v>
      </c>
      <c r="I267" s="401">
        <v>611</v>
      </c>
      <c r="J267" s="562">
        <v>0</v>
      </c>
      <c r="K267" s="531">
        <v>13</v>
      </c>
      <c r="L267" s="401">
        <f t="shared" si="86"/>
        <v>47</v>
      </c>
      <c r="M267" s="570">
        <v>45446</v>
      </c>
      <c r="N267" s="570">
        <v>45442</v>
      </c>
      <c r="O267" s="564" t="s">
        <v>1159</v>
      </c>
      <c r="P267" s="564" t="s">
        <v>92</v>
      </c>
      <c r="Q267" s="564" t="s">
        <v>1060</v>
      </c>
      <c r="R267" s="1523">
        <v>45411</v>
      </c>
      <c r="S267" s="564" t="s">
        <v>77</v>
      </c>
      <c r="T267" s="1519" t="s">
        <v>1160</v>
      </c>
      <c r="U267" s="1499" t="s">
        <v>937</v>
      </c>
      <c r="V267" s="564" t="s">
        <v>938</v>
      </c>
      <c r="W267" s="592">
        <v>1.3779</v>
      </c>
      <c r="X267" s="593">
        <f t="shared" si="121"/>
        <v>841.8969</v>
      </c>
      <c r="Y267" s="401" t="s">
        <v>1061</v>
      </c>
      <c r="Z267" s="607" t="s">
        <v>940</v>
      </c>
      <c r="AA267" s="1453" t="s">
        <v>128</v>
      </c>
      <c r="AB267" s="614"/>
      <c r="AC267" s="614"/>
      <c r="AD267" s="614"/>
      <c r="AE267" s="1515" t="s">
        <v>80</v>
      </c>
      <c r="AF267" s="1515"/>
      <c r="AG267" s="608">
        <f t="shared" si="125"/>
        <v>611</v>
      </c>
      <c r="AH267" s="614"/>
      <c r="AI267" s="614"/>
      <c r="AJ267" s="614"/>
      <c r="AK267" s="609">
        <f t="shared" si="127"/>
        <v>611</v>
      </c>
      <c r="AL267" s="615"/>
      <c r="AM267" s="615"/>
      <c r="AN267" s="615"/>
      <c r="AO267" s="615"/>
      <c r="AP267" s="615"/>
      <c r="AQ267" s="609"/>
      <c r="AR267" s="609">
        <f>I267</f>
        <v>611</v>
      </c>
      <c r="AS267" s="615"/>
      <c r="AT267" s="401"/>
      <c r="AU267" s="401"/>
      <c r="AV267" s="633"/>
      <c r="AW267" s="401"/>
      <c r="AX267" s="632"/>
      <c r="AY267" s="633">
        <f>I267/13</f>
        <v>47</v>
      </c>
      <c r="AZ267" s="632"/>
      <c r="BA267" s="632"/>
      <c r="BB267" s="632"/>
      <c r="BC267" s="632"/>
      <c r="BD267" s="632"/>
      <c r="BE267" s="632"/>
      <c r="BF267" s="632"/>
      <c r="BG267" s="632"/>
      <c r="BH267" s="632"/>
      <c r="BI267" s="632"/>
      <c r="BJ267" s="632"/>
      <c r="BK267" s="632"/>
      <c r="BL267" s="632"/>
      <c r="BM267" s="401">
        <f t="shared" si="126"/>
        <v>611</v>
      </c>
      <c r="BO267" s="1473"/>
      <c r="BP267" s="1473"/>
    </row>
    <row r="268" s="200" customFormat="1" ht="36" customHeight="1" spans="1:68">
      <c r="A268" s="1529">
        <v>45406</v>
      </c>
      <c r="B268" s="1530" t="s">
        <v>1161</v>
      </c>
      <c r="C268" s="1476" t="s">
        <v>1162</v>
      </c>
      <c r="D268" s="534">
        <v>4500131147</v>
      </c>
      <c r="E268" s="1531">
        <v>5200004712</v>
      </c>
      <c r="F268" s="534" t="s">
        <v>1163</v>
      </c>
      <c r="G268" s="1510" t="s">
        <v>1164</v>
      </c>
      <c r="H268" s="532" t="s">
        <v>1165</v>
      </c>
      <c r="I268" s="401">
        <v>3068</v>
      </c>
      <c r="J268" s="562">
        <v>0</v>
      </c>
      <c r="K268" s="531">
        <v>13</v>
      </c>
      <c r="L268" s="401">
        <f t="shared" ref="L268:L290" si="129">I268/K268</f>
        <v>236</v>
      </c>
      <c r="M268" s="570">
        <v>45448</v>
      </c>
      <c r="N268" s="1517">
        <v>45448</v>
      </c>
      <c r="O268" s="1515"/>
      <c r="P268" s="1550" t="s">
        <v>1166</v>
      </c>
      <c r="Q268" s="1515" t="s">
        <v>835</v>
      </c>
      <c r="R268" s="564" t="s">
        <v>1167</v>
      </c>
      <c r="S268" s="564" t="s">
        <v>77</v>
      </c>
      <c r="T268" s="580" t="s">
        <v>1168</v>
      </c>
      <c r="U268" s="1499" t="s">
        <v>1169</v>
      </c>
      <c r="V268" s="530" t="s">
        <v>194</v>
      </c>
      <c r="W268" s="592">
        <v>1.4071</v>
      </c>
      <c r="X268" s="593">
        <f t="shared" si="121"/>
        <v>4316.9828</v>
      </c>
      <c r="Y268" s="616" t="s">
        <v>1170</v>
      </c>
      <c r="Z268" s="607" t="s">
        <v>862</v>
      </c>
      <c r="AA268" s="1525" t="s">
        <v>128</v>
      </c>
      <c r="AB268" s="614"/>
      <c r="AC268" s="614"/>
      <c r="AD268" s="614"/>
      <c r="AE268" s="1515" t="s">
        <v>80</v>
      </c>
      <c r="AF268" s="1515"/>
      <c r="AG268" s="608"/>
      <c r="AH268" s="614">
        <f t="shared" ref="AH268:AH274" si="130">I268</f>
        <v>3068</v>
      </c>
      <c r="AI268" s="614"/>
      <c r="AJ268" s="614"/>
      <c r="AK268" s="609"/>
      <c r="AL268" s="609">
        <f t="shared" ref="AL268:AL270" si="131">I268</f>
        <v>3068</v>
      </c>
      <c r="AM268" s="615"/>
      <c r="AN268" s="615"/>
      <c r="AO268" s="609">
        <f t="shared" ref="AO268:AO273" si="132">I268</f>
        <v>3068</v>
      </c>
      <c r="AP268" s="609"/>
      <c r="AQ268" s="609"/>
      <c r="AR268" s="615"/>
      <c r="AS268" s="615"/>
      <c r="AT268" s="401"/>
      <c r="AU268" s="401"/>
      <c r="AV268" s="633"/>
      <c r="AW268" s="401"/>
      <c r="AX268" s="632"/>
      <c r="AY268" s="633"/>
      <c r="AZ268" s="633">
        <f>I268/13</f>
        <v>236</v>
      </c>
      <c r="BA268" s="632"/>
      <c r="BB268" s="632"/>
      <c r="BC268" s="632"/>
      <c r="BD268" s="632"/>
      <c r="BE268" s="632"/>
      <c r="BF268" s="632"/>
      <c r="BG268" s="632"/>
      <c r="BH268" s="632"/>
      <c r="BI268" s="632"/>
      <c r="BJ268" s="632"/>
      <c r="BK268" s="632"/>
      <c r="BL268" s="632"/>
      <c r="BM268" s="401">
        <f t="shared" si="126"/>
        <v>3068</v>
      </c>
      <c r="BO268" s="1473"/>
      <c r="BP268" s="1473"/>
    </row>
    <row r="269" s="200" customFormat="1" ht="36" customHeight="1" spans="1:68">
      <c r="A269" s="1529">
        <v>45406</v>
      </c>
      <c r="B269" s="1530" t="s">
        <v>1161</v>
      </c>
      <c r="C269" s="1476" t="s">
        <v>1162</v>
      </c>
      <c r="D269" s="534">
        <v>4500131147</v>
      </c>
      <c r="E269" s="1531">
        <v>5200004712</v>
      </c>
      <c r="F269" s="534" t="s">
        <v>1171</v>
      </c>
      <c r="G269" s="1510" t="s">
        <v>1172</v>
      </c>
      <c r="H269" s="532" t="s">
        <v>74</v>
      </c>
      <c r="I269" s="1496">
        <v>3050</v>
      </c>
      <c r="J269" s="1496">
        <v>0</v>
      </c>
      <c r="K269" s="1496">
        <v>25</v>
      </c>
      <c r="L269" s="1496">
        <f t="shared" si="129"/>
        <v>122</v>
      </c>
      <c r="M269" s="570">
        <v>45448</v>
      </c>
      <c r="N269" s="1517">
        <v>45448</v>
      </c>
      <c r="O269" s="1515"/>
      <c r="P269" s="1550" t="s">
        <v>1166</v>
      </c>
      <c r="Q269" s="1515" t="s">
        <v>835</v>
      </c>
      <c r="R269" s="564" t="s">
        <v>1167</v>
      </c>
      <c r="S269" s="564" t="s">
        <v>77</v>
      </c>
      <c r="T269" s="580" t="s">
        <v>1168</v>
      </c>
      <c r="U269" s="1499" t="s">
        <v>1173</v>
      </c>
      <c r="V269" s="530" t="s">
        <v>194</v>
      </c>
      <c r="W269" s="592">
        <v>1.4344</v>
      </c>
      <c r="X269" s="593">
        <f t="shared" si="121"/>
        <v>4374.92</v>
      </c>
      <c r="Y269" s="616" t="s">
        <v>1170</v>
      </c>
      <c r="Z269" s="607" t="s">
        <v>877</v>
      </c>
      <c r="AA269" s="1525" t="s">
        <v>128</v>
      </c>
      <c r="AB269" s="614"/>
      <c r="AC269" s="614"/>
      <c r="AD269" s="614"/>
      <c r="AE269" s="1515" t="s">
        <v>80</v>
      </c>
      <c r="AF269" s="1515"/>
      <c r="AG269" s="608"/>
      <c r="AH269" s="608">
        <f t="shared" si="130"/>
        <v>3050</v>
      </c>
      <c r="AI269" s="614"/>
      <c r="AJ269" s="614"/>
      <c r="AK269" s="609"/>
      <c r="AL269" s="609">
        <f t="shared" si="131"/>
        <v>3050</v>
      </c>
      <c r="AM269" s="615"/>
      <c r="AN269" s="615"/>
      <c r="AO269" s="609">
        <f t="shared" si="132"/>
        <v>3050</v>
      </c>
      <c r="AP269" s="609"/>
      <c r="AQ269" s="609"/>
      <c r="AR269" s="615"/>
      <c r="AS269" s="615"/>
      <c r="AT269" s="401"/>
      <c r="AU269" s="401"/>
      <c r="AV269" s="633"/>
      <c r="AW269" s="401"/>
      <c r="AX269" s="632"/>
      <c r="AY269" s="632"/>
      <c r="AZ269" s="632"/>
      <c r="BA269" s="632"/>
      <c r="BB269" s="633">
        <f>I269/25</f>
        <v>122</v>
      </c>
      <c r="BC269" s="632"/>
      <c r="BD269" s="632"/>
      <c r="BE269" s="632"/>
      <c r="BF269" s="632"/>
      <c r="BG269" s="632"/>
      <c r="BH269" s="632"/>
      <c r="BI269" s="632"/>
      <c r="BJ269" s="632"/>
      <c r="BK269" s="632"/>
      <c r="BL269" s="632"/>
      <c r="BM269" s="401">
        <f t="shared" si="126"/>
        <v>3050</v>
      </c>
      <c r="BO269" s="1473"/>
      <c r="BP269" s="1473"/>
    </row>
    <row r="270" s="200" customFormat="1" ht="36" customHeight="1" spans="1:68">
      <c r="A270" s="1529">
        <v>45408</v>
      </c>
      <c r="B270" s="1530" t="s">
        <v>1174</v>
      </c>
      <c r="C270" s="1476" t="s">
        <v>435</v>
      </c>
      <c r="D270" s="534">
        <v>4500131176</v>
      </c>
      <c r="E270" s="1531" t="s">
        <v>1175</v>
      </c>
      <c r="F270" s="534" t="s">
        <v>1176</v>
      </c>
      <c r="G270" s="1510" t="s">
        <v>215</v>
      </c>
      <c r="H270" s="539" t="s">
        <v>74</v>
      </c>
      <c r="I270" s="1549">
        <v>714</v>
      </c>
      <c r="J270" s="566">
        <v>0</v>
      </c>
      <c r="K270" s="538">
        <v>42</v>
      </c>
      <c r="L270" s="1549">
        <f t="shared" si="129"/>
        <v>17</v>
      </c>
      <c r="M270" s="570">
        <v>45448</v>
      </c>
      <c r="N270" s="1517">
        <v>45448</v>
      </c>
      <c r="O270" s="1515"/>
      <c r="P270" s="564" t="s">
        <v>92</v>
      </c>
      <c r="Q270" s="1515" t="s">
        <v>1177</v>
      </c>
      <c r="R270" s="564">
        <v>45418</v>
      </c>
      <c r="S270" s="564" t="s">
        <v>77</v>
      </c>
      <c r="T270" s="580" t="s">
        <v>1178</v>
      </c>
      <c r="U270" s="530" t="s">
        <v>1179</v>
      </c>
      <c r="V270" s="530" t="s">
        <v>389</v>
      </c>
      <c r="W270" s="597">
        <v>1.459</v>
      </c>
      <c r="X270" s="598">
        <f t="shared" si="121"/>
        <v>1041.726</v>
      </c>
      <c r="Y270" s="616" t="s">
        <v>1180</v>
      </c>
      <c r="Z270" s="611" t="s">
        <v>220</v>
      </c>
      <c r="AA270" s="1525" t="s">
        <v>128</v>
      </c>
      <c r="AB270" s="614"/>
      <c r="AC270" s="614"/>
      <c r="AD270" s="614"/>
      <c r="AE270" s="1515" t="s">
        <v>80</v>
      </c>
      <c r="AF270" s="1555"/>
      <c r="AG270" s="612">
        <f t="shared" ref="AG270:AG272" si="133">I270</f>
        <v>714</v>
      </c>
      <c r="AH270" s="608"/>
      <c r="AI270" s="614"/>
      <c r="AJ270" s="614"/>
      <c r="AK270" s="609"/>
      <c r="AL270" s="613">
        <f t="shared" si="131"/>
        <v>714</v>
      </c>
      <c r="AM270" s="615"/>
      <c r="AN270" s="615"/>
      <c r="AO270" s="613">
        <f t="shared" si="132"/>
        <v>714</v>
      </c>
      <c r="AP270" s="613"/>
      <c r="AQ270" s="609"/>
      <c r="AR270" s="615"/>
      <c r="AS270" s="615"/>
      <c r="AT270" s="635">
        <f>I270/21</f>
        <v>34</v>
      </c>
      <c r="AU270" s="635"/>
      <c r="AV270" s="633"/>
      <c r="AW270" s="401"/>
      <c r="AX270" s="632"/>
      <c r="AY270" s="632"/>
      <c r="AZ270" s="632"/>
      <c r="BA270" s="632"/>
      <c r="BB270" s="633"/>
      <c r="BC270" s="632"/>
      <c r="BD270" s="632"/>
      <c r="BE270" s="632"/>
      <c r="BF270" s="632"/>
      <c r="BG270" s="632"/>
      <c r="BH270" s="632"/>
      <c r="BI270" s="632"/>
      <c r="BJ270" s="632"/>
      <c r="BK270" s="632"/>
      <c r="BL270" s="632"/>
      <c r="BM270" s="401">
        <f t="shared" si="126"/>
        <v>714</v>
      </c>
      <c r="BO270" s="1473"/>
      <c r="BP270" s="1473"/>
    </row>
    <row r="271" s="200" customFormat="1" ht="36" customHeight="1" spans="1:68">
      <c r="A271" s="533">
        <v>45406</v>
      </c>
      <c r="B271" s="527" t="s">
        <v>1181</v>
      </c>
      <c r="C271" s="528" t="s">
        <v>117</v>
      </c>
      <c r="D271" s="534">
        <v>4500130892</v>
      </c>
      <c r="E271" s="530" t="s">
        <v>1182</v>
      </c>
      <c r="F271" s="534" t="s">
        <v>1183</v>
      </c>
      <c r="G271" s="531" t="s">
        <v>96</v>
      </c>
      <c r="H271" s="1512" t="s">
        <v>74</v>
      </c>
      <c r="I271" s="616">
        <v>2500</v>
      </c>
      <c r="J271" s="1518">
        <v>0</v>
      </c>
      <c r="K271" s="1510">
        <v>50</v>
      </c>
      <c r="L271" s="616">
        <f t="shared" si="129"/>
        <v>50</v>
      </c>
      <c r="M271" s="563">
        <v>45451</v>
      </c>
      <c r="N271" s="1495">
        <v>45450</v>
      </c>
      <c r="O271" s="1515"/>
      <c r="P271" s="564" t="s">
        <v>92</v>
      </c>
      <c r="Q271" s="564" t="s">
        <v>1184</v>
      </c>
      <c r="R271" s="564" t="s">
        <v>1185</v>
      </c>
      <c r="S271" s="564" t="s">
        <v>77</v>
      </c>
      <c r="T271" s="564" t="s">
        <v>77</v>
      </c>
      <c r="U271" s="1454" t="s">
        <v>1186</v>
      </c>
      <c r="V271" s="530" t="s">
        <v>1187</v>
      </c>
      <c r="W271" s="1520">
        <v>1.4344</v>
      </c>
      <c r="X271" s="1521">
        <f t="shared" si="121"/>
        <v>3586</v>
      </c>
      <c r="Y271" s="401" t="s">
        <v>1188</v>
      </c>
      <c r="Z271" s="607" t="s">
        <v>96</v>
      </c>
      <c r="AA271" s="1453" t="s">
        <v>128</v>
      </c>
      <c r="AB271" s="608"/>
      <c r="AC271" s="608"/>
      <c r="AD271" s="608"/>
      <c r="AE271" s="564" t="s">
        <v>80</v>
      </c>
      <c r="AF271" s="1515"/>
      <c r="AG271" s="614">
        <f t="shared" si="133"/>
        <v>2500</v>
      </c>
      <c r="AH271" s="608"/>
      <c r="AI271" s="608"/>
      <c r="AJ271" s="608"/>
      <c r="AK271" s="609">
        <f t="shared" ref="AK271:AK279" si="134">I271</f>
        <v>2500</v>
      </c>
      <c r="AL271" s="609"/>
      <c r="AM271" s="609"/>
      <c r="AN271" s="609"/>
      <c r="AO271" s="615">
        <f t="shared" si="132"/>
        <v>2500</v>
      </c>
      <c r="AP271" s="615"/>
      <c r="AQ271" s="609"/>
      <c r="AR271" s="609"/>
      <c r="AS271" s="609"/>
      <c r="AT271" s="633"/>
      <c r="AU271" s="633"/>
      <c r="AV271" s="633"/>
      <c r="AW271" s="633"/>
      <c r="AX271" s="633"/>
      <c r="AY271" s="633"/>
      <c r="AZ271" s="633"/>
      <c r="BA271" s="633">
        <f>I271/25</f>
        <v>100</v>
      </c>
      <c r="BB271" s="633"/>
      <c r="BC271" s="633"/>
      <c r="BD271" s="633"/>
      <c r="BE271" s="633"/>
      <c r="BF271" s="633"/>
      <c r="BG271" s="633"/>
      <c r="BH271" s="633"/>
      <c r="BI271" s="633"/>
      <c r="BJ271" s="633"/>
      <c r="BK271" s="633"/>
      <c r="BL271" s="633"/>
      <c r="BM271" s="401">
        <f t="shared" si="126"/>
        <v>2500</v>
      </c>
      <c r="BO271" s="1473"/>
      <c r="BP271" s="1473"/>
    </row>
    <row r="272" s="200" customFormat="1" ht="36" customHeight="1" spans="1:68">
      <c r="A272" s="533">
        <v>45418</v>
      </c>
      <c r="B272" s="527" t="s">
        <v>189</v>
      </c>
      <c r="C272" s="528" t="s">
        <v>190</v>
      </c>
      <c r="D272" s="534">
        <v>4500132570</v>
      </c>
      <c r="E272" s="530">
        <v>20052243</v>
      </c>
      <c r="F272" s="534" t="s">
        <v>1189</v>
      </c>
      <c r="G272" s="531" t="s">
        <v>160</v>
      </c>
      <c r="H272" s="532" t="s">
        <v>74</v>
      </c>
      <c r="I272" s="401">
        <v>1365</v>
      </c>
      <c r="J272" s="562">
        <v>0</v>
      </c>
      <c r="K272" s="531">
        <v>13</v>
      </c>
      <c r="L272" s="401">
        <f t="shared" si="129"/>
        <v>105</v>
      </c>
      <c r="M272" s="563">
        <v>45450</v>
      </c>
      <c r="N272" s="1495">
        <v>45450</v>
      </c>
      <c r="O272" s="1515"/>
      <c r="P272" s="564" t="s">
        <v>92</v>
      </c>
      <c r="Q272" s="564" t="s">
        <v>1190</v>
      </c>
      <c r="R272" s="1523">
        <v>45418</v>
      </c>
      <c r="S272" s="1519" t="s">
        <v>123</v>
      </c>
      <c r="T272" s="1519" t="s">
        <v>1191</v>
      </c>
      <c r="U272" s="1454" t="s">
        <v>1192</v>
      </c>
      <c r="V272" s="530" t="s">
        <v>1011</v>
      </c>
      <c r="W272" s="592">
        <v>1.3901</v>
      </c>
      <c r="X272" s="593">
        <f t="shared" si="121"/>
        <v>1897.4865</v>
      </c>
      <c r="Y272" s="401" t="s">
        <v>1193</v>
      </c>
      <c r="Z272" s="607" t="s">
        <v>160</v>
      </c>
      <c r="AA272" s="1453" t="s">
        <v>128</v>
      </c>
      <c r="AB272" s="608"/>
      <c r="AC272" s="608"/>
      <c r="AD272" s="608"/>
      <c r="AE272" s="564" t="s">
        <v>80</v>
      </c>
      <c r="AF272" s="564"/>
      <c r="AG272" s="608">
        <f t="shared" si="133"/>
        <v>1365</v>
      </c>
      <c r="AH272" s="608"/>
      <c r="AI272" s="1557"/>
      <c r="AK272" s="609">
        <f t="shared" si="134"/>
        <v>1365</v>
      </c>
      <c r="AL272" s="609"/>
      <c r="AM272" s="609"/>
      <c r="AN272" s="609"/>
      <c r="AO272" s="609">
        <f t="shared" si="132"/>
        <v>1365</v>
      </c>
      <c r="AP272" s="615"/>
      <c r="AQ272" s="609"/>
      <c r="AR272" s="609"/>
      <c r="AS272" s="609"/>
      <c r="AT272" s="633"/>
      <c r="AU272" s="633"/>
      <c r="AV272" s="633"/>
      <c r="AW272" s="633"/>
      <c r="AX272" s="633"/>
      <c r="AY272" s="633">
        <f>I272/13</f>
        <v>105</v>
      </c>
      <c r="AZ272" s="633"/>
      <c r="BA272" s="633"/>
      <c r="BB272" s="633"/>
      <c r="BC272" s="633"/>
      <c r="BD272" s="633"/>
      <c r="BE272" s="633"/>
      <c r="BF272" s="633"/>
      <c r="BG272" s="633"/>
      <c r="BH272" s="633"/>
      <c r="BI272" s="633"/>
      <c r="BJ272" s="633"/>
      <c r="BK272" s="633"/>
      <c r="BL272" s="633"/>
      <c r="BM272" s="401">
        <f t="shared" si="126"/>
        <v>1365</v>
      </c>
      <c r="BO272" s="1473"/>
      <c r="BP272" s="1473"/>
    </row>
    <row r="273" s="200" customFormat="1" ht="36" customHeight="1" spans="1:68">
      <c r="A273" s="1484">
        <v>45394</v>
      </c>
      <c r="B273" s="1485" t="s">
        <v>1194</v>
      </c>
      <c r="C273" s="1508" t="s">
        <v>1119</v>
      </c>
      <c r="D273" s="1487">
        <v>4500129688</v>
      </c>
      <c r="E273" s="1488">
        <v>144366</v>
      </c>
      <c r="F273" s="1487" t="s">
        <v>1195</v>
      </c>
      <c r="G273" s="531" t="s">
        <v>1196</v>
      </c>
      <c r="H273" s="532" t="s">
        <v>74</v>
      </c>
      <c r="I273" s="401">
        <v>798</v>
      </c>
      <c r="J273" s="562">
        <v>0</v>
      </c>
      <c r="K273" s="531">
        <v>42</v>
      </c>
      <c r="L273" s="401">
        <f t="shared" si="129"/>
        <v>19</v>
      </c>
      <c r="M273" s="563">
        <v>45435</v>
      </c>
      <c r="N273" s="1495">
        <v>45446</v>
      </c>
      <c r="O273" s="564"/>
      <c r="P273" s="564" t="s">
        <v>92</v>
      </c>
      <c r="Q273" s="564" t="s">
        <v>1197</v>
      </c>
      <c r="R273" s="564">
        <v>45404</v>
      </c>
      <c r="S273" s="564" t="s">
        <v>77</v>
      </c>
      <c r="T273" s="564">
        <v>45404</v>
      </c>
      <c r="U273" s="530" t="s">
        <v>1198</v>
      </c>
      <c r="V273" s="564" t="s">
        <v>1124</v>
      </c>
      <c r="W273" s="592">
        <v>1.459</v>
      </c>
      <c r="X273" s="593">
        <f t="shared" si="121"/>
        <v>1164.282</v>
      </c>
      <c r="Y273" s="401" t="s">
        <v>1199</v>
      </c>
      <c r="Z273" s="607" t="s">
        <v>697</v>
      </c>
      <c r="AA273" s="1453" t="s">
        <v>128</v>
      </c>
      <c r="AB273" s="608"/>
      <c r="AC273" s="608"/>
      <c r="AD273" s="608"/>
      <c r="AE273" s="564" t="s">
        <v>80</v>
      </c>
      <c r="AF273" s="564"/>
      <c r="AG273" s="401"/>
      <c r="AH273" s="608">
        <f t="shared" si="130"/>
        <v>798</v>
      </c>
      <c r="AI273" s="608"/>
      <c r="AJ273" s="608"/>
      <c r="AK273" s="609"/>
      <c r="AL273" s="609">
        <f>I273</f>
        <v>798</v>
      </c>
      <c r="AM273" s="609"/>
      <c r="AN273" s="609"/>
      <c r="AO273" s="609">
        <f t="shared" si="132"/>
        <v>798</v>
      </c>
      <c r="AP273" s="609"/>
      <c r="AQ273" s="609"/>
      <c r="AR273" s="609"/>
      <c r="AT273" s="609">
        <f>I273/21</f>
        <v>38</v>
      </c>
      <c r="AU273" s="609"/>
      <c r="AV273" s="633"/>
      <c r="AW273" s="401"/>
      <c r="AX273" s="633"/>
      <c r="AY273" s="633"/>
      <c r="AZ273" s="633"/>
      <c r="BA273" s="633"/>
      <c r="BB273" s="633"/>
      <c r="BC273" s="633"/>
      <c r="BD273" s="633"/>
      <c r="BE273" s="633"/>
      <c r="BF273" s="633"/>
      <c r="BG273" s="633"/>
      <c r="BH273" s="633"/>
      <c r="BI273" s="633"/>
      <c r="BJ273" s="633"/>
      <c r="BK273" s="633"/>
      <c r="BL273" s="633"/>
      <c r="BM273" s="401">
        <f t="shared" si="126"/>
        <v>798</v>
      </c>
      <c r="BO273" s="1473"/>
      <c r="BP273" s="1473"/>
    </row>
    <row r="274" s="200" customFormat="1" ht="36" customHeight="1" spans="1:68">
      <c r="A274" s="1484">
        <v>45394</v>
      </c>
      <c r="B274" s="1485" t="s">
        <v>1194</v>
      </c>
      <c r="C274" s="1508" t="s">
        <v>1119</v>
      </c>
      <c r="D274" s="1487">
        <v>4500129688</v>
      </c>
      <c r="E274" s="1488">
        <v>144366</v>
      </c>
      <c r="F274" s="1487" t="s">
        <v>1200</v>
      </c>
      <c r="G274" s="531" t="s">
        <v>1201</v>
      </c>
      <c r="H274" s="532" t="s">
        <v>74</v>
      </c>
      <c r="I274" s="511">
        <v>1620</v>
      </c>
      <c r="J274" s="562">
        <v>0</v>
      </c>
      <c r="K274" s="531">
        <v>60</v>
      </c>
      <c r="L274" s="401">
        <f t="shared" si="129"/>
        <v>27</v>
      </c>
      <c r="M274" s="563">
        <v>45435</v>
      </c>
      <c r="N274" s="1495">
        <v>45446</v>
      </c>
      <c r="O274" s="564"/>
      <c r="P274" s="564" t="s">
        <v>92</v>
      </c>
      <c r="Q274" s="564" t="s">
        <v>1197</v>
      </c>
      <c r="R274" s="564">
        <v>45404</v>
      </c>
      <c r="S274" s="564" t="s">
        <v>77</v>
      </c>
      <c r="T274" s="564">
        <v>45404</v>
      </c>
      <c r="U274" s="530" t="s">
        <v>1202</v>
      </c>
      <c r="V274" s="564" t="s">
        <v>1124</v>
      </c>
      <c r="W274" s="592">
        <v>93.278</v>
      </c>
      <c r="X274" s="593">
        <f>W274*L274</f>
        <v>2518.506</v>
      </c>
      <c r="Y274" s="401" t="s">
        <v>1199</v>
      </c>
      <c r="Z274" s="607" t="s">
        <v>1201</v>
      </c>
      <c r="AA274" s="1453" t="s">
        <v>128</v>
      </c>
      <c r="AB274" s="608"/>
      <c r="AC274" s="608"/>
      <c r="AD274" s="608"/>
      <c r="AE274" s="564" t="s">
        <v>80</v>
      </c>
      <c r="AF274" s="564"/>
      <c r="AG274" s="401"/>
      <c r="AH274" s="608">
        <f t="shared" si="130"/>
        <v>1620</v>
      </c>
      <c r="AI274" s="608"/>
      <c r="AJ274" s="608"/>
      <c r="AK274" s="609"/>
      <c r="AL274" s="401">
        <f>I274</f>
        <v>1620</v>
      </c>
      <c r="AM274" s="609"/>
      <c r="AN274" s="609"/>
      <c r="AO274" s="609">
        <f>AH274</f>
        <v>1620</v>
      </c>
      <c r="AP274" s="609"/>
      <c r="AQ274" s="609"/>
      <c r="AR274" s="609"/>
      <c r="AS274" s="609"/>
      <c r="AT274" s="633"/>
      <c r="AU274" s="633"/>
      <c r="AV274" s="633"/>
      <c r="AW274" s="401"/>
      <c r="AX274" s="633"/>
      <c r="AY274" s="633"/>
      <c r="AZ274" s="633"/>
      <c r="BA274" s="633"/>
      <c r="BB274" s="633"/>
      <c r="BC274" s="633"/>
      <c r="BD274" s="633"/>
      <c r="BE274" s="633">
        <f>I274/60</f>
        <v>27</v>
      </c>
      <c r="BF274" s="633"/>
      <c r="BG274" s="633"/>
      <c r="BH274" s="633"/>
      <c r="BI274" s="633"/>
      <c r="BJ274" s="633"/>
      <c r="BK274" s="633"/>
      <c r="BL274" s="633"/>
      <c r="BM274" s="401">
        <f t="shared" si="126"/>
        <v>1620</v>
      </c>
      <c r="BO274" s="1473"/>
      <c r="BP274" s="1473"/>
    </row>
    <row r="275" s="200" customFormat="1" ht="36" customHeight="1" spans="1:68">
      <c r="A275" s="533">
        <v>45384</v>
      </c>
      <c r="B275" s="527" t="s">
        <v>512</v>
      </c>
      <c r="C275" s="528" t="s">
        <v>213</v>
      </c>
      <c r="D275" s="534">
        <v>4500128489</v>
      </c>
      <c r="E275" s="530" t="s">
        <v>1203</v>
      </c>
      <c r="F275" s="534" t="s">
        <v>1204</v>
      </c>
      <c r="G275" s="531" t="s">
        <v>1205</v>
      </c>
      <c r="H275" s="532" t="s">
        <v>74</v>
      </c>
      <c r="I275" s="401">
        <v>2000</v>
      </c>
      <c r="J275" s="1496">
        <v>25</v>
      </c>
      <c r="K275" s="1496">
        <v>50</v>
      </c>
      <c r="L275" s="1496">
        <f t="shared" si="129"/>
        <v>40</v>
      </c>
      <c r="M275" s="563">
        <v>45436</v>
      </c>
      <c r="N275" s="1495">
        <v>45446</v>
      </c>
      <c r="O275" s="564" t="s">
        <v>1206</v>
      </c>
      <c r="P275" s="564" t="s">
        <v>1207</v>
      </c>
      <c r="Q275" s="564" t="s">
        <v>1043</v>
      </c>
      <c r="R275" s="564">
        <v>45398</v>
      </c>
      <c r="S275" s="564" t="s">
        <v>77</v>
      </c>
      <c r="T275" s="564" t="s">
        <v>77</v>
      </c>
      <c r="U275" s="530" t="s">
        <v>1208</v>
      </c>
      <c r="V275" s="530" t="s">
        <v>218</v>
      </c>
      <c r="W275" s="592">
        <v>1.4344</v>
      </c>
      <c r="X275" s="593">
        <f t="shared" ref="X275:X280" si="135">I275*W275</f>
        <v>2868.8</v>
      </c>
      <c r="Y275" s="401" t="s">
        <v>1209</v>
      </c>
      <c r="Z275" s="607" t="s">
        <v>1205</v>
      </c>
      <c r="AA275" s="1453" t="s">
        <v>128</v>
      </c>
      <c r="AB275" s="608"/>
      <c r="AC275" s="608"/>
      <c r="AD275" s="608"/>
      <c r="AE275" s="564" t="s">
        <v>80</v>
      </c>
      <c r="AF275" s="564"/>
      <c r="AG275" s="608">
        <f t="shared" ref="AG275:AG279" si="136">I275</f>
        <v>2000</v>
      </c>
      <c r="AH275" s="608"/>
      <c r="AI275" s="608"/>
      <c r="AJ275" s="609"/>
      <c r="AK275" s="609">
        <f t="shared" si="134"/>
        <v>2000</v>
      </c>
      <c r="AL275" s="609"/>
      <c r="AM275" s="609"/>
      <c r="AN275" s="609"/>
      <c r="AO275" s="609">
        <f t="shared" ref="AO275:AO279" si="137">I275</f>
        <v>2000</v>
      </c>
      <c r="AP275" s="609"/>
      <c r="AQ275" s="609"/>
      <c r="AR275" s="609"/>
      <c r="AS275" s="609"/>
      <c r="AT275" s="633"/>
      <c r="AU275" s="633"/>
      <c r="AV275" s="633"/>
      <c r="AW275" s="633"/>
      <c r="AX275" s="633"/>
      <c r="AY275" s="633"/>
      <c r="AZ275" s="633"/>
      <c r="BA275" s="633">
        <f>I275/25</f>
        <v>80</v>
      </c>
      <c r="BB275" s="633"/>
      <c r="BC275" s="633"/>
      <c r="BD275" s="633"/>
      <c r="BE275" s="633"/>
      <c r="BF275" s="633"/>
      <c r="BG275" s="633"/>
      <c r="BH275" s="633"/>
      <c r="BI275" s="633"/>
      <c r="BJ275" s="633"/>
      <c r="BK275" s="633"/>
      <c r="BL275" s="633"/>
      <c r="BM275" s="401">
        <f t="shared" si="126"/>
        <v>2000</v>
      </c>
      <c r="BO275" s="1473"/>
      <c r="BP275" s="1473"/>
    </row>
    <row r="276" s="200" customFormat="1" ht="36" customHeight="1" spans="1:68">
      <c r="A276" s="533">
        <v>45377</v>
      </c>
      <c r="B276" s="527" t="s">
        <v>1210</v>
      </c>
      <c r="C276" s="528" t="s">
        <v>1211</v>
      </c>
      <c r="D276" s="534">
        <v>4500127856</v>
      </c>
      <c r="E276" s="530" t="s">
        <v>1212</v>
      </c>
      <c r="F276" s="534" t="s">
        <v>1213</v>
      </c>
      <c r="G276" s="1493" t="s">
        <v>207</v>
      </c>
      <c r="H276" s="532" t="s">
        <v>74</v>
      </c>
      <c r="I276" s="401">
        <v>2400</v>
      </c>
      <c r="J276" s="562">
        <v>0</v>
      </c>
      <c r="K276" s="531">
        <v>48</v>
      </c>
      <c r="L276" s="401">
        <f t="shared" si="129"/>
        <v>50</v>
      </c>
      <c r="M276" s="1495">
        <v>45446</v>
      </c>
      <c r="N276" s="1495">
        <v>45446</v>
      </c>
      <c r="O276" s="564"/>
      <c r="P276" s="564" t="s">
        <v>92</v>
      </c>
      <c r="Q276" s="564" t="s">
        <v>1214</v>
      </c>
      <c r="R276" s="564">
        <v>45393</v>
      </c>
      <c r="S276" s="564" t="s">
        <v>77</v>
      </c>
      <c r="T276" s="564">
        <v>45421</v>
      </c>
      <c r="U276" s="530" t="s">
        <v>1215</v>
      </c>
      <c r="V276" s="564" t="s">
        <v>618</v>
      </c>
      <c r="W276" s="592">
        <v>1.4064</v>
      </c>
      <c r="X276" s="593">
        <f t="shared" si="135"/>
        <v>3375.36</v>
      </c>
      <c r="Y276" s="401" t="s">
        <v>1216</v>
      </c>
      <c r="Z276" s="607" t="s">
        <v>207</v>
      </c>
      <c r="AA276" s="1453" t="s">
        <v>128</v>
      </c>
      <c r="AB276" s="608"/>
      <c r="AC276" s="608"/>
      <c r="AD276" s="608"/>
      <c r="AE276" s="564" t="s">
        <v>80</v>
      </c>
      <c r="AF276" s="564"/>
      <c r="AG276" s="608">
        <f t="shared" si="136"/>
        <v>2400</v>
      </c>
      <c r="AH276" s="608"/>
      <c r="AI276" s="608"/>
      <c r="AJ276" s="608"/>
      <c r="AK276" s="401">
        <f t="shared" si="134"/>
        <v>2400</v>
      </c>
      <c r="AL276" s="401"/>
      <c r="AM276" s="609"/>
      <c r="AN276" s="609"/>
      <c r="AO276" s="609">
        <f>AG276</f>
        <v>2400</v>
      </c>
      <c r="AP276" s="609"/>
      <c r="AQ276" s="609"/>
      <c r="AR276" s="609"/>
      <c r="AS276" s="609"/>
      <c r="AT276" s="633"/>
      <c r="AU276" s="633"/>
      <c r="AV276" s="633"/>
      <c r="AW276" s="633">
        <f>AG276/12</f>
        <v>200</v>
      </c>
      <c r="AX276" s="633"/>
      <c r="AY276" s="633"/>
      <c r="AZ276" s="633"/>
      <c r="BA276" s="633"/>
      <c r="BB276" s="633"/>
      <c r="BC276" s="633"/>
      <c r="BD276" s="633"/>
      <c r="BE276" s="633"/>
      <c r="BF276" s="633"/>
      <c r="BG276" s="633"/>
      <c r="BH276" s="633"/>
      <c r="BI276" s="633"/>
      <c r="BJ276" s="633"/>
      <c r="BK276" s="633"/>
      <c r="BL276" s="633"/>
      <c r="BM276" s="401">
        <f t="shared" si="126"/>
        <v>2400</v>
      </c>
      <c r="BO276" s="1473"/>
      <c r="BP276" s="1473"/>
    </row>
    <row r="277" s="200" customFormat="1" ht="36" customHeight="1" spans="1:68">
      <c r="A277" s="1506">
        <v>45379</v>
      </c>
      <c r="B277" s="1475" t="s">
        <v>1217</v>
      </c>
      <c r="C277" s="1476" t="s">
        <v>1218</v>
      </c>
      <c r="D277" s="534">
        <v>4500128084</v>
      </c>
      <c r="E277" s="1480" t="s">
        <v>1219</v>
      </c>
      <c r="F277" s="534" t="s">
        <v>1220</v>
      </c>
      <c r="G277" s="531" t="s">
        <v>207</v>
      </c>
      <c r="H277" s="532" t="s">
        <v>74</v>
      </c>
      <c r="I277" s="401">
        <v>720</v>
      </c>
      <c r="J277" s="562">
        <v>0</v>
      </c>
      <c r="K277" s="531">
        <v>48</v>
      </c>
      <c r="L277" s="401">
        <f t="shared" si="129"/>
        <v>15</v>
      </c>
      <c r="M277" s="563">
        <v>45453</v>
      </c>
      <c r="N277" s="1495">
        <v>45450</v>
      </c>
      <c r="O277" s="564" t="s">
        <v>1221</v>
      </c>
      <c r="P277" s="564" t="s">
        <v>92</v>
      </c>
      <c r="Q277" s="564" t="s">
        <v>1121</v>
      </c>
      <c r="R277" s="564">
        <v>45420</v>
      </c>
      <c r="S277" s="564" t="s">
        <v>77</v>
      </c>
      <c r="T277" s="564" t="s">
        <v>1222</v>
      </c>
      <c r="U277" s="530" t="s">
        <v>1223</v>
      </c>
      <c r="V277" s="564" t="s">
        <v>618</v>
      </c>
      <c r="W277" s="592">
        <v>1.4115</v>
      </c>
      <c r="X277" s="593">
        <f t="shared" si="135"/>
        <v>1016.28</v>
      </c>
      <c r="Y277" s="401" t="s">
        <v>1224</v>
      </c>
      <c r="Z277" s="607" t="s">
        <v>207</v>
      </c>
      <c r="AA277" s="1453" t="s">
        <v>128</v>
      </c>
      <c r="AB277" s="608"/>
      <c r="AC277" s="608"/>
      <c r="AD277" s="608"/>
      <c r="AE277" s="564" t="s">
        <v>80</v>
      </c>
      <c r="AF277" s="564"/>
      <c r="AG277" s="608">
        <f t="shared" si="136"/>
        <v>720</v>
      </c>
      <c r="AH277" s="608"/>
      <c r="AI277" s="608"/>
      <c r="AJ277" s="608"/>
      <c r="AK277" s="401">
        <f t="shared" si="134"/>
        <v>720</v>
      </c>
      <c r="AL277" s="609"/>
      <c r="AM277" s="609"/>
      <c r="AN277" s="609"/>
      <c r="AO277" s="609">
        <f>AG277</f>
        <v>720</v>
      </c>
      <c r="AP277" s="609"/>
      <c r="AQ277" s="609"/>
      <c r="AR277" s="609"/>
      <c r="AS277" s="609"/>
      <c r="AT277" s="633"/>
      <c r="AU277" s="633"/>
      <c r="AV277" s="633"/>
      <c r="AW277" s="633">
        <f>AG277/12</f>
        <v>60</v>
      </c>
      <c r="AX277" s="633"/>
      <c r="AY277" s="633"/>
      <c r="AZ277" s="633"/>
      <c r="BA277" s="633"/>
      <c r="BB277" s="633"/>
      <c r="BC277" s="633"/>
      <c r="BD277" s="633"/>
      <c r="BE277" s="633"/>
      <c r="BF277" s="633"/>
      <c r="BG277" s="633"/>
      <c r="BH277" s="633"/>
      <c r="BI277" s="633"/>
      <c r="BJ277" s="633"/>
      <c r="BK277" s="633"/>
      <c r="BL277" s="633"/>
      <c r="BM277" s="401">
        <f t="shared" si="126"/>
        <v>720</v>
      </c>
      <c r="BO277" s="1473"/>
      <c r="BP277" s="1473"/>
    </row>
    <row r="278" s="200" customFormat="1" ht="36" customHeight="1" spans="1:68">
      <c r="A278" s="1477">
        <v>45425</v>
      </c>
      <c r="B278" s="530" t="s">
        <v>189</v>
      </c>
      <c r="C278" s="1508" t="s">
        <v>190</v>
      </c>
      <c r="D278" s="1532">
        <v>4500133148</v>
      </c>
      <c r="E278" s="1533" t="s">
        <v>1225</v>
      </c>
      <c r="F278" s="1532" t="s">
        <v>1226</v>
      </c>
      <c r="G278" s="531" t="s">
        <v>160</v>
      </c>
      <c r="H278" s="532" t="s">
        <v>74</v>
      </c>
      <c r="I278" s="401">
        <v>3497</v>
      </c>
      <c r="J278" s="562">
        <v>0</v>
      </c>
      <c r="K278" s="531">
        <v>13</v>
      </c>
      <c r="L278" s="401">
        <f t="shared" si="129"/>
        <v>269</v>
      </c>
      <c r="M278" s="563">
        <v>45455</v>
      </c>
      <c r="N278" s="563">
        <v>45451</v>
      </c>
      <c r="O278" s="564"/>
      <c r="P278" s="564" t="s">
        <v>92</v>
      </c>
      <c r="Q278" s="564" t="s">
        <v>1155</v>
      </c>
      <c r="R278" s="564">
        <v>45426</v>
      </c>
      <c r="S278" s="564" t="s">
        <v>123</v>
      </c>
      <c r="T278" s="1519" t="s">
        <v>1156</v>
      </c>
      <c r="U278" s="530" t="s">
        <v>1227</v>
      </c>
      <c r="V278" s="564" t="s">
        <v>1011</v>
      </c>
      <c r="W278" s="592">
        <v>1.4432</v>
      </c>
      <c r="X278" s="593">
        <f t="shared" si="135"/>
        <v>5046.8704</v>
      </c>
      <c r="Y278" s="401" t="s">
        <v>1228</v>
      </c>
      <c r="Z278" s="607" t="s">
        <v>160</v>
      </c>
      <c r="AA278" s="1453" t="s">
        <v>128</v>
      </c>
      <c r="AB278" s="608"/>
      <c r="AC278" s="608"/>
      <c r="AD278" s="608"/>
      <c r="AE278" s="564" t="s">
        <v>80</v>
      </c>
      <c r="AF278" s="564"/>
      <c r="AG278" s="608">
        <f t="shared" si="136"/>
        <v>3497</v>
      </c>
      <c r="AH278" s="614"/>
      <c r="AI278" s="614"/>
      <c r="AJ278" s="608"/>
      <c r="AK278" s="609">
        <f t="shared" si="134"/>
        <v>3497</v>
      </c>
      <c r="AL278" s="615"/>
      <c r="AM278" s="609"/>
      <c r="AN278" s="609"/>
      <c r="AO278" s="609">
        <f t="shared" si="137"/>
        <v>3497</v>
      </c>
      <c r="AP278" s="615"/>
      <c r="AQ278" s="609"/>
      <c r="AR278" s="609"/>
      <c r="AS278" s="609"/>
      <c r="AT278" s="633"/>
      <c r="AU278" s="633"/>
      <c r="AV278" s="633"/>
      <c r="AW278" s="401"/>
      <c r="AX278" s="633"/>
      <c r="AY278" s="633">
        <f>I278/13</f>
        <v>269</v>
      </c>
      <c r="AZ278" s="633"/>
      <c r="BA278" s="633"/>
      <c r="BB278" s="632"/>
      <c r="BC278" s="632"/>
      <c r="BD278" s="633"/>
      <c r="BE278" s="633"/>
      <c r="BF278" s="633"/>
      <c r="BG278" s="633"/>
      <c r="BH278" s="633"/>
      <c r="BI278" s="633"/>
      <c r="BJ278" s="633"/>
      <c r="BK278" s="633"/>
      <c r="BL278" s="633"/>
      <c r="BM278" s="401">
        <f t="shared" si="126"/>
        <v>3497</v>
      </c>
      <c r="BO278" s="1473"/>
      <c r="BP278" s="1473"/>
    </row>
    <row r="279" s="200" customFormat="1" ht="36" customHeight="1" spans="1:68">
      <c r="A279" s="1477">
        <v>45427</v>
      </c>
      <c r="B279" s="530" t="s">
        <v>232</v>
      </c>
      <c r="C279" s="1508" t="s">
        <v>233</v>
      </c>
      <c r="D279" s="1532">
        <v>4500133161</v>
      </c>
      <c r="E279" s="1533" t="s">
        <v>1229</v>
      </c>
      <c r="F279" s="1532" t="s">
        <v>1230</v>
      </c>
      <c r="G279" s="531" t="s">
        <v>160</v>
      </c>
      <c r="H279" s="532" t="s">
        <v>74</v>
      </c>
      <c r="I279" s="401">
        <v>1508</v>
      </c>
      <c r="J279" s="562">
        <v>0</v>
      </c>
      <c r="K279" s="531">
        <v>13</v>
      </c>
      <c r="L279" s="401">
        <f t="shared" si="129"/>
        <v>116</v>
      </c>
      <c r="M279" s="563">
        <v>45455</v>
      </c>
      <c r="N279" s="563">
        <v>45451</v>
      </c>
      <c r="O279" s="564"/>
      <c r="P279" s="564" t="s">
        <v>92</v>
      </c>
      <c r="Q279" s="564" t="s">
        <v>1155</v>
      </c>
      <c r="R279" s="564">
        <v>45426</v>
      </c>
      <c r="S279" s="564" t="s">
        <v>123</v>
      </c>
      <c r="T279" s="1519" t="s">
        <v>1156</v>
      </c>
      <c r="U279" s="530" t="s">
        <v>1231</v>
      </c>
      <c r="V279" s="564" t="s">
        <v>1011</v>
      </c>
      <c r="W279" s="592">
        <v>1.4432</v>
      </c>
      <c r="X279" s="593">
        <f t="shared" si="135"/>
        <v>2176.3456</v>
      </c>
      <c r="Y279" s="401" t="s">
        <v>1232</v>
      </c>
      <c r="Z279" s="607" t="s">
        <v>160</v>
      </c>
      <c r="AA279" s="1453" t="s">
        <v>128</v>
      </c>
      <c r="AB279" s="608"/>
      <c r="AC279" s="608"/>
      <c r="AD279" s="608"/>
      <c r="AE279" s="564" t="s">
        <v>80</v>
      </c>
      <c r="AF279" s="564"/>
      <c r="AG279" s="608">
        <f t="shared" si="136"/>
        <v>1508</v>
      </c>
      <c r="AH279" s="614"/>
      <c r="AI279" s="614"/>
      <c r="AJ279" s="608"/>
      <c r="AK279" s="609">
        <f t="shared" si="134"/>
        <v>1508</v>
      </c>
      <c r="AL279" s="615"/>
      <c r="AM279" s="609"/>
      <c r="AN279" s="609"/>
      <c r="AO279" s="609">
        <f t="shared" si="137"/>
        <v>1508</v>
      </c>
      <c r="AP279" s="615"/>
      <c r="AQ279" s="609"/>
      <c r="AR279" s="609"/>
      <c r="AS279" s="609"/>
      <c r="AT279" s="633"/>
      <c r="AU279" s="633"/>
      <c r="AV279" s="633"/>
      <c r="AW279" s="401"/>
      <c r="AX279" s="633"/>
      <c r="AY279" s="633">
        <f>I279/13</f>
        <v>116</v>
      </c>
      <c r="AZ279" s="633"/>
      <c r="BA279" s="633"/>
      <c r="BB279" s="632"/>
      <c r="BC279" s="632"/>
      <c r="BD279" s="633"/>
      <c r="BE279" s="633"/>
      <c r="BF279" s="633"/>
      <c r="BG279" s="633"/>
      <c r="BH279" s="633"/>
      <c r="BI279" s="633"/>
      <c r="BJ279" s="633"/>
      <c r="BK279" s="633"/>
      <c r="BL279" s="633"/>
      <c r="BM279" s="401">
        <f t="shared" si="126"/>
        <v>1508</v>
      </c>
      <c r="BO279" s="1473"/>
      <c r="BP279" s="1473"/>
    </row>
    <row r="280" s="200" customFormat="1" ht="36" customHeight="1" spans="1:73">
      <c r="A280" s="533">
        <v>45376</v>
      </c>
      <c r="B280" s="527" t="s">
        <v>332</v>
      </c>
      <c r="C280" s="528" t="s">
        <v>117</v>
      </c>
      <c r="D280" s="534">
        <v>4500127813</v>
      </c>
      <c r="E280" s="530">
        <v>5200004337</v>
      </c>
      <c r="F280" s="534" t="s">
        <v>1233</v>
      </c>
      <c r="G280" s="531" t="s">
        <v>622</v>
      </c>
      <c r="H280" s="532" t="s">
        <v>623</v>
      </c>
      <c r="I280" s="401">
        <v>3996</v>
      </c>
      <c r="J280" s="562">
        <v>0</v>
      </c>
      <c r="K280" s="531">
        <v>12</v>
      </c>
      <c r="L280" s="401">
        <f t="shared" si="129"/>
        <v>333</v>
      </c>
      <c r="M280" s="563">
        <v>45436</v>
      </c>
      <c r="N280" s="1495">
        <v>45436</v>
      </c>
      <c r="O280" s="564"/>
      <c r="P280" s="564" t="s">
        <v>92</v>
      </c>
      <c r="Q280" s="564" t="s">
        <v>1106</v>
      </c>
      <c r="R280" s="564">
        <v>45384</v>
      </c>
      <c r="S280" s="564" t="s">
        <v>77</v>
      </c>
      <c r="T280" s="564" t="s">
        <v>77</v>
      </c>
      <c r="U280" s="1522" t="s">
        <v>1234</v>
      </c>
      <c r="V280" s="530" t="s">
        <v>337</v>
      </c>
      <c r="W280" s="592">
        <v>3.3</v>
      </c>
      <c r="X280" s="593">
        <f t="shared" si="135"/>
        <v>13186.8</v>
      </c>
      <c r="Y280" s="401" t="s">
        <v>1235</v>
      </c>
      <c r="Z280" s="607" t="s">
        <v>628</v>
      </c>
      <c r="AA280" s="1453" t="s">
        <v>128</v>
      </c>
      <c r="AB280" s="608"/>
      <c r="AC280" s="608"/>
      <c r="AD280" s="608"/>
      <c r="AE280" s="564" t="s">
        <v>80</v>
      </c>
      <c r="AF280" s="564"/>
      <c r="AG280" s="608">
        <f>I280*2</f>
        <v>7992</v>
      </c>
      <c r="AH280" s="608"/>
      <c r="AI280" s="608"/>
      <c r="AJ280" s="1558">
        <f>I280*2</f>
        <v>7992</v>
      </c>
      <c r="AL280" s="609"/>
      <c r="AM280" s="609"/>
      <c r="AN280" s="609"/>
      <c r="AO280" s="609">
        <f>I280*2</f>
        <v>7992</v>
      </c>
      <c r="AP280" s="609"/>
      <c r="AQ280" s="609"/>
      <c r="AR280" s="609"/>
      <c r="AS280" s="609"/>
      <c r="AT280" s="633"/>
      <c r="AU280" s="633"/>
      <c r="AV280" s="633"/>
      <c r="AW280" s="633"/>
      <c r="AX280" s="633"/>
      <c r="AY280" s="633"/>
      <c r="AZ280" s="633"/>
      <c r="BA280" s="633"/>
      <c r="BB280" s="633"/>
      <c r="BC280" s="633"/>
      <c r="BD280" s="633"/>
      <c r="BE280" s="633"/>
      <c r="BF280" s="633"/>
      <c r="BG280" s="633"/>
      <c r="BH280" s="633"/>
      <c r="BI280" s="633"/>
      <c r="BJ280" s="633"/>
      <c r="BK280" s="633">
        <f>I280</f>
        <v>3996</v>
      </c>
      <c r="BL280" s="633">
        <f>I280</f>
        <v>3996</v>
      </c>
      <c r="BM280" s="201">
        <f t="shared" si="126"/>
        <v>7992</v>
      </c>
      <c r="BN280" s="199"/>
      <c r="BO280" s="198"/>
      <c r="BP280" s="198"/>
      <c r="BQ280" s="199"/>
      <c r="BR280" s="199"/>
      <c r="BS280" s="199"/>
      <c r="BU280" s="1502" t="s">
        <v>1236</v>
      </c>
    </row>
    <row r="281" s="200" customFormat="1" ht="36" customHeight="1" spans="1:71">
      <c r="A281" s="1506">
        <v>45407</v>
      </c>
      <c r="B281" s="1475" t="s">
        <v>1194</v>
      </c>
      <c r="C281" s="1476" t="s">
        <v>1119</v>
      </c>
      <c r="D281" s="534">
        <v>4500131352</v>
      </c>
      <c r="E281" s="1480" t="s">
        <v>1237</v>
      </c>
      <c r="F281" s="534" t="s">
        <v>1238</v>
      </c>
      <c r="G281" s="531" t="s">
        <v>1201</v>
      </c>
      <c r="H281" s="532" t="s">
        <v>74</v>
      </c>
      <c r="I281" s="511">
        <v>1080</v>
      </c>
      <c r="J281" s="562">
        <v>0</v>
      </c>
      <c r="K281" s="531">
        <v>60</v>
      </c>
      <c r="L281" s="401">
        <f t="shared" si="129"/>
        <v>18</v>
      </c>
      <c r="M281" s="563">
        <v>45453</v>
      </c>
      <c r="N281" s="1495">
        <v>45450</v>
      </c>
      <c r="O281" s="564" t="s">
        <v>1239</v>
      </c>
      <c r="P281" s="564" t="s">
        <v>92</v>
      </c>
      <c r="Q281" s="564" t="s">
        <v>1240</v>
      </c>
      <c r="R281" s="564">
        <v>45419</v>
      </c>
      <c r="S281" s="564" t="s">
        <v>77</v>
      </c>
      <c r="T281" s="1519" t="s">
        <v>1241</v>
      </c>
      <c r="U281" s="1499" t="s">
        <v>1242</v>
      </c>
      <c r="V281" s="564" t="s">
        <v>1124</v>
      </c>
      <c r="W281" s="592">
        <v>93.278</v>
      </c>
      <c r="X281" s="593">
        <f t="shared" ref="X281:X285" si="138">W281*L281</f>
        <v>1679.004</v>
      </c>
      <c r="Y281" s="401" t="s">
        <v>1243</v>
      </c>
      <c r="Z281" s="607" t="s">
        <v>1201</v>
      </c>
      <c r="AA281" s="1556" t="s">
        <v>128</v>
      </c>
      <c r="AB281" s="608"/>
      <c r="AC281" s="608"/>
      <c r="AD281" s="608"/>
      <c r="AE281" s="564" t="s">
        <v>80</v>
      </c>
      <c r="AF281" s="564"/>
      <c r="AG281" s="608"/>
      <c r="AH281" s="608">
        <f>I281</f>
        <v>1080</v>
      </c>
      <c r="AI281" s="608"/>
      <c r="AJ281" s="608"/>
      <c r="AK281" s="401"/>
      <c r="AL281" s="1514">
        <f>I281</f>
        <v>1080</v>
      </c>
      <c r="AN281" s="609"/>
      <c r="AO281" s="609">
        <f>AH281</f>
        <v>1080</v>
      </c>
      <c r="AP281" s="609"/>
      <c r="AQ281" s="609"/>
      <c r="AR281" s="609"/>
      <c r="AS281" s="609"/>
      <c r="AT281" s="633"/>
      <c r="AU281" s="633"/>
      <c r="AV281" s="633"/>
      <c r="AW281" s="633"/>
      <c r="AX281" s="633"/>
      <c r="AY281" s="633"/>
      <c r="AZ281" s="633"/>
      <c r="BA281" s="633"/>
      <c r="BB281" s="633"/>
      <c r="BC281" s="633"/>
      <c r="BD281" s="633"/>
      <c r="BE281" s="633">
        <f>I281/60</f>
        <v>18</v>
      </c>
      <c r="BF281" s="633"/>
      <c r="BG281" s="633"/>
      <c r="BH281" s="633"/>
      <c r="BI281" s="633"/>
      <c r="BJ281" s="633"/>
      <c r="BK281" s="633"/>
      <c r="BL281" s="633"/>
      <c r="BM281" s="201">
        <f t="shared" si="126"/>
        <v>1080</v>
      </c>
      <c r="BN281" s="199"/>
      <c r="BO281" s="198"/>
      <c r="BP281" s="198"/>
      <c r="BQ281" s="199"/>
      <c r="BR281" s="199"/>
      <c r="BS281" s="199"/>
    </row>
    <row r="282" s="200" customFormat="1" ht="36" customHeight="1" spans="1:68">
      <c r="A282" s="533">
        <v>45411</v>
      </c>
      <c r="B282" s="527" t="s">
        <v>587</v>
      </c>
      <c r="C282" s="528" t="s">
        <v>117</v>
      </c>
      <c r="D282" s="534">
        <v>4500131242</v>
      </c>
      <c r="E282" s="530">
        <v>6631646259</v>
      </c>
      <c r="F282" s="534" t="s">
        <v>1244</v>
      </c>
      <c r="G282" s="531" t="s">
        <v>832</v>
      </c>
      <c r="H282" s="532" t="s">
        <v>833</v>
      </c>
      <c r="I282" s="401">
        <v>1152</v>
      </c>
      <c r="J282" s="562">
        <v>0</v>
      </c>
      <c r="K282" s="531">
        <v>1152</v>
      </c>
      <c r="L282" s="401">
        <f t="shared" si="129"/>
        <v>1</v>
      </c>
      <c r="M282" s="563">
        <v>45450</v>
      </c>
      <c r="N282" s="1495">
        <v>45450</v>
      </c>
      <c r="O282" s="1474" t="s">
        <v>1245</v>
      </c>
      <c r="P282" s="564" t="s">
        <v>92</v>
      </c>
      <c r="Q282" s="564" t="s">
        <v>1150</v>
      </c>
      <c r="R282" s="1523" t="s">
        <v>1102</v>
      </c>
      <c r="S282" s="564" t="s">
        <v>123</v>
      </c>
      <c r="T282" s="1519" t="s">
        <v>1246</v>
      </c>
      <c r="U282" s="1454" t="s">
        <v>1103</v>
      </c>
      <c r="V282" s="530" t="s">
        <v>1006</v>
      </c>
      <c r="W282" s="592">
        <v>1752.1376</v>
      </c>
      <c r="X282" s="593">
        <f t="shared" si="138"/>
        <v>1752.1376</v>
      </c>
      <c r="Y282" s="401" t="s">
        <v>1247</v>
      </c>
      <c r="Z282" s="607" t="s">
        <v>832</v>
      </c>
      <c r="AA282" s="1453" t="s">
        <v>128</v>
      </c>
      <c r="AB282" s="608"/>
      <c r="AC282" s="608"/>
      <c r="AD282" s="608"/>
      <c r="AE282" s="564" t="s">
        <v>80</v>
      </c>
      <c r="AF282" s="564"/>
      <c r="AG282" s="608">
        <f t="shared" ref="AG282:AG289" si="139">I282</f>
        <v>1152</v>
      </c>
      <c r="AH282" s="608"/>
      <c r="AI282" s="608"/>
      <c r="AJ282" s="608"/>
      <c r="AK282" s="609">
        <f t="shared" ref="AK282:AK287" si="140">I282</f>
        <v>1152</v>
      </c>
      <c r="AL282" s="609"/>
      <c r="AM282" s="609"/>
      <c r="AN282" s="609"/>
      <c r="AO282" s="615"/>
      <c r="AP282" s="615"/>
      <c r="AQ282" s="609">
        <f t="shared" ref="AQ282:AQ285" si="141">I282</f>
        <v>1152</v>
      </c>
      <c r="AR282" s="609"/>
      <c r="AS282" s="609"/>
      <c r="AT282" s="633"/>
      <c r="AU282" s="633"/>
      <c r="AV282" s="633">
        <f t="shared" ref="AV282:AV285" si="142">I282/12</f>
        <v>96</v>
      </c>
      <c r="AW282" s="633"/>
      <c r="AX282" s="633"/>
      <c r="AY282" s="633"/>
      <c r="AZ282" s="633"/>
      <c r="BA282" s="633"/>
      <c r="BB282" s="633"/>
      <c r="BC282" s="633"/>
      <c r="BD282" s="633"/>
      <c r="BE282" s="633"/>
      <c r="BF282" s="633"/>
      <c r="BG282" s="633"/>
      <c r="BH282" s="633"/>
      <c r="BI282" s="633"/>
      <c r="BJ282" s="633"/>
      <c r="BK282" s="633"/>
      <c r="BL282" s="633"/>
      <c r="BM282" s="401">
        <f t="shared" si="126"/>
        <v>1152</v>
      </c>
      <c r="BO282" s="1473"/>
      <c r="BP282" s="1473"/>
    </row>
    <row r="283" s="200" customFormat="1" ht="36" customHeight="1" spans="1:68">
      <c r="A283" s="533">
        <v>45411</v>
      </c>
      <c r="B283" s="527" t="s">
        <v>587</v>
      </c>
      <c r="C283" s="528" t="s">
        <v>117</v>
      </c>
      <c r="D283" s="534">
        <v>4500131242</v>
      </c>
      <c r="E283" s="530">
        <v>6631646274</v>
      </c>
      <c r="F283" s="534" t="s">
        <v>1248</v>
      </c>
      <c r="G283" s="531" t="s">
        <v>832</v>
      </c>
      <c r="H283" s="532" t="s">
        <v>833</v>
      </c>
      <c r="I283" s="401">
        <v>1152</v>
      </c>
      <c r="J283" s="562">
        <v>0</v>
      </c>
      <c r="K283" s="531">
        <v>1152</v>
      </c>
      <c r="L283" s="401">
        <f t="shared" si="129"/>
        <v>1</v>
      </c>
      <c r="M283" s="563">
        <v>45450</v>
      </c>
      <c r="N283" s="1495">
        <v>45450</v>
      </c>
      <c r="O283" s="1474" t="s">
        <v>1245</v>
      </c>
      <c r="P283" s="564" t="s">
        <v>92</v>
      </c>
      <c r="Q283" s="564" t="s">
        <v>1106</v>
      </c>
      <c r="R283" s="1523" t="s">
        <v>1102</v>
      </c>
      <c r="S283" s="564" t="s">
        <v>123</v>
      </c>
      <c r="T283" s="1519" t="s">
        <v>1246</v>
      </c>
      <c r="U283" s="1454" t="s">
        <v>1103</v>
      </c>
      <c r="V283" s="530" t="s">
        <v>1006</v>
      </c>
      <c r="W283" s="592">
        <v>1752.1376</v>
      </c>
      <c r="X283" s="593">
        <f t="shared" si="138"/>
        <v>1752.1376</v>
      </c>
      <c r="Y283" s="401" t="s">
        <v>1249</v>
      </c>
      <c r="Z283" s="607" t="s">
        <v>832</v>
      </c>
      <c r="AA283" s="1453" t="s">
        <v>128</v>
      </c>
      <c r="AB283" s="608"/>
      <c r="AC283" s="608"/>
      <c r="AD283" s="608"/>
      <c r="AE283" s="564" t="s">
        <v>80</v>
      </c>
      <c r="AF283" s="564"/>
      <c r="AG283" s="608">
        <f t="shared" si="139"/>
        <v>1152</v>
      </c>
      <c r="AH283" s="608"/>
      <c r="AI283" s="608"/>
      <c r="AJ283" s="608"/>
      <c r="AK283" s="609">
        <f t="shared" si="140"/>
        <v>1152</v>
      </c>
      <c r="AL283" s="609"/>
      <c r="AM283" s="609"/>
      <c r="AN283" s="609"/>
      <c r="AO283" s="615"/>
      <c r="AP283" s="615"/>
      <c r="AQ283" s="609">
        <f t="shared" si="141"/>
        <v>1152</v>
      </c>
      <c r="AR283" s="609"/>
      <c r="AS283" s="609"/>
      <c r="AT283" s="633"/>
      <c r="AU283" s="633"/>
      <c r="AV283" s="633">
        <f t="shared" si="142"/>
        <v>96</v>
      </c>
      <c r="AW283" s="633"/>
      <c r="AX283" s="633"/>
      <c r="AY283" s="633"/>
      <c r="AZ283" s="633"/>
      <c r="BA283" s="633"/>
      <c r="BB283" s="633"/>
      <c r="BC283" s="633"/>
      <c r="BD283" s="633"/>
      <c r="BE283" s="633"/>
      <c r="BF283" s="633"/>
      <c r="BG283" s="633"/>
      <c r="BH283" s="633"/>
      <c r="BI283" s="633"/>
      <c r="BJ283" s="633"/>
      <c r="BK283" s="633"/>
      <c r="BL283" s="633"/>
      <c r="BM283" s="401">
        <f t="shared" si="126"/>
        <v>1152</v>
      </c>
      <c r="BO283" s="1473"/>
      <c r="BP283" s="1473"/>
    </row>
    <row r="284" s="200" customFormat="1" ht="36" customHeight="1" spans="1:68">
      <c r="A284" s="533">
        <v>45411</v>
      </c>
      <c r="B284" s="527" t="s">
        <v>587</v>
      </c>
      <c r="C284" s="528" t="s">
        <v>117</v>
      </c>
      <c r="D284" s="534">
        <v>4500131242</v>
      </c>
      <c r="E284" s="530" t="s">
        <v>1250</v>
      </c>
      <c r="F284" s="534" t="s">
        <v>1251</v>
      </c>
      <c r="G284" s="531" t="s">
        <v>832</v>
      </c>
      <c r="H284" s="532" t="s">
        <v>833</v>
      </c>
      <c r="I284" s="401">
        <v>1152</v>
      </c>
      <c r="J284" s="562">
        <v>0</v>
      </c>
      <c r="K284" s="531">
        <v>1152</v>
      </c>
      <c r="L284" s="401">
        <f t="shared" si="129"/>
        <v>1</v>
      </c>
      <c r="M284" s="563">
        <v>45450</v>
      </c>
      <c r="N284" s="1495">
        <v>45450</v>
      </c>
      <c r="O284" s="1474" t="s">
        <v>1245</v>
      </c>
      <c r="P284" s="564" t="s">
        <v>92</v>
      </c>
      <c r="Q284" s="564" t="s">
        <v>1252</v>
      </c>
      <c r="R284" s="1523" t="s">
        <v>1102</v>
      </c>
      <c r="S284" s="564" t="s">
        <v>123</v>
      </c>
      <c r="T284" s="1519" t="s">
        <v>1246</v>
      </c>
      <c r="U284" s="1454" t="s">
        <v>1103</v>
      </c>
      <c r="V284" s="530" t="s">
        <v>1006</v>
      </c>
      <c r="W284" s="592">
        <v>1752.1376</v>
      </c>
      <c r="X284" s="593">
        <f t="shared" si="138"/>
        <v>1752.1376</v>
      </c>
      <c r="Y284" s="401" t="s">
        <v>1249</v>
      </c>
      <c r="Z284" s="607" t="s">
        <v>832</v>
      </c>
      <c r="AA284" s="1453" t="s">
        <v>128</v>
      </c>
      <c r="AB284" s="608"/>
      <c r="AC284" s="608"/>
      <c r="AD284" s="608"/>
      <c r="AE284" s="564" t="s">
        <v>80</v>
      </c>
      <c r="AF284" s="564"/>
      <c r="AG284" s="608">
        <f t="shared" si="139"/>
        <v>1152</v>
      </c>
      <c r="AH284" s="608"/>
      <c r="AI284" s="608"/>
      <c r="AJ284" s="608"/>
      <c r="AK284" s="609">
        <f t="shared" si="140"/>
        <v>1152</v>
      </c>
      <c r="AL284" s="609"/>
      <c r="AM284" s="609"/>
      <c r="AN284" s="609"/>
      <c r="AO284" s="615"/>
      <c r="AP284" s="615"/>
      <c r="AQ284" s="609">
        <f t="shared" si="141"/>
        <v>1152</v>
      </c>
      <c r="AR284" s="609"/>
      <c r="AS284" s="609"/>
      <c r="AT284" s="633"/>
      <c r="AU284" s="633"/>
      <c r="AV284" s="633">
        <f t="shared" si="142"/>
        <v>96</v>
      </c>
      <c r="AW284" s="633"/>
      <c r="AX284" s="633"/>
      <c r="AY284" s="633"/>
      <c r="AZ284" s="633"/>
      <c r="BA284" s="633"/>
      <c r="BB284" s="633"/>
      <c r="BC284" s="633"/>
      <c r="BD284" s="633"/>
      <c r="BE284" s="633"/>
      <c r="BF284" s="633"/>
      <c r="BG284" s="633"/>
      <c r="BH284" s="633"/>
      <c r="BI284" s="633"/>
      <c r="BJ284" s="633"/>
      <c r="BK284" s="633"/>
      <c r="BL284" s="633"/>
      <c r="BM284" s="401">
        <f t="shared" si="126"/>
        <v>1152</v>
      </c>
      <c r="BO284" s="1473"/>
      <c r="BP284" s="1473"/>
    </row>
    <row r="285" s="200" customFormat="1" ht="36" customHeight="1" spans="1:68">
      <c r="A285" s="533">
        <v>45411</v>
      </c>
      <c r="B285" s="527" t="s">
        <v>587</v>
      </c>
      <c r="C285" s="528" t="s">
        <v>117</v>
      </c>
      <c r="D285" s="534">
        <v>4500131242</v>
      </c>
      <c r="E285" s="530" t="s">
        <v>1253</v>
      </c>
      <c r="F285" s="534" t="s">
        <v>1254</v>
      </c>
      <c r="G285" s="531" t="s">
        <v>832</v>
      </c>
      <c r="H285" s="532" t="s">
        <v>833</v>
      </c>
      <c r="I285" s="401">
        <v>1152</v>
      </c>
      <c r="J285" s="562">
        <v>0</v>
      </c>
      <c r="K285" s="531">
        <v>1152</v>
      </c>
      <c r="L285" s="401">
        <f t="shared" si="129"/>
        <v>1</v>
      </c>
      <c r="M285" s="563">
        <v>45450</v>
      </c>
      <c r="N285" s="1495">
        <v>45450</v>
      </c>
      <c r="O285" s="1474" t="s">
        <v>1245</v>
      </c>
      <c r="P285" s="564" t="s">
        <v>92</v>
      </c>
      <c r="Q285" s="564" t="s">
        <v>1255</v>
      </c>
      <c r="R285" s="1523" t="s">
        <v>1102</v>
      </c>
      <c r="S285" s="564" t="s">
        <v>123</v>
      </c>
      <c r="T285" s="1519" t="s">
        <v>1246</v>
      </c>
      <c r="U285" s="1454" t="s">
        <v>1103</v>
      </c>
      <c r="V285" s="530" t="s">
        <v>1006</v>
      </c>
      <c r="W285" s="592">
        <v>1752.1376</v>
      </c>
      <c r="X285" s="593">
        <f t="shared" si="138"/>
        <v>1752.1376</v>
      </c>
      <c r="Y285" s="401" t="s">
        <v>1249</v>
      </c>
      <c r="Z285" s="607" t="s">
        <v>832</v>
      </c>
      <c r="AA285" s="1453" t="s">
        <v>128</v>
      </c>
      <c r="AB285" s="608"/>
      <c r="AC285" s="608"/>
      <c r="AD285" s="608"/>
      <c r="AE285" s="564" t="s">
        <v>80</v>
      </c>
      <c r="AF285" s="564"/>
      <c r="AG285" s="608">
        <f t="shared" si="139"/>
        <v>1152</v>
      </c>
      <c r="AH285" s="608"/>
      <c r="AI285" s="608"/>
      <c r="AJ285" s="608"/>
      <c r="AK285" s="609">
        <f t="shared" si="140"/>
        <v>1152</v>
      </c>
      <c r="AL285" s="609"/>
      <c r="AM285" s="609"/>
      <c r="AN285" s="609"/>
      <c r="AO285" s="615"/>
      <c r="AP285" s="615"/>
      <c r="AQ285" s="609">
        <f t="shared" si="141"/>
        <v>1152</v>
      </c>
      <c r="AR285" s="609"/>
      <c r="AS285" s="609"/>
      <c r="AT285" s="633"/>
      <c r="AU285" s="633"/>
      <c r="AV285" s="633">
        <f t="shared" si="142"/>
        <v>96</v>
      </c>
      <c r="AW285" s="633"/>
      <c r="AX285" s="633"/>
      <c r="AY285" s="633"/>
      <c r="AZ285" s="633"/>
      <c r="BA285" s="633"/>
      <c r="BB285" s="633"/>
      <c r="BC285" s="633"/>
      <c r="BD285" s="633"/>
      <c r="BE285" s="633"/>
      <c r="BF285" s="633"/>
      <c r="BG285" s="633"/>
      <c r="BH285" s="633"/>
      <c r="BI285" s="633"/>
      <c r="BJ285" s="633"/>
      <c r="BK285" s="633"/>
      <c r="BL285" s="633"/>
      <c r="BM285" s="401">
        <f t="shared" si="126"/>
        <v>1152</v>
      </c>
      <c r="BO285" s="1473"/>
      <c r="BP285" s="1473"/>
    </row>
    <row r="286" s="200" customFormat="1" ht="36" customHeight="1" spans="1:68">
      <c r="A286" s="533">
        <v>45418</v>
      </c>
      <c r="B286" s="527" t="s">
        <v>232</v>
      </c>
      <c r="C286" s="528" t="s">
        <v>233</v>
      </c>
      <c r="D286" s="534">
        <v>4500132572</v>
      </c>
      <c r="E286" s="530">
        <v>20052295</v>
      </c>
      <c r="F286" s="534" t="s">
        <v>1256</v>
      </c>
      <c r="G286" s="531" t="s">
        <v>160</v>
      </c>
      <c r="H286" s="532" t="s">
        <v>74</v>
      </c>
      <c r="I286" s="401">
        <v>143</v>
      </c>
      <c r="J286" s="562">
        <v>0</v>
      </c>
      <c r="K286" s="531">
        <v>13</v>
      </c>
      <c r="L286" s="401">
        <f t="shared" si="129"/>
        <v>11</v>
      </c>
      <c r="M286" s="563">
        <v>45450</v>
      </c>
      <c r="N286" s="1495">
        <v>45450</v>
      </c>
      <c r="O286" s="564"/>
      <c r="P286" s="564" t="s">
        <v>92</v>
      </c>
      <c r="Q286" s="564" t="s">
        <v>1190</v>
      </c>
      <c r="R286" s="1523">
        <v>45418</v>
      </c>
      <c r="S286" s="1519" t="s">
        <v>123</v>
      </c>
      <c r="T286" s="1519" t="s">
        <v>1191</v>
      </c>
      <c r="U286" s="1454" t="s">
        <v>1257</v>
      </c>
      <c r="V286" s="530" t="s">
        <v>1011</v>
      </c>
      <c r="W286" s="592">
        <v>1.3952</v>
      </c>
      <c r="X286" s="593">
        <f t="shared" ref="X286:X290" si="143">I286*W286</f>
        <v>199.5136</v>
      </c>
      <c r="Y286" s="401" t="s">
        <v>1258</v>
      </c>
      <c r="Z286" s="607" t="s">
        <v>160</v>
      </c>
      <c r="AA286" s="1453" t="s">
        <v>128</v>
      </c>
      <c r="AB286" s="608"/>
      <c r="AC286" s="608"/>
      <c r="AD286" s="608"/>
      <c r="AE286" s="564" t="s">
        <v>80</v>
      </c>
      <c r="AF286" s="564"/>
      <c r="AG286" s="608">
        <f t="shared" si="139"/>
        <v>143</v>
      </c>
      <c r="AH286" s="608"/>
      <c r="AI286" s="1557"/>
      <c r="AK286" s="609">
        <f t="shared" si="140"/>
        <v>143</v>
      </c>
      <c r="AL286" s="609"/>
      <c r="AM286" s="609"/>
      <c r="AN286" s="609"/>
      <c r="AO286" s="609">
        <f t="shared" ref="AO286:AO291" si="144">I286</f>
        <v>143</v>
      </c>
      <c r="AP286" s="615"/>
      <c r="AQ286" s="609"/>
      <c r="AR286" s="609"/>
      <c r="AS286" s="609"/>
      <c r="AT286" s="633"/>
      <c r="AU286" s="633"/>
      <c r="AV286" s="633"/>
      <c r="AW286" s="633"/>
      <c r="AX286" s="633"/>
      <c r="AY286" s="633">
        <f>I286/13</f>
        <v>11</v>
      </c>
      <c r="AZ286" s="633"/>
      <c r="BA286" s="633"/>
      <c r="BB286" s="633"/>
      <c r="BC286" s="633"/>
      <c r="BD286" s="633"/>
      <c r="BE286" s="633"/>
      <c r="BF286" s="633"/>
      <c r="BG286" s="633"/>
      <c r="BH286" s="633"/>
      <c r="BI286" s="633"/>
      <c r="BJ286" s="633"/>
      <c r="BK286" s="633"/>
      <c r="BL286" s="633"/>
      <c r="BM286" s="401">
        <f t="shared" si="126"/>
        <v>143</v>
      </c>
      <c r="BO286" s="1473"/>
      <c r="BP286" s="1473"/>
    </row>
    <row r="287" s="200" customFormat="1" ht="36" customHeight="1" spans="1:68">
      <c r="A287" s="533">
        <v>45320</v>
      </c>
      <c r="B287" s="527" t="s">
        <v>762</v>
      </c>
      <c r="C287" s="528" t="s">
        <v>763</v>
      </c>
      <c r="D287" s="534">
        <v>4500123845</v>
      </c>
      <c r="E287" s="530" t="s">
        <v>1259</v>
      </c>
      <c r="F287" s="534" t="s">
        <v>1260</v>
      </c>
      <c r="G287" s="531" t="s">
        <v>96</v>
      </c>
      <c r="H287" s="532" t="s">
        <v>74</v>
      </c>
      <c r="I287" s="401">
        <v>450</v>
      </c>
      <c r="J287" s="562">
        <v>0</v>
      </c>
      <c r="K287" s="531">
        <v>50</v>
      </c>
      <c r="L287" s="401">
        <f t="shared" si="129"/>
        <v>9</v>
      </c>
      <c r="M287" s="563">
        <v>45457</v>
      </c>
      <c r="N287" s="563">
        <v>45453</v>
      </c>
      <c r="O287" s="1474" t="s">
        <v>1261</v>
      </c>
      <c r="P287" s="564" t="s">
        <v>1262</v>
      </c>
      <c r="Q287" s="564" t="s">
        <v>1263</v>
      </c>
      <c r="R287" s="564">
        <v>45420</v>
      </c>
      <c r="S287" s="564" t="s">
        <v>77</v>
      </c>
      <c r="T287" s="564" t="s">
        <v>77</v>
      </c>
      <c r="U287" s="530" t="s">
        <v>1264</v>
      </c>
      <c r="V287" s="564" t="s">
        <v>618</v>
      </c>
      <c r="W287" s="592">
        <v>1.57</v>
      </c>
      <c r="X287" s="593">
        <f t="shared" si="143"/>
        <v>706.5</v>
      </c>
      <c r="Y287" s="401" t="s">
        <v>1265</v>
      </c>
      <c r="Z287" s="607" t="s">
        <v>96</v>
      </c>
      <c r="AA287" s="1453" t="s">
        <v>128</v>
      </c>
      <c r="AB287" s="608"/>
      <c r="AC287" s="608"/>
      <c r="AD287" s="608"/>
      <c r="AE287" s="564" t="s">
        <v>80</v>
      </c>
      <c r="AF287" s="564"/>
      <c r="AG287" s="608">
        <f t="shared" si="139"/>
        <v>450</v>
      </c>
      <c r="AH287" s="608"/>
      <c r="AI287" s="608"/>
      <c r="AJ287" s="608"/>
      <c r="AK287" s="609">
        <f t="shared" si="140"/>
        <v>450</v>
      </c>
      <c r="AL287" s="609"/>
      <c r="AM287" s="609"/>
      <c r="AN287" s="609"/>
      <c r="AO287" s="609">
        <f t="shared" si="144"/>
        <v>450</v>
      </c>
      <c r="AP287" s="609"/>
      <c r="AQ287" s="609"/>
      <c r="AR287" s="609"/>
      <c r="AS287" s="609"/>
      <c r="AT287" s="633"/>
      <c r="AU287" s="633"/>
      <c r="AV287" s="633"/>
      <c r="AW287" s="633"/>
      <c r="AX287" s="633"/>
      <c r="AY287" s="633"/>
      <c r="AZ287" s="633"/>
      <c r="BA287" s="633">
        <f>I287/25</f>
        <v>18</v>
      </c>
      <c r="BB287" s="401"/>
      <c r="BC287" s="401"/>
      <c r="BD287" s="633"/>
      <c r="BE287" s="633"/>
      <c r="BF287" s="633"/>
      <c r="BG287" s="633"/>
      <c r="BH287" s="633"/>
      <c r="BI287" s="633"/>
      <c r="BJ287" s="633"/>
      <c r="BK287" s="633"/>
      <c r="BL287" s="633"/>
      <c r="BM287" s="401">
        <f t="shared" si="126"/>
        <v>450</v>
      </c>
      <c r="BO287" s="1473"/>
      <c r="BP287" s="1473"/>
    </row>
    <row r="288" s="200" customFormat="1" ht="36" customHeight="1" spans="1:68">
      <c r="A288" s="526">
        <v>45407</v>
      </c>
      <c r="B288" s="1507" t="s">
        <v>1266</v>
      </c>
      <c r="C288" s="528" t="s">
        <v>117</v>
      </c>
      <c r="D288" s="529">
        <v>4500131395</v>
      </c>
      <c r="E288" s="1509" t="s">
        <v>1267</v>
      </c>
      <c r="F288" s="529" t="s">
        <v>1268</v>
      </c>
      <c r="G288" s="531" t="s">
        <v>403</v>
      </c>
      <c r="H288" s="532" t="s">
        <v>74</v>
      </c>
      <c r="I288" s="401">
        <v>10400</v>
      </c>
      <c r="J288" s="562">
        <v>0</v>
      </c>
      <c r="K288" s="531">
        <v>52</v>
      </c>
      <c r="L288" s="401">
        <f t="shared" si="129"/>
        <v>200</v>
      </c>
      <c r="M288" s="563">
        <v>45457</v>
      </c>
      <c r="N288" s="563">
        <v>45453</v>
      </c>
      <c r="O288" s="564"/>
      <c r="P288" s="564" t="s">
        <v>92</v>
      </c>
      <c r="Q288" s="564" t="s">
        <v>1106</v>
      </c>
      <c r="R288" s="564">
        <v>45407</v>
      </c>
      <c r="S288" s="564" t="s">
        <v>123</v>
      </c>
      <c r="T288" s="1519" t="s">
        <v>1269</v>
      </c>
      <c r="U288" s="530" t="s">
        <v>1270</v>
      </c>
      <c r="V288" s="530" t="s">
        <v>396</v>
      </c>
      <c r="W288" s="592">
        <v>1.4309</v>
      </c>
      <c r="X288" s="593">
        <f t="shared" si="143"/>
        <v>14881.36</v>
      </c>
      <c r="Y288" s="401" t="s">
        <v>1271</v>
      </c>
      <c r="Z288" s="607" t="s">
        <v>403</v>
      </c>
      <c r="AA288" s="1453" t="s">
        <v>128</v>
      </c>
      <c r="AB288" s="608"/>
      <c r="AC288" s="608"/>
      <c r="AD288" s="608"/>
      <c r="AE288" s="564" t="s">
        <v>80</v>
      </c>
      <c r="AF288" s="564"/>
      <c r="AG288" s="608">
        <f t="shared" si="139"/>
        <v>10400</v>
      </c>
      <c r="AH288" s="608"/>
      <c r="AI288" s="608"/>
      <c r="AJ288" s="608"/>
      <c r="AK288" s="609">
        <f>AG288</f>
        <v>10400</v>
      </c>
      <c r="AL288" s="609"/>
      <c r="AM288" s="609"/>
      <c r="AN288" s="609"/>
      <c r="AO288" s="609">
        <f t="shared" ref="AO288:AO292" si="145">AG288</f>
        <v>10400</v>
      </c>
      <c r="AP288" s="609"/>
      <c r="AQ288" s="609"/>
      <c r="AR288" s="609"/>
      <c r="AS288" s="609"/>
      <c r="AT288" s="633"/>
      <c r="AU288" s="633"/>
      <c r="AV288" s="633"/>
      <c r="AW288" s="401"/>
      <c r="AX288" s="633"/>
      <c r="AY288" s="633">
        <f>AG288/13</f>
        <v>800</v>
      </c>
      <c r="AZ288" s="633"/>
      <c r="BA288" s="633"/>
      <c r="BB288" s="633"/>
      <c r="BC288" s="633"/>
      <c r="BD288" s="633"/>
      <c r="BE288" s="633"/>
      <c r="BF288" s="633"/>
      <c r="BG288" s="633"/>
      <c r="BH288" s="633"/>
      <c r="BI288" s="633"/>
      <c r="BJ288" s="633"/>
      <c r="BK288" s="633"/>
      <c r="BL288" s="633"/>
      <c r="BM288" s="401">
        <f t="shared" si="126"/>
        <v>10400</v>
      </c>
      <c r="BO288" s="1473"/>
      <c r="BP288" s="1473"/>
    </row>
    <row r="289" s="200" customFormat="1" ht="36" customHeight="1" spans="1:68">
      <c r="A289" s="1534">
        <v>45425</v>
      </c>
      <c r="B289" s="1507" t="s">
        <v>332</v>
      </c>
      <c r="C289" s="1508" t="s">
        <v>117</v>
      </c>
      <c r="D289" s="1535">
        <v>4500133171</v>
      </c>
      <c r="E289" s="1536">
        <v>5200004834</v>
      </c>
      <c r="F289" s="1535" t="s">
        <v>1272</v>
      </c>
      <c r="G289" s="531" t="s">
        <v>304</v>
      </c>
      <c r="H289" s="532" t="s">
        <v>74</v>
      </c>
      <c r="I289" s="401">
        <v>4992</v>
      </c>
      <c r="J289" s="562">
        <v>0</v>
      </c>
      <c r="K289" s="531">
        <v>24</v>
      </c>
      <c r="L289" s="401">
        <f t="shared" si="129"/>
        <v>208</v>
      </c>
      <c r="M289" s="563">
        <v>45457</v>
      </c>
      <c r="N289" s="563">
        <v>45453</v>
      </c>
      <c r="O289" s="564"/>
      <c r="P289" s="564" t="s">
        <v>92</v>
      </c>
      <c r="Q289" s="564" t="s">
        <v>1106</v>
      </c>
      <c r="R289" s="564">
        <v>45423</v>
      </c>
      <c r="S289" s="564" t="s">
        <v>77</v>
      </c>
      <c r="T289" s="564" t="s">
        <v>1273</v>
      </c>
      <c r="U289" s="530" t="s">
        <v>1274</v>
      </c>
      <c r="V289" s="530" t="s">
        <v>337</v>
      </c>
      <c r="W289" s="592">
        <v>1.3456</v>
      </c>
      <c r="X289" s="593">
        <f t="shared" si="143"/>
        <v>6717.2352</v>
      </c>
      <c r="Y289" s="401" t="s">
        <v>1275</v>
      </c>
      <c r="Z289" s="607" t="s">
        <v>73</v>
      </c>
      <c r="AA289" s="1453" t="s">
        <v>128</v>
      </c>
      <c r="AB289" s="608"/>
      <c r="AC289" s="608"/>
      <c r="AD289" s="608"/>
      <c r="AE289" s="564" t="s">
        <v>80</v>
      </c>
      <c r="AF289" s="564"/>
      <c r="AG289" s="608">
        <f t="shared" si="139"/>
        <v>4992</v>
      </c>
      <c r="AH289" s="608"/>
      <c r="AI289" s="608"/>
      <c r="AJ289" s="608"/>
      <c r="AK289" s="609">
        <f>AG289</f>
        <v>4992</v>
      </c>
      <c r="AL289" s="609"/>
      <c r="AM289" s="609"/>
      <c r="AN289" s="609"/>
      <c r="AO289" s="609">
        <f t="shared" si="145"/>
        <v>4992</v>
      </c>
      <c r="AP289" s="609"/>
      <c r="AQ289" s="609"/>
      <c r="AR289" s="609"/>
      <c r="AS289" s="609"/>
      <c r="AT289" s="633"/>
      <c r="AU289" s="633"/>
      <c r="AV289" s="633"/>
      <c r="AW289" s="401"/>
      <c r="AX289" s="633"/>
      <c r="AY289" s="633"/>
      <c r="AZ289" s="633"/>
      <c r="BB289" s="633"/>
      <c r="BC289" s="633"/>
      <c r="BD289" s="633"/>
      <c r="BE289" s="633"/>
      <c r="BF289" s="633"/>
      <c r="BG289" s="633"/>
      <c r="BH289" s="633"/>
      <c r="BI289" s="633"/>
      <c r="BJ289" s="633"/>
      <c r="BK289" s="633"/>
      <c r="BL289" s="633"/>
      <c r="BM289" s="401">
        <f t="shared" si="126"/>
        <v>4992</v>
      </c>
      <c r="BO289" s="1473"/>
      <c r="BP289" s="1473"/>
    </row>
    <row r="290" s="200" customFormat="1" ht="36" customHeight="1" spans="1:73">
      <c r="A290" s="1534">
        <v>45425</v>
      </c>
      <c r="B290" s="1507" t="s">
        <v>332</v>
      </c>
      <c r="C290" s="1508" t="s">
        <v>117</v>
      </c>
      <c r="D290" s="1535">
        <v>4500133171</v>
      </c>
      <c r="E290" s="1536">
        <v>5200004834</v>
      </c>
      <c r="F290" s="1535" t="s">
        <v>1276</v>
      </c>
      <c r="G290" s="531" t="s">
        <v>622</v>
      </c>
      <c r="H290" s="532" t="s">
        <v>623</v>
      </c>
      <c r="I290" s="401">
        <v>2496</v>
      </c>
      <c r="J290" s="562">
        <v>0</v>
      </c>
      <c r="K290" s="531">
        <v>12</v>
      </c>
      <c r="L290" s="401">
        <f t="shared" si="129"/>
        <v>208</v>
      </c>
      <c r="M290" s="563">
        <v>45457</v>
      </c>
      <c r="N290" s="563">
        <v>45453</v>
      </c>
      <c r="O290" s="564"/>
      <c r="P290" s="564" t="s">
        <v>92</v>
      </c>
      <c r="Q290" s="564" t="s">
        <v>1106</v>
      </c>
      <c r="R290" s="564">
        <v>45423</v>
      </c>
      <c r="S290" s="564" t="s">
        <v>77</v>
      </c>
      <c r="T290" s="564" t="s">
        <v>77</v>
      </c>
      <c r="U290" s="530" t="s">
        <v>1277</v>
      </c>
      <c r="V290" s="530" t="s">
        <v>337</v>
      </c>
      <c r="W290" s="592">
        <v>3.3</v>
      </c>
      <c r="X290" s="593">
        <f t="shared" si="143"/>
        <v>8236.8</v>
      </c>
      <c r="Y290" s="401" t="s">
        <v>1275</v>
      </c>
      <c r="Z290" s="607" t="s">
        <v>628</v>
      </c>
      <c r="AA290" s="1453" t="s">
        <v>128</v>
      </c>
      <c r="AB290" s="608"/>
      <c r="AC290" s="608"/>
      <c r="AD290" s="608"/>
      <c r="AE290" s="564" t="s">
        <v>80</v>
      </c>
      <c r="AF290" s="564"/>
      <c r="AG290" s="608">
        <f>I290*2</f>
        <v>4992</v>
      </c>
      <c r="AH290" s="608"/>
      <c r="AI290" s="608"/>
      <c r="AJ290" s="609">
        <f>I290*2</f>
        <v>4992</v>
      </c>
      <c r="AK290" s="401"/>
      <c r="AL290" s="609"/>
      <c r="AM290" s="609"/>
      <c r="AN290" s="609"/>
      <c r="AO290" s="609">
        <f>I290*2</f>
        <v>4992</v>
      </c>
      <c r="AP290" s="609"/>
      <c r="AQ290" s="609"/>
      <c r="AR290" s="609"/>
      <c r="AS290" s="609"/>
      <c r="AT290" s="633"/>
      <c r="AU290" s="633"/>
      <c r="AV290" s="633"/>
      <c r="AW290" s="401"/>
      <c r="AX290" s="633"/>
      <c r="AY290" s="633"/>
      <c r="AZ290" s="633"/>
      <c r="BB290" s="633"/>
      <c r="BC290" s="633"/>
      <c r="BD290" s="633"/>
      <c r="BE290" s="633"/>
      <c r="BF290" s="633"/>
      <c r="BG290" s="633"/>
      <c r="BH290" s="633"/>
      <c r="BI290" s="633"/>
      <c r="BJ290" s="633"/>
      <c r="BK290" s="633">
        <f>I290</f>
        <v>2496</v>
      </c>
      <c r="BL290" s="633">
        <f>I290</f>
        <v>2496</v>
      </c>
      <c r="BM290" s="401">
        <f t="shared" si="126"/>
        <v>4992</v>
      </c>
      <c r="BO290" s="1473"/>
      <c r="BP290" s="1473"/>
      <c r="BU290" s="1502" t="s">
        <v>1278</v>
      </c>
    </row>
    <row r="291" s="3" customFormat="1" ht="36" customHeight="1" spans="1:71">
      <c r="A291" s="1537">
        <v>45408</v>
      </c>
      <c r="B291" s="22" t="s">
        <v>1279</v>
      </c>
      <c r="C291" s="1538" t="s">
        <v>1280</v>
      </c>
      <c r="D291" s="1492">
        <v>4500131458</v>
      </c>
      <c r="E291" s="1539" t="s">
        <v>1281</v>
      </c>
      <c r="F291" s="1492" t="s">
        <v>1282</v>
      </c>
      <c r="G291" s="23" t="s">
        <v>96</v>
      </c>
      <c r="H291" s="24" t="s">
        <v>74</v>
      </c>
      <c r="I291" s="88">
        <v>700</v>
      </c>
      <c r="J291" s="89">
        <v>0</v>
      </c>
      <c r="K291" s="23">
        <v>50</v>
      </c>
      <c r="L291" s="88">
        <v>20</v>
      </c>
      <c r="M291" s="90">
        <v>45454</v>
      </c>
      <c r="N291" s="90">
        <v>45450</v>
      </c>
      <c r="O291" s="91"/>
      <c r="P291" s="576" t="s">
        <v>1283</v>
      </c>
      <c r="Q291" s="91" t="s">
        <v>1150</v>
      </c>
      <c r="R291" s="91">
        <v>45411</v>
      </c>
      <c r="S291" s="91" t="s">
        <v>77</v>
      </c>
      <c r="T291" s="91" t="s">
        <v>1284</v>
      </c>
      <c r="U291" s="114" t="s">
        <v>1285</v>
      </c>
      <c r="V291" s="139" t="s">
        <v>163</v>
      </c>
      <c r="W291" s="116">
        <v>1.4395</v>
      </c>
      <c r="X291" s="117">
        <v>1434.4</v>
      </c>
      <c r="Y291" s="88" t="s">
        <v>1286</v>
      </c>
      <c r="Z291" s="470" t="s">
        <v>220</v>
      </c>
      <c r="AA291" s="154" t="s">
        <v>128</v>
      </c>
      <c r="AB291" s="155"/>
      <c r="AC291" s="155"/>
      <c r="AD291" s="155"/>
      <c r="AE291" s="91" t="s">
        <v>80</v>
      </c>
      <c r="AF291" s="91"/>
      <c r="AG291" s="155">
        <f t="shared" ref="AG291:AG299" si="146">I291</f>
        <v>700</v>
      </c>
      <c r="AH291" s="155"/>
      <c r="AI291" s="155"/>
      <c r="AJ291" s="155"/>
      <c r="AK291" s="175"/>
      <c r="AL291" s="175">
        <f>I291</f>
        <v>700</v>
      </c>
      <c r="AM291" s="175"/>
      <c r="AN291" s="175"/>
      <c r="AO291" s="175">
        <f t="shared" si="144"/>
        <v>700</v>
      </c>
      <c r="AP291" s="175"/>
      <c r="AQ291" s="175"/>
      <c r="AR291" s="175"/>
      <c r="AS291" s="175"/>
      <c r="AT291" s="181"/>
      <c r="AU291" s="181"/>
      <c r="AV291" s="181"/>
      <c r="AW291" s="181"/>
      <c r="AX291" s="181"/>
      <c r="AY291" s="181"/>
      <c r="AZ291" s="181"/>
      <c r="BA291" s="181"/>
      <c r="BB291" s="181">
        <f>I291/25</f>
        <v>28</v>
      </c>
      <c r="BC291" s="181"/>
      <c r="BD291" s="181"/>
      <c r="BE291" s="181"/>
      <c r="BF291" s="181"/>
      <c r="BG291" s="181"/>
      <c r="BH291" s="181"/>
      <c r="BI291" s="181"/>
      <c r="BJ291" s="181"/>
      <c r="BK291" s="181"/>
      <c r="BL291" s="181"/>
      <c r="BM291" s="201">
        <f t="shared" si="126"/>
        <v>700</v>
      </c>
      <c r="BN291" s="199"/>
      <c r="BO291" s="198"/>
      <c r="BP291" s="198"/>
      <c r="BQ291" s="199"/>
      <c r="BR291" s="199"/>
      <c r="BS291" s="199"/>
    </row>
    <row r="292" s="200" customFormat="1" ht="36" customHeight="1" spans="1:68">
      <c r="A292" s="533">
        <v>45372</v>
      </c>
      <c r="B292" s="527" t="s">
        <v>1287</v>
      </c>
      <c r="C292" s="528" t="s">
        <v>1288</v>
      </c>
      <c r="D292" s="534">
        <v>4500127539</v>
      </c>
      <c r="E292" s="530" t="s">
        <v>1289</v>
      </c>
      <c r="F292" s="534" t="s">
        <v>1290</v>
      </c>
      <c r="G292" s="531" t="s">
        <v>215</v>
      </c>
      <c r="H292" s="532" t="s">
        <v>74</v>
      </c>
      <c r="I292" s="401">
        <v>12516</v>
      </c>
      <c r="J292" s="562">
        <v>0</v>
      </c>
      <c r="K292" s="531">
        <v>42</v>
      </c>
      <c r="L292" s="401">
        <v>298</v>
      </c>
      <c r="M292" s="1495">
        <v>45449</v>
      </c>
      <c r="N292" s="1495">
        <v>45461</v>
      </c>
      <c r="O292" s="564" t="s">
        <v>1291</v>
      </c>
      <c r="P292" s="564" t="s">
        <v>92</v>
      </c>
      <c r="Q292" s="1474" t="s">
        <v>1292</v>
      </c>
      <c r="R292" s="564">
        <v>45398</v>
      </c>
      <c r="S292" s="564" t="s">
        <v>77</v>
      </c>
      <c r="T292" s="564">
        <v>45398</v>
      </c>
      <c r="U292" s="1551" t="s">
        <v>1293</v>
      </c>
      <c r="V292" s="530" t="s">
        <v>1294</v>
      </c>
      <c r="W292" s="592">
        <v>1.4438</v>
      </c>
      <c r="X292" s="593">
        <v>18070.6008</v>
      </c>
      <c r="Y292" s="401" t="s">
        <v>1295</v>
      </c>
      <c r="Z292" s="607" t="s">
        <v>215</v>
      </c>
      <c r="AA292" s="1453" t="s">
        <v>128</v>
      </c>
      <c r="AB292" s="608"/>
      <c r="AC292" s="608"/>
      <c r="AD292" s="608"/>
      <c r="AE292" s="564" t="s">
        <v>80</v>
      </c>
      <c r="AF292" s="564"/>
      <c r="AG292" s="608">
        <f t="shared" si="146"/>
        <v>12516</v>
      </c>
      <c r="AH292" s="608"/>
      <c r="AI292" s="608"/>
      <c r="AJ292" s="608"/>
      <c r="AK292" s="401">
        <f t="shared" ref="AK292:AK295" si="147">I292</f>
        <v>12516</v>
      </c>
      <c r="AL292" s="609"/>
      <c r="AM292" s="609"/>
      <c r="AN292" s="609"/>
      <c r="AO292" s="609">
        <f t="shared" si="145"/>
        <v>12516</v>
      </c>
      <c r="AP292" s="609"/>
      <c r="AQ292" s="609"/>
      <c r="AR292" s="609"/>
      <c r="AS292" s="609">
        <f>I292/21</f>
        <v>596</v>
      </c>
      <c r="AT292" s="633"/>
      <c r="AU292" s="633"/>
      <c r="AV292" s="633"/>
      <c r="AW292" s="633"/>
      <c r="AX292" s="633"/>
      <c r="AY292" s="633"/>
      <c r="AZ292" s="633"/>
      <c r="BA292" s="633"/>
      <c r="BB292" s="633"/>
      <c r="BC292" s="633"/>
      <c r="BD292" s="633"/>
      <c r="BE292" s="633"/>
      <c r="BF292" s="633"/>
      <c r="BG292" s="633"/>
      <c r="BH292" s="633"/>
      <c r="BI292" s="633"/>
      <c r="BJ292" s="633"/>
      <c r="BK292" s="633"/>
      <c r="BL292" s="633"/>
      <c r="BM292" s="401">
        <f t="shared" si="126"/>
        <v>12516</v>
      </c>
      <c r="BO292" s="1473"/>
      <c r="BP292" s="1473"/>
    </row>
    <row r="293" s="200" customFormat="1" ht="36" customHeight="1" spans="1:68">
      <c r="A293" s="526">
        <v>45419</v>
      </c>
      <c r="B293" s="1540" t="s">
        <v>1296</v>
      </c>
      <c r="C293" s="528" t="s">
        <v>351</v>
      </c>
      <c r="D293" s="529">
        <v>4500132627</v>
      </c>
      <c r="E293" s="1509" t="s">
        <v>1297</v>
      </c>
      <c r="F293" s="529" t="s">
        <v>1298</v>
      </c>
      <c r="G293" s="531" t="s">
        <v>160</v>
      </c>
      <c r="H293" s="532" t="s">
        <v>74</v>
      </c>
      <c r="I293" s="401">
        <v>3042</v>
      </c>
      <c r="J293" s="562">
        <v>0</v>
      </c>
      <c r="K293" s="531">
        <v>13</v>
      </c>
      <c r="L293" s="401">
        <f t="shared" ref="L293:L304" si="148">I293/K293</f>
        <v>234</v>
      </c>
      <c r="M293" s="563">
        <v>45460</v>
      </c>
      <c r="N293" s="1495">
        <v>45461</v>
      </c>
      <c r="O293" s="564"/>
      <c r="P293" s="564" t="s">
        <v>92</v>
      </c>
      <c r="Q293" s="564" t="s">
        <v>1082</v>
      </c>
      <c r="R293" s="564">
        <v>45433</v>
      </c>
      <c r="S293" s="564" t="s">
        <v>77</v>
      </c>
      <c r="T293" s="564" t="s">
        <v>1299</v>
      </c>
      <c r="U293" s="530" t="s">
        <v>1300</v>
      </c>
      <c r="V293" s="530" t="s">
        <v>647</v>
      </c>
      <c r="W293" s="592">
        <v>1.4071</v>
      </c>
      <c r="X293" s="593">
        <f t="shared" ref="X293:X304" si="149">I293*W293</f>
        <v>4280.3982</v>
      </c>
      <c r="Y293" s="401" t="s">
        <v>1301</v>
      </c>
      <c r="Z293" s="607" t="s">
        <v>239</v>
      </c>
      <c r="AA293" s="1453" t="s">
        <v>128</v>
      </c>
      <c r="AB293" s="608"/>
      <c r="AC293" s="608"/>
      <c r="AD293" s="608"/>
      <c r="AE293" s="564" t="s">
        <v>80</v>
      </c>
      <c r="AF293" s="564"/>
      <c r="AG293" s="608">
        <f t="shared" si="146"/>
        <v>3042</v>
      </c>
      <c r="AH293" s="608"/>
      <c r="AI293" s="608"/>
      <c r="AJ293" s="608"/>
      <c r="AK293" s="609"/>
      <c r="AL293" s="609">
        <f>I293</f>
        <v>3042</v>
      </c>
      <c r="AM293" s="609"/>
      <c r="AN293" s="609"/>
      <c r="AO293" s="609">
        <f t="shared" ref="AO293:AO295" si="150">I293</f>
        <v>3042</v>
      </c>
      <c r="AP293" s="615"/>
      <c r="AQ293" s="609"/>
      <c r="AR293" s="609"/>
      <c r="AS293" s="609"/>
      <c r="AT293" s="633"/>
      <c r="AU293" s="633"/>
      <c r="AV293" s="633"/>
      <c r="AW293" s="401"/>
      <c r="AX293" s="633"/>
      <c r="AY293" s="633"/>
      <c r="AZ293" s="633">
        <f>I293/13</f>
        <v>234</v>
      </c>
      <c r="BA293" s="633"/>
      <c r="BB293" s="633"/>
      <c r="BC293" s="633"/>
      <c r="BD293" s="633"/>
      <c r="BE293" s="633"/>
      <c r="BF293" s="633"/>
      <c r="BG293" s="633"/>
      <c r="BH293" s="633"/>
      <c r="BI293" s="633"/>
      <c r="BJ293" s="633"/>
      <c r="BK293" s="633"/>
      <c r="BL293" s="633"/>
      <c r="BM293" s="401">
        <f t="shared" si="126"/>
        <v>3042</v>
      </c>
      <c r="BO293" s="1473"/>
      <c r="BP293" s="1473"/>
    </row>
    <row r="294" s="200" customFormat="1" ht="36" customHeight="1" spans="1:68">
      <c r="A294" s="533">
        <v>45419</v>
      </c>
      <c r="B294" s="527" t="s">
        <v>1302</v>
      </c>
      <c r="C294" s="528" t="s">
        <v>1303</v>
      </c>
      <c r="D294" s="534">
        <v>4500132506</v>
      </c>
      <c r="E294" s="530"/>
      <c r="F294" s="534" t="s">
        <v>1304</v>
      </c>
      <c r="G294" s="534" t="s">
        <v>96</v>
      </c>
      <c r="H294" s="532" t="s">
        <v>74</v>
      </c>
      <c r="I294" s="401">
        <v>8500</v>
      </c>
      <c r="J294" s="562">
        <v>0</v>
      </c>
      <c r="K294" s="531">
        <v>50</v>
      </c>
      <c r="L294" s="401">
        <f t="shared" si="148"/>
        <v>170</v>
      </c>
      <c r="M294" s="563">
        <v>45457</v>
      </c>
      <c r="N294" s="1495">
        <v>45462</v>
      </c>
      <c r="O294" s="564"/>
      <c r="P294" s="564" t="s">
        <v>92</v>
      </c>
      <c r="Q294" s="564" t="s">
        <v>1292</v>
      </c>
      <c r="R294" s="564" t="s">
        <v>1305</v>
      </c>
      <c r="S294" s="564" t="s">
        <v>77</v>
      </c>
      <c r="T294" s="1519" t="s">
        <v>1306</v>
      </c>
      <c r="U294" s="530" t="s">
        <v>1307</v>
      </c>
      <c r="V294" s="564" t="s">
        <v>1308</v>
      </c>
      <c r="W294" s="592">
        <v>1.4294</v>
      </c>
      <c r="X294" s="593">
        <f t="shared" si="149"/>
        <v>12149.9</v>
      </c>
      <c r="Y294" s="401" t="s">
        <v>1309</v>
      </c>
      <c r="Z294" s="607" t="s">
        <v>96</v>
      </c>
      <c r="AA294" s="1453" t="s">
        <v>128</v>
      </c>
      <c r="AB294" s="608"/>
      <c r="AC294" s="608"/>
      <c r="AD294" s="608"/>
      <c r="AE294" s="564" t="s">
        <v>80</v>
      </c>
      <c r="AF294" s="564"/>
      <c r="AG294" s="608">
        <f t="shared" si="146"/>
        <v>8500</v>
      </c>
      <c r="AH294" s="608"/>
      <c r="AI294" s="608"/>
      <c r="AJ294" s="608"/>
      <c r="AK294" s="609">
        <f t="shared" si="147"/>
        <v>8500</v>
      </c>
      <c r="AL294" s="609"/>
      <c r="AM294" s="609"/>
      <c r="AN294" s="609"/>
      <c r="AO294" s="609">
        <f t="shared" si="150"/>
        <v>8500</v>
      </c>
      <c r="AR294" s="609"/>
      <c r="AS294" s="609"/>
      <c r="AT294" s="633"/>
      <c r="AU294" s="633"/>
      <c r="AV294" s="633"/>
      <c r="AW294" s="633"/>
      <c r="AX294" s="633"/>
      <c r="AY294" s="633"/>
      <c r="AZ294" s="633"/>
      <c r="BA294" s="633">
        <f>I294/25</f>
        <v>340</v>
      </c>
      <c r="BB294" s="633"/>
      <c r="BC294" s="633"/>
      <c r="BD294" s="633"/>
      <c r="BE294" s="633"/>
      <c r="BF294" s="633"/>
      <c r="BG294" s="633"/>
      <c r="BH294" s="633"/>
      <c r="BI294" s="633"/>
      <c r="BJ294" s="633"/>
      <c r="BK294" s="633"/>
      <c r="BL294" s="633"/>
      <c r="BM294" s="401">
        <f t="shared" si="126"/>
        <v>8500</v>
      </c>
      <c r="BO294" s="1473"/>
      <c r="BP294" s="1473"/>
    </row>
    <row r="295" s="200" customFormat="1" ht="36" customHeight="1" spans="1:68">
      <c r="A295" s="533">
        <v>45405</v>
      </c>
      <c r="B295" s="527" t="s">
        <v>70</v>
      </c>
      <c r="C295" s="528" t="s">
        <v>71</v>
      </c>
      <c r="D295" s="534" t="s">
        <v>1310</v>
      </c>
      <c r="E295" s="530"/>
      <c r="F295" s="534"/>
      <c r="G295" s="531" t="s">
        <v>73</v>
      </c>
      <c r="H295" s="532" t="s">
        <v>74</v>
      </c>
      <c r="I295" s="401">
        <v>400</v>
      </c>
      <c r="J295" s="562">
        <v>0</v>
      </c>
      <c r="K295" s="531">
        <v>25</v>
      </c>
      <c r="L295" s="401">
        <f t="shared" si="148"/>
        <v>16</v>
      </c>
      <c r="M295" s="563">
        <v>45436</v>
      </c>
      <c r="N295" s="1495">
        <v>45462</v>
      </c>
      <c r="O295" s="564"/>
      <c r="P295" s="564" t="s">
        <v>92</v>
      </c>
      <c r="Q295" s="564"/>
      <c r="R295" s="564">
        <v>45405</v>
      </c>
      <c r="S295" s="564" t="s">
        <v>77</v>
      </c>
      <c r="T295" s="564" t="s">
        <v>77</v>
      </c>
      <c r="U295" s="530" t="s">
        <v>1311</v>
      </c>
      <c r="V295" s="530"/>
      <c r="W295" s="592"/>
      <c r="X295" s="593"/>
      <c r="Y295" s="401" t="s">
        <v>1312</v>
      </c>
      <c r="Z295" s="607" t="s">
        <v>73</v>
      </c>
      <c r="AA295" s="1453" t="s">
        <v>128</v>
      </c>
      <c r="AB295" s="608"/>
      <c r="AC295" s="608"/>
      <c r="AD295" s="608"/>
      <c r="AE295" s="564" t="s">
        <v>80</v>
      </c>
      <c r="AF295" s="564"/>
      <c r="AG295" s="608">
        <f t="shared" si="146"/>
        <v>400</v>
      </c>
      <c r="AH295" s="608"/>
      <c r="AI295" s="608"/>
      <c r="AJ295" s="609"/>
      <c r="AK295" s="609">
        <f t="shared" si="147"/>
        <v>400</v>
      </c>
      <c r="AL295" s="609"/>
      <c r="AM295" s="609"/>
      <c r="AN295" s="609"/>
      <c r="AO295" s="609">
        <f t="shared" si="150"/>
        <v>400</v>
      </c>
      <c r="AP295" s="609"/>
      <c r="AQ295" s="609"/>
      <c r="AR295" s="609"/>
      <c r="AS295" s="609"/>
      <c r="AT295" s="633"/>
      <c r="AU295" s="633"/>
      <c r="AV295" s="633"/>
      <c r="AW295" s="633"/>
      <c r="AX295" s="633"/>
      <c r="AY295" s="633"/>
      <c r="AZ295" s="633"/>
      <c r="BA295" s="633"/>
      <c r="BB295" s="633"/>
      <c r="BC295" s="633"/>
      <c r="BD295" s="633"/>
      <c r="BE295" s="633"/>
      <c r="BF295" s="633"/>
      <c r="BG295" s="633"/>
      <c r="BH295" s="633"/>
      <c r="BI295" s="633"/>
      <c r="BJ295" s="633"/>
      <c r="BK295" s="633"/>
      <c r="BL295" s="633"/>
      <c r="BM295" s="401">
        <f t="shared" si="126"/>
        <v>400</v>
      </c>
      <c r="BO295" s="1473"/>
      <c r="BP295" s="1473"/>
    </row>
    <row r="296" s="200" customFormat="1" ht="36" customHeight="1" spans="1:68">
      <c r="A296" s="1529">
        <v>45407</v>
      </c>
      <c r="B296" s="1509" t="s">
        <v>1313</v>
      </c>
      <c r="C296" s="528" t="s">
        <v>117</v>
      </c>
      <c r="D296" s="1541">
        <v>4500131439</v>
      </c>
      <c r="E296" s="1542">
        <v>285233733</v>
      </c>
      <c r="F296" s="1541" t="s">
        <v>1314</v>
      </c>
      <c r="G296" s="531" t="s">
        <v>403</v>
      </c>
      <c r="H296" s="532" t="s">
        <v>74</v>
      </c>
      <c r="I296" s="401">
        <v>1768</v>
      </c>
      <c r="J296" s="562">
        <v>0</v>
      </c>
      <c r="K296" s="531">
        <v>52</v>
      </c>
      <c r="L296" s="401">
        <f t="shared" si="148"/>
        <v>34</v>
      </c>
      <c r="M296" s="563">
        <v>45461</v>
      </c>
      <c r="N296" s="1495">
        <v>45462</v>
      </c>
      <c r="O296" s="564"/>
      <c r="P296" s="564" t="s">
        <v>92</v>
      </c>
      <c r="Q296" s="564" t="s">
        <v>1263</v>
      </c>
      <c r="R296" s="564" t="s">
        <v>1315</v>
      </c>
      <c r="S296" s="564" t="s">
        <v>77</v>
      </c>
      <c r="T296" s="564" t="s">
        <v>77</v>
      </c>
      <c r="U296" s="530" t="s">
        <v>1316</v>
      </c>
      <c r="V296" s="530" t="s">
        <v>396</v>
      </c>
      <c r="W296" s="592">
        <v>1.4046</v>
      </c>
      <c r="X296" s="593">
        <f t="shared" si="149"/>
        <v>2483.3328</v>
      </c>
      <c r="Y296" s="401" t="s">
        <v>1317</v>
      </c>
      <c r="Z296" s="607" t="s">
        <v>403</v>
      </c>
      <c r="AA296" s="1453" t="s">
        <v>128</v>
      </c>
      <c r="AB296" s="608"/>
      <c r="AC296" s="608"/>
      <c r="AD296" s="608"/>
      <c r="AE296" s="564" t="s">
        <v>80</v>
      </c>
      <c r="AF296" s="564"/>
      <c r="AG296" s="608">
        <f t="shared" si="146"/>
        <v>1768</v>
      </c>
      <c r="AH296" s="608"/>
      <c r="AI296" s="608"/>
      <c r="AJ296" s="608"/>
      <c r="AK296" s="609">
        <f t="shared" ref="AK296:AK301" si="151">AG296</f>
        <v>1768</v>
      </c>
      <c r="AL296" s="609"/>
      <c r="AM296" s="609"/>
      <c r="AN296" s="609"/>
      <c r="AO296" s="609">
        <f>AG296</f>
        <v>1768</v>
      </c>
      <c r="AP296" s="609"/>
      <c r="AQ296" s="609"/>
      <c r="AR296" s="609"/>
      <c r="AS296" s="609"/>
      <c r="AT296" s="633"/>
      <c r="AU296" s="633"/>
      <c r="AV296" s="633"/>
      <c r="AW296" s="401"/>
      <c r="AX296" s="633"/>
      <c r="AY296" s="633">
        <f>AG296/13</f>
        <v>136</v>
      </c>
      <c r="AZ296" s="633"/>
      <c r="BA296" s="633"/>
      <c r="BB296" s="633"/>
      <c r="BC296" s="633"/>
      <c r="BD296" s="633"/>
      <c r="BE296" s="633"/>
      <c r="BF296" s="633"/>
      <c r="BG296" s="633"/>
      <c r="BH296" s="633"/>
      <c r="BI296" s="633"/>
      <c r="BJ296" s="633"/>
      <c r="BK296" s="633"/>
      <c r="BL296" s="633"/>
      <c r="BM296" s="401">
        <f t="shared" si="126"/>
        <v>1768</v>
      </c>
      <c r="BO296" s="1473"/>
      <c r="BP296" s="1473"/>
    </row>
    <row r="297" s="200" customFormat="1" ht="36" customHeight="1" spans="1:68">
      <c r="A297" s="1529">
        <v>45407</v>
      </c>
      <c r="B297" s="1509" t="s">
        <v>1313</v>
      </c>
      <c r="C297" s="528" t="s">
        <v>117</v>
      </c>
      <c r="D297" s="1541">
        <v>4500131449</v>
      </c>
      <c r="E297" s="1542">
        <v>285233734</v>
      </c>
      <c r="F297" s="1541" t="s">
        <v>1318</v>
      </c>
      <c r="G297" s="531" t="s">
        <v>403</v>
      </c>
      <c r="H297" s="532" t="s">
        <v>74</v>
      </c>
      <c r="I297" s="401">
        <v>936</v>
      </c>
      <c r="J297" s="562">
        <v>0</v>
      </c>
      <c r="K297" s="531">
        <v>52</v>
      </c>
      <c r="L297" s="401">
        <f t="shared" si="148"/>
        <v>18</v>
      </c>
      <c r="M297" s="563">
        <v>45461</v>
      </c>
      <c r="N297" s="1495">
        <v>45462</v>
      </c>
      <c r="O297" s="564"/>
      <c r="P297" s="564" t="s">
        <v>92</v>
      </c>
      <c r="Q297" s="564" t="s">
        <v>1292</v>
      </c>
      <c r="R297" s="564" t="s">
        <v>1315</v>
      </c>
      <c r="S297" s="564" t="s">
        <v>77</v>
      </c>
      <c r="T297" s="564" t="s">
        <v>77</v>
      </c>
      <c r="U297" s="530" t="s">
        <v>1316</v>
      </c>
      <c r="V297" s="530" t="s">
        <v>396</v>
      </c>
      <c r="W297" s="592">
        <v>1.4096</v>
      </c>
      <c r="X297" s="593">
        <f t="shared" si="149"/>
        <v>1319.3856</v>
      </c>
      <c r="Y297" s="401" t="s">
        <v>1319</v>
      </c>
      <c r="Z297" s="607" t="s">
        <v>403</v>
      </c>
      <c r="AA297" s="1453" t="s">
        <v>128</v>
      </c>
      <c r="AB297" s="608"/>
      <c r="AC297" s="608"/>
      <c r="AD297" s="608"/>
      <c r="AE297" s="564" t="s">
        <v>80</v>
      </c>
      <c r="AF297" s="564"/>
      <c r="AG297" s="608">
        <f t="shared" si="146"/>
        <v>936</v>
      </c>
      <c r="AH297" s="608"/>
      <c r="AI297" s="608"/>
      <c r="AJ297" s="608"/>
      <c r="AK297" s="609">
        <f t="shared" si="151"/>
        <v>936</v>
      </c>
      <c r="AL297" s="609"/>
      <c r="AM297" s="609"/>
      <c r="AN297" s="609"/>
      <c r="AO297" s="609">
        <f>AG297</f>
        <v>936</v>
      </c>
      <c r="AP297" s="609"/>
      <c r="AQ297" s="609"/>
      <c r="AR297" s="609"/>
      <c r="AS297" s="609"/>
      <c r="AT297" s="633"/>
      <c r="AU297" s="633"/>
      <c r="AV297" s="633"/>
      <c r="AW297" s="401"/>
      <c r="AX297" s="633"/>
      <c r="AY297" s="633">
        <f>AG297/13</f>
        <v>72</v>
      </c>
      <c r="AZ297" s="633"/>
      <c r="BA297" s="633"/>
      <c r="BB297" s="633"/>
      <c r="BC297" s="633"/>
      <c r="BD297" s="633"/>
      <c r="BE297" s="633"/>
      <c r="BF297" s="633"/>
      <c r="BG297" s="633"/>
      <c r="BH297" s="633"/>
      <c r="BI297" s="633"/>
      <c r="BJ297" s="633"/>
      <c r="BK297" s="633"/>
      <c r="BL297" s="633"/>
      <c r="BM297" s="401">
        <f t="shared" si="126"/>
        <v>936</v>
      </c>
      <c r="BO297" s="1473"/>
      <c r="BP297" s="1473"/>
    </row>
    <row r="298" s="200" customFormat="1" ht="36" customHeight="1" spans="1:68">
      <c r="A298" s="1529">
        <v>45425</v>
      </c>
      <c r="B298" s="1509" t="s">
        <v>232</v>
      </c>
      <c r="C298" s="528" t="s">
        <v>233</v>
      </c>
      <c r="D298" s="1541">
        <v>4500133248</v>
      </c>
      <c r="E298" s="1542">
        <v>20061889</v>
      </c>
      <c r="F298" s="1541" t="s">
        <v>1320</v>
      </c>
      <c r="G298" s="531" t="s">
        <v>160</v>
      </c>
      <c r="H298" s="532" t="s">
        <v>74</v>
      </c>
      <c r="I298" s="401">
        <v>78</v>
      </c>
      <c r="J298" s="562">
        <v>0</v>
      </c>
      <c r="K298" s="531">
        <v>13</v>
      </c>
      <c r="L298" s="401">
        <f t="shared" si="148"/>
        <v>6</v>
      </c>
      <c r="M298" s="563">
        <v>45461</v>
      </c>
      <c r="N298" s="1495">
        <v>45462</v>
      </c>
      <c r="O298" s="564"/>
      <c r="P298" s="564" t="s">
        <v>92</v>
      </c>
      <c r="Q298" s="564" t="s">
        <v>1321</v>
      </c>
      <c r="R298" s="1523" t="s">
        <v>1305</v>
      </c>
      <c r="S298" s="564" t="s">
        <v>123</v>
      </c>
      <c r="T298" s="1519" t="s">
        <v>1322</v>
      </c>
      <c r="U298" s="530" t="s">
        <v>1323</v>
      </c>
      <c r="V298" s="564" t="s">
        <v>1011</v>
      </c>
      <c r="W298" s="592">
        <v>1.4483</v>
      </c>
      <c r="X298" s="593">
        <f t="shared" si="149"/>
        <v>112.9674</v>
      </c>
      <c r="Y298" s="401" t="s">
        <v>1324</v>
      </c>
      <c r="Z298" s="607" t="s">
        <v>160</v>
      </c>
      <c r="AA298" s="1453" t="s">
        <v>128</v>
      </c>
      <c r="AB298" s="608"/>
      <c r="AC298" s="608"/>
      <c r="AD298" s="608"/>
      <c r="AE298" s="564" t="s">
        <v>80</v>
      </c>
      <c r="AF298" s="564"/>
      <c r="AG298" s="608">
        <f t="shared" si="146"/>
        <v>78</v>
      </c>
      <c r="AH298" s="608"/>
      <c r="AI298" s="608"/>
      <c r="AJ298" s="608"/>
      <c r="AK298" s="609">
        <f t="shared" ref="AK298:AK304" si="152">I298</f>
        <v>78</v>
      </c>
      <c r="AL298" s="401"/>
      <c r="AM298" s="609"/>
      <c r="AN298" s="609"/>
      <c r="AO298" s="609">
        <f t="shared" ref="AO298:AO300" si="153">I298</f>
        <v>78</v>
      </c>
      <c r="AP298" s="609"/>
      <c r="AQ298" s="609"/>
      <c r="AR298" s="609"/>
      <c r="AS298" s="609"/>
      <c r="AT298" s="633"/>
      <c r="AU298" s="633"/>
      <c r="AV298" s="633"/>
      <c r="AW298" s="401"/>
      <c r="AX298" s="633"/>
      <c r="AY298" s="633">
        <f t="shared" ref="AY298:AY303" si="154">I298/13</f>
        <v>6</v>
      </c>
      <c r="AZ298" s="633"/>
      <c r="BA298" s="633"/>
      <c r="BB298" s="633"/>
      <c r="BC298" s="633"/>
      <c r="BD298" s="633"/>
      <c r="BE298" s="633"/>
      <c r="BF298" s="633"/>
      <c r="BG298" s="633"/>
      <c r="BH298" s="633"/>
      <c r="BI298" s="633"/>
      <c r="BJ298" s="633"/>
      <c r="BK298" s="633"/>
      <c r="BL298" s="633"/>
      <c r="BM298" s="401">
        <f t="shared" si="126"/>
        <v>78</v>
      </c>
      <c r="BO298" s="1473"/>
      <c r="BP298" s="1473"/>
    </row>
    <row r="299" s="200" customFormat="1" ht="36" customHeight="1" spans="1:68">
      <c r="A299" s="1529">
        <v>45425</v>
      </c>
      <c r="B299" s="1510" t="s">
        <v>189</v>
      </c>
      <c r="C299" s="1543" t="s">
        <v>190</v>
      </c>
      <c r="D299" s="1510">
        <v>4500133249</v>
      </c>
      <c r="E299" s="1544">
        <v>20061888</v>
      </c>
      <c r="F299" s="1510" t="s">
        <v>1325</v>
      </c>
      <c r="G299" s="531" t="s">
        <v>160</v>
      </c>
      <c r="H299" s="532" t="s">
        <v>74</v>
      </c>
      <c r="I299" s="401">
        <v>2964</v>
      </c>
      <c r="J299" s="562">
        <v>0</v>
      </c>
      <c r="K299" s="531">
        <v>13</v>
      </c>
      <c r="L299" s="401">
        <f t="shared" si="148"/>
        <v>228</v>
      </c>
      <c r="M299" s="563">
        <v>45461</v>
      </c>
      <c r="N299" s="1495">
        <v>45462</v>
      </c>
      <c r="O299" s="564"/>
      <c r="P299" s="564" t="s">
        <v>92</v>
      </c>
      <c r="Q299" s="564" t="s">
        <v>1321</v>
      </c>
      <c r="R299" s="1523" t="s">
        <v>1305</v>
      </c>
      <c r="S299" s="564" t="s">
        <v>123</v>
      </c>
      <c r="T299" s="1519" t="s">
        <v>1322</v>
      </c>
      <c r="U299" s="530" t="s">
        <v>1326</v>
      </c>
      <c r="V299" s="564" t="s">
        <v>1011</v>
      </c>
      <c r="W299" s="592">
        <v>1.4432</v>
      </c>
      <c r="X299" s="593">
        <f t="shared" si="149"/>
        <v>4277.6448</v>
      </c>
      <c r="Y299" s="401" t="s">
        <v>1327</v>
      </c>
      <c r="Z299" s="607" t="s">
        <v>160</v>
      </c>
      <c r="AA299" s="1453" t="s">
        <v>128</v>
      </c>
      <c r="AB299" s="608"/>
      <c r="AC299" s="608"/>
      <c r="AD299" s="608"/>
      <c r="AE299" s="564" t="s">
        <v>80</v>
      </c>
      <c r="AF299" s="564"/>
      <c r="AG299" s="608">
        <f t="shared" si="146"/>
        <v>2964</v>
      </c>
      <c r="AH299" s="608"/>
      <c r="AI299" s="608"/>
      <c r="AJ299" s="608"/>
      <c r="AK299" s="609">
        <f t="shared" si="152"/>
        <v>2964</v>
      </c>
      <c r="AL299" s="401"/>
      <c r="AM299" s="609"/>
      <c r="AN299" s="609"/>
      <c r="AO299" s="609">
        <f t="shared" si="153"/>
        <v>2964</v>
      </c>
      <c r="AP299" s="609"/>
      <c r="AQ299" s="609"/>
      <c r="AR299" s="609"/>
      <c r="AS299" s="609"/>
      <c r="AT299" s="633"/>
      <c r="AU299" s="633"/>
      <c r="AV299" s="633"/>
      <c r="AW299" s="401"/>
      <c r="AX299" s="633"/>
      <c r="AY299" s="633">
        <f t="shared" si="154"/>
        <v>228</v>
      </c>
      <c r="AZ299" s="633"/>
      <c r="BA299" s="633"/>
      <c r="BB299" s="633"/>
      <c r="BC299" s="633"/>
      <c r="BD299" s="633"/>
      <c r="BE299" s="633"/>
      <c r="BF299" s="633"/>
      <c r="BG299" s="633"/>
      <c r="BH299" s="633"/>
      <c r="BI299" s="633"/>
      <c r="BJ299" s="633"/>
      <c r="BK299" s="633"/>
      <c r="BL299" s="633"/>
      <c r="BM299" s="401">
        <f t="shared" si="126"/>
        <v>2964</v>
      </c>
      <c r="BO299" s="1473"/>
      <c r="BP299" s="1473"/>
    </row>
    <row r="300" s="200" customFormat="1" ht="36" customHeight="1" spans="1:68">
      <c r="A300" s="1477">
        <v>45425</v>
      </c>
      <c r="B300" s="530" t="s">
        <v>1328</v>
      </c>
      <c r="C300" s="1478" t="s">
        <v>477</v>
      </c>
      <c r="D300" s="1532">
        <v>4500133324</v>
      </c>
      <c r="E300" s="1533" t="s">
        <v>1329</v>
      </c>
      <c r="F300" s="1532" t="s">
        <v>1330</v>
      </c>
      <c r="G300" s="531" t="s">
        <v>1164</v>
      </c>
      <c r="H300" s="532" t="s">
        <v>1165</v>
      </c>
      <c r="I300" s="401">
        <v>2600</v>
      </c>
      <c r="J300" s="562">
        <v>0</v>
      </c>
      <c r="K300" s="531">
        <v>13</v>
      </c>
      <c r="L300" s="401">
        <f t="shared" si="148"/>
        <v>200</v>
      </c>
      <c r="M300" s="563">
        <v>45455</v>
      </c>
      <c r="N300" s="1495">
        <v>45463</v>
      </c>
      <c r="O300" s="564"/>
      <c r="P300" s="564" t="s">
        <v>92</v>
      </c>
      <c r="Q300" s="564" t="s">
        <v>1292</v>
      </c>
      <c r="R300" s="564" t="s">
        <v>1331</v>
      </c>
      <c r="S300" s="564" t="s">
        <v>77</v>
      </c>
      <c r="T300" s="564" t="s">
        <v>1332</v>
      </c>
      <c r="U300" s="1499" t="s">
        <v>1333</v>
      </c>
      <c r="V300" s="564" t="s">
        <v>410</v>
      </c>
      <c r="W300" s="592">
        <v>1.4071</v>
      </c>
      <c r="X300" s="593">
        <f t="shared" si="149"/>
        <v>3658.46</v>
      </c>
      <c r="Y300" s="401" t="s">
        <v>1334</v>
      </c>
      <c r="Z300" s="607" t="s">
        <v>862</v>
      </c>
      <c r="AA300" s="1453" t="s">
        <v>128</v>
      </c>
      <c r="AB300" s="608"/>
      <c r="AC300" s="608"/>
      <c r="AD300" s="608"/>
      <c r="AE300" s="564" t="s">
        <v>80</v>
      </c>
      <c r="AF300" s="1515"/>
      <c r="AG300" s="614"/>
      <c r="AH300" s="614">
        <f>I300</f>
        <v>2600</v>
      </c>
      <c r="AI300" s="614"/>
      <c r="AJ300" s="608"/>
      <c r="AK300" s="609"/>
      <c r="AL300" s="609">
        <f>I300</f>
        <v>2600</v>
      </c>
      <c r="AM300" s="609"/>
      <c r="AN300" s="609"/>
      <c r="AO300" s="609">
        <f t="shared" si="153"/>
        <v>2600</v>
      </c>
      <c r="AP300" s="615"/>
      <c r="AQ300" s="609"/>
      <c r="AR300" s="609"/>
      <c r="AS300" s="609"/>
      <c r="AT300" s="633"/>
      <c r="AU300" s="633"/>
      <c r="AV300" s="633"/>
      <c r="AW300" s="401"/>
      <c r="AX300" s="633"/>
      <c r="AY300" s="633"/>
      <c r="AZ300" s="633">
        <f>I300/13</f>
        <v>200</v>
      </c>
      <c r="BA300" s="633"/>
      <c r="BB300" s="632"/>
      <c r="BC300" s="632"/>
      <c r="BD300" s="633"/>
      <c r="BE300" s="633"/>
      <c r="BF300" s="633"/>
      <c r="BG300" s="633"/>
      <c r="BH300" s="633"/>
      <c r="BI300" s="633"/>
      <c r="BJ300" s="633"/>
      <c r="BK300" s="633"/>
      <c r="BL300" s="633"/>
      <c r="BM300" s="401">
        <f t="shared" si="126"/>
        <v>2600</v>
      </c>
      <c r="BO300" s="1473"/>
      <c r="BP300" s="1473"/>
    </row>
    <row r="301" s="200" customFormat="1" ht="36" customHeight="1" spans="1:73">
      <c r="A301" s="1477">
        <v>45407</v>
      </c>
      <c r="B301" s="530" t="s">
        <v>1335</v>
      </c>
      <c r="C301" s="1478" t="s">
        <v>1336</v>
      </c>
      <c r="D301" s="1532" t="s">
        <v>1337</v>
      </c>
      <c r="E301" s="1533"/>
      <c r="F301" s="1532"/>
      <c r="G301" s="531" t="s">
        <v>628</v>
      </c>
      <c r="H301" s="532" t="s">
        <v>1338</v>
      </c>
      <c r="I301" s="401">
        <v>1392</v>
      </c>
      <c r="J301" s="562">
        <v>0</v>
      </c>
      <c r="K301" s="531">
        <v>12</v>
      </c>
      <c r="L301" s="401">
        <f t="shared" si="148"/>
        <v>116</v>
      </c>
      <c r="M301" s="563">
        <v>45456</v>
      </c>
      <c r="N301" s="1495">
        <v>45463</v>
      </c>
      <c r="O301" s="564" t="s">
        <v>1339</v>
      </c>
      <c r="P301" s="564" t="s">
        <v>1262</v>
      </c>
      <c r="Q301" s="1552"/>
      <c r="R301" s="1523" t="s">
        <v>76</v>
      </c>
      <c r="S301" s="564" t="s">
        <v>77</v>
      </c>
      <c r="T301" s="1519" t="s">
        <v>77</v>
      </c>
      <c r="U301" s="530" t="s">
        <v>1340</v>
      </c>
      <c r="V301" s="564" t="s">
        <v>1341</v>
      </c>
      <c r="W301" s="1520">
        <v>1.33</v>
      </c>
      <c r="X301" s="1521">
        <f t="shared" si="149"/>
        <v>1851.36</v>
      </c>
      <c r="Y301" s="401" t="s">
        <v>1342</v>
      </c>
      <c r="Z301" s="607" t="s">
        <v>822</v>
      </c>
      <c r="AA301" s="1453" t="s">
        <v>128</v>
      </c>
      <c r="AB301" s="608"/>
      <c r="AC301" s="608"/>
      <c r="AD301" s="608"/>
      <c r="AE301" s="564" t="s">
        <v>80</v>
      </c>
      <c r="AF301" s="564"/>
      <c r="AG301" s="608">
        <f>I301*2</f>
        <v>2784</v>
      </c>
      <c r="AH301" s="608"/>
      <c r="AI301" s="608"/>
      <c r="AJ301" s="608"/>
      <c r="AK301" s="609">
        <f t="shared" si="151"/>
        <v>2784</v>
      </c>
      <c r="AL301" s="615"/>
      <c r="AM301" s="609"/>
      <c r="AN301" s="609"/>
      <c r="AO301" s="615">
        <f>AK301</f>
        <v>2784</v>
      </c>
      <c r="AP301" s="615"/>
      <c r="AQ301" s="609"/>
      <c r="AR301" s="609"/>
      <c r="AS301" s="609"/>
      <c r="AT301" s="633"/>
      <c r="AU301" s="633"/>
      <c r="AV301" s="633"/>
      <c r="AW301" s="401"/>
      <c r="AX301" s="633"/>
      <c r="AY301" s="633"/>
      <c r="AZ301" s="633"/>
      <c r="BA301" s="633"/>
      <c r="BB301" s="632"/>
      <c r="BC301" s="632"/>
      <c r="BD301" s="633"/>
      <c r="BE301" s="633"/>
      <c r="BF301" s="633"/>
      <c r="BG301" s="633"/>
      <c r="BH301" s="633"/>
      <c r="BI301" s="633"/>
      <c r="BJ301" s="633"/>
      <c r="BK301" s="633">
        <f>I301</f>
        <v>1392</v>
      </c>
      <c r="BL301" s="633">
        <f>I301</f>
        <v>1392</v>
      </c>
      <c r="BM301" s="401">
        <f t="shared" si="126"/>
        <v>2784</v>
      </c>
      <c r="BO301" s="1473"/>
      <c r="BP301" s="1473"/>
      <c r="BU301" s="1502" t="s">
        <v>1343</v>
      </c>
    </row>
    <row r="302" s="200" customFormat="1" ht="36" customHeight="1" spans="1:68">
      <c r="A302" s="1529">
        <v>45419</v>
      </c>
      <c r="B302" s="1509" t="s">
        <v>158</v>
      </c>
      <c r="C302" s="528" t="s">
        <v>117</v>
      </c>
      <c r="D302" s="1541">
        <v>4500132605</v>
      </c>
      <c r="E302" s="1542">
        <v>215767905</v>
      </c>
      <c r="F302" s="1541" t="s">
        <v>1344</v>
      </c>
      <c r="G302" s="531" t="s">
        <v>160</v>
      </c>
      <c r="H302" s="532" t="s">
        <v>74</v>
      </c>
      <c r="I302" s="401">
        <v>455</v>
      </c>
      <c r="J302" s="562">
        <v>0</v>
      </c>
      <c r="K302" s="531">
        <v>13</v>
      </c>
      <c r="L302" s="401">
        <f t="shared" si="148"/>
        <v>35</v>
      </c>
      <c r="M302" s="563">
        <v>45461</v>
      </c>
      <c r="N302" s="1495">
        <v>45463</v>
      </c>
      <c r="O302" s="564"/>
      <c r="P302" s="564" t="s">
        <v>92</v>
      </c>
      <c r="Q302" s="564" t="s">
        <v>1345</v>
      </c>
      <c r="R302" s="564" t="s">
        <v>1346</v>
      </c>
      <c r="S302" s="564" t="s">
        <v>77</v>
      </c>
      <c r="T302" s="564" t="s">
        <v>77</v>
      </c>
      <c r="U302" s="530" t="s">
        <v>162</v>
      </c>
      <c r="V302" s="530" t="s">
        <v>163</v>
      </c>
      <c r="W302" s="592">
        <v>1.4483</v>
      </c>
      <c r="X302" s="593">
        <f t="shared" si="149"/>
        <v>658.9765</v>
      </c>
      <c r="Y302" s="401" t="s">
        <v>1347</v>
      </c>
      <c r="Z302" s="607" t="s">
        <v>160</v>
      </c>
      <c r="AA302" s="1453" t="s">
        <v>128</v>
      </c>
      <c r="AB302" s="608"/>
      <c r="AC302" s="608"/>
      <c r="AD302" s="608"/>
      <c r="AE302" s="564" t="s">
        <v>80</v>
      </c>
      <c r="AF302" s="564"/>
      <c r="AG302" s="608">
        <f t="shared" ref="AG302:AG311" si="155">I302</f>
        <v>455</v>
      </c>
      <c r="AH302" s="608"/>
      <c r="AI302" s="608"/>
      <c r="AJ302" s="608"/>
      <c r="AK302" s="609">
        <f t="shared" si="152"/>
        <v>455</v>
      </c>
      <c r="AL302" s="609"/>
      <c r="AM302" s="609"/>
      <c r="AN302" s="609"/>
      <c r="AO302" s="609">
        <f t="shared" ref="AO302:AO307" si="156">I302</f>
        <v>455</v>
      </c>
      <c r="AP302" s="609"/>
      <c r="AQ302" s="609"/>
      <c r="AR302" s="609"/>
      <c r="AS302" s="609"/>
      <c r="AT302" s="633"/>
      <c r="AU302" s="633"/>
      <c r="AV302" s="633"/>
      <c r="AW302" s="401"/>
      <c r="AX302" s="633"/>
      <c r="AY302" s="633">
        <f t="shared" si="154"/>
        <v>35</v>
      </c>
      <c r="AZ302" s="633"/>
      <c r="BA302" s="633"/>
      <c r="BB302" s="633"/>
      <c r="BC302" s="633"/>
      <c r="BD302" s="633"/>
      <c r="BE302" s="633"/>
      <c r="BF302" s="633"/>
      <c r="BG302" s="633"/>
      <c r="BH302" s="633"/>
      <c r="BI302" s="633"/>
      <c r="BJ302" s="633"/>
      <c r="BK302" s="633"/>
      <c r="BL302" s="633"/>
      <c r="BM302" s="401">
        <f t="shared" si="126"/>
        <v>455</v>
      </c>
      <c r="BO302" s="1473"/>
      <c r="BP302" s="1473"/>
    </row>
    <row r="303" s="200" customFormat="1" ht="36" customHeight="1" spans="1:68">
      <c r="A303" s="1529">
        <v>45419</v>
      </c>
      <c r="B303" s="1509" t="s">
        <v>158</v>
      </c>
      <c r="C303" s="528" t="s">
        <v>117</v>
      </c>
      <c r="D303" s="1541">
        <v>4500132600</v>
      </c>
      <c r="E303" s="1542">
        <v>215767890</v>
      </c>
      <c r="F303" s="1541" t="s">
        <v>1348</v>
      </c>
      <c r="G303" s="531" t="s">
        <v>160</v>
      </c>
      <c r="H303" s="532" t="s">
        <v>74</v>
      </c>
      <c r="I303" s="401">
        <v>845</v>
      </c>
      <c r="J303" s="562">
        <v>0</v>
      </c>
      <c r="K303" s="531">
        <v>13</v>
      </c>
      <c r="L303" s="401">
        <f t="shared" si="148"/>
        <v>65</v>
      </c>
      <c r="M303" s="563">
        <v>45461</v>
      </c>
      <c r="N303" s="1495">
        <v>45463</v>
      </c>
      <c r="O303" s="564"/>
      <c r="P303" s="564" t="s">
        <v>92</v>
      </c>
      <c r="Q303" s="564" t="s">
        <v>1349</v>
      </c>
      <c r="R303" s="564" t="s">
        <v>1346</v>
      </c>
      <c r="S303" s="564" t="s">
        <v>77</v>
      </c>
      <c r="T303" s="564" t="s">
        <v>77</v>
      </c>
      <c r="U303" s="530" t="s">
        <v>162</v>
      </c>
      <c r="V303" s="530" t="s">
        <v>163</v>
      </c>
      <c r="W303" s="592">
        <v>1.4483</v>
      </c>
      <c r="X303" s="593">
        <f t="shared" si="149"/>
        <v>1223.8135</v>
      </c>
      <c r="Y303" s="401" t="s">
        <v>1350</v>
      </c>
      <c r="Z303" s="607" t="s">
        <v>160</v>
      </c>
      <c r="AA303" s="1453" t="s">
        <v>1351</v>
      </c>
      <c r="AB303" s="608"/>
      <c r="AC303" s="608"/>
      <c r="AD303" s="608"/>
      <c r="AE303" s="564" t="s">
        <v>80</v>
      </c>
      <c r="AF303" s="564"/>
      <c r="AG303" s="608">
        <f t="shared" si="155"/>
        <v>845</v>
      </c>
      <c r="AH303" s="608"/>
      <c r="AI303" s="608"/>
      <c r="AJ303" s="608"/>
      <c r="AK303" s="609">
        <f t="shared" si="152"/>
        <v>845</v>
      </c>
      <c r="AL303" s="609"/>
      <c r="AM303" s="609"/>
      <c r="AN303" s="609"/>
      <c r="AO303" s="609">
        <f t="shared" si="156"/>
        <v>845</v>
      </c>
      <c r="AP303" s="609"/>
      <c r="AQ303" s="609"/>
      <c r="AR303" s="609"/>
      <c r="AS303" s="609"/>
      <c r="AT303" s="633"/>
      <c r="AU303" s="633"/>
      <c r="AV303" s="633"/>
      <c r="AW303" s="401"/>
      <c r="AX303" s="633"/>
      <c r="AY303" s="633">
        <f t="shared" si="154"/>
        <v>65</v>
      </c>
      <c r="AZ303" s="633"/>
      <c r="BA303" s="633"/>
      <c r="BB303" s="633"/>
      <c r="BC303" s="633"/>
      <c r="BD303" s="633"/>
      <c r="BE303" s="633"/>
      <c r="BF303" s="633"/>
      <c r="BG303" s="633"/>
      <c r="BH303" s="633"/>
      <c r="BI303" s="633"/>
      <c r="BJ303" s="633"/>
      <c r="BK303" s="633"/>
      <c r="BL303" s="633"/>
      <c r="BM303" s="401">
        <f t="shared" si="126"/>
        <v>845</v>
      </c>
      <c r="BO303" s="1473"/>
      <c r="BP303" s="1473"/>
    </row>
    <row r="304" s="200" customFormat="1" ht="36" customHeight="1" spans="1:68">
      <c r="A304" s="533">
        <v>45390</v>
      </c>
      <c r="B304" s="527" t="s">
        <v>587</v>
      </c>
      <c r="C304" s="528" t="s">
        <v>117</v>
      </c>
      <c r="D304" s="529">
        <v>4500129038</v>
      </c>
      <c r="E304" s="1509">
        <v>6631642400</v>
      </c>
      <c r="F304" s="529" t="s">
        <v>1352</v>
      </c>
      <c r="G304" s="1510" t="s">
        <v>245</v>
      </c>
      <c r="H304" s="532" t="s">
        <v>74</v>
      </c>
      <c r="I304" s="401">
        <v>9888</v>
      </c>
      <c r="J304" s="562">
        <v>0</v>
      </c>
      <c r="K304" s="531">
        <v>12</v>
      </c>
      <c r="L304" s="401">
        <f t="shared" si="148"/>
        <v>824</v>
      </c>
      <c r="M304" s="570">
        <v>45447</v>
      </c>
      <c r="N304" s="1517">
        <v>45467</v>
      </c>
      <c r="O304" s="1474" t="s">
        <v>1353</v>
      </c>
      <c r="P304" s="564" t="s">
        <v>92</v>
      </c>
      <c r="Q304" s="1515" t="s">
        <v>1354</v>
      </c>
      <c r="R304" s="564" t="s">
        <v>836</v>
      </c>
      <c r="S304" s="564" t="s">
        <v>123</v>
      </c>
      <c r="T304" s="564" t="s">
        <v>837</v>
      </c>
      <c r="U304" s="1509" t="s">
        <v>1355</v>
      </c>
      <c r="V304" s="530" t="s">
        <v>634</v>
      </c>
      <c r="W304" s="592">
        <v>1.4019</v>
      </c>
      <c r="X304" s="593">
        <f t="shared" si="149"/>
        <v>13861.9872</v>
      </c>
      <c r="Y304" s="616" t="s">
        <v>1356</v>
      </c>
      <c r="Z304" s="607" t="s">
        <v>245</v>
      </c>
      <c r="AA304" s="1525" t="s">
        <v>128</v>
      </c>
      <c r="AB304" s="614"/>
      <c r="AC304" s="614"/>
      <c r="AD304" s="614"/>
      <c r="AE304" s="1515" t="s">
        <v>80</v>
      </c>
      <c r="AF304" s="1515"/>
      <c r="AG304" s="614">
        <f t="shared" si="155"/>
        <v>9888</v>
      </c>
      <c r="AH304" s="614"/>
      <c r="AI304" s="614"/>
      <c r="AJ304" s="614"/>
      <c r="AK304" s="609">
        <f t="shared" si="152"/>
        <v>9888</v>
      </c>
      <c r="AL304" s="615"/>
      <c r="AM304" s="615"/>
      <c r="AN304" s="615"/>
      <c r="AO304" s="615"/>
      <c r="AP304" s="615"/>
      <c r="AQ304" s="609">
        <f>I304</f>
        <v>9888</v>
      </c>
      <c r="AR304" s="615"/>
      <c r="AS304" s="615"/>
      <c r="AT304" s="401"/>
      <c r="AU304" s="401"/>
      <c r="AV304" s="633">
        <f>I304/12</f>
        <v>824</v>
      </c>
      <c r="AW304" s="401"/>
      <c r="AX304" s="632"/>
      <c r="AY304" s="632"/>
      <c r="AZ304" s="632"/>
      <c r="BA304" s="632"/>
      <c r="BB304" s="632"/>
      <c r="BC304" s="632"/>
      <c r="BD304" s="632"/>
      <c r="BE304" s="632"/>
      <c r="BF304" s="632"/>
      <c r="BG304" s="632"/>
      <c r="BH304" s="632"/>
      <c r="BI304" s="632"/>
      <c r="BJ304" s="632"/>
      <c r="BK304" s="632"/>
      <c r="BL304" s="632"/>
      <c r="BM304" s="401">
        <f t="shared" si="126"/>
        <v>9888</v>
      </c>
      <c r="BO304" s="1473"/>
      <c r="BP304" s="1473"/>
    </row>
    <row r="305" s="200" customFormat="1" ht="36" customHeight="1" spans="1:68">
      <c r="A305" s="1545">
        <v>45384</v>
      </c>
      <c r="B305" s="1507" t="s">
        <v>1357</v>
      </c>
      <c r="C305" s="1508" t="s">
        <v>286</v>
      </c>
      <c r="D305" s="529">
        <v>4500128743</v>
      </c>
      <c r="E305" s="1488">
        <v>6000039752</v>
      </c>
      <c r="F305" s="529" t="s">
        <v>1358</v>
      </c>
      <c r="G305" s="531" t="s">
        <v>96</v>
      </c>
      <c r="H305" s="532" t="s">
        <v>74</v>
      </c>
      <c r="I305" s="401">
        <v>1000</v>
      </c>
      <c r="J305" s="562">
        <v>0</v>
      </c>
      <c r="K305" s="531">
        <v>50</v>
      </c>
      <c r="L305" s="401">
        <v>20</v>
      </c>
      <c r="M305" s="563">
        <v>45454</v>
      </c>
      <c r="N305" s="1495">
        <v>45462</v>
      </c>
      <c r="O305" s="564" t="s">
        <v>1359</v>
      </c>
      <c r="P305" s="564" t="s">
        <v>92</v>
      </c>
      <c r="Q305" s="564" t="s">
        <v>1360</v>
      </c>
      <c r="R305" s="564" t="s">
        <v>1361</v>
      </c>
      <c r="S305" s="564" t="s">
        <v>77</v>
      </c>
      <c r="T305" s="564">
        <v>45439</v>
      </c>
      <c r="U305" s="530" t="s">
        <v>1362</v>
      </c>
      <c r="V305" s="596" t="s">
        <v>290</v>
      </c>
      <c r="W305" s="592">
        <v>1.4344</v>
      </c>
      <c r="X305" s="593">
        <v>1434.4</v>
      </c>
      <c r="Y305" s="401" t="s">
        <v>1363</v>
      </c>
      <c r="Z305" s="607" t="s">
        <v>220</v>
      </c>
      <c r="AA305" s="1453" t="s">
        <v>128</v>
      </c>
      <c r="AB305" s="608"/>
      <c r="AC305" s="608"/>
      <c r="AD305" s="608"/>
      <c r="AE305" s="564" t="s">
        <v>80</v>
      </c>
      <c r="AF305" s="564"/>
      <c r="AG305" s="608">
        <f t="shared" si="155"/>
        <v>1000</v>
      </c>
      <c r="AH305" s="608"/>
      <c r="AI305" s="608"/>
      <c r="AJ305" s="608"/>
      <c r="AK305" s="609"/>
      <c r="AL305" s="609">
        <f>I305</f>
        <v>1000</v>
      </c>
      <c r="AM305" s="609"/>
      <c r="AN305" s="609"/>
      <c r="AO305" s="609">
        <f t="shared" si="156"/>
        <v>1000</v>
      </c>
      <c r="AP305" s="609"/>
      <c r="AQ305" s="609"/>
      <c r="AR305" s="609"/>
      <c r="AS305" s="609"/>
      <c r="AT305" s="633"/>
      <c r="AU305" s="633"/>
      <c r="AV305" s="633"/>
      <c r="AW305" s="633"/>
      <c r="AX305" s="633"/>
      <c r="AY305" s="633"/>
      <c r="AZ305" s="633"/>
      <c r="BA305" s="633"/>
      <c r="BB305" s="633">
        <f>I305/25</f>
        <v>40</v>
      </c>
      <c r="BC305" s="633"/>
      <c r="BD305" s="633"/>
      <c r="BE305" s="633"/>
      <c r="BF305" s="633"/>
      <c r="BG305" s="633"/>
      <c r="BH305" s="633"/>
      <c r="BI305" s="633"/>
      <c r="BJ305" s="633"/>
      <c r="BK305" s="633"/>
      <c r="BL305" s="633"/>
      <c r="BM305" s="401">
        <f t="shared" si="126"/>
        <v>1000</v>
      </c>
      <c r="BO305" s="1473"/>
      <c r="BP305" s="1473"/>
    </row>
    <row r="306" s="200" customFormat="1" ht="36" customHeight="1" spans="1:68">
      <c r="A306" s="526">
        <v>45419</v>
      </c>
      <c r="B306" s="1540" t="s">
        <v>243</v>
      </c>
      <c r="C306" s="528" t="s">
        <v>213</v>
      </c>
      <c r="D306" s="529">
        <v>4500132687</v>
      </c>
      <c r="E306" s="1509">
        <v>2950865453</v>
      </c>
      <c r="F306" s="529" t="s">
        <v>1364</v>
      </c>
      <c r="G306" s="1546" t="s">
        <v>1365</v>
      </c>
      <c r="H306" s="532" t="s">
        <v>1366</v>
      </c>
      <c r="I306" s="401">
        <v>8640</v>
      </c>
      <c r="J306" s="562">
        <v>0</v>
      </c>
      <c r="K306" s="531">
        <v>960</v>
      </c>
      <c r="L306" s="401">
        <f t="shared" ref="L306:L369" si="157">I306/K306</f>
        <v>9</v>
      </c>
      <c r="M306" s="563">
        <v>45460</v>
      </c>
      <c r="N306" s="1495">
        <v>45463</v>
      </c>
      <c r="O306" s="564"/>
      <c r="P306" s="564" t="s">
        <v>92</v>
      </c>
      <c r="Q306" s="1474" t="s">
        <v>1367</v>
      </c>
      <c r="R306" s="564">
        <v>45423</v>
      </c>
      <c r="S306" s="564" t="s">
        <v>123</v>
      </c>
      <c r="T306" s="564" t="s">
        <v>1368</v>
      </c>
      <c r="U306" s="530" t="s">
        <v>1369</v>
      </c>
      <c r="V306" s="530" t="s">
        <v>218</v>
      </c>
      <c r="W306" s="592">
        <v>1488.752</v>
      </c>
      <c r="X306" s="593">
        <f>W306*L306</f>
        <v>13398.768</v>
      </c>
      <c r="Y306" s="401" t="s">
        <v>1370</v>
      </c>
      <c r="Z306" s="607" t="s">
        <v>1365</v>
      </c>
      <c r="AA306" s="1453" t="s">
        <v>128</v>
      </c>
      <c r="AB306" s="608"/>
      <c r="AC306" s="608"/>
      <c r="AD306" s="608"/>
      <c r="AE306" s="564" t="s">
        <v>80</v>
      </c>
      <c r="AF306" s="564"/>
      <c r="AG306" s="608">
        <f t="shared" si="155"/>
        <v>8640</v>
      </c>
      <c r="AH306" s="608"/>
      <c r="AI306" s="608"/>
      <c r="AJ306" s="608"/>
      <c r="AK306" s="609">
        <f>I306</f>
        <v>8640</v>
      </c>
      <c r="AL306" s="609"/>
      <c r="AM306" s="609"/>
      <c r="AN306" s="609"/>
      <c r="AO306" s="615">
        <f t="shared" si="156"/>
        <v>8640</v>
      </c>
      <c r="AP306" s="615"/>
      <c r="AQ306" s="609"/>
      <c r="AR306" s="609"/>
      <c r="AS306" s="609"/>
      <c r="AT306" s="633"/>
      <c r="AU306" s="633"/>
      <c r="AV306" s="633"/>
      <c r="AW306" s="401">
        <f>I306/12</f>
        <v>720</v>
      </c>
      <c r="AX306" s="633"/>
      <c r="AY306" s="633"/>
      <c r="AZ306" s="633"/>
      <c r="BA306" s="633"/>
      <c r="BB306" s="633"/>
      <c r="BC306" s="633"/>
      <c r="BD306" s="633"/>
      <c r="BE306" s="633"/>
      <c r="BF306" s="633"/>
      <c r="BG306" s="633"/>
      <c r="BH306" s="633"/>
      <c r="BI306" s="633"/>
      <c r="BJ306" s="633"/>
      <c r="BK306" s="633"/>
      <c r="BL306" s="633"/>
      <c r="BM306" s="401">
        <f t="shared" si="126"/>
        <v>8640</v>
      </c>
      <c r="BO306" s="1473"/>
      <c r="BP306" s="1473"/>
    </row>
    <row r="307" s="200" customFormat="1" ht="36" customHeight="1" spans="1:68">
      <c r="A307" s="526">
        <v>45419</v>
      </c>
      <c r="B307" s="1540" t="s">
        <v>243</v>
      </c>
      <c r="C307" s="528" t="s">
        <v>213</v>
      </c>
      <c r="D307" s="529">
        <v>4500132687</v>
      </c>
      <c r="E307" s="1509">
        <v>2950865454</v>
      </c>
      <c r="F307" s="529" t="s">
        <v>1371</v>
      </c>
      <c r="G307" s="1546" t="s">
        <v>1365</v>
      </c>
      <c r="H307" s="532" t="s">
        <v>1366</v>
      </c>
      <c r="I307" s="401">
        <v>3840</v>
      </c>
      <c r="J307" s="562">
        <v>0</v>
      </c>
      <c r="K307" s="531">
        <v>960</v>
      </c>
      <c r="L307" s="401">
        <f t="shared" si="157"/>
        <v>4</v>
      </c>
      <c r="M307" s="563">
        <v>45460</v>
      </c>
      <c r="N307" s="1495">
        <v>45463</v>
      </c>
      <c r="O307" s="564"/>
      <c r="P307" s="564" t="s">
        <v>92</v>
      </c>
      <c r="Q307" s="1474" t="s">
        <v>1367</v>
      </c>
      <c r="R307" s="564">
        <v>45423</v>
      </c>
      <c r="S307" s="564" t="s">
        <v>123</v>
      </c>
      <c r="T307" s="564" t="s">
        <v>1368</v>
      </c>
      <c r="U307" s="530" t="s">
        <v>1369</v>
      </c>
      <c r="V307" s="530" t="s">
        <v>218</v>
      </c>
      <c r="W307" s="592">
        <v>1488.752</v>
      </c>
      <c r="X307" s="593">
        <f>W307*L307</f>
        <v>5955.008</v>
      </c>
      <c r="Y307" s="401" t="s">
        <v>1370</v>
      </c>
      <c r="Z307" s="607" t="s">
        <v>1365</v>
      </c>
      <c r="AA307" s="1453" t="s">
        <v>128</v>
      </c>
      <c r="AB307" s="608"/>
      <c r="AC307" s="608"/>
      <c r="AD307" s="608"/>
      <c r="AE307" s="564" t="s">
        <v>80</v>
      </c>
      <c r="AF307" s="564"/>
      <c r="AG307" s="608">
        <f t="shared" si="155"/>
        <v>3840</v>
      </c>
      <c r="AH307" s="608"/>
      <c r="AI307" s="608"/>
      <c r="AJ307" s="608"/>
      <c r="AK307" s="609">
        <f>I307</f>
        <v>3840</v>
      </c>
      <c r="AL307" s="609"/>
      <c r="AM307" s="609"/>
      <c r="AN307" s="609"/>
      <c r="AO307" s="615">
        <f t="shared" si="156"/>
        <v>3840</v>
      </c>
      <c r="AP307" s="615"/>
      <c r="AQ307" s="609"/>
      <c r="AR307" s="609"/>
      <c r="AS307" s="609"/>
      <c r="AT307" s="633"/>
      <c r="AU307" s="633"/>
      <c r="AV307" s="633"/>
      <c r="AW307" s="401">
        <f>I307/12</f>
        <v>320</v>
      </c>
      <c r="AX307" s="633"/>
      <c r="AY307" s="633"/>
      <c r="AZ307" s="633"/>
      <c r="BA307" s="633"/>
      <c r="BB307" s="633"/>
      <c r="BC307" s="633"/>
      <c r="BD307" s="633"/>
      <c r="BE307" s="633"/>
      <c r="BF307" s="633"/>
      <c r="BG307" s="633"/>
      <c r="BH307" s="633"/>
      <c r="BI307" s="633"/>
      <c r="BJ307" s="633"/>
      <c r="BK307" s="633"/>
      <c r="BL307" s="633"/>
      <c r="BM307" s="401">
        <f t="shared" si="126"/>
        <v>3840</v>
      </c>
      <c r="BO307" s="1473"/>
      <c r="BP307" s="1473"/>
    </row>
    <row r="308" s="200" customFormat="1" ht="36" customHeight="1" spans="1:68">
      <c r="A308" s="1545">
        <v>45421</v>
      </c>
      <c r="B308" s="1530" t="s">
        <v>1372</v>
      </c>
      <c r="C308" s="1543" t="s">
        <v>351</v>
      </c>
      <c r="D308" s="529">
        <v>4500132623</v>
      </c>
      <c r="E308" s="1547" t="s">
        <v>1373</v>
      </c>
      <c r="F308" s="529" t="s">
        <v>1374</v>
      </c>
      <c r="G308" s="531" t="s">
        <v>73</v>
      </c>
      <c r="H308" s="532" t="s">
        <v>74</v>
      </c>
      <c r="I308" s="401">
        <v>24</v>
      </c>
      <c r="J308" s="562">
        <v>0</v>
      </c>
      <c r="K308" s="531">
        <v>24</v>
      </c>
      <c r="L308" s="401">
        <f t="shared" si="157"/>
        <v>1</v>
      </c>
      <c r="M308" s="563">
        <v>45453</v>
      </c>
      <c r="N308" s="1517">
        <v>45464</v>
      </c>
      <c r="O308" s="564"/>
      <c r="P308" s="564" t="s">
        <v>1262</v>
      </c>
      <c r="Q308" s="564" t="s">
        <v>1375</v>
      </c>
      <c r="R308" s="564">
        <v>45421</v>
      </c>
      <c r="S308" s="564" t="s">
        <v>123</v>
      </c>
      <c r="T308" s="1519" t="s">
        <v>1376</v>
      </c>
      <c r="U308" s="530" t="s">
        <v>1377</v>
      </c>
      <c r="V308" s="564" t="s">
        <v>156</v>
      </c>
      <c r="W308" s="592">
        <v>1.3645</v>
      </c>
      <c r="X308" s="593">
        <f t="shared" ref="X308:X319" si="158">I308*W308</f>
        <v>32.748</v>
      </c>
      <c r="Y308" s="401" t="s">
        <v>1378</v>
      </c>
      <c r="Z308" s="607" t="s">
        <v>188</v>
      </c>
      <c r="AA308" s="1453" t="s">
        <v>128</v>
      </c>
      <c r="AB308" s="608"/>
      <c r="AC308" s="608"/>
      <c r="AD308" s="608"/>
      <c r="AE308" s="564" t="s">
        <v>80</v>
      </c>
      <c r="AF308" s="564"/>
      <c r="AG308" s="608">
        <f t="shared" si="155"/>
        <v>24</v>
      </c>
      <c r="AH308" s="608"/>
      <c r="AI308" s="608"/>
      <c r="AJ308" s="608"/>
      <c r="AK308" s="401"/>
      <c r="AL308" s="401">
        <f t="shared" ref="AL308:AL311" si="159">AG308</f>
        <v>24</v>
      </c>
      <c r="AM308" s="609"/>
      <c r="AN308" s="609"/>
      <c r="AO308" s="609">
        <f t="shared" ref="AO308:AO311" si="160">AG308</f>
        <v>24</v>
      </c>
      <c r="AP308" s="609"/>
      <c r="AQ308" s="609"/>
      <c r="AR308" s="609"/>
      <c r="AS308" s="609"/>
      <c r="AT308" s="633"/>
      <c r="AU308" s="633"/>
      <c r="AV308" s="633"/>
      <c r="AW308" s="633"/>
      <c r="AX308" s="633"/>
      <c r="AY308" s="633"/>
      <c r="AZ308" s="633"/>
      <c r="BA308" s="633"/>
      <c r="BB308" s="633"/>
      <c r="BC308" s="633"/>
      <c r="BD308" s="633"/>
      <c r="BE308" s="633"/>
      <c r="BF308" s="633"/>
      <c r="BG308" s="633"/>
      <c r="BH308" s="633"/>
      <c r="BI308" s="633"/>
      <c r="BJ308" s="633"/>
      <c r="BK308" s="633"/>
      <c r="BL308" s="633"/>
      <c r="BM308" s="401">
        <f t="shared" si="126"/>
        <v>24</v>
      </c>
      <c r="BO308" s="1473"/>
      <c r="BP308" s="1473"/>
    </row>
    <row r="309" s="200" customFormat="1" ht="36" customHeight="1" spans="1:68">
      <c r="A309" s="1545">
        <v>45421</v>
      </c>
      <c r="B309" s="1530" t="s">
        <v>1372</v>
      </c>
      <c r="C309" s="1543" t="s">
        <v>351</v>
      </c>
      <c r="D309" s="529">
        <v>4500132623</v>
      </c>
      <c r="E309" s="1547" t="s">
        <v>1373</v>
      </c>
      <c r="F309" s="529" t="s">
        <v>1379</v>
      </c>
      <c r="G309" s="531" t="s">
        <v>73</v>
      </c>
      <c r="H309" s="532" t="s">
        <v>74</v>
      </c>
      <c r="I309" s="401">
        <v>24</v>
      </c>
      <c r="J309" s="562">
        <v>0</v>
      </c>
      <c r="K309" s="531">
        <v>24</v>
      </c>
      <c r="L309" s="401">
        <f t="shared" si="157"/>
        <v>1</v>
      </c>
      <c r="M309" s="563">
        <v>45453</v>
      </c>
      <c r="N309" s="1517">
        <v>45464</v>
      </c>
      <c r="O309" s="564"/>
      <c r="P309" s="564" t="s">
        <v>1262</v>
      </c>
      <c r="Q309" s="564" t="s">
        <v>1375</v>
      </c>
      <c r="R309" s="564">
        <v>45421</v>
      </c>
      <c r="S309" s="564" t="s">
        <v>123</v>
      </c>
      <c r="T309" s="1519" t="s">
        <v>1376</v>
      </c>
      <c r="U309" s="530" t="s">
        <v>1377</v>
      </c>
      <c r="V309" s="564" t="s">
        <v>156</v>
      </c>
      <c r="W309" s="592">
        <v>1.3645</v>
      </c>
      <c r="X309" s="593">
        <f t="shared" si="158"/>
        <v>32.748</v>
      </c>
      <c r="Y309" s="401" t="s">
        <v>1378</v>
      </c>
      <c r="Z309" s="607" t="s">
        <v>188</v>
      </c>
      <c r="AA309" s="1453" t="s">
        <v>128</v>
      </c>
      <c r="AB309" s="608"/>
      <c r="AC309" s="608"/>
      <c r="AD309" s="608"/>
      <c r="AE309" s="564" t="s">
        <v>80</v>
      </c>
      <c r="AF309" s="564"/>
      <c r="AG309" s="608">
        <f t="shared" si="155"/>
        <v>24</v>
      </c>
      <c r="AH309" s="608"/>
      <c r="AI309" s="608"/>
      <c r="AJ309" s="608"/>
      <c r="AK309" s="401"/>
      <c r="AL309" s="401">
        <f t="shared" si="159"/>
        <v>24</v>
      </c>
      <c r="AM309" s="609"/>
      <c r="AN309" s="609"/>
      <c r="AO309" s="609">
        <f t="shared" si="160"/>
        <v>24</v>
      </c>
      <c r="AP309" s="609"/>
      <c r="AQ309" s="609"/>
      <c r="AR309" s="609"/>
      <c r="AS309" s="609"/>
      <c r="AT309" s="633"/>
      <c r="AU309" s="633"/>
      <c r="AV309" s="633"/>
      <c r="AW309" s="633"/>
      <c r="AX309" s="633"/>
      <c r="AY309" s="633"/>
      <c r="AZ309" s="633"/>
      <c r="BA309" s="633"/>
      <c r="BB309" s="633"/>
      <c r="BC309" s="633"/>
      <c r="BD309" s="633"/>
      <c r="BE309" s="633"/>
      <c r="BF309" s="633"/>
      <c r="BG309" s="633"/>
      <c r="BH309" s="633"/>
      <c r="BI309" s="633"/>
      <c r="BJ309" s="633"/>
      <c r="BK309" s="633"/>
      <c r="BL309" s="633"/>
      <c r="BM309" s="401">
        <f t="shared" si="126"/>
        <v>24</v>
      </c>
      <c r="BO309" s="1473"/>
      <c r="BP309" s="1473"/>
    </row>
    <row r="310" s="200" customFormat="1" ht="36" customHeight="1" spans="1:68">
      <c r="A310" s="1545">
        <v>45421</v>
      </c>
      <c r="B310" s="1530" t="s">
        <v>1372</v>
      </c>
      <c r="C310" s="1543" t="s">
        <v>351</v>
      </c>
      <c r="D310" s="529">
        <v>4500132623</v>
      </c>
      <c r="E310" s="1547" t="s">
        <v>1373</v>
      </c>
      <c r="F310" s="529" t="s">
        <v>1380</v>
      </c>
      <c r="G310" s="531" t="s">
        <v>73</v>
      </c>
      <c r="H310" s="532" t="s">
        <v>74</v>
      </c>
      <c r="I310" s="401">
        <v>24</v>
      </c>
      <c r="J310" s="562">
        <v>0</v>
      </c>
      <c r="K310" s="531">
        <v>24</v>
      </c>
      <c r="L310" s="401">
        <f t="shared" si="157"/>
        <v>1</v>
      </c>
      <c r="M310" s="563">
        <v>45453</v>
      </c>
      <c r="N310" s="1517">
        <v>45464</v>
      </c>
      <c r="O310" s="564"/>
      <c r="P310" s="564" t="s">
        <v>1262</v>
      </c>
      <c r="Q310" s="564" t="s">
        <v>1375</v>
      </c>
      <c r="R310" s="564">
        <v>45421</v>
      </c>
      <c r="S310" s="564" t="s">
        <v>123</v>
      </c>
      <c r="T310" s="1519" t="s">
        <v>1376</v>
      </c>
      <c r="U310" s="530" t="s">
        <v>1377</v>
      </c>
      <c r="V310" s="564" t="s">
        <v>156</v>
      </c>
      <c r="W310" s="592">
        <v>1.3645</v>
      </c>
      <c r="X310" s="593">
        <f t="shared" si="158"/>
        <v>32.748</v>
      </c>
      <c r="Y310" s="401" t="s">
        <v>1378</v>
      </c>
      <c r="Z310" s="607" t="s">
        <v>188</v>
      </c>
      <c r="AA310" s="1453" t="s">
        <v>128</v>
      </c>
      <c r="AB310" s="608"/>
      <c r="AC310" s="608"/>
      <c r="AD310" s="608"/>
      <c r="AE310" s="564" t="s">
        <v>80</v>
      </c>
      <c r="AF310" s="564"/>
      <c r="AG310" s="608">
        <f t="shared" si="155"/>
        <v>24</v>
      </c>
      <c r="AH310" s="608"/>
      <c r="AI310" s="608"/>
      <c r="AJ310" s="608"/>
      <c r="AK310" s="401"/>
      <c r="AL310" s="401">
        <f t="shared" si="159"/>
        <v>24</v>
      </c>
      <c r="AM310" s="609"/>
      <c r="AN310" s="609"/>
      <c r="AO310" s="609">
        <f t="shared" si="160"/>
        <v>24</v>
      </c>
      <c r="AP310" s="609"/>
      <c r="AQ310" s="609"/>
      <c r="AR310" s="609"/>
      <c r="AS310" s="609"/>
      <c r="AT310" s="633"/>
      <c r="AU310" s="633"/>
      <c r="AV310" s="633"/>
      <c r="AW310" s="633"/>
      <c r="AX310" s="633"/>
      <c r="AY310" s="633"/>
      <c r="AZ310" s="633"/>
      <c r="BA310" s="633"/>
      <c r="BB310" s="633"/>
      <c r="BC310" s="633"/>
      <c r="BD310" s="633"/>
      <c r="BE310" s="633"/>
      <c r="BF310" s="633"/>
      <c r="BG310" s="633"/>
      <c r="BH310" s="633"/>
      <c r="BI310" s="633"/>
      <c r="BJ310" s="633"/>
      <c r="BK310" s="633"/>
      <c r="BL310" s="633"/>
      <c r="BM310" s="401">
        <f t="shared" si="126"/>
        <v>24</v>
      </c>
      <c r="BO310" s="1473"/>
      <c r="BP310" s="1473"/>
    </row>
    <row r="311" s="200" customFormat="1" ht="36" customHeight="1" spans="1:68">
      <c r="A311" s="1545">
        <v>45421</v>
      </c>
      <c r="B311" s="1530" t="s">
        <v>1372</v>
      </c>
      <c r="C311" s="1543" t="s">
        <v>351</v>
      </c>
      <c r="D311" s="529">
        <v>4500132623</v>
      </c>
      <c r="E311" s="1547" t="s">
        <v>1373</v>
      </c>
      <c r="F311" s="529" t="s">
        <v>1381</v>
      </c>
      <c r="G311" s="531" t="s">
        <v>73</v>
      </c>
      <c r="H311" s="532" t="s">
        <v>74</v>
      </c>
      <c r="I311" s="401">
        <v>24</v>
      </c>
      <c r="J311" s="562">
        <v>0</v>
      </c>
      <c r="K311" s="531">
        <v>24</v>
      </c>
      <c r="L311" s="401">
        <f t="shared" si="157"/>
        <v>1</v>
      </c>
      <c r="M311" s="563">
        <v>45453</v>
      </c>
      <c r="N311" s="1517">
        <v>45464</v>
      </c>
      <c r="O311" s="564"/>
      <c r="P311" s="564" t="s">
        <v>1262</v>
      </c>
      <c r="Q311" s="564" t="s">
        <v>1375</v>
      </c>
      <c r="R311" s="564">
        <v>45421</v>
      </c>
      <c r="S311" s="564" t="s">
        <v>123</v>
      </c>
      <c r="T311" s="1519" t="s">
        <v>1376</v>
      </c>
      <c r="U311" s="530" t="s">
        <v>1377</v>
      </c>
      <c r="V311" s="564" t="s">
        <v>156</v>
      </c>
      <c r="W311" s="592">
        <v>1.3645</v>
      </c>
      <c r="X311" s="593">
        <f t="shared" si="158"/>
        <v>32.748</v>
      </c>
      <c r="Y311" s="401" t="s">
        <v>1378</v>
      </c>
      <c r="Z311" s="607" t="s">
        <v>188</v>
      </c>
      <c r="AA311" s="1453" t="s">
        <v>128</v>
      </c>
      <c r="AB311" s="608"/>
      <c r="AC311" s="608"/>
      <c r="AD311" s="608"/>
      <c r="AE311" s="564" t="s">
        <v>80</v>
      </c>
      <c r="AF311" s="564"/>
      <c r="AG311" s="608">
        <f t="shared" si="155"/>
        <v>24</v>
      </c>
      <c r="AH311" s="608"/>
      <c r="AI311" s="608"/>
      <c r="AJ311" s="608"/>
      <c r="AK311" s="401"/>
      <c r="AL311" s="401">
        <f t="shared" si="159"/>
        <v>24</v>
      </c>
      <c r="AM311" s="609"/>
      <c r="AN311" s="609"/>
      <c r="AO311" s="609">
        <f t="shared" si="160"/>
        <v>24</v>
      </c>
      <c r="AP311" s="609"/>
      <c r="AQ311" s="609"/>
      <c r="AR311" s="609"/>
      <c r="AS311" s="609"/>
      <c r="AT311" s="633"/>
      <c r="AU311" s="633"/>
      <c r="AV311" s="633"/>
      <c r="AW311" s="633"/>
      <c r="AX311" s="633"/>
      <c r="AY311" s="633"/>
      <c r="AZ311" s="633"/>
      <c r="BA311" s="633"/>
      <c r="BB311" s="633"/>
      <c r="BC311" s="633"/>
      <c r="BD311" s="633"/>
      <c r="BE311" s="633"/>
      <c r="BF311" s="633"/>
      <c r="BG311" s="633"/>
      <c r="BH311" s="633"/>
      <c r="BI311" s="633"/>
      <c r="BJ311" s="633"/>
      <c r="BK311" s="633"/>
      <c r="BL311" s="633"/>
      <c r="BM311" s="401">
        <f t="shared" si="126"/>
        <v>24</v>
      </c>
      <c r="BO311" s="1473"/>
      <c r="BP311" s="1473"/>
    </row>
    <row r="312" s="200" customFormat="1" ht="36" customHeight="1" spans="1:73">
      <c r="A312" s="526">
        <v>45429</v>
      </c>
      <c r="B312" s="1540" t="s">
        <v>1372</v>
      </c>
      <c r="C312" s="528" t="s">
        <v>351</v>
      </c>
      <c r="D312" s="529">
        <v>4500133719</v>
      </c>
      <c r="E312" s="1509" t="s">
        <v>1382</v>
      </c>
      <c r="F312" s="529" t="s">
        <v>1383</v>
      </c>
      <c r="G312" s="531" t="s">
        <v>628</v>
      </c>
      <c r="H312" s="532" t="s">
        <v>623</v>
      </c>
      <c r="I312" s="401">
        <v>12</v>
      </c>
      <c r="J312" s="562">
        <v>0</v>
      </c>
      <c r="K312" s="531">
        <v>12</v>
      </c>
      <c r="L312" s="401">
        <f t="shared" si="157"/>
        <v>1</v>
      </c>
      <c r="M312" s="563">
        <v>45460</v>
      </c>
      <c r="N312" s="1495">
        <v>45464</v>
      </c>
      <c r="O312" s="564"/>
      <c r="P312" s="564" t="s">
        <v>1262</v>
      </c>
      <c r="Q312" s="564" t="s">
        <v>1384</v>
      </c>
      <c r="R312" s="564">
        <v>45429</v>
      </c>
      <c r="S312" s="564" t="s">
        <v>123</v>
      </c>
      <c r="T312" s="564" t="s">
        <v>1385</v>
      </c>
      <c r="U312" s="1499" t="s">
        <v>1386</v>
      </c>
      <c r="V312" s="530" t="s">
        <v>156</v>
      </c>
      <c r="W312" s="592">
        <v>3.1799</v>
      </c>
      <c r="X312" s="593">
        <f t="shared" si="158"/>
        <v>38.1588</v>
      </c>
      <c r="Y312" s="401" t="s">
        <v>1387</v>
      </c>
      <c r="Z312" s="607" t="s">
        <v>628</v>
      </c>
      <c r="AA312" s="1453" t="s">
        <v>128</v>
      </c>
      <c r="AB312" s="608"/>
      <c r="AC312" s="608"/>
      <c r="AD312" s="608"/>
      <c r="AE312" s="564" t="s">
        <v>80</v>
      </c>
      <c r="AF312" s="564"/>
      <c r="AG312" s="608">
        <f>I312*2</f>
        <v>24</v>
      </c>
      <c r="AH312" s="608"/>
      <c r="AI312" s="608"/>
      <c r="AJ312" s="401">
        <f>AG312</f>
        <v>24</v>
      </c>
      <c r="AK312" s="609"/>
      <c r="AM312" s="609"/>
      <c r="AN312" s="609"/>
      <c r="AO312" s="609">
        <f>I312*2</f>
        <v>24</v>
      </c>
      <c r="AP312" s="615"/>
      <c r="AQ312" s="609"/>
      <c r="AR312" s="609"/>
      <c r="AS312" s="609"/>
      <c r="AT312" s="633"/>
      <c r="AU312" s="633"/>
      <c r="AV312" s="633"/>
      <c r="AW312" s="401"/>
      <c r="AX312" s="633"/>
      <c r="AY312" s="633"/>
      <c r="AZ312" s="633"/>
      <c r="BA312" s="633"/>
      <c r="BB312" s="633"/>
      <c r="BC312" s="633"/>
      <c r="BD312" s="633"/>
      <c r="BE312" s="633"/>
      <c r="BF312" s="633"/>
      <c r="BG312" s="633"/>
      <c r="BH312" s="633"/>
      <c r="BI312" s="633"/>
      <c r="BJ312" s="633"/>
      <c r="BK312" s="633">
        <f>I312</f>
        <v>12</v>
      </c>
      <c r="BL312" s="633">
        <f>I312</f>
        <v>12</v>
      </c>
      <c r="BM312" s="401">
        <f t="shared" si="126"/>
        <v>24</v>
      </c>
      <c r="BO312" s="1473"/>
      <c r="BP312" s="1473"/>
      <c r="BU312" s="1502" t="s">
        <v>1343</v>
      </c>
    </row>
    <row r="313" s="200" customFormat="1" ht="36" customHeight="1" spans="1:68">
      <c r="A313" s="1529">
        <v>45421</v>
      </c>
      <c r="B313" s="1509" t="s">
        <v>1372</v>
      </c>
      <c r="C313" s="528" t="s">
        <v>351</v>
      </c>
      <c r="D313" s="1541">
        <v>4500132760</v>
      </c>
      <c r="E313" s="1542" t="s">
        <v>1388</v>
      </c>
      <c r="F313" s="1541" t="s">
        <v>1389</v>
      </c>
      <c r="G313" s="531" t="s">
        <v>73</v>
      </c>
      <c r="H313" s="532" t="s">
        <v>74</v>
      </c>
      <c r="I313" s="401">
        <v>1104</v>
      </c>
      <c r="J313" s="562">
        <v>0</v>
      </c>
      <c r="K313" s="531">
        <v>24</v>
      </c>
      <c r="L313" s="401">
        <f t="shared" si="157"/>
        <v>46</v>
      </c>
      <c r="M313" s="563">
        <v>45461</v>
      </c>
      <c r="N313" s="1495">
        <v>45465</v>
      </c>
      <c r="O313" s="564"/>
      <c r="P313" s="564" t="s">
        <v>92</v>
      </c>
      <c r="Q313" s="564" t="s">
        <v>1390</v>
      </c>
      <c r="R313" s="1523">
        <v>45421</v>
      </c>
      <c r="S313" s="564" t="s">
        <v>123</v>
      </c>
      <c r="T313" s="564" t="s">
        <v>1376</v>
      </c>
      <c r="U313" s="530" t="s">
        <v>1391</v>
      </c>
      <c r="V313" s="564" t="s">
        <v>156</v>
      </c>
      <c r="W313" s="592">
        <v>1.3595</v>
      </c>
      <c r="X313" s="593">
        <f t="shared" si="158"/>
        <v>1500.888</v>
      </c>
      <c r="Y313" s="401" t="s">
        <v>1392</v>
      </c>
      <c r="Z313" s="607" t="s">
        <v>188</v>
      </c>
      <c r="AA313" s="1453" t="s">
        <v>128</v>
      </c>
      <c r="AB313" s="608"/>
      <c r="AC313" s="608"/>
      <c r="AD313" s="608"/>
      <c r="AE313" s="564" t="s">
        <v>80</v>
      </c>
      <c r="AF313" s="564"/>
      <c r="AG313" s="608">
        <f t="shared" ref="AG313:AG317" si="161">I313</f>
        <v>1104</v>
      </c>
      <c r="AH313" s="608"/>
      <c r="AI313" s="608"/>
      <c r="AJ313" s="608"/>
      <c r="AK313" s="609"/>
      <c r="AL313" s="401">
        <f>AG313</f>
        <v>1104</v>
      </c>
      <c r="AM313" s="609"/>
      <c r="AN313" s="609"/>
      <c r="AO313" s="609">
        <f>AG313</f>
        <v>1104</v>
      </c>
      <c r="AP313" s="609"/>
      <c r="AQ313" s="609"/>
      <c r="AR313" s="609"/>
      <c r="AS313" s="609"/>
      <c r="AT313" s="633"/>
      <c r="AU313" s="633"/>
      <c r="AV313" s="633"/>
      <c r="AW313" s="401"/>
      <c r="AX313" s="633"/>
      <c r="AY313" s="633"/>
      <c r="AZ313" s="633"/>
      <c r="BA313" s="633"/>
      <c r="BB313" s="633"/>
      <c r="BC313" s="633"/>
      <c r="BD313" s="633"/>
      <c r="BE313" s="633"/>
      <c r="BF313" s="633"/>
      <c r="BG313" s="633"/>
      <c r="BH313" s="633"/>
      <c r="BI313" s="633"/>
      <c r="BJ313" s="633"/>
      <c r="BK313" s="633"/>
      <c r="BL313" s="633"/>
      <c r="BM313" s="401">
        <f t="shared" si="126"/>
        <v>1104</v>
      </c>
      <c r="BO313" s="1473"/>
      <c r="BP313" s="1473"/>
    </row>
    <row r="314" s="200" customFormat="1" ht="36" customHeight="1" spans="1:73">
      <c r="A314" s="1529">
        <v>45421</v>
      </c>
      <c r="B314" s="1509" t="s">
        <v>1372</v>
      </c>
      <c r="C314" s="528" t="s">
        <v>351</v>
      </c>
      <c r="D314" s="1541">
        <v>4500132760</v>
      </c>
      <c r="E314" s="1542" t="s">
        <v>1388</v>
      </c>
      <c r="F314" s="1541" t="s">
        <v>1393</v>
      </c>
      <c r="G314" s="531" t="s">
        <v>628</v>
      </c>
      <c r="H314" s="532" t="s">
        <v>623</v>
      </c>
      <c r="I314" s="401">
        <v>48</v>
      </c>
      <c r="J314" s="562">
        <v>0</v>
      </c>
      <c r="K314" s="531">
        <v>12</v>
      </c>
      <c r="L314" s="401">
        <f t="shared" si="157"/>
        <v>4</v>
      </c>
      <c r="M314" s="563">
        <v>45461</v>
      </c>
      <c r="N314" s="1495">
        <v>45465</v>
      </c>
      <c r="O314" s="564"/>
      <c r="P314" s="564" t="s">
        <v>1262</v>
      </c>
      <c r="Q314" s="564" t="s">
        <v>1390</v>
      </c>
      <c r="R314" s="1523">
        <v>45421</v>
      </c>
      <c r="S314" s="564" t="s">
        <v>123</v>
      </c>
      <c r="T314" s="564" t="s">
        <v>1385</v>
      </c>
      <c r="U314" s="1499" t="s">
        <v>1394</v>
      </c>
      <c r="V314" s="564" t="s">
        <v>156</v>
      </c>
      <c r="W314" s="592">
        <v>3.1012</v>
      </c>
      <c r="X314" s="593">
        <f t="shared" si="158"/>
        <v>148.8576</v>
      </c>
      <c r="Y314" s="401" t="s">
        <v>1392</v>
      </c>
      <c r="Z314" s="607" t="s">
        <v>729</v>
      </c>
      <c r="AA314" s="1453" t="s">
        <v>128</v>
      </c>
      <c r="AB314" s="608"/>
      <c r="AC314" s="608"/>
      <c r="AD314" s="608"/>
      <c r="AE314" s="564" t="s">
        <v>80</v>
      </c>
      <c r="AF314" s="564"/>
      <c r="AG314" s="608">
        <f>I314*2</f>
        <v>96</v>
      </c>
      <c r="AH314" s="608"/>
      <c r="AI314" s="608"/>
      <c r="AJ314" s="1514">
        <f>AG314</f>
        <v>96</v>
      </c>
      <c r="AK314" s="609"/>
      <c r="AM314" s="609"/>
      <c r="AN314" s="609"/>
      <c r="AO314" s="615">
        <f>AJ314</f>
        <v>96</v>
      </c>
      <c r="AP314" s="609"/>
      <c r="AQ314" s="609"/>
      <c r="AR314" s="609"/>
      <c r="AS314" s="609"/>
      <c r="AT314" s="633"/>
      <c r="AU314" s="633"/>
      <c r="AV314" s="633"/>
      <c r="AW314" s="401"/>
      <c r="AX314" s="633"/>
      <c r="AY314" s="633"/>
      <c r="AZ314" s="633"/>
      <c r="BA314" s="633"/>
      <c r="BB314" s="633"/>
      <c r="BC314" s="633"/>
      <c r="BD314" s="633"/>
      <c r="BE314" s="633"/>
      <c r="BF314" s="633"/>
      <c r="BG314" s="633"/>
      <c r="BH314" s="633"/>
      <c r="BI314" s="633"/>
      <c r="BJ314" s="633"/>
      <c r="BK314" s="633">
        <f>I314</f>
        <v>48</v>
      </c>
      <c r="BL314" s="633">
        <f>I314</f>
        <v>48</v>
      </c>
      <c r="BM314" s="401">
        <f t="shared" si="126"/>
        <v>96</v>
      </c>
      <c r="BO314" s="1473"/>
      <c r="BP314" s="1473"/>
      <c r="BU314" s="1502" t="s">
        <v>1343</v>
      </c>
    </row>
    <row r="315" s="200" customFormat="1" ht="36" customHeight="1" spans="1:68">
      <c r="A315" s="1529">
        <v>45425</v>
      </c>
      <c r="B315" s="1530" t="s">
        <v>1395</v>
      </c>
      <c r="C315" s="1543" t="s">
        <v>1396</v>
      </c>
      <c r="D315" s="529">
        <v>4500133271</v>
      </c>
      <c r="E315" s="1548" t="s">
        <v>1397</v>
      </c>
      <c r="F315" s="529" t="s">
        <v>1398</v>
      </c>
      <c r="G315" s="531" t="s">
        <v>772</v>
      </c>
      <c r="H315" s="532" t="s">
        <v>74</v>
      </c>
      <c r="I315" s="401">
        <v>3536</v>
      </c>
      <c r="J315" s="562">
        <v>13</v>
      </c>
      <c r="K315" s="531">
        <v>52</v>
      </c>
      <c r="L315" s="401">
        <f t="shared" si="157"/>
        <v>68</v>
      </c>
      <c r="M315" s="563">
        <v>45463</v>
      </c>
      <c r="N315" s="1495">
        <v>45465</v>
      </c>
      <c r="O315" s="564"/>
      <c r="P315" s="564" t="s">
        <v>92</v>
      </c>
      <c r="Q315" s="564" t="s">
        <v>1399</v>
      </c>
      <c r="R315" s="564">
        <v>45425</v>
      </c>
      <c r="S315" s="564" t="s">
        <v>77</v>
      </c>
      <c r="T315" s="564" t="s">
        <v>1400</v>
      </c>
      <c r="U315" s="530" t="s">
        <v>1401</v>
      </c>
      <c r="V315" s="564" t="s">
        <v>1308</v>
      </c>
      <c r="W315" s="592">
        <v>1.65</v>
      </c>
      <c r="X315" s="593">
        <f t="shared" si="158"/>
        <v>5834.4</v>
      </c>
      <c r="Y315" s="401" t="s">
        <v>1402</v>
      </c>
      <c r="Z315" s="607" t="s">
        <v>777</v>
      </c>
      <c r="AA315" s="1453" t="s">
        <v>128</v>
      </c>
      <c r="AB315" s="608"/>
      <c r="AC315" s="608"/>
      <c r="AD315" s="608"/>
      <c r="AE315" s="564" t="s">
        <v>80</v>
      </c>
      <c r="AF315" s="564"/>
      <c r="AG315" s="608">
        <f t="shared" si="161"/>
        <v>3536</v>
      </c>
      <c r="AH315" s="608"/>
      <c r="AI315" s="608"/>
      <c r="AJ315" s="608"/>
      <c r="AK315" s="609">
        <f t="shared" ref="AK315:AK319" si="162">I315</f>
        <v>3536</v>
      </c>
      <c r="AL315" s="609"/>
      <c r="AM315" s="609"/>
      <c r="AN315" s="609"/>
      <c r="AO315" s="609">
        <f t="shared" ref="AO315:AO322" si="163">I315</f>
        <v>3536</v>
      </c>
      <c r="AP315" s="609"/>
      <c r="AQ315" s="609"/>
      <c r="AR315" s="609"/>
      <c r="AS315" s="609"/>
      <c r="AT315" s="633"/>
      <c r="AU315" s="633"/>
      <c r="AV315" s="633"/>
      <c r="AW315" s="633"/>
      <c r="AX315" s="633"/>
      <c r="AY315" s="633">
        <f>I315/13</f>
        <v>272</v>
      </c>
      <c r="AZ315" s="633"/>
      <c r="BA315" s="633"/>
      <c r="BB315" s="633"/>
      <c r="BC315" s="633"/>
      <c r="BD315" s="633"/>
      <c r="BE315" s="633"/>
      <c r="BF315" s="633"/>
      <c r="BG315" s="633"/>
      <c r="BH315" s="633"/>
      <c r="BI315" s="633"/>
      <c r="BJ315" s="633"/>
      <c r="BK315" s="633"/>
      <c r="BL315" s="633"/>
      <c r="BM315" s="401">
        <f t="shared" si="126"/>
        <v>3536</v>
      </c>
      <c r="BO315" s="1473"/>
      <c r="BP315" s="1473"/>
    </row>
    <row r="316" s="200" customFormat="1" ht="36" customHeight="1" spans="1:68">
      <c r="A316" s="1529">
        <v>45422</v>
      </c>
      <c r="B316" s="1509" t="s">
        <v>1403</v>
      </c>
      <c r="C316" s="1508" t="s">
        <v>117</v>
      </c>
      <c r="D316" s="529">
        <v>4500133052</v>
      </c>
      <c r="E316" s="1509" t="s">
        <v>1404</v>
      </c>
      <c r="F316" s="529" t="s">
        <v>1405</v>
      </c>
      <c r="G316" s="531" t="s">
        <v>96</v>
      </c>
      <c r="H316" s="532" t="s">
        <v>74</v>
      </c>
      <c r="I316" s="401">
        <v>450</v>
      </c>
      <c r="J316" s="562">
        <v>0</v>
      </c>
      <c r="K316" s="531">
        <v>50</v>
      </c>
      <c r="L316" s="401">
        <f t="shared" si="157"/>
        <v>9</v>
      </c>
      <c r="M316" s="563">
        <v>45464</v>
      </c>
      <c r="N316" s="1495">
        <v>45465</v>
      </c>
      <c r="O316" s="564"/>
      <c r="P316" s="564" t="s">
        <v>1262</v>
      </c>
      <c r="Q316" s="564" t="s">
        <v>1406</v>
      </c>
      <c r="R316" s="564">
        <v>45422</v>
      </c>
      <c r="S316" s="564" t="s">
        <v>77</v>
      </c>
      <c r="T316" s="564" t="s">
        <v>77</v>
      </c>
      <c r="U316" s="530" t="s">
        <v>1407</v>
      </c>
      <c r="V316" s="530" t="s">
        <v>671</v>
      </c>
      <c r="W316" s="592">
        <v>1.4395</v>
      </c>
      <c r="X316" s="593">
        <f t="shared" si="158"/>
        <v>647.775</v>
      </c>
      <c r="Y316" s="401" t="s">
        <v>1408</v>
      </c>
      <c r="Z316" s="607" t="s">
        <v>96</v>
      </c>
      <c r="AA316" s="1453" t="s">
        <v>128</v>
      </c>
      <c r="AB316" s="608"/>
      <c r="AC316" s="608"/>
      <c r="AD316" s="608"/>
      <c r="AE316" s="564" t="s">
        <v>80</v>
      </c>
      <c r="AF316" s="564"/>
      <c r="AG316" s="608">
        <f t="shared" si="161"/>
        <v>450</v>
      </c>
      <c r="AH316" s="608"/>
      <c r="AI316" s="608"/>
      <c r="AJ316" s="608"/>
      <c r="AK316" s="609">
        <f t="shared" si="162"/>
        <v>450</v>
      </c>
      <c r="AL316" s="609"/>
      <c r="AM316" s="609"/>
      <c r="AN316" s="609"/>
      <c r="AO316" s="609">
        <f t="shared" si="163"/>
        <v>450</v>
      </c>
      <c r="AP316" s="609"/>
      <c r="AQ316" s="609"/>
      <c r="AR316" s="609"/>
      <c r="AS316" s="609"/>
      <c r="AT316" s="633"/>
      <c r="AU316" s="633"/>
      <c r="AV316" s="633"/>
      <c r="AW316" s="633"/>
      <c r="AX316" s="633"/>
      <c r="AY316" s="633"/>
      <c r="AZ316" s="633"/>
      <c r="BA316" s="633">
        <f>I316/25</f>
        <v>18</v>
      </c>
      <c r="BB316" s="633"/>
      <c r="BC316" s="633"/>
      <c r="BD316" s="633"/>
      <c r="BE316" s="633"/>
      <c r="BF316" s="633"/>
      <c r="BG316" s="633"/>
      <c r="BH316" s="633"/>
      <c r="BI316" s="633"/>
      <c r="BJ316" s="633"/>
      <c r="BK316" s="633"/>
      <c r="BL316" s="633"/>
      <c r="BM316" s="401">
        <f t="shared" si="126"/>
        <v>450</v>
      </c>
      <c r="BO316" s="1473"/>
      <c r="BP316" s="1473"/>
    </row>
    <row r="317" s="200" customFormat="1" ht="36" customHeight="1" spans="1:68">
      <c r="A317" s="1529">
        <v>45412</v>
      </c>
      <c r="B317" s="1509" t="s">
        <v>250</v>
      </c>
      <c r="C317" s="1508" t="s">
        <v>180</v>
      </c>
      <c r="D317" s="529">
        <v>4500132385</v>
      </c>
      <c r="E317" s="1509">
        <v>5200004762</v>
      </c>
      <c r="F317" s="529" t="s">
        <v>1409</v>
      </c>
      <c r="G317" s="531" t="s">
        <v>252</v>
      </c>
      <c r="H317" s="532" t="s">
        <v>74</v>
      </c>
      <c r="I317" s="401">
        <v>1512</v>
      </c>
      <c r="J317" s="562">
        <v>0</v>
      </c>
      <c r="K317" s="531">
        <v>21</v>
      </c>
      <c r="L317" s="401">
        <f t="shared" si="157"/>
        <v>72</v>
      </c>
      <c r="M317" s="1495">
        <v>45464</v>
      </c>
      <c r="N317" s="1495">
        <v>45465</v>
      </c>
      <c r="O317" s="564" t="s">
        <v>1410</v>
      </c>
      <c r="P317" s="564" t="s">
        <v>92</v>
      </c>
      <c r="Q317" s="564" t="s">
        <v>1411</v>
      </c>
      <c r="R317" s="564">
        <v>45420</v>
      </c>
      <c r="S317" s="564" t="s">
        <v>77</v>
      </c>
      <c r="T317" s="564" t="s">
        <v>1412</v>
      </c>
      <c r="U317" s="530" t="s">
        <v>1413</v>
      </c>
      <c r="V317" s="596" t="s">
        <v>410</v>
      </c>
      <c r="W317" s="592">
        <v>1.4585</v>
      </c>
      <c r="X317" s="593">
        <f t="shared" si="158"/>
        <v>2205.252</v>
      </c>
      <c r="Y317" s="401" t="s">
        <v>1414</v>
      </c>
      <c r="Z317" s="607" t="s">
        <v>257</v>
      </c>
      <c r="AA317" s="1453" t="s">
        <v>128</v>
      </c>
      <c r="AB317" s="608"/>
      <c r="AC317" s="608"/>
      <c r="AD317" s="608"/>
      <c r="AE317" s="564" t="s">
        <v>80</v>
      </c>
      <c r="AF317" s="564"/>
      <c r="AG317" s="608">
        <f t="shared" si="161"/>
        <v>1512</v>
      </c>
      <c r="AH317" s="608"/>
      <c r="AI317" s="608"/>
      <c r="AJ317" s="608"/>
      <c r="AK317" s="609"/>
      <c r="AL317" s="609">
        <f t="shared" ref="AL317:AL322" si="164">I317</f>
        <v>1512</v>
      </c>
      <c r="AM317" s="609"/>
      <c r="AN317" s="609"/>
      <c r="AO317" s="609">
        <f>AG317</f>
        <v>1512</v>
      </c>
      <c r="AP317" s="609"/>
      <c r="AQ317" s="609"/>
      <c r="AR317" s="609"/>
      <c r="AS317" s="609"/>
      <c r="AT317" s="633">
        <f>I317/21</f>
        <v>72</v>
      </c>
      <c r="AU317" s="633"/>
      <c r="AV317" s="633"/>
      <c r="AW317" s="633"/>
      <c r="AX317" s="633"/>
      <c r="AY317" s="633"/>
      <c r="AZ317" s="633"/>
      <c r="BA317" s="633"/>
      <c r="BB317" s="633"/>
      <c r="BC317" s="633"/>
      <c r="BD317" s="633"/>
      <c r="BE317" s="633"/>
      <c r="BF317" s="633"/>
      <c r="BG317" s="633"/>
      <c r="BH317" s="633"/>
      <c r="BI317" s="633"/>
      <c r="BJ317" s="633"/>
      <c r="BK317" s="633"/>
      <c r="BL317" s="633"/>
      <c r="BM317" s="401">
        <f t="shared" si="126"/>
        <v>1512</v>
      </c>
      <c r="BO317" s="1473"/>
      <c r="BP317" s="1473"/>
    </row>
    <row r="318" s="200" customFormat="1" ht="36" customHeight="1" spans="1:73">
      <c r="A318" s="526">
        <v>45429</v>
      </c>
      <c r="B318" s="1540" t="s">
        <v>1372</v>
      </c>
      <c r="C318" s="528" t="s">
        <v>351</v>
      </c>
      <c r="D318" s="529">
        <v>4500133719</v>
      </c>
      <c r="E318" s="1509" t="s">
        <v>1382</v>
      </c>
      <c r="F318" s="529" t="s">
        <v>1415</v>
      </c>
      <c r="G318" s="531" t="s">
        <v>628</v>
      </c>
      <c r="H318" s="532" t="s">
        <v>623</v>
      </c>
      <c r="I318" s="401">
        <v>696</v>
      </c>
      <c r="J318" s="562">
        <v>0</v>
      </c>
      <c r="K318" s="531">
        <v>12</v>
      </c>
      <c r="L318" s="401">
        <f t="shared" si="157"/>
        <v>58</v>
      </c>
      <c r="M318" s="563">
        <v>45460</v>
      </c>
      <c r="N318" s="1495">
        <v>45464</v>
      </c>
      <c r="O318" s="564"/>
      <c r="P318" s="564" t="s">
        <v>92</v>
      </c>
      <c r="Q318" s="564" t="s">
        <v>1384</v>
      </c>
      <c r="R318" s="564">
        <v>45429</v>
      </c>
      <c r="S318" s="564" t="s">
        <v>123</v>
      </c>
      <c r="T318" s="564" t="s">
        <v>1385</v>
      </c>
      <c r="U318" s="1499" t="s">
        <v>1386</v>
      </c>
      <c r="V318" s="530" t="s">
        <v>156</v>
      </c>
      <c r="W318" s="592">
        <v>3.1799</v>
      </c>
      <c r="X318" s="593">
        <f t="shared" si="158"/>
        <v>2213.2104</v>
      </c>
      <c r="Y318" s="401" t="s">
        <v>1387</v>
      </c>
      <c r="Z318" s="607" t="s">
        <v>628</v>
      </c>
      <c r="AA318" s="1453" t="s">
        <v>128</v>
      </c>
      <c r="AB318" s="608"/>
      <c r="AC318" s="608"/>
      <c r="AD318" s="608"/>
      <c r="AE318" s="564" t="s">
        <v>80</v>
      </c>
      <c r="AF318" s="564"/>
      <c r="AG318" s="608">
        <f>I318*2</f>
        <v>1392</v>
      </c>
      <c r="AH318" s="608"/>
      <c r="AI318" s="608"/>
      <c r="AJ318" s="401">
        <f>AG318</f>
        <v>1392</v>
      </c>
      <c r="AK318" s="609"/>
      <c r="AM318" s="609"/>
      <c r="AN318" s="609"/>
      <c r="AO318" s="609">
        <f>I318*2</f>
        <v>1392</v>
      </c>
      <c r="AP318" s="615"/>
      <c r="AQ318" s="609"/>
      <c r="AR318" s="609"/>
      <c r="AS318" s="609"/>
      <c r="AT318" s="633"/>
      <c r="AU318" s="633"/>
      <c r="AV318" s="633"/>
      <c r="AW318" s="401"/>
      <c r="AX318" s="633"/>
      <c r="AY318" s="633"/>
      <c r="AZ318" s="633"/>
      <c r="BA318" s="633"/>
      <c r="BB318" s="633"/>
      <c r="BC318" s="633"/>
      <c r="BD318" s="633"/>
      <c r="BE318" s="633"/>
      <c r="BF318" s="633"/>
      <c r="BG318" s="633"/>
      <c r="BH318" s="633"/>
      <c r="BI318" s="633"/>
      <c r="BJ318" s="633"/>
      <c r="BK318" s="633">
        <f>I318</f>
        <v>696</v>
      </c>
      <c r="BL318" s="633">
        <f>I318</f>
        <v>696</v>
      </c>
      <c r="BM318" s="401">
        <f t="shared" si="126"/>
        <v>1392</v>
      </c>
      <c r="BO318" s="1473"/>
      <c r="BP318" s="1473"/>
      <c r="BU318" s="1502" t="s">
        <v>1343</v>
      </c>
    </row>
    <row r="319" s="200" customFormat="1" ht="36" customHeight="1" spans="1:68">
      <c r="A319" s="1529">
        <v>45435</v>
      </c>
      <c r="B319" s="1509" t="s">
        <v>507</v>
      </c>
      <c r="C319" s="1508" t="s">
        <v>213</v>
      </c>
      <c r="D319" s="529">
        <v>4500134461</v>
      </c>
      <c r="E319" s="1509">
        <v>2660915</v>
      </c>
      <c r="F319" s="529" t="s">
        <v>1416</v>
      </c>
      <c r="G319" s="531" t="s">
        <v>160</v>
      </c>
      <c r="H319" s="532" t="s">
        <v>74</v>
      </c>
      <c r="I319" s="401">
        <v>2691</v>
      </c>
      <c r="J319" s="562">
        <v>0</v>
      </c>
      <c r="K319" s="531">
        <v>13</v>
      </c>
      <c r="L319" s="401">
        <f t="shared" si="157"/>
        <v>207</v>
      </c>
      <c r="M319" s="563">
        <v>45464</v>
      </c>
      <c r="N319" s="1495">
        <v>45465</v>
      </c>
      <c r="O319" s="564"/>
      <c r="P319" s="564" t="s">
        <v>92</v>
      </c>
      <c r="Q319" s="564" t="s">
        <v>1417</v>
      </c>
      <c r="R319" s="564">
        <v>45435</v>
      </c>
      <c r="S319" s="564" t="s">
        <v>77</v>
      </c>
      <c r="T319" s="564" t="s">
        <v>77</v>
      </c>
      <c r="U319" s="530" t="s">
        <v>1418</v>
      </c>
      <c r="V319" s="596" t="s">
        <v>230</v>
      </c>
      <c r="W319" s="592">
        <v>1.4432</v>
      </c>
      <c r="X319" s="593">
        <f t="shared" si="158"/>
        <v>3883.6512</v>
      </c>
      <c r="Y319" s="401" t="s">
        <v>1419</v>
      </c>
      <c r="Z319" s="607" t="s">
        <v>160</v>
      </c>
      <c r="AA319" s="1453" t="s">
        <v>128</v>
      </c>
      <c r="AB319" s="608"/>
      <c r="AC319" s="608"/>
      <c r="AD319" s="608"/>
      <c r="AE319" s="564" t="s">
        <v>80</v>
      </c>
      <c r="AF319" s="564"/>
      <c r="AG319" s="608">
        <f t="shared" ref="AG319:AG321" si="165">I319</f>
        <v>2691</v>
      </c>
      <c r="AH319" s="608"/>
      <c r="AI319" s="608"/>
      <c r="AJ319" s="608"/>
      <c r="AK319" s="609">
        <f t="shared" si="162"/>
        <v>2691</v>
      </c>
      <c r="AL319" s="609"/>
      <c r="AM319" s="609"/>
      <c r="AN319" s="609"/>
      <c r="AO319" s="609">
        <f t="shared" si="163"/>
        <v>2691</v>
      </c>
      <c r="AP319" s="609"/>
      <c r="AQ319" s="609"/>
      <c r="AR319" s="609"/>
      <c r="AS319" s="609"/>
      <c r="AT319" s="633"/>
      <c r="AU319" s="633"/>
      <c r="AV319" s="633"/>
      <c r="AW319" s="633"/>
      <c r="AX319" s="633"/>
      <c r="AY319" s="633">
        <f>I319/13</f>
        <v>207</v>
      </c>
      <c r="AZ319" s="633"/>
      <c r="BA319" s="633"/>
      <c r="BB319" s="633"/>
      <c r="BC319" s="633"/>
      <c r="BD319" s="633"/>
      <c r="BE319" s="633"/>
      <c r="BF319" s="633"/>
      <c r="BG319" s="633"/>
      <c r="BH319" s="633"/>
      <c r="BI319" s="633"/>
      <c r="BJ319" s="633"/>
      <c r="BK319" s="633"/>
      <c r="BL319" s="633"/>
      <c r="BM319" s="401">
        <f t="shared" si="126"/>
        <v>2691</v>
      </c>
      <c r="BO319" s="1473"/>
      <c r="BP319" s="1473"/>
    </row>
    <row r="320" s="200" customFormat="1" ht="36" customHeight="1" spans="1:68">
      <c r="A320" s="526">
        <v>45408</v>
      </c>
      <c r="B320" s="1540" t="s">
        <v>116</v>
      </c>
      <c r="C320" s="528" t="s">
        <v>117</v>
      </c>
      <c r="D320" s="529">
        <v>4500131217</v>
      </c>
      <c r="E320" s="1509">
        <v>2460981</v>
      </c>
      <c r="F320" s="529" t="s">
        <v>1420</v>
      </c>
      <c r="G320" s="1546" t="s">
        <v>120</v>
      </c>
      <c r="H320" s="532" t="s">
        <v>74</v>
      </c>
      <c r="I320" s="401">
        <v>17997</v>
      </c>
      <c r="J320" s="562">
        <v>0</v>
      </c>
      <c r="K320" s="531">
        <v>21</v>
      </c>
      <c r="L320" s="401">
        <f t="shared" si="157"/>
        <v>857</v>
      </c>
      <c r="M320" s="563">
        <v>45460</v>
      </c>
      <c r="N320" s="1495">
        <v>45465</v>
      </c>
      <c r="O320" s="564"/>
      <c r="P320" s="564" t="s">
        <v>92</v>
      </c>
      <c r="Q320" s="564" t="s">
        <v>1421</v>
      </c>
      <c r="R320" s="564">
        <v>45425</v>
      </c>
      <c r="S320" s="564" t="s">
        <v>123</v>
      </c>
      <c r="T320" s="564" t="s">
        <v>1422</v>
      </c>
      <c r="U320" s="530" t="s">
        <v>1423</v>
      </c>
      <c r="V320" s="530" t="s">
        <v>126</v>
      </c>
      <c r="W320" s="592">
        <v>1.4296</v>
      </c>
      <c r="X320" s="593">
        <f>W320*L320</f>
        <v>1225.1672</v>
      </c>
      <c r="Y320" s="401" t="s">
        <v>1424</v>
      </c>
      <c r="Z320" s="607" t="s">
        <v>120</v>
      </c>
      <c r="AA320" s="1453" t="s">
        <v>128</v>
      </c>
      <c r="AB320" s="608"/>
      <c r="AC320" s="608"/>
      <c r="AD320" s="608"/>
      <c r="AE320" s="564" t="s">
        <v>80</v>
      </c>
      <c r="AF320" s="564"/>
      <c r="AG320" s="608">
        <f t="shared" si="165"/>
        <v>17997</v>
      </c>
      <c r="AH320" s="608"/>
      <c r="AI320" s="608"/>
      <c r="AJ320" s="608"/>
      <c r="AK320" s="609">
        <f>AG320</f>
        <v>17997</v>
      </c>
      <c r="AL320" s="609"/>
      <c r="AM320" s="609"/>
      <c r="AN320" s="609"/>
      <c r="AO320" s="615">
        <f t="shared" si="163"/>
        <v>17997</v>
      </c>
      <c r="AP320" s="615"/>
      <c r="AQ320" s="609"/>
      <c r="AR320" s="609"/>
      <c r="AS320" s="609">
        <f>I320/21</f>
        <v>857</v>
      </c>
      <c r="AT320" s="633"/>
      <c r="AU320" s="633"/>
      <c r="AV320" s="633"/>
      <c r="AW320" s="401"/>
      <c r="AX320" s="633"/>
      <c r="AY320" s="633"/>
      <c r="AZ320" s="633"/>
      <c r="BA320" s="633"/>
      <c r="BB320" s="633"/>
      <c r="BC320" s="633"/>
      <c r="BD320" s="633"/>
      <c r="BE320" s="633"/>
      <c r="BF320" s="633"/>
      <c r="BG320" s="633"/>
      <c r="BH320" s="633"/>
      <c r="BI320" s="633"/>
      <c r="BJ320" s="633"/>
      <c r="BK320" s="633"/>
      <c r="BL320" s="633"/>
      <c r="BM320" s="401">
        <f t="shared" si="126"/>
        <v>17997</v>
      </c>
      <c r="BO320" s="1473"/>
      <c r="BP320" s="1473"/>
    </row>
    <row r="321" s="200" customFormat="1" ht="36" customHeight="1" spans="1:68">
      <c r="A321" s="1477">
        <v>45399</v>
      </c>
      <c r="B321" s="530" t="s">
        <v>1425</v>
      </c>
      <c r="C321" s="1478" t="s">
        <v>286</v>
      </c>
      <c r="D321" s="1532">
        <v>4500130299</v>
      </c>
      <c r="E321" s="1533"/>
      <c r="F321" s="1680" t="s">
        <v>1426</v>
      </c>
      <c r="G321" s="531" t="s">
        <v>96</v>
      </c>
      <c r="H321" s="1512" t="s">
        <v>74</v>
      </c>
      <c r="I321" s="1564">
        <v>2500</v>
      </c>
      <c r="J321" s="1518">
        <v>0</v>
      </c>
      <c r="K321" s="1510">
        <v>50</v>
      </c>
      <c r="L321" s="616">
        <f t="shared" si="157"/>
        <v>50</v>
      </c>
      <c r="M321" s="563">
        <v>45456</v>
      </c>
      <c r="N321" s="1495">
        <v>45467</v>
      </c>
      <c r="O321" s="564" t="s">
        <v>1427</v>
      </c>
      <c r="P321" s="1552" t="s">
        <v>1428</v>
      </c>
      <c r="Q321" s="200" t="s">
        <v>1429</v>
      </c>
      <c r="R321" s="1523">
        <v>45423</v>
      </c>
      <c r="S321" s="1519" t="s">
        <v>123</v>
      </c>
      <c r="T321" s="1519" t="s">
        <v>1430</v>
      </c>
      <c r="U321" s="530" t="s">
        <v>1431</v>
      </c>
      <c r="V321" s="564" t="s">
        <v>290</v>
      </c>
      <c r="W321" s="1520">
        <v>1.4344</v>
      </c>
      <c r="X321" s="1521">
        <f t="shared" ref="X321:X330" si="166">I321*W321</f>
        <v>3586</v>
      </c>
      <c r="Y321" s="401" t="s">
        <v>1432</v>
      </c>
      <c r="Z321" s="607" t="s">
        <v>220</v>
      </c>
      <c r="AA321" s="1453" t="s">
        <v>128</v>
      </c>
      <c r="AB321" s="608"/>
      <c r="AC321" s="608"/>
      <c r="AD321" s="608"/>
      <c r="AE321" s="564" t="s">
        <v>80</v>
      </c>
      <c r="AF321" s="1515"/>
      <c r="AG321" s="614">
        <f t="shared" si="165"/>
        <v>2500</v>
      </c>
      <c r="AH321" s="608"/>
      <c r="AI321" s="608"/>
      <c r="AJ321" s="608"/>
      <c r="AK321" s="609"/>
      <c r="AL321" s="615">
        <f t="shared" si="164"/>
        <v>2500</v>
      </c>
      <c r="AM321" s="609"/>
      <c r="AN321" s="609"/>
      <c r="AO321" s="615">
        <f t="shared" si="163"/>
        <v>2500</v>
      </c>
      <c r="AP321" s="615"/>
      <c r="AQ321" s="609"/>
      <c r="AR321" s="609"/>
      <c r="AS321" s="609"/>
      <c r="AT321" s="633"/>
      <c r="AU321" s="633"/>
      <c r="AV321" s="633"/>
      <c r="AW321" s="401"/>
      <c r="AX321" s="633"/>
      <c r="AY321" s="633"/>
      <c r="AZ321" s="633"/>
      <c r="BA321" s="633"/>
      <c r="BB321" s="632">
        <f>I321/25</f>
        <v>100</v>
      </c>
      <c r="BC321" s="632"/>
      <c r="BD321" s="633"/>
      <c r="BE321" s="633"/>
      <c r="BF321" s="633"/>
      <c r="BG321" s="633"/>
      <c r="BH321" s="633"/>
      <c r="BI321" s="633"/>
      <c r="BJ321" s="633"/>
      <c r="BK321" s="633"/>
      <c r="BL321" s="633"/>
      <c r="BM321" s="401">
        <f t="shared" si="126"/>
        <v>2500</v>
      </c>
      <c r="BO321" s="1473"/>
      <c r="BP321" s="1473"/>
    </row>
    <row r="322" s="200" customFormat="1" ht="36" customHeight="1" spans="1:68">
      <c r="A322" s="1529">
        <v>45425</v>
      </c>
      <c r="B322" s="1530" t="s">
        <v>1433</v>
      </c>
      <c r="C322" s="1543" t="s">
        <v>1162</v>
      </c>
      <c r="D322" s="529">
        <v>4500133308</v>
      </c>
      <c r="E322" s="1548"/>
      <c r="F322" s="529" t="s">
        <v>1434</v>
      </c>
      <c r="G322" s="531" t="s">
        <v>1435</v>
      </c>
      <c r="H322" s="532" t="s">
        <v>1165</v>
      </c>
      <c r="I322" s="401">
        <v>1950</v>
      </c>
      <c r="J322" s="562">
        <v>0</v>
      </c>
      <c r="K322" s="531">
        <v>13</v>
      </c>
      <c r="L322" s="401">
        <f t="shared" si="157"/>
        <v>150</v>
      </c>
      <c r="M322" s="563">
        <v>45463</v>
      </c>
      <c r="N322" s="1495">
        <v>45467</v>
      </c>
      <c r="O322" s="1474" t="s">
        <v>1436</v>
      </c>
      <c r="P322" s="564" t="s">
        <v>92</v>
      </c>
      <c r="Q322" s="564" t="s">
        <v>1437</v>
      </c>
      <c r="R322" s="564">
        <v>45436</v>
      </c>
      <c r="S322" s="564" t="s">
        <v>77</v>
      </c>
      <c r="T322" s="564" t="s">
        <v>1438</v>
      </c>
      <c r="U322" s="1499" t="s">
        <v>1439</v>
      </c>
      <c r="V322" s="530" t="s">
        <v>194</v>
      </c>
      <c r="W322" s="592">
        <v>1.4046</v>
      </c>
      <c r="X322" s="593">
        <f t="shared" si="166"/>
        <v>2738.97</v>
      </c>
      <c r="Y322" s="401" t="s">
        <v>1440</v>
      </c>
      <c r="Z322" s="607" t="s">
        <v>862</v>
      </c>
      <c r="AA322" s="1453" t="s">
        <v>128</v>
      </c>
      <c r="AB322" s="608"/>
      <c r="AC322" s="608"/>
      <c r="AD322" s="608"/>
      <c r="AE322" s="564" t="s">
        <v>80</v>
      </c>
      <c r="AF322" s="564"/>
      <c r="AG322" s="608"/>
      <c r="AH322" s="614">
        <f>I322</f>
        <v>1950</v>
      </c>
      <c r="AI322" s="614"/>
      <c r="AJ322" s="608"/>
      <c r="AK322" s="609"/>
      <c r="AL322" s="609">
        <f t="shared" si="164"/>
        <v>1950</v>
      </c>
      <c r="AM322" s="609"/>
      <c r="AN322" s="609"/>
      <c r="AO322" s="609">
        <f t="shared" si="163"/>
        <v>1950</v>
      </c>
      <c r="AP322" s="609"/>
      <c r="AQ322" s="609"/>
      <c r="AR322" s="609"/>
      <c r="AS322" s="609"/>
      <c r="AT322" s="633"/>
      <c r="AU322" s="633"/>
      <c r="AV322" s="633"/>
      <c r="AW322" s="633"/>
      <c r="AX322" s="633"/>
      <c r="AY322" s="633"/>
      <c r="AZ322" s="633">
        <f>I322/13</f>
        <v>150</v>
      </c>
      <c r="BA322" s="633"/>
      <c r="BB322" s="633"/>
      <c r="BC322" s="633"/>
      <c r="BD322" s="633"/>
      <c r="BE322" s="633"/>
      <c r="BF322" s="633"/>
      <c r="BG322" s="633"/>
      <c r="BH322" s="633"/>
      <c r="BI322" s="633"/>
      <c r="BJ322" s="633"/>
      <c r="BK322" s="633"/>
      <c r="BL322" s="633"/>
      <c r="BM322" s="401">
        <f t="shared" si="126"/>
        <v>1950</v>
      </c>
      <c r="BO322" s="1473"/>
      <c r="BP322" s="1473"/>
    </row>
    <row r="323" s="200" customFormat="1" ht="36" customHeight="1" spans="1:73">
      <c r="A323" s="526">
        <v>45422</v>
      </c>
      <c r="B323" s="1507" t="s">
        <v>151</v>
      </c>
      <c r="C323" s="528" t="s">
        <v>117</v>
      </c>
      <c r="D323" s="529">
        <v>4500133139</v>
      </c>
      <c r="E323" s="1509" t="s">
        <v>1441</v>
      </c>
      <c r="F323" s="529" t="s">
        <v>1442</v>
      </c>
      <c r="G323" s="1510" t="s">
        <v>628</v>
      </c>
      <c r="H323" s="532" t="s">
        <v>623</v>
      </c>
      <c r="I323" s="401">
        <v>612</v>
      </c>
      <c r="J323" s="562">
        <v>0</v>
      </c>
      <c r="K323" s="531">
        <v>12</v>
      </c>
      <c r="L323" s="401">
        <f t="shared" si="157"/>
        <v>51</v>
      </c>
      <c r="M323" s="570">
        <v>45446</v>
      </c>
      <c r="N323" s="1495">
        <v>45467</v>
      </c>
      <c r="O323" s="564"/>
      <c r="P323" s="564" t="s">
        <v>92</v>
      </c>
      <c r="Q323" s="1515" t="s">
        <v>1443</v>
      </c>
      <c r="R323" s="1523">
        <v>45422</v>
      </c>
      <c r="S323" s="564" t="s">
        <v>123</v>
      </c>
      <c r="T323" s="1519" t="s">
        <v>1444</v>
      </c>
      <c r="U323" s="1509" t="s">
        <v>1445</v>
      </c>
      <c r="V323" s="1515" t="s">
        <v>156</v>
      </c>
      <c r="W323" s="592">
        <v>3.054</v>
      </c>
      <c r="X323" s="593">
        <f t="shared" si="166"/>
        <v>1869.048</v>
      </c>
      <c r="Y323" s="616" t="s">
        <v>1446</v>
      </c>
      <c r="Z323" s="607" t="s">
        <v>628</v>
      </c>
      <c r="AA323" s="1525" t="s">
        <v>128</v>
      </c>
      <c r="AB323" s="614"/>
      <c r="AC323" s="614"/>
      <c r="AD323" s="614"/>
      <c r="AE323" s="1515" t="s">
        <v>80</v>
      </c>
      <c r="AF323" s="1515"/>
      <c r="AG323" s="608">
        <f t="shared" ref="AG323:AG330" si="167">I323*2</f>
        <v>1224</v>
      </c>
      <c r="AH323" s="614"/>
      <c r="AI323" s="614"/>
      <c r="AJ323" s="1558">
        <f t="shared" ref="AJ323:AJ330" si="168">I323*2</f>
        <v>1224</v>
      </c>
      <c r="AK323" s="401"/>
      <c r="AL323" s="615"/>
      <c r="AM323" s="615"/>
      <c r="AN323" s="615"/>
      <c r="AO323" s="609">
        <f t="shared" ref="AO323:AO330" si="169">I323*2</f>
        <v>1224</v>
      </c>
      <c r="AP323" s="615"/>
      <c r="AQ323" s="609"/>
      <c r="AR323" s="615"/>
      <c r="AS323" s="615"/>
      <c r="AV323" s="633"/>
      <c r="AW323" s="616"/>
      <c r="AX323" s="632"/>
      <c r="AY323" s="632"/>
      <c r="AZ323" s="632"/>
      <c r="BA323" s="632"/>
      <c r="BB323" s="632"/>
      <c r="BC323" s="632"/>
      <c r="BD323" s="632"/>
      <c r="BE323" s="632"/>
      <c r="BF323" s="632"/>
      <c r="BG323" s="632"/>
      <c r="BH323" s="632"/>
      <c r="BI323" s="632"/>
      <c r="BJ323" s="632"/>
      <c r="BK323" s="633">
        <f t="shared" ref="BK323:BK330" si="170">I323</f>
        <v>612</v>
      </c>
      <c r="BL323" s="633">
        <f t="shared" ref="BL323:BL330" si="171">I323</f>
        <v>612</v>
      </c>
      <c r="BM323" s="401">
        <f t="shared" si="126"/>
        <v>1224</v>
      </c>
      <c r="BO323" s="1473"/>
      <c r="BP323" s="1473"/>
      <c r="BU323" s="1502" t="s">
        <v>1278</v>
      </c>
    </row>
    <row r="324" s="200" customFormat="1" ht="36" customHeight="1" spans="1:73">
      <c r="A324" s="526">
        <v>45422</v>
      </c>
      <c r="B324" s="1507" t="s">
        <v>151</v>
      </c>
      <c r="C324" s="528" t="s">
        <v>117</v>
      </c>
      <c r="D324" s="529">
        <v>4500133139</v>
      </c>
      <c r="E324" s="1509" t="s">
        <v>1447</v>
      </c>
      <c r="F324" s="529" t="s">
        <v>1448</v>
      </c>
      <c r="G324" s="1510" t="s">
        <v>628</v>
      </c>
      <c r="H324" s="532" t="s">
        <v>623</v>
      </c>
      <c r="I324" s="401">
        <v>1836</v>
      </c>
      <c r="J324" s="562">
        <v>0</v>
      </c>
      <c r="K324" s="531">
        <v>12</v>
      </c>
      <c r="L324" s="401">
        <f t="shared" si="157"/>
        <v>153</v>
      </c>
      <c r="M324" s="570">
        <v>45446</v>
      </c>
      <c r="N324" s="1495">
        <v>45467</v>
      </c>
      <c r="O324" s="1515"/>
      <c r="P324" s="564" t="s">
        <v>92</v>
      </c>
      <c r="Q324" s="1515" t="s">
        <v>1443</v>
      </c>
      <c r="R324" s="1523">
        <v>45422</v>
      </c>
      <c r="S324" s="564" t="s">
        <v>123</v>
      </c>
      <c r="T324" s="1519" t="s">
        <v>1444</v>
      </c>
      <c r="U324" s="1509" t="s">
        <v>1445</v>
      </c>
      <c r="V324" s="1515" t="s">
        <v>156</v>
      </c>
      <c r="W324" s="592">
        <v>3.0911</v>
      </c>
      <c r="X324" s="593">
        <f t="shared" si="166"/>
        <v>5675.2596</v>
      </c>
      <c r="Y324" s="616" t="s">
        <v>1449</v>
      </c>
      <c r="Z324" s="607" t="s">
        <v>628</v>
      </c>
      <c r="AA324" s="1525" t="s">
        <v>128</v>
      </c>
      <c r="AB324" s="614"/>
      <c r="AC324" s="614"/>
      <c r="AD324" s="614"/>
      <c r="AE324" s="1515" t="s">
        <v>80</v>
      </c>
      <c r="AF324" s="1515"/>
      <c r="AG324" s="608">
        <f t="shared" si="167"/>
        <v>3672</v>
      </c>
      <c r="AH324" s="614"/>
      <c r="AI324" s="614"/>
      <c r="AJ324" s="1558">
        <f t="shared" si="168"/>
        <v>3672</v>
      </c>
      <c r="AK324" s="401"/>
      <c r="AL324" s="615"/>
      <c r="AM324" s="615"/>
      <c r="AN324" s="615"/>
      <c r="AO324" s="609">
        <f t="shared" si="169"/>
        <v>3672</v>
      </c>
      <c r="AP324" s="615"/>
      <c r="AQ324" s="609"/>
      <c r="AR324" s="615"/>
      <c r="AS324" s="615"/>
      <c r="AV324" s="633"/>
      <c r="AW324" s="616"/>
      <c r="AX324" s="632"/>
      <c r="AY324" s="632"/>
      <c r="AZ324" s="632"/>
      <c r="BA324" s="632"/>
      <c r="BB324" s="632"/>
      <c r="BC324" s="632"/>
      <c r="BD324" s="632"/>
      <c r="BE324" s="632"/>
      <c r="BF324" s="632"/>
      <c r="BG324" s="632"/>
      <c r="BH324" s="632"/>
      <c r="BI324" s="632"/>
      <c r="BJ324" s="632"/>
      <c r="BK324" s="633">
        <f t="shared" si="170"/>
        <v>1836</v>
      </c>
      <c r="BL324" s="633">
        <f t="shared" si="171"/>
        <v>1836</v>
      </c>
      <c r="BM324" s="401">
        <f t="shared" ref="BM324:BM387" si="172">AG324+AH324+AI324</f>
        <v>3672</v>
      </c>
      <c r="BO324" s="1473"/>
      <c r="BP324" s="1473"/>
      <c r="BU324" s="1502" t="s">
        <v>1278</v>
      </c>
    </row>
    <row r="325" s="200" customFormat="1" ht="36" customHeight="1" spans="1:73">
      <c r="A325" s="526">
        <v>45422</v>
      </c>
      <c r="B325" s="1507" t="s">
        <v>151</v>
      </c>
      <c r="C325" s="528" t="s">
        <v>117</v>
      </c>
      <c r="D325" s="529">
        <v>4500133139</v>
      </c>
      <c r="E325" s="1509" t="s">
        <v>1450</v>
      </c>
      <c r="F325" s="529" t="s">
        <v>1451</v>
      </c>
      <c r="G325" s="1510" t="s">
        <v>628</v>
      </c>
      <c r="H325" s="532" t="s">
        <v>623</v>
      </c>
      <c r="I325" s="401">
        <v>1980</v>
      </c>
      <c r="J325" s="562">
        <v>0</v>
      </c>
      <c r="K325" s="531">
        <v>12</v>
      </c>
      <c r="L325" s="401">
        <f t="shared" si="157"/>
        <v>165</v>
      </c>
      <c r="M325" s="570">
        <v>45446</v>
      </c>
      <c r="N325" s="1495">
        <v>45467</v>
      </c>
      <c r="O325" s="1515"/>
      <c r="P325" s="564" t="s">
        <v>92</v>
      </c>
      <c r="Q325" s="1515" t="s">
        <v>1443</v>
      </c>
      <c r="R325" s="1523">
        <v>45422</v>
      </c>
      <c r="S325" s="564" t="s">
        <v>123</v>
      </c>
      <c r="T325" s="1519" t="s">
        <v>1444</v>
      </c>
      <c r="U325" s="1509" t="s">
        <v>1445</v>
      </c>
      <c r="V325" s="1515" t="s">
        <v>156</v>
      </c>
      <c r="W325" s="592">
        <v>3.0911</v>
      </c>
      <c r="X325" s="593">
        <f t="shared" si="166"/>
        <v>6120.378</v>
      </c>
      <c r="Y325" s="616" t="s">
        <v>1449</v>
      </c>
      <c r="Z325" s="607" t="s">
        <v>628</v>
      </c>
      <c r="AA325" s="1525" t="s">
        <v>128</v>
      </c>
      <c r="AB325" s="614"/>
      <c r="AC325" s="614"/>
      <c r="AD325" s="614"/>
      <c r="AE325" s="1515" t="s">
        <v>80</v>
      </c>
      <c r="AF325" s="1515"/>
      <c r="AG325" s="608">
        <f t="shared" si="167"/>
        <v>3960</v>
      </c>
      <c r="AH325" s="614"/>
      <c r="AI325" s="614"/>
      <c r="AJ325" s="1558">
        <f t="shared" si="168"/>
        <v>3960</v>
      </c>
      <c r="AK325" s="401"/>
      <c r="AL325" s="615"/>
      <c r="AM325" s="615"/>
      <c r="AN325" s="615"/>
      <c r="AO325" s="609">
        <f t="shared" si="169"/>
        <v>3960</v>
      </c>
      <c r="AP325" s="615"/>
      <c r="AQ325" s="609"/>
      <c r="AR325" s="615"/>
      <c r="AS325" s="615"/>
      <c r="AV325" s="633"/>
      <c r="AW325" s="616"/>
      <c r="AX325" s="632"/>
      <c r="AY325" s="632"/>
      <c r="AZ325" s="632"/>
      <c r="BA325" s="632"/>
      <c r="BB325" s="632"/>
      <c r="BC325" s="632"/>
      <c r="BD325" s="632"/>
      <c r="BE325" s="632"/>
      <c r="BF325" s="632"/>
      <c r="BG325" s="632"/>
      <c r="BH325" s="632"/>
      <c r="BI325" s="632"/>
      <c r="BJ325" s="632"/>
      <c r="BK325" s="633">
        <f t="shared" si="170"/>
        <v>1980</v>
      </c>
      <c r="BL325" s="633">
        <f t="shared" si="171"/>
        <v>1980</v>
      </c>
      <c r="BM325" s="401">
        <f t="shared" si="172"/>
        <v>3960</v>
      </c>
      <c r="BO325" s="1473"/>
      <c r="BP325" s="1473"/>
      <c r="BU325" s="1502" t="s">
        <v>1278</v>
      </c>
    </row>
    <row r="326" s="200" customFormat="1" ht="36" customHeight="1" spans="1:73">
      <c r="A326" s="526">
        <v>45422</v>
      </c>
      <c r="B326" s="1507" t="s">
        <v>151</v>
      </c>
      <c r="C326" s="528" t="s">
        <v>117</v>
      </c>
      <c r="D326" s="529">
        <v>4500133139</v>
      </c>
      <c r="E326" s="1509" t="s">
        <v>1452</v>
      </c>
      <c r="F326" s="529" t="s">
        <v>1453</v>
      </c>
      <c r="G326" s="1510" t="s">
        <v>628</v>
      </c>
      <c r="H326" s="532" t="s">
        <v>623</v>
      </c>
      <c r="I326" s="401">
        <v>468</v>
      </c>
      <c r="J326" s="562">
        <v>0</v>
      </c>
      <c r="K326" s="531">
        <v>12</v>
      </c>
      <c r="L326" s="401">
        <f t="shared" si="157"/>
        <v>39</v>
      </c>
      <c r="M326" s="570">
        <v>45446</v>
      </c>
      <c r="N326" s="1495">
        <v>45467</v>
      </c>
      <c r="O326" s="1515"/>
      <c r="P326" s="564" t="s">
        <v>92</v>
      </c>
      <c r="Q326" s="1515" t="s">
        <v>1443</v>
      </c>
      <c r="R326" s="1523">
        <v>45422</v>
      </c>
      <c r="S326" s="564" t="s">
        <v>123</v>
      </c>
      <c r="T326" s="1519" t="s">
        <v>1444</v>
      </c>
      <c r="U326" s="1509" t="s">
        <v>1445</v>
      </c>
      <c r="V326" s="1515" t="s">
        <v>156</v>
      </c>
      <c r="W326" s="592">
        <v>3.0911</v>
      </c>
      <c r="X326" s="593">
        <f t="shared" si="166"/>
        <v>1446.6348</v>
      </c>
      <c r="Y326" s="616" t="s">
        <v>1446</v>
      </c>
      <c r="Z326" s="607" t="s">
        <v>628</v>
      </c>
      <c r="AA326" s="1525" t="s">
        <v>128</v>
      </c>
      <c r="AB326" s="614"/>
      <c r="AC326" s="614"/>
      <c r="AD326" s="614"/>
      <c r="AE326" s="1515" t="s">
        <v>80</v>
      </c>
      <c r="AF326" s="1515"/>
      <c r="AG326" s="608">
        <f t="shared" si="167"/>
        <v>936</v>
      </c>
      <c r="AH326" s="614"/>
      <c r="AI326" s="614"/>
      <c r="AJ326" s="1558">
        <f t="shared" si="168"/>
        <v>936</v>
      </c>
      <c r="AK326" s="401"/>
      <c r="AL326" s="615"/>
      <c r="AM326" s="615"/>
      <c r="AN326" s="615"/>
      <c r="AO326" s="609">
        <f t="shared" si="169"/>
        <v>936</v>
      </c>
      <c r="AP326" s="615"/>
      <c r="AQ326" s="609"/>
      <c r="AR326" s="615"/>
      <c r="AS326" s="615"/>
      <c r="AV326" s="633"/>
      <c r="AW326" s="616"/>
      <c r="AX326" s="632"/>
      <c r="AY326" s="632"/>
      <c r="AZ326" s="632"/>
      <c r="BA326" s="632"/>
      <c r="BB326" s="632"/>
      <c r="BC326" s="632"/>
      <c r="BD326" s="632"/>
      <c r="BE326" s="632"/>
      <c r="BF326" s="632"/>
      <c r="BG326" s="632"/>
      <c r="BH326" s="632"/>
      <c r="BI326" s="632"/>
      <c r="BJ326" s="632"/>
      <c r="BK326" s="633">
        <f t="shared" si="170"/>
        <v>468</v>
      </c>
      <c r="BL326" s="633">
        <f t="shared" si="171"/>
        <v>468</v>
      </c>
      <c r="BM326" s="401">
        <f t="shared" si="172"/>
        <v>936</v>
      </c>
      <c r="BO326" s="1473"/>
      <c r="BP326" s="1473"/>
      <c r="BU326" s="1502" t="s">
        <v>1278</v>
      </c>
    </row>
    <row r="327" s="200" customFormat="1" ht="36" customHeight="1" spans="1:73">
      <c r="A327" s="533">
        <v>45411</v>
      </c>
      <c r="B327" s="527" t="s">
        <v>151</v>
      </c>
      <c r="C327" s="528" t="s">
        <v>117</v>
      </c>
      <c r="D327" s="534">
        <v>4500132179</v>
      </c>
      <c r="E327" s="530" t="s">
        <v>1454</v>
      </c>
      <c r="F327" s="534" t="s">
        <v>1455</v>
      </c>
      <c r="G327" s="531" t="s">
        <v>628</v>
      </c>
      <c r="H327" s="532" t="s">
        <v>623</v>
      </c>
      <c r="I327" s="401">
        <v>480</v>
      </c>
      <c r="J327" s="562">
        <v>0</v>
      </c>
      <c r="K327" s="531">
        <v>12</v>
      </c>
      <c r="L327" s="401">
        <f t="shared" si="157"/>
        <v>40</v>
      </c>
      <c r="M327" s="563">
        <v>45450</v>
      </c>
      <c r="N327" s="1495">
        <v>45467</v>
      </c>
      <c r="O327" s="564" t="s">
        <v>1456</v>
      </c>
      <c r="P327" s="564" t="s">
        <v>92</v>
      </c>
      <c r="Q327" s="564" t="s">
        <v>1437</v>
      </c>
      <c r="R327" s="1523">
        <v>45411</v>
      </c>
      <c r="S327" s="1519" t="s">
        <v>123</v>
      </c>
      <c r="T327" s="1519" t="s">
        <v>1385</v>
      </c>
      <c r="U327" s="1454" t="s">
        <v>1445</v>
      </c>
      <c r="V327" s="530" t="s">
        <v>156</v>
      </c>
      <c r="W327" s="592">
        <v>3.3</v>
      </c>
      <c r="X327" s="593">
        <f t="shared" si="166"/>
        <v>1584</v>
      </c>
      <c r="Y327" s="401" t="s">
        <v>1457</v>
      </c>
      <c r="Z327" s="607" t="s">
        <v>628</v>
      </c>
      <c r="AA327" s="1453" t="s">
        <v>128</v>
      </c>
      <c r="AB327" s="608"/>
      <c r="AC327" s="608"/>
      <c r="AD327" s="608"/>
      <c r="AE327" s="564" t="s">
        <v>80</v>
      </c>
      <c r="AF327" s="564"/>
      <c r="AG327" s="608">
        <f t="shared" si="167"/>
        <v>960</v>
      </c>
      <c r="AH327" s="608"/>
      <c r="AI327" s="608"/>
      <c r="AJ327" s="1558">
        <f t="shared" si="168"/>
        <v>960</v>
      </c>
      <c r="AK327" s="401"/>
      <c r="AL327" s="609"/>
      <c r="AM327" s="609"/>
      <c r="AN327" s="609"/>
      <c r="AO327" s="609">
        <f t="shared" si="169"/>
        <v>960</v>
      </c>
      <c r="AP327" s="615"/>
      <c r="AQ327" s="609"/>
      <c r="AR327" s="609"/>
      <c r="AS327" s="609"/>
      <c r="AT327" s="633"/>
      <c r="AU327" s="633"/>
      <c r="AV327" s="633"/>
      <c r="AW327" s="633"/>
      <c r="AX327" s="633"/>
      <c r="AY327" s="633"/>
      <c r="AZ327" s="633"/>
      <c r="BA327" s="633"/>
      <c r="BB327" s="633"/>
      <c r="BC327" s="633"/>
      <c r="BD327" s="633"/>
      <c r="BE327" s="633"/>
      <c r="BF327" s="633"/>
      <c r="BG327" s="633"/>
      <c r="BH327" s="633"/>
      <c r="BI327" s="633"/>
      <c r="BJ327" s="633"/>
      <c r="BK327" s="633">
        <f t="shared" si="170"/>
        <v>480</v>
      </c>
      <c r="BL327" s="633">
        <f t="shared" si="171"/>
        <v>480</v>
      </c>
      <c r="BM327" s="401">
        <f t="shared" si="172"/>
        <v>960</v>
      </c>
      <c r="BO327" s="1473"/>
      <c r="BP327" s="1473"/>
      <c r="BU327" s="1502" t="s">
        <v>1458</v>
      </c>
    </row>
    <row r="328" s="200" customFormat="1" ht="36" customHeight="1" spans="1:73">
      <c r="A328" s="533">
        <v>45411</v>
      </c>
      <c r="B328" s="527" t="s">
        <v>151</v>
      </c>
      <c r="C328" s="528" t="s">
        <v>117</v>
      </c>
      <c r="D328" s="534">
        <v>4500132179</v>
      </c>
      <c r="E328" s="530" t="s">
        <v>1454</v>
      </c>
      <c r="F328" s="534" t="s">
        <v>1459</v>
      </c>
      <c r="G328" s="531" t="s">
        <v>628</v>
      </c>
      <c r="H328" s="532" t="s">
        <v>623</v>
      </c>
      <c r="I328" s="401">
        <v>1968</v>
      </c>
      <c r="J328" s="562">
        <v>0</v>
      </c>
      <c r="K328" s="531">
        <v>12</v>
      </c>
      <c r="L328" s="401">
        <f t="shared" si="157"/>
        <v>164</v>
      </c>
      <c r="M328" s="563">
        <v>45450</v>
      </c>
      <c r="N328" s="1495">
        <v>45467</v>
      </c>
      <c r="O328" s="564" t="s">
        <v>1456</v>
      </c>
      <c r="P328" s="564" t="s">
        <v>92</v>
      </c>
      <c r="Q328" s="564" t="s">
        <v>1437</v>
      </c>
      <c r="R328" s="1523">
        <v>45411</v>
      </c>
      <c r="S328" s="1519" t="s">
        <v>123</v>
      </c>
      <c r="T328" s="1519" t="s">
        <v>1385</v>
      </c>
      <c r="U328" s="1454" t="s">
        <v>1445</v>
      </c>
      <c r="V328" s="530" t="s">
        <v>156</v>
      </c>
      <c r="W328" s="592">
        <v>3.3</v>
      </c>
      <c r="X328" s="593">
        <f t="shared" si="166"/>
        <v>6494.4</v>
      </c>
      <c r="Y328" s="401" t="s">
        <v>1457</v>
      </c>
      <c r="Z328" s="607" t="s">
        <v>628</v>
      </c>
      <c r="AA328" s="1453" t="s">
        <v>128</v>
      </c>
      <c r="AB328" s="608"/>
      <c r="AC328" s="608"/>
      <c r="AD328" s="608"/>
      <c r="AE328" s="564" t="s">
        <v>80</v>
      </c>
      <c r="AF328" s="564"/>
      <c r="AG328" s="608">
        <f t="shared" si="167"/>
        <v>3936</v>
      </c>
      <c r="AH328" s="608"/>
      <c r="AI328" s="608"/>
      <c r="AJ328" s="1558">
        <f t="shared" si="168"/>
        <v>3936</v>
      </c>
      <c r="AK328" s="401"/>
      <c r="AL328" s="609"/>
      <c r="AM328" s="609"/>
      <c r="AN328" s="609"/>
      <c r="AO328" s="609">
        <f t="shared" si="169"/>
        <v>3936</v>
      </c>
      <c r="AP328" s="615"/>
      <c r="AQ328" s="609"/>
      <c r="AR328" s="609"/>
      <c r="AS328" s="609"/>
      <c r="AT328" s="633"/>
      <c r="AU328" s="633"/>
      <c r="AV328" s="633"/>
      <c r="AW328" s="633"/>
      <c r="AX328" s="633"/>
      <c r="AY328" s="633"/>
      <c r="AZ328" s="633"/>
      <c r="BA328" s="633"/>
      <c r="BB328" s="633"/>
      <c r="BC328" s="633"/>
      <c r="BD328" s="633"/>
      <c r="BE328" s="633"/>
      <c r="BF328" s="633"/>
      <c r="BG328" s="633"/>
      <c r="BH328" s="633"/>
      <c r="BI328" s="633"/>
      <c r="BJ328" s="633"/>
      <c r="BK328" s="633">
        <f t="shared" si="170"/>
        <v>1968</v>
      </c>
      <c r="BL328" s="633">
        <f t="shared" si="171"/>
        <v>1968</v>
      </c>
      <c r="BM328" s="401">
        <f t="shared" si="172"/>
        <v>3936</v>
      </c>
      <c r="BO328" s="1473"/>
      <c r="BP328" s="1473"/>
      <c r="BU328" s="1502" t="s">
        <v>1458</v>
      </c>
    </row>
    <row r="329" s="200" customFormat="1" ht="36" customHeight="1" spans="1:73">
      <c r="A329" s="533">
        <v>45411</v>
      </c>
      <c r="B329" s="527" t="s">
        <v>151</v>
      </c>
      <c r="C329" s="528" t="s">
        <v>117</v>
      </c>
      <c r="D329" s="534">
        <v>4500132179</v>
      </c>
      <c r="E329" s="530" t="s">
        <v>1454</v>
      </c>
      <c r="F329" s="534" t="s">
        <v>1460</v>
      </c>
      <c r="G329" s="531" t="s">
        <v>628</v>
      </c>
      <c r="H329" s="532" t="s">
        <v>623</v>
      </c>
      <c r="I329" s="401">
        <v>1848</v>
      </c>
      <c r="J329" s="562">
        <v>0</v>
      </c>
      <c r="K329" s="531">
        <v>12</v>
      </c>
      <c r="L329" s="401">
        <f t="shared" si="157"/>
        <v>154</v>
      </c>
      <c r="M329" s="563">
        <v>45450</v>
      </c>
      <c r="N329" s="1495">
        <v>45467</v>
      </c>
      <c r="O329" s="564" t="s">
        <v>1456</v>
      </c>
      <c r="P329" s="564" t="s">
        <v>92</v>
      </c>
      <c r="Q329" s="564" t="s">
        <v>1437</v>
      </c>
      <c r="R329" s="1523">
        <v>45411</v>
      </c>
      <c r="S329" s="1519" t="s">
        <v>123</v>
      </c>
      <c r="T329" s="1519" t="s">
        <v>1385</v>
      </c>
      <c r="U329" s="1454" t="s">
        <v>1445</v>
      </c>
      <c r="V329" s="530" t="s">
        <v>156</v>
      </c>
      <c r="W329" s="592">
        <v>3.3</v>
      </c>
      <c r="X329" s="593">
        <f t="shared" si="166"/>
        <v>6098.4</v>
      </c>
      <c r="Y329" s="401" t="s">
        <v>1457</v>
      </c>
      <c r="Z329" s="607" t="s">
        <v>628</v>
      </c>
      <c r="AA329" s="1453" t="s">
        <v>128</v>
      </c>
      <c r="AB329" s="608"/>
      <c r="AC329" s="608"/>
      <c r="AD329" s="608"/>
      <c r="AE329" s="564" t="s">
        <v>80</v>
      </c>
      <c r="AF329" s="564"/>
      <c r="AG329" s="608">
        <f t="shared" si="167"/>
        <v>3696</v>
      </c>
      <c r="AH329" s="608"/>
      <c r="AI329" s="608"/>
      <c r="AJ329" s="1558">
        <f t="shared" si="168"/>
        <v>3696</v>
      </c>
      <c r="AK329" s="401"/>
      <c r="AL329" s="609"/>
      <c r="AM329" s="609"/>
      <c r="AN329" s="609"/>
      <c r="AO329" s="609">
        <f t="shared" si="169"/>
        <v>3696</v>
      </c>
      <c r="AP329" s="615"/>
      <c r="AQ329" s="609"/>
      <c r="AR329" s="609"/>
      <c r="AS329" s="609"/>
      <c r="AT329" s="633"/>
      <c r="AU329" s="633"/>
      <c r="AV329" s="633"/>
      <c r="AW329" s="633"/>
      <c r="AX329" s="633"/>
      <c r="AY329" s="633"/>
      <c r="AZ329" s="633"/>
      <c r="BA329" s="633"/>
      <c r="BB329" s="633"/>
      <c r="BC329" s="633"/>
      <c r="BD329" s="633"/>
      <c r="BE329" s="633"/>
      <c r="BF329" s="633"/>
      <c r="BG329" s="633"/>
      <c r="BH329" s="633"/>
      <c r="BI329" s="633"/>
      <c r="BJ329" s="633"/>
      <c r="BK329" s="633">
        <f t="shared" si="170"/>
        <v>1848</v>
      </c>
      <c r="BL329" s="633">
        <f t="shared" si="171"/>
        <v>1848</v>
      </c>
      <c r="BM329" s="401">
        <f t="shared" si="172"/>
        <v>3696</v>
      </c>
      <c r="BO329" s="1473"/>
      <c r="BP329" s="1473"/>
      <c r="BU329" s="1502" t="s">
        <v>1458</v>
      </c>
    </row>
    <row r="330" s="200" customFormat="1" ht="36" customHeight="1" spans="1:73">
      <c r="A330" s="533">
        <v>45411</v>
      </c>
      <c r="B330" s="527" t="s">
        <v>151</v>
      </c>
      <c r="C330" s="528" t="s">
        <v>117</v>
      </c>
      <c r="D330" s="534">
        <v>4500132157</v>
      </c>
      <c r="E330" s="530" t="s">
        <v>1461</v>
      </c>
      <c r="F330" s="534" t="s">
        <v>1462</v>
      </c>
      <c r="G330" s="531" t="s">
        <v>628</v>
      </c>
      <c r="H330" s="532" t="s">
        <v>623</v>
      </c>
      <c r="I330" s="401">
        <v>600</v>
      </c>
      <c r="J330" s="562">
        <v>0</v>
      </c>
      <c r="K330" s="531">
        <v>12</v>
      </c>
      <c r="L330" s="401">
        <f t="shared" si="157"/>
        <v>50</v>
      </c>
      <c r="M330" s="563">
        <v>45450</v>
      </c>
      <c r="N330" s="1495">
        <v>45467</v>
      </c>
      <c r="O330" s="564" t="s">
        <v>1456</v>
      </c>
      <c r="P330" s="564" t="s">
        <v>92</v>
      </c>
      <c r="Q330" s="564" t="s">
        <v>1463</v>
      </c>
      <c r="R330" s="1523">
        <v>45411</v>
      </c>
      <c r="S330" s="1519" t="s">
        <v>123</v>
      </c>
      <c r="T330" s="1519" t="s">
        <v>1385</v>
      </c>
      <c r="U330" s="1454" t="s">
        <v>1445</v>
      </c>
      <c r="V330" s="530" t="s">
        <v>156</v>
      </c>
      <c r="W330" s="592">
        <v>3.3</v>
      </c>
      <c r="X330" s="593">
        <f t="shared" si="166"/>
        <v>1980</v>
      </c>
      <c r="Y330" s="401" t="s">
        <v>1464</v>
      </c>
      <c r="Z330" s="607" t="s">
        <v>628</v>
      </c>
      <c r="AA330" s="1453" t="s">
        <v>128</v>
      </c>
      <c r="AB330" s="608"/>
      <c r="AC330" s="608"/>
      <c r="AD330" s="608"/>
      <c r="AE330" s="564" t="s">
        <v>80</v>
      </c>
      <c r="AF330" s="564"/>
      <c r="AG330" s="608">
        <f t="shared" si="167"/>
        <v>1200</v>
      </c>
      <c r="AH330" s="608"/>
      <c r="AI330" s="608"/>
      <c r="AJ330" s="1558">
        <f t="shared" si="168"/>
        <v>1200</v>
      </c>
      <c r="AK330" s="401"/>
      <c r="AL330" s="609"/>
      <c r="AM330" s="609"/>
      <c r="AN330" s="609"/>
      <c r="AO330" s="609">
        <f t="shared" si="169"/>
        <v>1200</v>
      </c>
      <c r="AP330" s="615"/>
      <c r="AQ330" s="609"/>
      <c r="AR330" s="609"/>
      <c r="AS330" s="609"/>
      <c r="AT330" s="633"/>
      <c r="AU330" s="633"/>
      <c r="AV330" s="633"/>
      <c r="AW330" s="633"/>
      <c r="AX330" s="633"/>
      <c r="AY330" s="633"/>
      <c r="AZ330" s="633"/>
      <c r="BA330" s="633"/>
      <c r="BB330" s="633"/>
      <c r="BC330" s="633"/>
      <c r="BD330" s="633"/>
      <c r="BE330" s="633"/>
      <c r="BF330" s="633"/>
      <c r="BG330" s="633"/>
      <c r="BH330" s="633"/>
      <c r="BI330" s="633"/>
      <c r="BJ330" s="633"/>
      <c r="BK330" s="633">
        <f t="shared" si="170"/>
        <v>600</v>
      </c>
      <c r="BL330" s="633">
        <f t="shared" si="171"/>
        <v>600</v>
      </c>
      <c r="BM330" s="401">
        <f t="shared" si="172"/>
        <v>1200</v>
      </c>
      <c r="BO330" s="1473"/>
      <c r="BP330" s="1473"/>
      <c r="BU330" s="1502" t="s">
        <v>1458</v>
      </c>
    </row>
    <row r="331" s="200" customFormat="1" ht="36" customHeight="1" spans="1:68">
      <c r="A331" s="1529">
        <v>45411</v>
      </c>
      <c r="B331" s="1509" t="s">
        <v>587</v>
      </c>
      <c r="C331" s="528" t="s">
        <v>117</v>
      </c>
      <c r="D331" s="1541">
        <v>4500131246</v>
      </c>
      <c r="E331" s="1542">
        <v>6631646285</v>
      </c>
      <c r="F331" s="1541" t="s">
        <v>1465</v>
      </c>
      <c r="G331" s="531" t="s">
        <v>832</v>
      </c>
      <c r="H331" s="532" t="s">
        <v>833</v>
      </c>
      <c r="I331" s="401">
        <v>1152</v>
      </c>
      <c r="J331" s="562">
        <v>0</v>
      </c>
      <c r="K331" s="531">
        <v>1152</v>
      </c>
      <c r="L331" s="401">
        <f t="shared" si="157"/>
        <v>1</v>
      </c>
      <c r="M331" s="563">
        <v>45461</v>
      </c>
      <c r="N331" s="1495">
        <v>45467</v>
      </c>
      <c r="O331" s="1474" t="s">
        <v>1466</v>
      </c>
      <c r="P331" s="564" t="s">
        <v>92</v>
      </c>
      <c r="Q331" s="564" t="s">
        <v>1467</v>
      </c>
      <c r="R331" s="1523" t="s">
        <v>1102</v>
      </c>
      <c r="S331" s="564" t="s">
        <v>123</v>
      </c>
      <c r="T331" s="1519" t="s">
        <v>1468</v>
      </c>
      <c r="U331" s="530" t="s">
        <v>1103</v>
      </c>
      <c r="V331" s="530" t="s">
        <v>1006</v>
      </c>
      <c r="W331" s="592">
        <v>1752.1376</v>
      </c>
      <c r="X331" s="593">
        <f t="shared" ref="X331:X334" si="173">W331*L331</f>
        <v>1752.1376</v>
      </c>
      <c r="Y331" s="401" t="s">
        <v>1469</v>
      </c>
      <c r="Z331" s="607" t="s">
        <v>832</v>
      </c>
      <c r="AA331" s="1453" t="s">
        <v>128</v>
      </c>
      <c r="AB331" s="608"/>
      <c r="AC331" s="608"/>
      <c r="AD331" s="608"/>
      <c r="AE331" s="564" t="s">
        <v>80</v>
      </c>
      <c r="AF331" s="564"/>
      <c r="AG331" s="608">
        <f t="shared" ref="AG331:AG336" si="174">I331</f>
        <v>1152</v>
      </c>
      <c r="AH331" s="608"/>
      <c r="AI331" s="608"/>
      <c r="AJ331" s="608"/>
      <c r="AK331" s="609">
        <f t="shared" ref="AK331:AK334" si="175">I331</f>
        <v>1152</v>
      </c>
      <c r="AL331" s="609"/>
      <c r="AM331" s="609"/>
      <c r="AN331" s="609"/>
      <c r="AO331" s="609"/>
      <c r="AP331" s="609"/>
      <c r="AQ331" s="609">
        <f t="shared" ref="AQ331:AQ334" si="176">I331</f>
        <v>1152</v>
      </c>
      <c r="AR331" s="609"/>
      <c r="AS331" s="609"/>
      <c r="AT331" s="633"/>
      <c r="AU331" s="633"/>
      <c r="AV331" s="633">
        <f t="shared" ref="AV331:AV334" si="177">I331/12</f>
        <v>96</v>
      </c>
      <c r="AW331" s="401"/>
      <c r="AX331" s="633"/>
      <c r="AY331" s="633"/>
      <c r="AZ331" s="633"/>
      <c r="BA331" s="633"/>
      <c r="BB331" s="633"/>
      <c r="BC331" s="633"/>
      <c r="BD331" s="633"/>
      <c r="BE331" s="633"/>
      <c r="BF331" s="633"/>
      <c r="BG331" s="633"/>
      <c r="BH331" s="633"/>
      <c r="BI331" s="633"/>
      <c r="BJ331" s="633"/>
      <c r="BK331" s="633"/>
      <c r="BL331" s="633"/>
      <c r="BM331" s="401">
        <f t="shared" si="172"/>
        <v>1152</v>
      </c>
      <c r="BO331" s="1473"/>
      <c r="BP331" s="1473"/>
    </row>
    <row r="332" s="200" customFormat="1" ht="36" customHeight="1" spans="1:68">
      <c r="A332" s="1529">
        <v>45411</v>
      </c>
      <c r="B332" s="1509" t="s">
        <v>587</v>
      </c>
      <c r="C332" s="528" t="s">
        <v>117</v>
      </c>
      <c r="D332" s="1541">
        <v>4500131246</v>
      </c>
      <c r="E332" s="1542">
        <v>6631646286</v>
      </c>
      <c r="F332" s="1541" t="s">
        <v>1470</v>
      </c>
      <c r="G332" s="531" t="s">
        <v>832</v>
      </c>
      <c r="H332" s="532" t="s">
        <v>833</v>
      </c>
      <c r="I332" s="401">
        <v>1152</v>
      </c>
      <c r="J332" s="562">
        <v>0</v>
      </c>
      <c r="K332" s="531">
        <v>1152</v>
      </c>
      <c r="L332" s="401">
        <f t="shared" si="157"/>
        <v>1</v>
      </c>
      <c r="M332" s="563">
        <v>45461</v>
      </c>
      <c r="N332" s="1495">
        <v>45467</v>
      </c>
      <c r="O332" s="1474" t="s">
        <v>1466</v>
      </c>
      <c r="P332" s="564" t="s">
        <v>92</v>
      </c>
      <c r="Q332" s="564" t="s">
        <v>1467</v>
      </c>
      <c r="R332" s="1523" t="s">
        <v>1102</v>
      </c>
      <c r="S332" s="564" t="s">
        <v>123</v>
      </c>
      <c r="T332" s="1519" t="s">
        <v>1468</v>
      </c>
      <c r="U332" s="530" t="s">
        <v>1103</v>
      </c>
      <c r="V332" s="530" t="s">
        <v>1006</v>
      </c>
      <c r="W332" s="592">
        <v>1752.1376</v>
      </c>
      <c r="X332" s="593">
        <f t="shared" si="173"/>
        <v>1752.1376</v>
      </c>
      <c r="Y332" s="401" t="s">
        <v>1469</v>
      </c>
      <c r="Z332" s="607" t="s">
        <v>832</v>
      </c>
      <c r="AA332" s="1453" t="s">
        <v>128</v>
      </c>
      <c r="AB332" s="608"/>
      <c r="AC332" s="608"/>
      <c r="AD332" s="608"/>
      <c r="AE332" s="564" t="s">
        <v>80</v>
      </c>
      <c r="AF332" s="564"/>
      <c r="AG332" s="608">
        <f t="shared" si="174"/>
        <v>1152</v>
      </c>
      <c r="AH332" s="608"/>
      <c r="AI332" s="608"/>
      <c r="AJ332" s="608"/>
      <c r="AK332" s="609">
        <f t="shared" si="175"/>
        <v>1152</v>
      </c>
      <c r="AL332" s="609"/>
      <c r="AM332" s="609"/>
      <c r="AN332" s="609"/>
      <c r="AO332" s="609"/>
      <c r="AP332" s="609"/>
      <c r="AQ332" s="609">
        <f t="shared" si="176"/>
        <v>1152</v>
      </c>
      <c r="AR332" s="609"/>
      <c r="AS332" s="609"/>
      <c r="AT332" s="633"/>
      <c r="AU332" s="633"/>
      <c r="AV332" s="633">
        <f t="shared" si="177"/>
        <v>96</v>
      </c>
      <c r="AW332" s="401"/>
      <c r="AX332" s="633"/>
      <c r="AY332" s="633"/>
      <c r="AZ332" s="633"/>
      <c r="BA332" s="633"/>
      <c r="BB332" s="633"/>
      <c r="BC332" s="633"/>
      <c r="BD332" s="633"/>
      <c r="BE332" s="633"/>
      <c r="BF332" s="633"/>
      <c r="BG332" s="633"/>
      <c r="BH332" s="633"/>
      <c r="BI332" s="633"/>
      <c r="BJ332" s="633"/>
      <c r="BK332" s="633"/>
      <c r="BL332" s="633"/>
      <c r="BM332" s="401">
        <f t="shared" si="172"/>
        <v>1152</v>
      </c>
      <c r="BO332" s="1473"/>
      <c r="BP332" s="1473"/>
    </row>
    <row r="333" s="200" customFormat="1" ht="36" customHeight="1" spans="1:68">
      <c r="A333" s="1534">
        <v>45411</v>
      </c>
      <c r="B333" s="1536" t="s">
        <v>587</v>
      </c>
      <c r="C333" s="1559" t="s">
        <v>117</v>
      </c>
      <c r="D333" s="1535">
        <v>4500131244</v>
      </c>
      <c r="E333" s="1536">
        <v>6631646266</v>
      </c>
      <c r="F333" s="1535" t="s">
        <v>1471</v>
      </c>
      <c r="G333" s="531" t="s">
        <v>832</v>
      </c>
      <c r="H333" s="532" t="s">
        <v>833</v>
      </c>
      <c r="I333" s="401">
        <v>1152</v>
      </c>
      <c r="J333" s="562">
        <v>0</v>
      </c>
      <c r="K333" s="531">
        <v>1152</v>
      </c>
      <c r="L333" s="401">
        <f t="shared" si="157"/>
        <v>1</v>
      </c>
      <c r="M333" s="563">
        <v>45457</v>
      </c>
      <c r="N333" s="1495">
        <v>45467</v>
      </c>
      <c r="O333" s="1474" t="s">
        <v>1466</v>
      </c>
      <c r="P333" s="564" t="s">
        <v>92</v>
      </c>
      <c r="Q333" s="564" t="s">
        <v>1354</v>
      </c>
      <c r="R333" s="1523" t="s">
        <v>1102</v>
      </c>
      <c r="S333" s="564" t="s">
        <v>123</v>
      </c>
      <c r="T333" s="1519" t="s">
        <v>1004</v>
      </c>
      <c r="U333" s="530" t="s">
        <v>1103</v>
      </c>
      <c r="V333" s="530" t="s">
        <v>1006</v>
      </c>
      <c r="W333" s="592">
        <v>1752.1376</v>
      </c>
      <c r="X333" s="593">
        <f t="shared" si="173"/>
        <v>1752.1376</v>
      </c>
      <c r="Y333" s="401" t="s">
        <v>1472</v>
      </c>
      <c r="Z333" s="607" t="s">
        <v>832</v>
      </c>
      <c r="AA333" s="1453" t="s">
        <v>128</v>
      </c>
      <c r="AB333" s="608"/>
      <c r="AC333" s="608"/>
      <c r="AD333" s="608"/>
      <c r="AE333" s="564" t="s">
        <v>80</v>
      </c>
      <c r="AF333" s="564"/>
      <c r="AG333" s="608">
        <f t="shared" si="174"/>
        <v>1152</v>
      </c>
      <c r="AH333" s="608"/>
      <c r="AI333" s="608"/>
      <c r="AJ333" s="608"/>
      <c r="AK333" s="609">
        <f t="shared" si="175"/>
        <v>1152</v>
      </c>
      <c r="AL333" s="609"/>
      <c r="AM333" s="609"/>
      <c r="AN333" s="609"/>
      <c r="AO333" s="609"/>
      <c r="AP333" s="609"/>
      <c r="AQ333" s="609">
        <f t="shared" si="176"/>
        <v>1152</v>
      </c>
      <c r="AR333" s="609"/>
      <c r="AS333" s="609"/>
      <c r="AT333" s="633"/>
      <c r="AU333" s="633"/>
      <c r="AV333" s="633">
        <f t="shared" si="177"/>
        <v>96</v>
      </c>
      <c r="AW333" s="401"/>
      <c r="AX333" s="633"/>
      <c r="AY333" s="633"/>
      <c r="AZ333" s="633"/>
      <c r="BA333" s="633"/>
      <c r="BB333" s="633"/>
      <c r="BC333" s="633"/>
      <c r="BD333" s="633"/>
      <c r="BE333" s="633"/>
      <c r="BF333" s="633"/>
      <c r="BG333" s="633"/>
      <c r="BH333" s="633"/>
      <c r="BI333" s="633"/>
      <c r="BJ333" s="633"/>
      <c r="BK333" s="633"/>
      <c r="BL333" s="633"/>
      <c r="BM333" s="401">
        <f t="shared" si="172"/>
        <v>1152</v>
      </c>
      <c r="BO333" s="1473"/>
      <c r="BP333" s="1473"/>
    </row>
    <row r="334" s="200" customFormat="1" ht="36" customHeight="1" spans="1:68">
      <c r="A334" s="1534">
        <v>45411</v>
      </c>
      <c r="B334" s="1536" t="s">
        <v>587</v>
      </c>
      <c r="C334" s="1559" t="s">
        <v>117</v>
      </c>
      <c r="D334" s="1535">
        <v>4500131244</v>
      </c>
      <c r="E334" s="1536">
        <v>6631646276</v>
      </c>
      <c r="F334" s="1535" t="s">
        <v>1473</v>
      </c>
      <c r="G334" s="531" t="s">
        <v>832</v>
      </c>
      <c r="H334" s="532" t="s">
        <v>833</v>
      </c>
      <c r="I334" s="401">
        <v>1152</v>
      </c>
      <c r="J334" s="562">
        <v>0</v>
      </c>
      <c r="K334" s="531">
        <v>1152</v>
      </c>
      <c r="L334" s="401">
        <f t="shared" si="157"/>
        <v>1</v>
      </c>
      <c r="M334" s="563">
        <v>45457</v>
      </c>
      <c r="N334" s="1495">
        <v>45467</v>
      </c>
      <c r="O334" s="1474" t="s">
        <v>1466</v>
      </c>
      <c r="P334" s="564" t="s">
        <v>92</v>
      </c>
      <c r="Q334" s="564" t="s">
        <v>1354</v>
      </c>
      <c r="R334" s="1523" t="s">
        <v>1102</v>
      </c>
      <c r="S334" s="564" t="s">
        <v>123</v>
      </c>
      <c r="T334" s="1519" t="s">
        <v>1004</v>
      </c>
      <c r="U334" s="530" t="s">
        <v>1103</v>
      </c>
      <c r="V334" s="530" t="s">
        <v>1006</v>
      </c>
      <c r="W334" s="592">
        <v>1752.1376</v>
      </c>
      <c r="X334" s="593">
        <f t="shared" si="173"/>
        <v>1752.1376</v>
      </c>
      <c r="Y334" s="401" t="s">
        <v>1472</v>
      </c>
      <c r="Z334" s="607" t="s">
        <v>832</v>
      </c>
      <c r="AA334" s="1453" t="s">
        <v>128</v>
      </c>
      <c r="AB334" s="608"/>
      <c r="AC334" s="608"/>
      <c r="AD334" s="608"/>
      <c r="AE334" s="564" t="s">
        <v>80</v>
      </c>
      <c r="AF334" s="564"/>
      <c r="AG334" s="608">
        <f t="shared" si="174"/>
        <v>1152</v>
      </c>
      <c r="AH334" s="608"/>
      <c r="AI334" s="608"/>
      <c r="AJ334" s="608"/>
      <c r="AK334" s="609">
        <f t="shared" si="175"/>
        <v>1152</v>
      </c>
      <c r="AL334" s="609"/>
      <c r="AM334" s="609"/>
      <c r="AN334" s="609"/>
      <c r="AO334" s="609"/>
      <c r="AP334" s="609"/>
      <c r="AQ334" s="609">
        <f t="shared" si="176"/>
        <v>1152</v>
      </c>
      <c r="AR334" s="609"/>
      <c r="AS334" s="609"/>
      <c r="AT334" s="633"/>
      <c r="AU334" s="633"/>
      <c r="AV334" s="633">
        <f t="shared" si="177"/>
        <v>96</v>
      </c>
      <c r="AW334" s="401"/>
      <c r="AX334" s="633"/>
      <c r="AY334" s="633"/>
      <c r="AZ334" s="633"/>
      <c r="BA334" s="633"/>
      <c r="BB334" s="633"/>
      <c r="BC334" s="633"/>
      <c r="BD334" s="633"/>
      <c r="BE334" s="633"/>
      <c r="BF334" s="633"/>
      <c r="BG334" s="633"/>
      <c r="BH334" s="633"/>
      <c r="BI334" s="633"/>
      <c r="BJ334" s="633"/>
      <c r="BK334" s="633"/>
      <c r="BL334" s="633"/>
      <c r="BM334" s="401">
        <f t="shared" si="172"/>
        <v>1152</v>
      </c>
      <c r="BO334" s="1473"/>
      <c r="BP334" s="1473"/>
    </row>
    <row r="335" s="200" customFormat="1" ht="36" customHeight="1" spans="1:68">
      <c r="A335" s="533">
        <v>45369</v>
      </c>
      <c r="B335" s="527" t="s">
        <v>523</v>
      </c>
      <c r="C335" s="528" t="s">
        <v>351</v>
      </c>
      <c r="D335" s="534">
        <v>4500127148</v>
      </c>
      <c r="E335" s="530">
        <v>2300875207</v>
      </c>
      <c r="F335" s="534" t="s">
        <v>1474</v>
      </c>
      <c r="G335" s="531" t="s">
        <v>826</v>
      </c>
      <c r="H335" s="532" t="s">
        <v>74</v>
      </c>
      <c r="I335" s="1496">
        <v>2225</v>
      </c>
      <c r="J335" s="1496">
        <v>0</v>
      </c>
      <c r="K335" s="1496">
        <v>25</v>
      </c>
      <c r="L335" s="1496">
        <f t="shared" si="157"/>
        <v>89</v>
      </c>
      <c r="M335" s="563">
        <v>45455</v>
      </c>
      <c r="N335" s="1495">
        <v>45467</v>
      </c>
      <c r="O335" s="1474" t="s">
        <v>1466</v>
      </c>
      <c r="P335" s="564" t="s">
        <v>92</v>
      </c>
      <c r="Q335" s="564" t="s">
        <v>1252</v>
      </c>
      <c r="R335" s="564" t="s">
        <v>1475</v>
      </c>
      <c r="S335" s="564" t="s">
        <v>77</v>
      </c>
      <c r="T335" s="564" t="s">
        <v>77</v>
      </c>
      <c r="U335" s="530" t="s">
        <v>1476</v>
      </c>
      <c r="V335" s="564" t="s">
        <v>529</v>
      </c>
      <c r="W335" s="592">
        <v>1.4344</v>
      </c>
      <c r="X335" s="593">
        <f t="shared" ref="X335:X346" si="178">I335*W335</f>
        <v>3191.54</v>
      </c>
      <c r="Y335" s="401" t="s">
        <v>1477</v>
      </c>
      <c r="Z335" s="607" t="s">
        <v>945</v>
      </c>
      <c r="AA335" s="1453" t="s">
        <v>128</v>
      </c>
      <c r="AB335" s="608"/>
      <c r="AC335" s="608"/>
      <c r="AD335" s="608"/>
      <c r="AE335" s="564" t="s">
        <v>80</v>
      </c>
      <c r="AF335" s="564"/>
      <c r="AG335" s="608">
        <f t="shared" si="174"/>
        <v>2225</v>
      </c>
      <c r="AH335" s="608"/>
      <c r="AI335" s="608"/>
      <c r="AJ335" s="608"/>
      <c r="AK335" s="609"/>
      <c r="AL335" s="609"/>
      <c r="AM335" s="609"/>
      <c r="AN335" s="609">
        <f>I335</f>
        <v>2225</v>
      </c>
      <c r="AO335" s="609">
        <f t="shared" ref="AO335:AO340" si="179">I335</f>
        <v>2225</v>
      </c>
      <c r="AP335" s="609"/>
      <c r="AQ335" s="609"/>
      <c r="AR335" s="609"/>
      <c r="AS335" s="609"/>
      <c r="AT335" s="633"/>
      <c r="AU335" s="633"/>
      <c r="AV335" s="633"/>
      <c r="AW335" s="401"/>
      <c r="AX335" s="633"/>
      <c r="AY335" s="633"/>
      <c r="AZ335" s="633"/>
      <c r="BA335" s="633"/>
      <c r="BB335" s="633">
        <f t="shared" ref="BB335:BB339" si="180">I335/25</f>
        <v>89</v>
      </c>
      <c r="BC335" s="633"/>
      <c r="BD335" s="633"/>
      <c r="BE335" s="633"/>
      <c r="BF335" s="633"/>
      <c r="BG335" s="633"/>
      <c r="BH335" s="633"/>
      <c r="BI335" s="633"/>
      <c r="BJ335" s="633"/>
      <c r="BK335" s="633"/>
      <c r="BL335" s="633"/>
      <c r="BM335" s="401">
        <f t="shared" si="172"/>
        <v>2225</v>
      </c>
      <c r="BO335" s="1473"/>
      <c r="BP335" s="1473"/>
    </row>
    <row r="336" s="200" customFormat="1" ht="36" customHeight="1" spans="1:68">
      <c r="A336" s="533">
        <v>45380</v>
      </c>
      <c r="B336" s="527" t="s">
        <v>1279</v>
      </c>
      <c r="C336" s="528" t="s">
        <v>1280</v>
      </c>
      <c r="D336" s="534">
        <v>4500128206</v>
      </c>
      <c r="E336" s="530">
        <v>16729</v>
      </c>
      <c r="F336" s="534" t="s">
        <v>1478</v>
      </c>
      <c r="G336" s="531" t="s">
        <v>96</v>
      </c>
      <c r="H336" s="532" t="s">
        <v>1479</v>
      </c>
      <c r="I336" s="401">
        <v>2700</v>
      </c>
      <c r="J336" s="562">
        <v>0</v>
      </c>
      <c r="K336" s="531">
        <v>50</v>
      </c>
      <c r="L336" s="401">
        <f t="shared" si="157"/>
        <v>54</v>
      </c>
      <c r="M336" s="563">
        <v>45463</v>
      </c>
      <c r="N336" s="1495">
        <v>45467</v>
      </c>
      <c r="O336" s="564" t="s">
        <v>878</v>
      </c>
      <c r="P336" s="564" t="s">
        <v>92</v>
      </c>
      <c r="Q336" s="564" t="s">
        <v>1480</v>
      </c>
      <c r="R336" s="564">
        <v>45400</v>
      </c>
      <c r="S336" s="564" t="s">
        <v>77</v>
      </c>
      <c r="T336" s="564">
        <v>45410</v>
      </c>
      <c r="U336" s="530" t="s">
        <v>1481</v>
      </c>
      <c r="V336" s="564" t="s">
        <v>1482</v>
      </c>
      <c r="W336" s="592">
        <v>1.4478</v>
      </c>
      <c r="X336" s="593">
        <f t="shared" si="178"/>
        <v>3909.06</v>
      </c>
      <c r="Y336" s="401" t="s">
        <v>1483</v>
      </c>
      <c r="Z336" s="607" t="s">
        <v>220</v>
      </c>
      <c r="AA336" s="1453" t="s">
        <v>128</v>
      </c>
      <c r="AB336" s="608"/>
      <c r="AC336" s="608"/>
      <c r="AD336" s="608"/>
      <c r="AE336" s="564" t="s">
        <v>80</v>
      </c>
      <c r="AF336" s="564"/>
      <c r="AG336" s="608">
        <f t="shared" si="174"/>
        <v>2700</v>
      </c>
      <c r="AH336" s="608"/>
      <c r="AI336" s="608"/>
      <c r="AJ336" s="608"/>
      <c r="AK336" s="609"/>
      <c r="AL336" s="609">
        <f t="shared" ref="AL336:AL340" si="181">I336</f>
        <v>2700</v>
      </c>
      <c r="AM336" s="609"/>
      <c r="AN336" s="609"/>
      <c r="AO336" s="609">
        <f t="shared" si="179"/>
        <v>2700</v>
      </c>
      <c r="AP336" s="609"/>
      <c r="AQ336" s="609"/>
      <c r="AR336" s="609"/>
      <c r="AS336" s="609"/>
      <c r="AT336" s="633"/>
      <c r="AU336" s="633"/>
      <c r="AV336" s="633"/>
      <c r="AW336" s="633"/>
      <c r="AX336" s="633"/>
      <c r="AY336" s="633"/>
      <c r="AZ336" s="633"/>
      <c r="BA336" s="633"/>
      <c r="BB336" s="633">
        <f t="shared" si="180"/>
        <v>108</v>
      </c>
      <c r="BC336" s="633"/>
      <c r="BD336" s="633"/>
      <c r="BE336" s="633"/>
      <c r="BF336" s="633"/>
      <c r="BG336" s="633"/>
      <c r="BH336" s="633"/>
      <c r="BI336" s="633"/>
      <c r="BJ336" s="633"/>
      <c r="BK336" s="633"/>
      <c r="BL336" s="633"/>
      <c r="BM336" s="401">
        <f t="shared" si="172"/>
        <v>2700</v>
      </c>
      <c r="BO336" s="1473"/>
      <c r="BP336" s="1473"/>
    </row>
    <row r="337" s="200" customFormat="1" ht="36" customHeight="1" spans="1:68">
      <c r="A337" s="1534">
        <v>45408</v>
      </c>
      <c r="B337" s="1536" t="s">
        <v>1484</v>
      </c>
      <c r="C337" s="1559" t="s">
        <v>689</v>
      </c>
      <c r="D337" s="1535">
        <v>4500131615</v>
      </c>
      <c r="E337" s="1536">
        <v>14437</v>
      </c>
      <c r="F337" s="1535" t="s">
        <v>1485</v>
      </c>
      <c r="G337" s="531" t="s">
        <v>691</v>
      </c>
      <c r="H337" s="532" t="s">
        <v>74</v>
      </c>
      <c r="I337" s="401">
        <v>168</v>
      </c>
      <c r="J337" s="562">
        <v>0</v>
      </c>
      <c r="K337" s="531">
        <v>21</v>
      </c>
      <c r="L337" s="401">
        <f t="shared" si="157"/>
        <v>8</v>
      </c>
      <c r="M337" s="563">
        <v>45457</v>
      </c>
      <c r="N337" s="1495">
        <v>45467</v>
      </c>
      <c r="O337" s="564"/>
      <c r="P337" s="564" t="s">
        <v>1262</v>
      </c>
      <c r="Q337" s="564" t="s">
        <v>1486</v>
      </c>
      <c r="R337" s="564">
        <v>45408</v>
      </c>
      <c r="S337" s="564" t="s">
        <v>77</v>
      </c>
      <c r="T337" s="1519" t="s">
        <v>1487</v>
      </c>
      <c r="U337" s="1499" t="s">
        <v>1488</v>
      </c>
      <c r="V337" s="530" t="s">
        <v>695</v>
      </c>
      <c r="W337" s="592">
        <v>1.4636</v>
      </c>
      <c r="X337" s="593">
        <f>W337*L337</f>
        <v>11.7088</v>
      </c>
      <c r="Y337" s="401" t="s">
        <v>1489</v>
      </c>
      <c r="Z337" s="607" t="s">
        <v>1196</v>
      </c>
      <c r="AA337" s="1453" t="s">
        <v>128</v>
      </c>
      <c r="AB337" s="608"/>
      <c r="AC337" s="608"/>
      <c r="AD337" s="608"/>
      <c r="AE337" s="564" t="s">
        <v>80</v>
      </c>
      <c r="AF337" s="569"/>
      <c r="AG337" s="612"/>
      <c r="AH337" s="608">
        <f t="shared" ref="AH337:AH339" si="182">I337</f>
        <v>168</v>
      </c>
      <c r="AI337" s="608"/>
      <c r="AJ337" s="608"/>
      <c r="AL337" s="1558">
        <f t="shared" si="181"/>
        <v>168</v>
      </c>
      <c r="AM337" s="609"/>
      <c r="AN337" s="609"/>
      <c r="AO337" s="609">
        <f t="shared" si="179"/>
        <v>168</v>
      </c>
      <c r="AP337" s="609"/>
      <c r="AQ337" s="609"/>
      <c r="AR337" s="609"/>
      <c r="AT337" s="1558">
        <f>I337/21</f>
        <v>8</v>
      </c>
      <c r="AU337" s="1558"/>
      <c r="AV337" s="633"/>
      <c r="AW337" s="401"/>
      <c r="AX337" s="633"/>
      <c r="AY337" s="633"/>
      <c r="AZ337" s="633"/>
      <c r="BA337" s="633"/>
      <c r="BB337" s="633"/>
      <c r="BC337" s="633"/>
      <c r="BD337" s="633"/>
      <c r="BE337" s="633"/>
      <c r="BF337" s="633"/>
      <c r="BG337" s="633"/>
      <c r="BH337" s="633"/>
      <c r="BI337" s="633"/>
      <c r="BJ337" s="633"/>
      <c r="BK337" s="633"/>
      <c r="BL337" s="633"/>
      <c r="BM337" s="401">
        <f t="shared" si="172"/>
        <v>168</v>
      </c>
      <c r="BO337" s="1473"/>
      <c r="BP337" s="1473"/>
    </row>
    <row r="338" s="200" customFormat="1" ht="36" customHeight="1" spans="1:68">
      <c r="A338" s="1534">
        <v>45408</v>
      </c>
      <c r="B338" s="1536" t="s">
        <v>1484</v>
      </c>
      <c r="C338" s="1559" t="s">
        <v>689</v>
      </c>
      <c r="D338" s="1535">
        <v>4500131615</v>
      </c>
      <c r="E338" s="1536">
        <v>14437</v>
      </c>
      <c r="F338" s="1535" t="s">
        <v>1490</v>
      </c>
      <c r="G338" s="531" t="s">
        <v>1491</v>
      </c>
      <c r="H338" s="532" t="s">
        <v>74</v>
      </c>
      <c r="I338" s="511">
        <v>720</v>
      </c>
      <c r="J338" s="562">
        <v>0</v>
      </c>
      <c r="K338" s="531">
        <v>30</v>
      </c>
      <c r="L338" s="401">
        <f t="shared" si="157"/>
        <v>24</v>
      </c>
      <c r="M338" s="563">
        <v>45457</v>
      </c>
      <c r="N338" s="1495">
        <v>45467</v>
      </c>
      <c r="O338" s="564"/>
      <c r="P338" s="564" t="s">
        <v>92</v>
      </c>
      <c r="Q338" s="564" t="s">
        <v>1486</v>
      </c>
      <c r="R338" s="564">
        <v>45408</v>
      </c>
      <c r="S338" s="564" t="s">
        <v>77</v>
      </c>
      <c r="T338" s="1519" t="s">
        <v>1487</v>
      </c>
      <c r="U338" s="1499" t="s">
        <v>1488</v>
      </c>
      <c r="V338" s="530" t="s">
        <v>695</v>
      </c>
      <c r="W338" s="592">
        <v>1.4309</v>
      </c>
      <c r="X338" s="593">
        <f t="shared" si="178"/>
        <v>1030.248</v>
      </c>
      <c r="Y338" s="401" t="s">
        <v>1489</v>
      </c>
      <c r="Z338" s="607" t="s">
        <v>1491</v>
      </c>
      <c r="AA338" s="1453" t="s">
        <v>128</v>
      </c>
      <c r="AB338" s="608"/>
      <c r="AC338" s="608"/>
      <c r="AD338" s="608"/>
      <c r="AE338" s="564" t="s">
        <v>80</v>
      </c>
      <c r="AF338" s="569"/>
      <c r="AG338" s="612"/>
      <c r="AH338" s="608">
        <f t="shared" si="182"/>
        <v>720</v>
      </c>
      <c r="AI338" s="608"/>
      <c r="AJ338" s="608"/>
      <c r="AL338" s="1558">
        <f t="shared" si="181"/>
        <v>720</v>
      </c>
      <c r="AM338" s="609"/>
      <c r="AN338" s="609"/>
      <c r="AO338" s="609">
        <f t="shared" si="179"/>
        <v>720</v>
      </c>
      <c r="AP338" s="609"/>
      <c r="AQ338" s="609"/>
      <c r="AR338" s="609"/>
      <c r="AS338" s="609"/>
      <c r="AT338" s="633"/>
      <c r="AU338" s="633"/>
      <c r="AV338" s="633"/>
      <c r="AW338" s="401"/>
      <c r="AX338" s="633"/>
      <c r="AY338" s="633"/>
      <c r="AZ338" s="633"/>
      <c r="BA338" s="633"/>
      <c r="BB338" s="633"/>
      <c r="BC338" s="633"/>
      <c r="BD338" s="633"/>
      <c r="BE338" s="633"/>
      <c r="BG338" s="1569">
        <f>I338/30</f>
        <v>24</v>
      </c>
      <c r="BH338" s="1569">
        <f>BG338</f>
        <v>24</v>
      </c>
      <c r="BI338" s="1569"/>
      <c r="BJ338" s="633"/>
      <c r="BK338" s="633"/>
      <c r="BL338" s="633"/>
      <c r="BM338" s="401">
        <f t="shared" si="172"/>
        <v>720</v>
      </c>
      <c r="BO338" s="1473"/>
      <c r="BP338" s="1473"/>
    </row>
    <row r="339" s="200" customFormat="1" ht="36" customHeight="1" spans="1:68">
      <c r="A339" s="526">
        <v>45408</v>
      </c>
      <c r="B339" s="1540" t="s">
        <v>1492</v>
      </c>
      <c r="C339" s="1560" t="s">
        <v>689</v>
      </c>
      <c r="D339" s="529">
        <v>4500131541</v>
      </c>
      <c r="E339" s="1509" t="s">
        <v>1493</v>
      </c>
      <c r="F339" s="529" t="s">
        <v>1494</v>
      </c>
      <c r="G339" s="531" t="s">
        <v>877</v>
      </c>
      <c r="H339" s="532" t="s">
        <v>74</v>
      </c>
      <c r="I339" s="1496">
        <v>800</v>
      </c>
      <c r="J339" s="1496">
        <v>0</v>
      </c>
      <c r="K339" s="1496">
        <v>25</v>
      </c>
      <c r="L339" s="1496">
        <f t="shared" si="157"/>
        <v>32</v>
      </c>
      <c r="M339" s="563">
        <v>45460</v>
      </c>
      <c r="N339" s="1495">
        <v>45467</v>
      </c>
      <c r="O339" s="564"/>
      <c r="P339" s="564" t="s">
        <v>1262</v>
      </c>
      <c r="Q339" s="564" t="s">
        <v>1495</v>
      </c>
      <c r="R339" s="564">
        <v>45408</v>
      </c>
      <c r="S339" s="564" t="s">
        <v>77</v>
      </c>
      <c r="T339" s="564" t="s">
        <v>1496</v>
      </c>
      <c r="U339" s="1499" t="s">
        <v>1497</v>
      </c>
      <c r="V339" s="530" t="s">
        <v>695</v>
      </c>
      <c r="W339" s="592">
        <v>1.4225</v>
      </c>
      <c r="X339" s="593">
        <f t="shared" si="178"/>
        <v>1138</v>
      </c>
      <c r="Y339" s="401" t="s">
        <v>1498</v>
      </c>
      <c r="Z339" s="607" t="s">
        <v>1499</v>
      </c>
      <c r="AA339" s="1453" t="s">
        <v>128</v>
      </c>
      <c r="AB339" s="608"/>
      <c r="AC339" s="608"/>
      <c r="AD339" s="608"/>
      <c r="AE339" s="564" t="s">
        <v>80</v>
      </c>
      <c r="AF339" s="564"/>
      <c r="AG339" s="608"/>
      <c r="AH339" s="608">
        <f t="shared" si="182"/>
        <v>800</v>
      </c>
      <c r="AI339" s="608"/>
      <c r="AJ339" s="608"/>
      <c r="AL339" s="1514">
        <f t="shared" si="181"/>
        <v>800</v>
      </c>
      <c r="AM339" s="609"/>
      <c r="AN339" s="609"/>
      <c r="AO339" s="609">
        <f t="shared" si="179"/>
        <v>800</v>
      </c>
      <c r="AP339" s="609"/>
      <c r="AQ339" s="609"/>
      <c r="AR339" s="609"/>
      <c r="AS339" s="609"/>
      <c r="AT339" s="633"/>
      <c r="AU339" s="633"/>
      <c r="AV339" s="633"/>
      <c r="AW339" s="401"/>
      <c r="AX339" s="633"/>
      <c r="AY339" s="633"/>
      <c r="AZ339" s="633"/>
      <c r="BB339" s="1569">
        <f t="shared" si="180"/>
        <v>32</v>
      </c>
      <c r="BC339" s="1569"/>
      <c r="BD339" s="633"/>
      <c r="BE339" s="633"/>
      <c r="BF339" s="633"/>
      <c r="BG339" s="633"/>
      <c r="BH339" s="633"/>
      <c r="BI339" s="633"/>
      <c r="BJ339" s="633"/>
      <c r="BK339" s="633"/>
      <c r="BL339" s="633"/>
      <c r="BM339" s="401">
        <f t="shared" si="172"/>
        <v>800</v>
      </c>
      <c r="BO339" s="1473"/>
      <c r="BP339" s="1473"/>
    </row>
    <row r="340" s="200" customFormat="1" ht="36" customHeight="1" spans="1:68">
      <c r="A340" s="526">
        <v>45406</v>
      </c>
      <c r="B340" s="1507" t="s">
        <v>1500</v>
      </c>
      <c r="C340" s="1508" t="s">
        <v>351</v>
      </c>
      <c r="D340" s="529">
        <v>4500131207</v>
      </c>
      <c r="E340" s="1509">
        <v>313812</v>
      </c>
      <c r="F340" s="529" t="s">
        <v>1501</v>
      </c>
      <c r="G340" s="531" t="s">
        <v>160</v>
      </c>
      <c r="H340" s="532" t="s">
        <v>74</v>
      </c>
      <c r="I340" s="401">
        <v>1170</v>
      </c>
      <c r="J340" s="562">
        <v>0</v>
      </c>
      <c r="K340" s="531">
        <v>13</v>
      </c>
      <c r="L340" s="401">
        <f t="shared" si="157"/>
        <v>90</v>
      </c>
      <c r="M340" s="563">
        <v>45467</v>
      </c>
      <c r="N340" s="1495">
        <v>45468</v>
      </c>
      <c r="O340" s="564"/>
      <c r="P340" s="564" t="s">
        <v>92</v>
      </c>
      <c r="Q340" s="564" t="s">
        <v>1502</v>
      </c>
      <c r="R340" s="564">
        <v>45434</v>
      </c>
      <c r="S340" s="564" t="s">
        <v>77</v>
      </c>
      <c r="T340" s="564" t="s">
        <v>1503</v>
      </c>
      <c r="U340" s="530" t="s">
        <v>1504</v>
      </c>
      <c r="V340" s="564" t="s">
        <v>647</v>
      </c>
      <c r="W340" s="592">
        <v>1.3901</v>
      </c>
      <c r="X340" s="593">
        <f t="shared" si="178"/>
        <v>1626.417</v>
      </c>
      <c r="Y340" s="401" t="s">
        <v>1505</v>
      </c>
      <c r="Z340" s="607" t="s">
        <v>239</v>
      </c>
      <c r="AA340" s="1453" t="s">
        <v>128</v>
      </c>
      <c r="AB340" s="608"/>
      <c r="AC340" s="608"/>
      <c r="AD340" s="608"/>
      <c r="AE340" s="564" t="s">
        <v>80</v>
      </c>
      <c r="AF340" s="564"/>
      <c r="AG340" s="608">
        <f t="shared" ref="AG340:AG349" si="183">I340</f>
        <v>1170</v>
      </c>
      <c r="AH340" s="608"/>
      <c r="AI340" s="608"/>
      <c r="AJ340" s="608"/>
      <c r="AK340" s="609"/>
      <c r="AL340" s="609">
        <f t="shared" si="181"/>
        <v>1170</v>
      </c>
      <c r="AM340" s="609"/>
      <c r="AN340" s="609"/>
      <c r="AO340" s="609">
        <f t="shared" si="179"/>
        <v>1170</v>
      </c>
      <c r="AP340" s="609"/>
      <c r="AQ340" s="609"/>
      <c r="AR340" s="609"/>
      <c r="AS340" s="609"/>
      <c r="AT340" s="633"/>
      <c r="AU340" s="633"/>
      <c r="AV340" s="633"/>
      <c r="AW340" s="633"/>
      <c r="AX340" s="633"/>
      <c r="AY340" s="633"/>
      <c r="AZ340" s="633">
        <f>I340/13</f>
        <v>90</v>
      </c>
      <c r="BA340" s="633"/>
      <c r="BB340" s="633"/>
      <c r="BC340" s="633"/>
      <c r="BD340" s="633"/>
      <c r="BE340" s="633"/>
      <c r="BF340" s="633"/>
      <c r="BG340" s="633"/>
      <c r="BH340" s="633"/>
      <c r="BI340" s="633"/>
      <c r="BJ340" s="633"/>
      <c r="BK340" s="633"/>
      <c r="BL340" s="633"/>
      <c r="BM340" s="401">
        <f t="shared" si="172"/>
        <v>1170</v>
      </c>
      <c r="BO340" s="1473"/>
      <c r="BP340" s="1473"/>
    </row>
    <row r="341" s="200" customFormat="1" ht="36" customHeight="1" spans="1:68">
      <c r="A341" s="1529">
        <v>45435</v>
      </c>
      <c r="B341" s="1509" t="s">
        <v>933</v>
      </c>
      <c r="C341" s="1508" t="s">
        <v>934</v>
      </c>
      <c r="D341" s="529">
        <v>4500134513</v>
      </c>
      <c r="E341" s="1509">
        <v>5000001521</v>
      </c>
      <c r="F341" s="529" t="s">
        <v>1506</v>
      </c>
      <c r="G341" s="531" t="s">
        <v>160</v>
      </c>
      <c r="H341" s="532" t="s">
        <v>74</v>
      </c>
      <c r="I341" s="1514">
        <v>1144</v>
      </c>
      <c r="J341" s="562">
        <v>0</v>
      </c>
      <c r="K341" s="531">
        <v>13</v>
      </c>
      <c r="L341" s="401">
        <f t="shared" si="157"/>
        <v>88</v>
      </c>
      <c r="M341" s="563">
        <v>45464</v>
      </c>
      <c r="N341" s="1495">
        <v>45469</v>
      </c>
      <c r="O341" s="564"/>
      <c r="P341" s="564" t="s">
        <v>92</v>
      </c>
      <c r="Q341" s="564" t="s">
        <v>1507</v>
      </c>
      <c r="R341" s="564" t="s">
        <v>1508</v>
      </c>
      <c r="S341" s="564" t="s">
        <v>77</v>
      </c>
      <c r="T341" s="1519" t="s">
        <v>1160</v>
      </c>
      <c r="U341" s="530" t="s">
        <v>1509</v>
      </c>
      <c r="V341" s="596" t="s">
        <v>938</v>
      </c>
      <c r="W341" s="592">
        <v>1.3901</v>
      </c>
      <c r="X341" s="593">
        <f t="shared" si="178"/>
        <v>1590.2744</v>
      </c>
      <c r="Y341" s="401" t="s">
        <v>1510</v>
      </c>
      <c r="Z341" s="607" t="s">
        <v>940</v>
      </c>
      <c r="AA341" s="1453" t="s">
        <v>128</v>
      </c>
      <c r="AB341" s="608"/>
      <c r="AC341" s="608"/>
      <c r="AD341" s="608"/>
      <c r="AE341" s="564" t="s">
        <v>80</v>
      </c>
      <c r="AF341" s="564"/>
      <c r="AG341" s="608">
        <f t="shared" si="183"/>
        <v>1144</v>
      </c>
      <c r="AH341" s="608"/>
      <c r="AI341" s="608"/>
      <c r="AJ341" s="608"/>
      <c r="AK341" s="609">
        <f t="shared" ref="AK341:AK349" si="184">I341</f>
        <v>1144</v>
      </c>
      <c r="AL341" s="609"/>
      <c r="AM341" s="609"/>
      <c r="AN341" s="609"/>
      <c r="AP341" s="609"/>
      <c r="AQ341" s="609"/>
      <c r="AR341" s="609">
        <f>I341</f>
        <v>1144</v>
      </c>
      <c r="AS341" s="609"/>
      <c r="AT341" s="633"/>
      <c r="AU341" s="633"/>
      <c r="AV341" s="633"/>
      <c r="AW341" s="633"/>
      <c r="AX341" s="633"/>
      <c r="AY341" s="633">
        <f>I341/13</f>
        <v>88</v>
      </c>
      <c r="AZ341" s="633"/>
      <c r="BA341" s="633"/>
      <c r="BB341" s="633"/>
      <c r="BC341" s="633"/>
      <c r="BD341" s="633"/>
      <c r="BE341" s="633"/>
      <c r="BF341" s="633"/>
      <c r="BG341" s="633"/>
      <c r="BH341" s="633"/>
      <c r="BI341" s="633"/>
      <c r="BJ341" s="633"/>
      <c r="BK341" s="633"/>
      <c r="BL341" s="633"/>
      <c r="BM341" s="401">
        <f t="shared" si="172"/>
        <v>1144</v>
      </c>
      <c r="BO341" s="1473"/>
      <c r="BP341" s="1473"/>
    </row>
    <row r="342" s="200" customFormat="1" ht="36" customHeight="1" spans="1:73">
      <c r="A342" s="1529">
        <v>45425</v>
      </c>
      <c r="B342" s="1509" t="s">
        <v>816</v>
      </c>
      <c r="C342" s="1561" t="s">
        <v>117</v>
      </c>
      <c r="D342" s="1541">
        <v>4500133366</v>
      </c>
      <c r="E342" s="1542">
        <v>70042436</v>
      </c>
      <c r="F342" s="1541" t="s">
        <v>1511</v>
      </c>
      <c r="G342" s="531" t="s">
        <v>628</v>
      </c>
      <c r="H342" s="532" t="s">
        <v>623</v>
      </c>
      <c r="I342" s="401">
        <v>600</v>
      </c>
      <c r="J342" s="562">
        <v>0</v>
      </c>
      <c r="K342" s="531">
        <v>12</v>
      </c>
      <c r="L342" s="401">
        <f t="shared" si="157"/>
        <v>50</v>
      </c>
      <c r="M342" s="563">
        <v>45464</v>
      </c>
      <c r="N342" s="1495">
        <v>45470</v>
      </c>
      <c r="O342" s="564"/>
      <c r="P342" s="564" t="s">
        <v>92</v>
      </c>
      <c r="Q342" s="564" t="s">
        <v>1354</v>
      </c>
      <c r="R342" s="564">
        <v>45429</v>
      </c>
      <c r="S342" s="564" t="s">
        <v>77</v>
      </c>
      <c r="T342" s="564" t="s">
        <v>1512</v>
      </c>
      <c r="U342" s="530" t="s">
        <v>1513</v>
      </c>
      <c r="V342" s="530" t="s">
        <v>163</v>
      </c>
      <c r="W342" s="592">
        <v>3.1012</v>
      </c>
      <c r="X342" s="593">
        <f t="shared" si="178"/>
        <v>1860.72</v>
      </c>
      <c r="Y342" s="401" t="s">
        <v>1514</v>
      </c>
      <c r="Z342" s="607" t="s">
        <v>822</v>
      </c>
      <c r="AA342" s="1453" t="s">
        <v>128</v>
      </c>
      <c r="AB342" s="608"/>
      <c r="AC342" s="608"/>
      <c r="AD342" s="608"/>
      <c r="AE342" s="564" t="s">
        <v>80</v>
      </c>
      <c r="AF342" s="564"/>
      <c r="AG342" s="608">
        <f>I342*2</f>
        <v>1200</v>
      </c>
      <c r="AH342" s="608"/>
      <c r="AI342" s="608"/>
      <c r="AJ342" s="608"/>
      <c r="AK342" s="609">
        <f>AG342</f>
        <v>1200</v>
      </c>
      <c r="AL342" s="609"/>
      <c r="AM342" s="609"/>
      <c r="AN342" s="609"/>
      <c r="AO342" s="615">
        <f>AK342</f>
        <v>1200</v>
      </c>
      <c r="AP342" s="609"/>
      <c r="AQ342" s="609"/>
      <c r="AR342" s="609"/>
      <c r="AS342" s="609"/>
      <c r="AT342" s="633"/>
      <c r="AU342" s="633"/>
      <c r="AV342" s="633"/>
      <c r="AW342" s="633"/>
      <c r="AX342" s="633"/>
      <c r="AY342" s="633"/>
      <c r="AZ342" s="633"/>
      <c r="BA342" s="633"/>
      <c r="BB342" s="633"/>
      <c r="BC342" s="633"/>
      <c r="BD342" s="633"/>
      <c r="BE342" s="633"/>
      <c r="BF342" s="633"/>
      <c r="BG342" s="633"/>
      <c r="BH342" s="633"/>
      <c r="BI342" s="633"/>
      <c r="BJ342" s="633"/>
      <c r="BK342" s="633">
        <f>I342</f>
        <v>600</v>
      </c>
      <c r="BL342" s="633">
        <f>I342</f>
        <v>600</v>
      </c>
      <c r="BM342" s="401">
        <f t="shared" si="172"/>
        <v>1200</v>
      </c>
      <c r="BO342" s="1473"/>
      <c r="BP342" s="1473"/>
      <c r="BU342" s="1502" t="s">
        <v>1343</v>
      </c>
    </row>
    <row r="343" s="200" customFormat="1" ht="36" customHeight="1" spans="1:68">
      <c r="A343" s="1529">
        <v>45427</v>
      </c>
      <c r="B343" s="1509" t="s">
        <v>1515</v>
      </c>
      <c r="C343" s="1561" t="s">
        <v>1018</v>
      </c>
      <c r="D343" s="1541">
        <v>4500133497</v>
      </c>
      <c r="E343" s="1542"/>
      <c r="F343" s="1541" t="s">
        <v>1516</v>
      </c>
      <c r="G343" s="531" t="s">
        <v>96</v>
      </c>
      <c r="H343" s="532" t="s">
        <v>74</v>
      </c>
      <c r="I343" s="401">
        <v>2750</v>
      </c>
      <c r="J343" s="562">
        <v>0</v>
      </c>
      <c r="K343" s="531">
        <v>50</v>
      </c>
      <c r="L343" s="401">
        <f t="shared" si="157"/>
        <v>55</v>
      </c>
      <c r="M343" s="563">
        <v>45464</v>
      </c>
      <c r="N343" s="1495">
        <v>45471</v>
      </c>
      <c r="O343" s="564" t="s">
        <v>1517</v>
      </c>
      <c r="P343" s="564" t="s">
        <v>92</v>
      </c>
      <c r="Q343" s="564" t="s">
        <v>1518</v>
      </c>
      <c r="R343" s="564">
        <v>45434</v>
      </c>
      <c r="S343" s="564" t="s">
        <v>77</v>
      </c>
      <c r="T343" s="564" t="s">
        <v>1519</v>
      </c>
      <c r="U343" s="1499" t="s">
        <v>1520</v>
      </c>
      <c r="V343" s="530" t="s">
        <v>1140</v>
      </c>
      <c r="W343" s="592">
        <v>1.4174</v>
      </c>
      <c r="X343" s="593">
        <f t="shared" si="178"/>
        <v>3897.85</v>
      </c>
      <c r="Y343" s="401" t="s">
        <v>1521</v>
      </c>
      <c r="Z343" s="607" t="s">
        <v>96</v>
      </c>
      <c r="AA343" s="1453" t="s">
        <v>128</v>
      </c>
      <c r="AB343" s="608"/>
      <c r="AC343" s="608"/>
      <c r="AD343" s="608"/>
      <c r="AE343" s="564" t="s">
        <v>80</v>
      </c>
      <c r="AF343" s="564"/>
      <c r="AG343" s="608">
        <f t="shared" si="183"/>
        <v>2750</v>
      </c>
      <c r="AH343" s="608"/>
      <c r="AI343" s="608"/>
      <c r="AJ343" s="608"/>
      <c r="AK343" s="609">
        <f t="shared" si="184"/>
        <v>2750</v>
      </c>
      <c r="AL343" s="609"/>
      <c r="AM343" s="609"/>
      <c r="AN343" s="609"/>
      <c r="AO343" s="609">
        <f>I343</f>
        <v>2750</v>
      </c>
      <c r="AP343" s="609"/>
      <c r="AQ343" s="609"/>
      <c r="AR343" s="609"/>
      <c r="AS343" s="609"/>
      <c r="AT343" s="633"/>
      <c r="AU343" s="633"/>
      <c r="AV343" s="633"/>
      <c r="AW343" s="633"/>
      <c r="AX343" s="633"/>
      <c r="AY343" s="633"/>
      <c r="AZ343" s="633"/>
      <c r="BA343" s="633">
        <f>I343/25</f>
        <v>110</v>
      </c>
      <c r="BB343" s="633"/>
      <c r="BC343" s="633"/>
      <c r="BD343" s="633"/>
      <c r="BE343" s="633"/>
      <c r="BF343" s="633"/>
      <c r="BG343" s="633"/>
      <c r="BH343" s="633"/>
      <c r="BI343" s="633"/>
      <c r="BJ343" s="633"/>
      <c r="BK343" s="633"/>
      <c r="BL343" s="633"/>
      <c r="BM343" s="401">
        <f t="shared" si="172"/>
        <v>2750</v>
      </c>
      <c r="BO343" s="1473"/>
      <c r="BP343" s="1473"/>
    </row>
    <row r="344" s="200" customFormat="1" ht="36" customHeight="1" spans="1:68">
      <c r="A344" s="526">
        <v>45426</v>
      </c>
      <c r="B344" s="1507" t="s">
        <v>225</v>
      </c>
      <c r="C344" s="528" t="s">
        <v>213</v>
      </c>
      <c r="D344" s="529">
        <v>4500131824</v>
      </c>
      <c r="E344" s="1509" t="s">
        <v>1522</v>
      </c>
      <c r="F344" s="529" t="s">
        <v>1523</v>
      </c>
      <c r="G344" s="531" t="s">
        <v>96</v>
      </c>
      <c r="H344" s="532" t="s">
        <v>74</v>
      </c>
      <c r="I344" s="401">
        <v>10000</v>
      </c>
      <c r="J344" s="562">
        <v>0</v>
      </c>
      <c r="K344" s="531">
        <v>50</v>
      </c>
      <c r="L344" s="401">
        <f t="shared" si="157"/>
        <v>200</v>
      </c>
      <c r="M344" s="563">
        <v>45463</v>
      </c>
      <c r="N344" s="1495">
        <v>45467</v>
      </c>
      <c r="O344" s="564" t="s">
        <v>1524</v>
      </c>
      <c r="P344" s="564" t="s">
        <v>92</v>
      </c>
      <c r="Q344" s="564" t="s">
        <v>1486</v>
      </c>
      <c r="R344" s="564">
        <v>45433</v>
      </c>
      <c r="S344" s="564" t="s">
        <v>77</v>
      </c>
      <c r="T344" s="564" t="s">
        <v>1525</v>
      </c>
      <c r="U344" s="530" t="s">
        <v>1526</v>
      </c>
      <c r="V344" s="564" t="s">
        <v>230</v>
      </c>
      <c r="W344" s="592">
        <v>1.4073</v>
      </c>
      <c r="X344" s="593">
        <f t="shared" si="178"/>
        <v>14073</v>
      </c>
      <c r="Y344" s="401" t="s">
        <v>1527</v>
      </c>
      <c r="Z344" s="607" t="s">
        <v>220</v>
      </c>
      <c r="AA344" s="1453" t="s">
        <v>128</v>
      </c>
      <c r="AB344" s="608"/>
      <c r="AC344" s="608"/>
      <c r="AD344" s="608"/>
      <c r="AE344" s="564" t="s">
        <v>80</v>
      </c>
      <c r="AF344" s="564"/>
      <c r="AG344" s="608">
        <f t="shared" si="183"/>
        <v>10000</v>
      </c>
      <c r="AH344" s="608"/>
      <c r="AI344" s="608"/>
      <c r="AJ344" s="608"/>
      <c r="AK344" s="609"/>
      <c r="AL344" s="609">
        <f>I344</f>
        <v>10000</v>
      </c>
      <c r="AM344" s="609"/>
      <c r="AN344" s="609"/>
      <c r="AO344" s="609">
        <f>I344</f>
        <v>10000</v>
      </c>
      <c r="AP344" s="609"/>
      <c r="AQ344" s="609"/>
      <c r="AR344" s="609"/>
      <c r="AS344" s="609"/>
      <c r="AT344" s="633"/>
      <c r="AU344" s="633"/>
      <c r="AV344" s="633"/>
      <c r="AW344" s="633"/>
      <c r="AX344" s="633"/>
      <c r="AY344" s="633"/>
      <c r="AZ344" s="633"/>
      <c r="BA344" s="633"/>
      <c r="BB344" s="633">
        <f>I344/25</f>
        <v>400</v>
      </c>
      <c r="BC344" s="633"/>
      <c r="BD344" s="633"/>
      <c r="BE344" s="633"/>
      <c r="BF344" s="633"/>
      <c r="BG344" s="633"/>
      <c r="BH344" s="633"/>
      <c r="BI344" s="633"/>
      <c r="BJ344" s="633"/>
      <c r="BK344" s="633"/>
      <c r="BL344" s="633"/>
      <c r="BM344" s="401">
        <f t="shared" si="172"/>
        <v>10000</v>
      </c>
      <c r="BO344" s="1473"/>
      <c r="BP344" s="1473"/>
    </row>
    <row r="345" s="200" customFormat="1" ht="36" customHeight="1" spans="1:68">
      <c r="A345" s="533">
        <v>45362</v>
      </c>
      <c r="B345" s="527" t="s">
        <v>1528</v>
      </c>
      <c r="C345" s="528" t="s">
        <v>373</v>
      </c>
      <c r="D345" s="534">
        <v>4500126495</v>
      </c>
      <c r="E345" s="530"/>
      <c r="F345" s="534" t="s">
        <v>1529</v>
      </c>
      <c r="G345" s="531" t="s">
        <v>215</v>
      </c>
      <c r="H345" s="532" t="s">
        <v>74</v>
      </c>
      <c r="I345" s="401">
        <v>420</v>
      </c>
      <c r="J345" s="562">
        <v>0</v>
      </c>
      <c r="K345" s="531">
        <v>42</v>
      </c>
      <c r="L345" s="401">
        <f t="shared" si="157"/>
        <v>10</v>
      </c>
      <c r="M345" s="1495">
        <v>45456</v>
      </c>
      <c r="N345" s="1495">
        <v>45468</v>
      </c>
      <c r="O345" s="1474">
        <v>45470</v>
      </c>
      <c r="P345" s="564" t="s">
        <v>1262</v>
      </c>
      <c r="Q345" s="564" t="s">
        <v>1530</v>
      </c>
      <c r="R345" s="564">
        <v>45398</v>
      </c>
      <c r="S345" s="564" t="s">
        <v>77</v>
      </c>
      <c r="T345" s="564">
        <v>45440</v>
      </c>
      <c r="U345" s="1499" t="s">
        <v>1531</v>
      </c>
      <c r="V345" s="596" t="s">
        <v>377</v>
      </c>
      <c r="W345" s="592">
        <v>1.459</v>
      </c>
      <c r="X345" s="593">
        <f t="shared" si="178"/>
        <v>612.78</v>
      </c>
      <c r="Y345" s="401" t="s">
        <v>1532</v>
      </c>
      <c r="Z345" s="607" t="s">
        <v>220</v>
      </c>
      <c r="AA345" s="1453" t="s">
        <v>128</v>
      </c>
      <c r="AB345" s="608"/>
      <c r="AC345" s="608"/>
      <c r="AD345" s="608"/>
      <c r="AE345" s="564" t="s">
        <v>80</v>
      </c>
      <c r="AF345" s="564"/>
      <c r="AG345" s="608">
        <f t="shared" si="183"/>
        <v>420</v>
      </c>
      <c r="AH345" s="608"/>
      <c r="AI345" s="608"/>
      <c r="AJ345" s="608"/>
      <c r="AK345" s="609"/>
      <c r="AL345" s="609">
        <f>I345</f>
        <v>420</v>
      </c>
      <c r="AM345" s="609"/>
      <c r="AN345" s="609"/>
      <c r="AO345" s="609">
        <f>AG345</f>
        <v>420</v>
      </c>
      <c r="AP345" s="609"/>
      <c r="AQ345" s="609"/>
      <c r="AR345" s="609"/>
      <c r="AS345" s="609"/>
      <c r="AT345" s="633">
        <f>AG345/21</f>
        <v>20</v>
      </c>
      <c r="AU345" s="633"/>
      <c r="AV345" s="633"/>
      <c r="AW345" s="633"/>
      <c r="AX345" s="633"/>
      <c r="AY345" s="401"/>
      <c r="AZ345" s="633"/>
      <c r="BA345" s="633"/>
      <c r="BB345" s="633"/>
      <c r="BC345" s="633"/>
      <c r="BD345" s="633"/>
      <c r="BE345" s="633"/>
      <c r="BF345" s="633"/>
      <c r="BG345" s="633"/>
      <c r="BH345" s="633"/>
      <c r="BI345" s="633"/>
      <c r="BJ345" s="633"/>
      <c r="BK345" s="633"/>
      <c r="BL345" s="633"/>
      <c r="BM345" s="401">
        <f t="shared" si="172"/>
        <v>420</v>
      </c>
      <c r="BO345" s="1473"/>
      <c r="BP345" s="1473"/>
    </row>
    <row r="346" s="200" customFormat="1" ht="36" customHeight="1" spans="1:68">
      <c r="A346" s="533">
        <v>45390</v>
      </c>
      <c r="B346" s="527" t="s">
        <v>587</v>
      </c>
      <c r="C346" s="528" t="s">
        <v>117</v>
      </c>
      <c r="D346" s="534">
        <v>4500129040</v>
      </c>
      <c r="E346" s="530">
        <v>6631642395</v>
      </c>
      <c r="F346" s="534" t="s">
        <v>1533</v>
      </c>
      <c r="G346" s="531" t="s">
        <v>245</v>
      </c>
      <c r="H346" s="532" t="s">
        <v>74</v>
      </c>
      <c r="I346" s="401">
        <v>9768</v>
      </c>
      <c r="J346" s="562">
        <v>0</v>
      </c>
      <c r="K346" s="531">
        <v>12</v>
      </c>
      <c r="L346" s="401">
        <f t="shared" si="157"/>
        <v>814</v>
      </c>
      <c r="M346" s="563">
        <v>45457</v>
      </c>
      <c r="N346" s="1495">
        <v>45468</v>
      </c>
      <c r="O346" s="1474" t="s">
        <v>1466</v>
      </c>
      <c r="P346" s="564" t="s">
        <v>92</v>
      </c>
      <c r="Q346" s="564" t="s">
        <v>1090</v>
      </c>
      <c r="R346" s="564" t="s">
        <v>836</v>
      </c>
      <c r="S346" s="564" t="s">
        <v>123</v>
      </c>
      <c r="T346" s="564" t="s">
        <v>837</v>
      </c>
      <c r="U346" s="530" t="s">
        <v>1534</v>
      </c>
      <c r="V346" s="530" t="s">
        <v>634</v>
      </c>
      <c r="W346" s="592">
        <v>1.4019</v>
      </c>
      <c r="X346" s="593">
        <f t="shared" si="178"/>
        <v>13693.7592</v>
      </c>
      <c r="Y346" s="401" t="s">
        <v>1535</v>
      </c>
      <c r="Z346" s="607" t="s">
        <v>245</v>
      </c>
      <c r="AA346" s="1453" t="s">
        <v>128</v>
      </c>
      <c r="AB346" s="608"/>
      <c r="AC346" s="608"/>
      <c r="AD346" s="608"/>
      <c r="AE346" s="564" t="s">
        <v>80</v>
      </c>
      <c r="AF346" s="564"/>
      <c r="AG346" s="608">
        <f t="shared" si="183"/>
        <v>9768</v>
      </c>
      <c r="AH346" s="608"/>
      <c r="AI346" s="608"/>
      <c r="AJ346" s="608"/>
      <c r="AK346" s="609">
        <f t="shared" si="184"/>
        <v>9768</v>
      </c>
      <c r="AL346" s="609"/>
      <c r="AM346" s="609"/>
      <c r="AN346" s="609"/>
      <c r="AO346" s="609"/>
      <c r="AP346" s="609"/>
      <c r="AQ346" s="609">
        <f t="shared" ref="AQ346:AQ349" si="185">I346</f>
        <v>9768</v>
      </c>
      <c r="AR346" s="609"/>
      <c r="AS346" s="609"/>
      <c r="AT346" s="633"/>
      <c r="AU346" s="633"/>
      <c r="AV346" s="633">
        <f t="shared" ref="AV346:AV349" si="186">I346/12</f>
        <v>814</v>
      </c>
      <c r="AW346" s="401"/>
      <c r="AX346" s="633"/>
      <c r="AY346" s="633"/>
      <c r="AZ346" s="633"/>
      <c r="BA346" s="633"/>
      <c r="BB346" s="633"/>
      <c r="BC346" s="633"/>
      <c r="BD346" s="633"/>
      <c r="BE346" s="633"/>
      <c r="BF346" s="633"/>
      <c r="BG346" s="633"/>
      <c r="BH346" s="633"/>
      <c r="BI346" s="633"/>
      <c r="BJ346" s="633"/>
      <c r="BK346" s="633"/>
      <c r="BL346" s="633"/>
      <c r="BM346" s="401">
        <f t="shared" si="172"/>
        <v>9768</v>
      </c>
      <c r="BO346" s="1473"/>
      <c r="BP346" s="1473"/>
    </row>
    <row r="347" s="200" customFormat="1" ht="36" customHeight="1" spans="1:68">
      <c r="A347" s="1529">
        <v>45411</v>
      </c>
      <c r="B347" s="1509" t="s">
        <v>587</v>
      </c>
      <c r="C347" s="528" t="s">
        <v>117</v>
      </c>
      <c r="D347" s="529">
        <v>4500131248</v>
      </c>
      <c r="E347" s="1509">
        <v>6631646281</v>
      </c>
      <c r="F347" s="529" t="s">
        <v>1536</v>
      </c>
      <c r="G347" s="531" t="s">
        <v>832</v>
      </c>
      <c r="H347" s="532" t="s">
        <v>833</v>
      </c>
      <c r="I347" s="401">
        <v>2304</v>
      </c>
      <c r="J347" s="562">
        <v>0</v>
      </c>
      <c r="K347" s="531">
        <v>1152</v>
      </c>
      <c r="L347" s="401">
        <f t="shared" si="157"/>
        <v>2</v>
      </c>
      <c r="M347" s="563">
        <v>45464</v>
      </c>
      <c r="N347" s="1495">
        <v>45469</v>
      </c>
      <c r="O347" s="1474" t="s">
        <v>1537</v>
      </c>
      <c r="P347" s="564" t="s">
        <v>92</v>
      </c>
      <c r="Q347" s="564" t="s">
        <v>1437</v>
      </c>
      <c r="R347" s="1523" t="s">
        <v>1102</v>
      </c>
      <c r="S347" s="564" t="s">
        <v>123</v>
      </c>
      <c r="T347" s="1519" t="s">
        <v>1468</v>
      </c>
      <c r="U347" s="530" t="s">
        <v>1103</v>
      </c>
      <c r="V347" s="530" t="s">
        <v>1006</v>
      </c>
      <c r="W347" s="592">
        <v>1746.3776</v>
      </c>
      <c r="X347" s="593">
        <f t="shared" ref="X347:X349" si="187">W347*L347</f>
        <v>3492.7552</v>
      </c>
      <c r="Y347" s="401" t="s">
        <v>1538</v>
      </c>
      <c r="Z347" s="607" t="s">
        <v>832</v>
      </c>
      <c r="AA347" s="1453" t="s">
        <v>128</v>
      </c>
      <c r="AB347" s="608"/>
      <c r="AC347" s="608"/>
      <c r="AD347" s="608"/>
      <c r="AE347" s="564" t="s">
        <v>80</v>
      </c>
      <c r="AF347" s="564"/>
      <c r="AG347" s="608">
        <f t="shared" si="183"/>
        <v>2304</v>
      </c>
      <c r="AH347" s="608"/>
      <c r="AI347" s="608"/>
      <c r="AJ347" s="608"/>
      <c r="AK347" s="609">
        <f t="shared" si="184"/>
        <v>2304</v>
      </c>
      <c r="AL347" s="609"/>
      <c r="AM347" s="609"/>
      <c r="AN347" s="609"/>
      <c r="AO347" s="609"/>
      <c r="AP347" s="609"/>
      <c r="AQ347" s="609">
        <f t="shared" si="185"/>
        <v>2304</v>
      </c>
      <c r="AR347" s="609"/>
      <c r="AS347" s="609"/>
      <c r="AT347" s="633"/>
      <c r="AU347" s="633"/>
      <c r="AV347" s="633">
        <f t="shared" si="186"/>
        <v>192</v>
      </c>
      <c r="AW347" s="633"/>
      <c r="AX347" s="633"/>
      <c r="AY347" s="633"/>
      <c r="AZ347" s="633"/>
      <c r="BA347" s="633"/>
      <c r="BB347" s="633"/>
      <c r="BC347" s="633"/>
      <c r="BD347" s="633"/>
      <c r="BE347" s="633"/>
      <c r="BF347" s="633"/>
      <c r="BG347" s="633"/>
      <c r="BH347" s="633"/>
      <c r="BI347" s="633"/>
      <c r="BJ347" s="633"/>
      <c r="BK347" s="633"/>
      <c r="BL347" s="633"/>
      <c r="BM347" s="401">
        <f t="shared" si="172"/>
        <v>2304</v>
      </c>
      <c r="BO347" s="1473"/>
      <c r="BP347" s="1473"/>
    </row>
    <row r="348" s="200" customFormat="1" ht="36" customHeight="1" spans="1:68">
      <c r="A348" s="1529">
        <v>45411</v>
      </c>
      <c r="B348" s="1509" t="s">
        <v>587</v>
      </c>
      <c r="C348" s="528" t="s">
        <v>117</v>
      </c>
      <c r="D348" s="529">
        <v>4500131248</v>
      </c>
      <c r="E348" s="1509">
        <v>6631646282</v>
      </c>
      <c r="F348" s="529" t="s">
        <v>1539</v>
      </c>
      <c r="G348" s="531" t="s">
        <v>832</v>
      </c>
      <c r="H348" s="532" t="s">
        <v>833</v>
      </c>
      <c r="I348" s="401">
        <v>1152</v>
      </c>
      <c r="J348" s="562">
        <v>0</v>
      </c>
      <c r="K348" s="531">
        <v>1152</v>
      </c>
      <c r="L348" s="401">
        <f t="shared" si="157"/>
        <v>1</v>
      </c>
      <c r="M348" s="563">
        <v>45464</v>
      </c>
      <c r="N348" s="1495">
        <v>45469</v>
      </c>
      <c r="O348" s="1474" t="s">
        <v>1540</v>
      </c>
      <c r="P348" s="564" t="s">
        <v>92</v>
      </c>
      <c r="Q348" s="564" t="s">
        <v>1437</v>
      </c>
      <c r="R348" s="1523" t="s">
        <v>1102</v>
      </c>
      <c r="S348" s="564" t="s">
        <v>123</v>
      </c>
      <c r="T348" s="1519" t="s">
        <v>1468</v>
      </c>
      <c r="U348" s="530" t="s">
        <v>1103</v>
      </c>
      <c r="V348" s="530" t="s">
        <v>1006</v>
      </c>
      <c r="W348" s="592">
        <v>1746.3776</v>
      </c>
      <c r="X348" s="593">
        <f t="shared" si="187"/>
        <v>1746.3776</v>
      </c>
      <c r="Y348" s="401" t="s">
        <v>1541</v>
      </c>
      <c r="Z348" s="607" t="s">
        <v>832</v>
      </c>
      <c r="AA348" s="1453" t="s">
        <v>128</v>
      </c>
      <c r="AB348" s="608"/>
      <c r="AC348" s="608"/>
      <c r="AD348" s="608"/>
      <c r="AE348" s="564" t="s">
        <v>80</v>
      </c>
      <c r="AF348" s="564"/>
      <c r="AG348" s="608">
        <f t="shared" si="183"/>
        <v>1152</v>
      </c>
      <c r="AH348" s="608"/>
      <c r="AI348" s="608"/>
      <c r="AJ348" s="608"/>
      <c r="AK348" s="609">
        <f t="shared" si="184"/>
        <v>1152</v>
      </c>
      <c r="AL348" s="609"/>
      <c r="AM348" s="609"/>
      <c r="AN348" s="609"/>
      <c r="AO348" s="609"/>
      <c r="AP348" s="609"/>
      <c r="AQ348" s="609">
        <f t="shared" si="185"/>
        <v>1152</v>
      </c>
      <c r="AR348" s="609"/>
      <c r="AS348" s="609"/>
      <c r="AT348" s="633"/>
      <c r="AU348" s="633"/>
      <c r="AV348" s="633">
        <f t="shared" si="186"/>
        <v>96</v>
      </c>
      <c r="AW348" s="633"/>
      <c r="AX348" s="633"/>
      <c r="AY348" s="633"/>
      <c r="AZ348" s="633"/>
      <c r="BA348" s="633"/>
      <c r="BB348" s="633"/>
      <c r="BC348" s="633"/>
      <c r="BD348" s="633"/>
      <c r="BE348" s="633"/>
      <c r="BF348" s="633"/>
      <c r="BG348" s="633"/>
      <c r="BH348" s="633"/>
      <c r="BI348" s="633"/>
      <c r="BJ348" s="633"/>
      <c r="BK348" s="633"/>
      <c r="BL348" s="633"/>
      <c r="BM348" s="401">
        <f t="shared" si="172"/>
        <v>1152</v>
      </c>
      <c r="BO348" s="1473"/>
      <c r="BP348" s="1473"/>
    </row>
    <row r="349" s="200" customFormat="1" ht="36" customHeight="1" spans="1:68">
      <c r="A349" s="1529">
        <v>45411</v>
      </c>
      <c r="B349" s="1509" t="s">
        <v>587</v>
      </c>
      <c r="C349" s="528" t="s">
        <v>117</v>
      </c>
      <c r="D349" s="529">
        <v>4500131248</v>
      </c>
      <c r="E349" s="1509" t="s">
        <v>1542</v>
      </c>
      <c r="F349" s="529" t="s">
        <v>1543</v>
      </c>
      <c r="G349" s="531" t="s">
        <v>832</v>
      </c>
      <c r="H349" s="532" t="s">
        <v>833</v>
      </c>
      <c r="I349" s="401">
        <v>2304</v>
      </c>
      <c r="J349" s="562">
        <v>0</v>
      </c>
      <c r="K349" s="531">
        <v>1152</v>
      </c>
      <c r="L349" s="401">
        <f t="shared" si="157"/>
        <v>2</v>
      </c>
      <c r="M349" s="563">
        <v>45464</v>
      </c>
      <c r="N349" s="1495">
        <v>45469</v>
      </c>
      <c r="O349" s="1474" t="s">
        <v>1537</v>
      </c>
      <c r="P349" s="564" t="s">
        <v>92</v>
      </c>
      <c r="Q349" s="564" t="s">
        <v>1437</v>
      </c>
      <c r="R349" s="1523" t="s">
        <v>1102</v>
      </c>
      <c r="S349" s="564" t="s">
        <v>123</v>
      </c>
      <c r="T349" s="1519" t="s">
        <v>1468</v>
      </c>
      <c r="U349" s="530" t="s">
        <v>1103</v>
      </c>
      <c r="V349" s="530" t="s">
        <v>1006</v>
      </c>
      <c r="W349" s="592">
        <v>1746.3776</v>
      </c>
      <c r="X349" s="593">
        <f t="shared" si="187"/>
        <v>3492.7552</v>
      </c>
      <c r="Y349" s="401" t="s">
        <v>1544</v>
      </c>
      <c r="Z349" s="607" t="s">
        <v>832</v>
      </c>
      <c r="AA349" s="1453" t="s">
        <v>128</v>
      </c>
      <c r="AB349" s="608"/>
      <c r="AC349" s="608"/>
      <c r="AD349" s="608"/>
      <c r="AE349" s="564" t="s">
        <v>80</v>
      </c>
      <c r="AF349" s="564"/>
      <c r="AG349" s="608">
        <f t="shared" si="183"/>
        <v>2304</v>
      </c>
      <c r="AH349" s="608"/>
      <c r="AI349" s="608"/>
      <c r="AJ349" s="608"/>
      <c r="AK349" s="609">
        <f t="shared" si="184"/>
        <v>2304</v>
      </c>
      <c r="AL349" s="609"/>
      <c r="AM349" s="609"/>
      <c r="AN349" s="609"/>
      <c r="AO349" s="609"/>
      <c r="AP349" s="609"/>
      <c r="AQ349" s="609">
        <f t="shared" si="185"/>
        <v>2304</v>
      </c>
      <c r="AR349" s="609"/>
      <c r="AS349" s="609"/>
      <c r="AT349" s="633"/>
      <c r="AU349" s="633"/>
      <c r="AV349" s="633">
        <f t="shared" si="186"/>
        <v>192</v>
      </c>
      <c r="AW349" s="633"/>
      <c r="AX349" s="633"/>
      <c r="AY349" s="633"/>
      <c r="AZ349" s="633"/>
      <c r="BA349" s="633"/>
      <c r="BB349" s="633"/>
      <c r="BC349" s="633"/>
      <c r="BD349" s="633"/>
      <c r="BE349" s="633"/>
      <c r="BF349" s="633"/>
      <c r="BG349" s="633"/>
      <c r="BH349" s="633"/>
      <c r="BI349" s="633"/>
      <c r="BJ349" s="633"/>
      <c r="BK349" s="633"/>
      <c r="BL349" s="633"/>
      <c r="BM349" s="401">
        <f t="shared" si="172"/>
        <v>2304</v>
      </c>
      <c r="BO349" s="1473"/>
      <c r="BP349" s="1473"/>
    </row>
    <row r="350" s="200" customFormat="1" ht="36" customHeight="1" spans="1:73">
      <c r="A350" s="1529">
        <v>45425</v>
      </c>
      <c r="B350" s="1509" t="s">
        <v>816</v>
      </c>
      <c r="C350" s="1561" t="s">
        <v>117</v>
      </c>
      <c r="D350" s="1541">
        <v>4500133388</v>
      </c>
      <c r="E350" s="1542">
        <v>60161157</v>
      </c>
      <c r="F350" s="1541" t="s">
        <v>1545</v>
      </c>
      <c r="G350" s="531" t="s">
        <v>628</v>
      </c>
      <c r="H350" s="532" t="s">
        <v>623</v>
      </c>
      <c r="I350" s="401">
        <v>4320</v>
      </c>
      <c r="J350" s="562">
        <v>0</v>
      </c>
      <c r="K350" s="531">
        <v>12</v>
      </c>
      <c r="L350" s="401">
        <f t="shared" si="157"/>
        <v>360</v>
      </c>
      <c r="M350" s="563">
        <v>45464</v>
      </c>
      <c r="N350" s="1495">
        <v>45472</v>
      </c>
      <c r="O350" s="564"/>
      <c r="P350" s="564" t="s">
        <v>92</v>
      </c>
      <c r="Q350" s="564" t="s">
        <v>1090</v>
      </c>
      <c r="R350" s="564">
        <v>45429</v>
      </c>
      <c r="S350" s="564" t="s">
        <v>77</v>
      </c>
      <c r="T350" s="564" t="s">
        <v>1546</v>
      </c>
      <c r="U350" s="530" t="s">
        <v>1513</v>
      </c>
      <c r="V350" s="530" t="s">
        <v>163</v>
      </c>
      <c r="W350" s="592">
        <v>3.0911</v>
      </c>
      <c r="X350" s="593">
        <f t="shared" ref="X350:X354" si="188">I350*W350</f>
        <v>13353.552</v>
      </c>
      <c r="Y350" s="401" t="s">
        <v>1547</v>
      </c>
      <c r="Z350" s="607" t="s">
        <v>822</v>
      </c>
      <c r="AA350" s="1453" t="s">
        <v>128</v>
      </c>
      <c r="AB350" s="608"/>
      <c r="AC350" s="608"/>
      <c r="AD350" s="608"/>
      <c r="AE350" s="564" t="s">
        <v>80</v>
      </c>
      <c r="AF350" s="564"/>
      <c r="AG350" s="608">
        <f>I350*2</f>
        <v>8640</v>
      </c>
      <c r="AH350" s="608"/>
      <c r="AI350" s="608"/>
      <c r="AJ350" s="608"/>
      <c r="AK350" s="609">
        <f t="shared" ref="AK350:AK352" si="189">AG350</f>
        <v>8640</v>
      </c>
      <c r="AL350" s="609"/>
      <c r="AM350" s="609"/>
      <c r="AN350" s="609"/>
      <c r="AO350" s="615">
        <f>AK350</f>
        <v>8640</v>
      </c>
      <c r="AP350" s="609"/>
      <c r="AQ350" s="609"/>
      <c r="AR350" s="609"/>
      <c r="AS350" s="609"/>
      <c r="AT350" s="633"/>
      <c r="AU350" s="633"/>
      <c r="AV350" s="633"/>
      <c r="AW350" s="633"/>
      <c r="AX350" s="633"/>
      <c r="AY350" s="633"/>
      <c r="AZ350" s="633"/>
      <c r="BA350" s="633"/>
      <c r="BB350" s="633"/>
      <c r="BC350" s="633"/>
      <c r="BD350" s="633"/>
      <c r="BE350" s="633"/>
      <c r="BF350" s="633"/>
      <c r="BG350" s="633"/>
      <c r="BH350" s="633"/>
      <c r="BI350" s="633"/>
      <c r="BJ350" s="633"/>
      <c r="BK350" s="633">
        <f>I350</f>
        <v>4320</v>
      </c>
      <c r="BL350" s="633">
        <f>I350</f>
        <v>4320</v>
      </c>
      <c r="BM350" s="401">
        <f t="shared" si="172"/>
        <v>8640</v>
      </c>
      <c r="BO350" s="1473"/>
      <c r="BP350" s="1473"/>
      <c r="BU350" s="1502" t="s">
        <v>1343</v>
      </c>
    </row>
    <row r="351" s="200" customFormat="1" ht="36" customHeight="1" spans="1:68">
      <c r="A351" s="526">
        <v>45433</v>
      </c>
      <c r="B351" s="1507" t="s">
        <v>1548</v>
      </c>
      <c r="C351" s="1478" t="s">
        <v>1549</v>
      </c>
      <c r="D351" s="529">
        <v>4500134123</v>
      </c>
      <c r="E351" s="1509"/>
      <c r="F351" s="529" t="s">
        <v>1550</v>
      </c>
      <c r="G351" s="531" t="s">
        <v>73</v>
      </c>
      <c r="H351" s="532" t="s">
        <v>74</v>
      </c>
      <c r="I351" s="401">
        <v>1992</v>
      </c>
      <c r="J351" s="562">
        <v>0</v>
      </c>
      <c r="K351" s="531">
        <v>24</v>
      </c>
      <c r="L351" s="401">
        <f t="shared" si="157"/>
        <v>83</v>
      </c>
      <c r="M351" s="563">
        <v>45471</v>
      </c>
      <c r="N351" s="1495">
        <v>45472</v>
      </c>
      <c r="O351" s="564"/>
      <c r="P351" s="564" t="s">
        <v>92</v>
      </c>
      <c r="Q351" s="564"/>
      <c r="R351" s="564">
        <v>45442</v>
      </c>
      <c r="S351" s="564" t="s">
        <v>77</v>
      </c>
      <c r="T351" s="1519" t="s">
        <v>1551</v>
      </c>
      <c r="U351" s="530" t="s">
        <v>1552</v>
      </c>
      <c r="V351" s="564" t="s">
        <v>1553</v>
      </c>
      <c r="W351" s="592">
        <v>1.3595</v>
      </c>
      <c r="X351" s="593">
        <f t="shared" si="188"/>
        <v>2708.124</v>
      </c>
      <c r="Y351" s="401" t="s">
        <v>1554</v>
      </c>
      <c r="Z351" s="607" t="s">
        <v>73</v>
      </c>
      <c r="AA351" s="1453" t="s">
        <v>128</v>
      </c>
      <c r="AB351" s="608"/>
      <c r="AC351" s="608"/>
      <c r="AD351" s="608"/>
      <c r="AE351" s="564" t="s">
        <v>80</v>
      </c>
      <c r="AF351" s="564"/>
      <c r="AG351" s="608">
        <f t="shared" ref="AG351:AG355" si="190">I351</f>
        <v>1992</v>
      </c>
      <c r="AH351" s="608"/>
      <c r="AI351" s="608"/>
      <c r="AJ351" s="608"/>
      <c r="AK351" s="609">
        <f t="shared" si="189"/>
        <v>1992</v>
      </c>
      <c r="AL351" s="609"/>
      <c r="AM351" s="609"/>
      <c r="AN351" s="609"/>
      <c r="AO351" s="609">
        <f>AG351</f>
        <v>1992</v>
      </c>
      <c r="AP351" s="615"/>
      <c r="AQ351" s="609"/>
      <c r="AR351" s="609"/>
      <c r="AS351" s="609"/>
      <c r="AT351" s="633"/>
      <c r="AU351" s="633"/>
      <c r="AV351" s="633"/>
      <c r="AW351" s="633"/>
      <c r="AX351" s="633"/>
      <c r="AY351" s="633"/>
      <c r="AZ351" s="633"/>
      <c r="BA351" s="633"/>
      <c r="BB351" s="633"/>
      <c r="BC351" s="633"/>
      <c r="BD351" s="633"/>
      <c r="BE351" s="633"/>
      <c r="BF351" s="633"/>
      <c r="BG351" s="633"/>
      <c r="BH351" s="633"/>
      <c r="BI351" s="633"/>
      <c r="BJ351" s="633"/>
      <c r="BK351" s="633"/>
      <c r="BL351" s="633"/>
      <c r="BM351" s="401">
        <f t="shared" si="172"/>
        <v>1992</v>
      </c>
      <c r="BO351" s="1473"/>
      <c r="BP351" s="1473"/>
    </row>
    <row r="352" s="200" customFormat="1" ht="36" customHeight="1" spans="1:71">
      <c r="A352" s="1529">
        <v>45447</v>
      </c>
      <c r="B352" s="1509" t="s">
        <v>70</v>
      </c>
      <c r="C352" s="1508" t="s">
        <v>71</v>
      </c>
      <c r="D352" s="529" t="s">
        <v>1555</v>
      </c>
      <c r="E352" s="1509"/>
      <c r="F352" s="529"/>
      <c r="G352" s="531" t="s">
        <v>403</v>
      </c>
      <c r="H352" s="532" t="s">
        <v>74</v>
      </c>
      <c r="I352" s="401">
        <v>650</v>
      </c>
      <c r="J352" s="562">
        <v>0</v>
      </c>
      <c r="K352" s="531">
        <v>52</v>
      </c>
      <c r="L352" s="401">
        <f t="shared" si="157"/>
        <v>12.5</v>
      </c>
      <c r="M352" s="563">
        <v>45464</v>
      </c>
      <c r="N352" s="1495">
        <v>45472</v>
      </c>
      <c r="O352" s="564"/>
      <c r="P352" s="1446" t="s">
        <v>92</v>
      </c>
      <c r="Q352" s="564"/>
      <c r="R352" s="564">
        <v>45447</v>
      </c>
      <c r="S352" s="564" t="s">
        <v>77</v>
      </c>
      <c r="T352" s="564" t="s">
        <v>77</v>
      </c>
      <c r="U352" s="530" t="s">
        <v>1556</v>
      </c>
      <c r="V352" s="596" t="s">
        <v>1557</v>
      </c>
      <c r="W352" s="592"/>
      <c r="X352" s="593"/>
      <c r="Y352" s="401" t="s">
        <v>1558</v>
      </c>
      <c r="Z352" s="607" t="s">
        <v>403</v>
      </c>
      <c r="AA352" s="1453" t="s">
        <v>128</v>
      </c>
      <c r="AB352" s="608"/>
      <c r="AC352" s="608"/>
      <c r="AD352" s="608"/>
      <c r="AE352" s="564" t="s">
        <v>80</v>
      </c>
      <c r="AF352" s="564"/>
      <c r="AG352" s="608">
        <f t="shared" si="190"/>
        <v>650</v>
      </c>
      <c r="AH352" s="608"/>
      <c r="AI352" s="608"/>
      <c r="AJ352" s="608"/>
      <c r="AK352" s="609">
        <f t="shared" si="189"/>
        <v>650</v>
      </c>
      <c r="AL352" s="609"/>
      <c r="AM352" s="609"/>
      <c r="AN352" s="609"/>
      <c r="AO352" s="609">
        <f>AG352</f>
        <v>650</v>
      </c>
      <c r="AP352" s="609"/>
      <c r="AQ352" s="609"/>
      <c r="AR352" s="609"/>
      <c r="AS352" s="609"/>
      <c r="AT352" s="633"/>
      <c r="AU352" s="633"/>
      <c r="AV352" s="633"/>
      <c r="AW352" s="633"/>
      <c r="AX352" s="633"/>
      <c r="AY352" s="633">
        <f>AG352/13</f>
        <v>50</v>
      </c>
      <c r="AZ352" s="633"/>
      <c r="BA352" s="633"/>
      <c r="BB352" s="633"/>
      <c r="BC352" s="633"/>
      <c r="BD352" s="633"/>
      <c r="BE352" s="633"/>
      <c r="BF352" s="633"/>
      <c r="BG352" s="633"/>
      <c r="BH352" s="633"/>
      <c r="BI352" s="633"/>
      <c r="BJ352" s="633"/>
      <c r="BK352" s="633"/>
      <c r="BL352" s="633"/>
      <c r="BM352" s="201">
        <f t="shared" si="172"/>
        <v>650</v>
      </c>
      <c r="BN352" s="199"/>
      <c r="BO352" s="198"/>
      <c r="BP352" s="198"/>
      <c r="BQ352" s="199"/>
      <c r="BR352" s="199"/>
      <c r="BS352" s="199"/>
    </row>
    <row r="353" s="200" customFormat="1" ht="36" customHeight="1" spans="1:71">
      <c r="A353" s="1529">
        <v>45447</v>
      </c>
      <c r="B353" s="1509" t="s">
        <v>70</v>
      </c>
      <c r="C353" s="1508" t="s">
        <v>71</v>
      </c>
      <c r="D353" s="529" t="s">
        <v>1555</v>
      </c>
      <c r="E353" s="1509"/>
      <c r="F353" s="529"/>
      <c r="G353" s="531" t="s">
        <v>96</v>
      </c>
      <c r="H353" s="532" t="s">
        <v>74</v>
      </c>
      <c r="I353" s="401">
        <v>2000</v>
      </c>
      <c r="J353" s="562">
        <v>0</v>
      </c>
      <c r="K353" s="531">
        <v>50</v>
      </c>
      <c r="L353" s="401">
        <f t="shared" si="157"/>
        <v>40</v>
      </c>
      <c r="M353" s="563">
        <v>45464</v>
      </c>
      <c r="N353" s="1495">
        <v>45472</v>
      </c>
      <c r="O353" s="564"/>
      <c r="P353" s="1446" t="s">
        <v>92</v>
      </c>
      <c r="Q353" s="564"/>
      <c r="R353" s="564">
        <v>45447</v>
      </c>
      <c r="S353" s="564" t="s">
        <v>77</v>
      </c>
      <c r="T353" s="564" t="s">
        <v>77</v>
      </c>
      <c r="U353" s="530" t="s">
        <v>814</v>
      </c>
      <c r="V353" s="596" t="s">
        <v>1557</v>
      </c>
      <c r="W353" s="592"/>
      <c r="X353" s="593"/>
      <c r="Y353" s="401" t="s">
        <v>1558</v>
      </c>
      <c r="Z353" s="607" t="s">
        <v>96</v>
      </c>
      <c r="AA353" s="1453" t="s">
        <v>128</v>
      </c>
      <c r="AB353" s="608"/>
      <c r="AC353" s="608"/>
      <c r="AD353" s="608"/>
      <c r="AE353" s="564" t="s">
        <v>80</v>
      </c>
      <c r="AF353" s="564"/>
      <c r="AG353" s="608">
        <f t="shared" si="190"/>
        <v>2000</v>
      </c>
      <c r="AH353" s="608"/>
      <c r="AI353" s="608"/>
      <c r="AJ353" s="608"/>
      <c r="AK353" s="609">
        <f t="shared" ref="AK353:AK365" si="191">I353</f>
        <v>2000</v>
      </c>
      <c r="AL353" s="609"/>
      <c r="AM353" s="609"/>
      <c r="AN353" s="609"/>
      <c r="AO353" s="609">
        <f>I353</f>
        <v>2000</v>
      </c>
      <c r="AP353" s="609"/>
      <c r="AQ353" s="609"/>
      <c r="AR353" s="609"/>
      <c r="AS353" s="609"/>
      <c r="AT353" s="633"/>
      <c r="AU353" s="633"/>
      <c r="AV353" s="633"/>
      <c r="AW353" s="633"/>
      <c r="AX353" s="633"/>
      <c r="AY353" s="633"/>
      <c r="AZ353" s="633"/>
      <c r="BA353" s="633">
        <f>I353/25</f>
        <v>80</v>
      </c>
      <c r="BB353" s="633"/>
      <c r="BC353" s="633"/>
      <c r="BD353" s="633"/>
      <c r="BE353" s="633"/>
      <c r="BF353" s="633"/>
      <c r="BG353" s="633"/>
      <c r="BH353" s="633"/>
      <c r="BI353" s="633"/>
      <c r="BJ353" s="633"/>
      <c r="BK353" s="633"/>
      <c r="BL353" s="633"/>
      <c r="BM353" s="201">
        <f t="shared" si="172"/>
        <v>2000</v>
      </c>
      <c r="BN353" s="199"/>
      <c r="BO353" s="198"/>
      <c r="BP353" s="198"/>
      <c r="BQ353" s="199"/>
      <c r="BR353" s="199"/>
      <c r="BS353" s="199"/>
    </row>
    <row r="354" s="200" customFormat="1" ht="36" customHeight="1" spans="1:68">
      <c r="A354" s="1529">
        <v>45404</v>
      </c>
      <c r="B354" s="1509" t="s">
        <v>1559</v>
      </c>
      <c r="C354" s="1561" t="s">
        <v>1560</v>
      </c>
      <c r="D354" s="1541">
        <v>4500128286</v>
      </c>
      <c r="E354" s="1542" t="s">
        <v>1561</v>
      </c>
      <c r="F354" s="1541" t="s">
        <v>1562</v>
      </c>
      <c r="G354" s="531" t="s">
        <v>215</v>
      </c>
      <c r="H354" s="539" t="s">
        <v>74</v>
      </c>
      <c r="I354" s="1565">
        <v>3192</v>
      </c>
      <c r="J354" s="566">
        <v>0</v>
      </c>
      <c r="K354" s="538">
        <v>42</v>
      </c>
      <c r="L354" s="1549">
        <f t="shared" si="157"/>
        <v>76</v>
      </c>
      <c r="M354" s="1495">
        <v>45463</v>
      </c>
      <c r="N354" s="1495">
        <v>45474</v>
      </c>
      <c r="O354" s="564" t="s">
        <v>1563</v>
      </c>
      <c r="P354" s="564" t="s">
        <v>92</v>
      </c>
      <c r="Q354" s="1474" t="s">
        <v>1564</v>
      </c>
      <c r="R354" s="564">
        <v>45425</v>
      </c>
      <c r="S354" s="564" t="s">
        <v>77</v>
      </c>
      <c r="T354" s="580" t="s">
        <v>1146</v>
      </c>
      <c r="U354" s="1499" t="s">
        <v>1565</v>
      </c>
      <c r="V354" s="530" t="s">
        <v>1294</v>
      </c>
      <c r="W354" s="597">
        <v>1.4539</v>
      </c>
      <c r="X354" s="598">
        <f t="shared" si="188"/>
        <v>4640.8488</v>
      </c>
      <c r="Y354" s="401" t="s">
        <v>1566</v>
      </c>
      <c r="Z354" s="607" t="s">
        <v>1567</v>
      </c>
      <c r="AA354" s="1453" t="s">
        <v>128</v>
      </c>
      <c r="AB354" s="608"/>
      <c r="AC354" s="608"/>
      <c r="AD354" s="608"/>
      <c r="AE354" s="564" t="s">
        <v>80</v>
      </c>
      <c r="AF354" s="564"/>
      <c r="AG354" s="608">
        <f t="shared" si="190"/>
        <v>3192</v>
      </c>
      <c r="AH354" s="608"/>
      <c r="AI354" s="608"/>
      <c r="AJ354" s="608"/>
      <c r="AK354" s="401">
        <f t="shared" si="191"/>
        <v>3192</v>
      </c>
      <c r="AL354" s="609"/>
      <c r="AM354" s="609"/>
      <c r="AN354" s="609"/>
      <c r="AO354" s="609"/>
      <c r="AP354" s="609">
        <f t="shared" ref="AP354:AP361" si="192">I354</f>
        <v>3192</v>
      </c>
      <c r="AQ354" s="609"/>
      <c r="AR354" s="609"/>
      <c r="AS354" s="609">
        <f t="shared" ref="AS354:AS358" si="193">I354/21</f>
        <v>152</v>
      </c>
      <c r="AT354" s="633"/>
      <c r="AU354" s="633"/>
      <c r="AV354" s="633"/>
      <c r="AW354" s="401"/>
      <c r="AX354" s="633"/>
      <c r="AY354" s="633"/>
      <c r="AZ354" s="633"/>
      <c r="BA354" s="633"/>
      <c r="BB354" s="633"/>
      <c r="BC354" s="633"/>
      <c r="BD354" s="633"/>
      <c r="BE354" s="633"/>
      <c r="BF354" s="633"/>
      <c r="BG354" s="633"/>
      <c r="BH354" s="633"/>
      <c r="BI354" s="633"/>
      <c r="BJ354" s="633"/>
      <c r="BK354" s="633"/>
      <c r="BL354" s="633"/>
      <c r="BM354" s="401">
        <f t="shared" si="172"/>
        <v>3192</v>
      </c>
      <c r="BO354" s="1473"/>
      <c r="BP354" s="1473"/>
    </row>
    <row r="355" s="200" customFormat="1" ht="36" customHeight="1" spans="1:68">
      <c r="A355" s="1529">
        <v>45404</v>
      </c>
      <c r="B355" s="1509" t="s">
        <v>1559</v>
      </c>
      <c r="C355" s="1561" t="s">
        <v>1560</v>
      </c>
      <c r="D355" s="1541">
        <v>4500128286</v>
      </c>
      <c r="E355" s="1542" t="s">
        <v>1561</v>
      </c>
      <c r="F355" s="1541" t="s">
        <v>1568</v>
      </c>
      <c r="G355" s="531" t="s">
        <v>386</v>
      </c>
      <c r="H355" s="532" t="s">
        <v>74</v>
      </c>
      <c r="I355" s="1513">
        <v>1920</v>
      </c>
      <c r="J355" s="562">
        <v>0</v>
      </c>
      <c r="K355" s="531">
        <v>60</v>
      </c>
      <c r="L355" s="401">
        <f t="shared" si="157"/>
        <v>32</v>
      </c>
      <c r="M355" s="1495">
        <v>45463</v>
      </c>
      <c r="N355" s="1495">
        <v>45474</v>
      </c>
      <c r="O355" s="564"/>
      <c r="P355" s="564" t="s">
        <v>92</v>
      </c>
      <c r="Q355" s="1474" t="s">
        <v>1564</v>
      </c>
      <c r="R355" s="564">
        <v>45425</v>
      </c>
      <c r="S355" s="564" t="s">
        <v>77</v>
      </c>
      <c r="T355" s="580" t="s">
        <v>1146</v>
      </c>
      <c r="U355" s="1499" t="s">
        <v>1569</v>
      </c>
      <c r="V355" s="530" t="s">
        <v>1294</v>
      </c>
      <c r="W355" s="592">
        <v>100.2353</v>
      </c>
      <c r="X355" s="593">
        <f t="shared" ref="X355:X359" si="194">W355*L355</f>
        <v>3207.5296</v>
      </c>
      <c r="Y355" s="401" t="s">
        <v>1566</v>
      </c>
      <c r="Z355" s="607" t="s">
        <v>1570</v>
      </c>
      <c r="AA355" s="1453" t="s">
        <v>128</v>
      </c>
      <c r="AB355" s="608"/>
      <c r="AC355" s="608"/>
      <c r="AD355" s="608"/>
      <c r="AE355" s="564" t="s">
        <v>80</v>
      </c>
      <c r="AF355" s="564"/>
      <c r="AG355" s="608">
        <f t="shared" si="190"/>
        <v>1920</v>
      </c>
      <c r="AH355" s="608"/>
      <c r="AI355" s="608"/>
      <c r="AJ355" s="608"/>
      <c r="AK355" s="401">
        <f t="shared" si="191"/>
        <v>1920</v>
      </c>
      <c r="AL355" s="609"/>
      <c r="AM355" s="609"/>
      <c r="AN355" s="609"/>
      <c r="AO355" s="609"/>
      <c r="AP355" s="609">
        <f t="shared" si="192"/>
        <v>1920</v>
      </c>
      <c r="AQ355" s="609"/>
      <c r="AR355" s="609"/>
      <c r="AS355" s="609"/>
      <c r="AT355" s="633"/>
      <c r="AU355" s="633"/>
      <c r="AV355" s="633"/>
      <c r="AW355" s="401"/>
      <c r="AX355" s="633"/>
      <c r="AY355" s="633"/>
      <c r="AZ355" s="633"/>
      <c r="BA355" s="633"/>
      <c r="BB355" s="633"/>
      <c r="BC355" s="633"/>
      <c r="BD355" s="633">
        <f t="shared" ref="BD355:BD359" si="195">I355/60</f>
        <v>32</v>
      </c>
      <c r="BE355" s="633"/>
      <c r="BF355" s="633"/>
      <c r="BG355" s="633"/>
      <c r="BH355" s="633"/>
      <c r="BI355" s="633"/>
      <c r="BJ355" s="633"/>
      <c r="BK355" s="633"/>
      <c r="BL355" s="633"/>
      <c r="BM355" s="401">
        <f t="shared" si="172"/>
        <v>1920</v>
      </c>
      <c r="BO355" s="1473"/>
      <c r="BP355" s="1473"/>
    </row>
    <row r="356" s="200" customFormat="1" ht="36" customHeight="1" spans="1:68">
      <c r="A356" s="1529">
        <v>45404</v>
      </c>
      <c r="B356" s="1509" t="s">
        <v>1559</v>
      </c>
      <c r="C356" s="1561" t="s">
        <v>1560</v>
      </c>
      <c r="D356" s="1541">
        <v>4500128359</v>
      </c>
      <c r="E356" s="1542" t="s">
        <v>1571</v>
      </c>
      <c r="F356" s="1541" t="s">
        <v>1572</v>
      </c>
      <c r="G356" s="1562" t="s">
        <v>1573</v>
      </c>
      <c r="H356" s="539" t="s">
        <v>74</v>
      </c>
      <c r="I356" s="1549">
        <v>378</v>
      </c>
      <c r="J356" s="566">
        <v>0</v>
      </c>
      <c r="K356" s="538">
        <v>42</v>
      </c>
      <c r="L356" s="1549">
        <f t="shared" si="157"/>
        <v>9</v>
      </c>
      <c r="M356" s="1495">
        <v>45463</v>
      </c>
      <c r="N356" s="1495">
        <v>45474</v>
      </c>
      <c r="O356" s="564"/>
      <c r="P356" s="564" t="s">
        <v>92</v>
      </c>
      <c r="Q356" s="1474" t="s">
        <v>1564</v>
      </c>
      <c r="R356" s="564">
        <v>45425</v>
      </c>
      <c r="S356" s="564" t="s">
        <v>77</v>
      </c>
      <c r="T356" s="580" t="s">
        <v>1574</v>
      </c>
      <c r="U356" s="1499" t="s">
        <v>1575</v>
      </c>
      <c r="V356" s="530" t="s">
        <v>1576</v>
      </c>
      <c r="W356" s="597">
        <v>1.459</v>
      </c>
      <c r="X356" s="598">
        <f t="shared" ref="X356:X360" si="196">I356*W356</f>
        <v>551.502</v>
      </c>
      <c r="Y356" s="401" t="s">
        <v>1577</v>
      </c>
      <c r="Z356" s="607" t="s">
        <v>1567</v>
      </c>
      <c r="AA356" s="1453" t="s">
        <v>128</v>
      </c>
      <c r="AB356" s="608"/>
      <c r="AC356" s="608"/>
      <c r="AD356" s="608"/>
      <c r="AE356" s="564" t="s">
        <v>80</v>
      </c>
      <c r="AF356" s="1568"/>
      <c r="AH356" s="608"/>
      <c r="AI356" s="612">
        <f t="shared" ref="AI356:AI359" si="197">I356</f>
        <v>378</v>
      </c>
      <c r="AJ356" s="608"/>
      <c r="AK356" s="609">
        <f t="shared" si="191"/>
        <v>378</v>
      </c>
      <c r="AL356" s="609"/>
      <c r="AM356" s="609"/>
      <c r="AN356" s="609"/>
      <c r="AO356" s="609"/>
      <c r="AP356" s="609">
        <f t="shared" si="192"/>
        <v>378</v>
      </c>
      <c r="AQ356" s="609"/>
      <c r="AR356" s="609"/>
      <c r="AS356" s="609">
        <f t="shared" si="193"/>
        <v>18</v>
      </c>
      <c r="AT356" s="633"/>
      <c r="AU356" s="633"/>
      <c r="AV356" s="633"/>
      <c r="AW356" s="401"/>
      <c r="AX356" s="633"/>
      <c r="AY356" s="633"/>
      <c r="AZ356" s="633"/>
      <c r="BA356" s="633"/>
      <c r="BB356" s="633"/>
      <c r="BC356" s="633"/>
      <c r="BD356" s="633"/>
      <c r="BE356" s="633"/>
      <c r="BF356" s="633"/>
      <c r="BG356" s="633"/>
      <c r="BH356" s="633"/>
      <c r="BI356" s="633"/>
      <c r="BJ356" s="633"/>
      <c r="BK356" s="633"/>
      <c r="BL356" s="633"/>
      <c r="BM356" s="401">
        <f t="shared" si="172"/>
        <v>378</v>
      </c>
      <c r="BO356" s="1473"/>
      <c r="BP356" s="1473"/>
    </row>
    <row r="357" s="200" customFormat="1" ht="36" customHeight="1" spans="1:68">
      <c r="A357" s="1529">
        <v>45404</v>
      </c>
      <c r="B357" s="1509" t="s">
        <v>1559</v>
      </c>
      <c r="C357" s="1561" t="s">
        <v>1560</v>
      </c>
      <c r="D357" s="1541">
        <v>4500128359</v>
      </c>
      <c r="E357" s="1542" t="s">
        <v>1571</v>
      </c>
      <c r="F357" s="1541" t="s">
        <v>1578</v>
      </c>
      <c r="G357" s="1562" t="s">
        <v>1579</v>
      </c>
      <c r="H357" s="532" t="s">
        <v>74</v>
      </c>
      <c r="I357" s="511">
        <v>1800</v>
      </c>
      <c r="J357" s="562">
        <v>0</v>
      </c>
      <c r="K357" s="531">
        <v>60</v>
      </c>
      <c r="L357" s="401">
        <f t="shared" si="157"/>
        <v>30</v>
      </c>
      <c r="M357" s="1495">
        <v>45463</v>
      </c>
      <c r="N357" s="1495">
        <v>45474</v>
      </c>
      <c r="O357" s="564"/>
      <c r="P357" s="564" t="s">
        <v>92</v>
      </c>
      <c r="Q357" s="1474" t="s">
        <v>1564</v>
      </c>
      <c r="R357" s="564">
        <v>45425</v>
      </c>
      <c r="S357" s="564" t="s">
        <v>77</v>
      </c>
      <c r="T357" s="580" t="s">
        <v>1574</v>
      </c>
      <c r="U357" s="1499" t="s">
        <v>1580</v>
      </c>
      <c r="V357" s="530" t="s">
        <v>1576</v>
      </c>
      <c r="W357" s="592">
        <v>100.2353</v>
      </c>
      <c r="X357" s="593">
        <f t="shared" si="194"/>
        <v>3007.059</v>
      </c>
      <c r="Y357" s="401" t="s">
        <v>1577</v>
      </c>
      <c r="Z357" s="607" t="s">
        <v>1570</v>
      </c>
      <c r="AA357" s="1453" t="s">
        <v>128</v>
      </c>
      <c r="AB357" s="608"/>
      <c r="AC357" s="608"/>
      <c r="AD357" s="608"/>
      <c r="AE357" s="564" t="s">
        <v>80</v>
      </c>
      <c r="AF357" s="1568"/>
      <c r="AH357" s="608"/>
      <c r="AI357" s="608">
        <f t="shared" si="197"/>
        <v>1800</v>
      </c>
      <c r="AJ357" s="608"/>
      <c r="AK357" s="401">
        <f t="shared" si="191"/>
        <v>1800</v>
      </c>
      <c r="AL357" s="609"/>
      <c r="AM357" s="609"/>
      <c r="AN357" s="609"/>
      <c r="AO357" s="609"/>
      <c r="AP357" s="609">
        <f t="shared" si="192"/>
        <v>1800</v>
      </c>
      <c r="AQ357" s="609"/>
      <c r="AR357" s="609"/>
      <c r="AS357" s="609"/>
      <c r="AT357" s="633"/>
      <c r="AU357" s="633"/>
      <c r="AV357" s="633"/>
      <c r="AW357" s="401"/>
      <c r="AX357" s="633"/>
      <c r="AY357" s="633"/>
      <c r="AZ357" s="633"/>
      <c r="BA357" s="633"/>
      <c r="BB357" s="633"/>
      <c r="BC357" s="633"/>
      <c r="BD357" s="633">
        <f t="shared" si="195"/>
        <v>30</v>
      </c>
      <c r="BE357" s="633"/>
      <c r="BF357" s="633"/>
      <c r="BG357" s="633"/>
      <c r="BH357" s="633"/>
      <c r="BI357" s="633"/>
      <c r="BJ357" s="633"/>
      <c r="BK357" s="633"/>
      <c r="BL357" s="633"/>
      <c r="BM357" s="401">
        <f t="shared" si="172"/>
        <v>1800</v>
      </c>
      <c r="BO357" s="1473"/>
      <c r="BP357" s="1473"/>
    </row>
    <row r="358" s="200" customFormat="1" ht="36" customHeight="1" spans="1:68">
      <c r="A358" s="1529">
        <v>45404</v>
      </c>
      <c r="B358" s="1509" t="s">
        <v>1559</v>
      </c>
      <c r="C358" s="1561" t="s">
        <v>1560</v>
      </c>
      <c r="D358" s="1541">
        <v>4500128579</v>
      </c>
      <c r="E358" s="1542" t="s">
        <v>1581</v>
      </c>
      <c r="F358" s="1541" t="s">
        <v>1582</v>
      </c>
      <c r="G358" s="1562" t="s">
        <v>1573</v>
      </c>
      <c r="H358" s="539" t="s">
        <v>74</v>
      </c>
      <c r="I358" s="1549">
        <v>1638</v>
      </c>
      <c r="J358" s="566">
        <v>0</v>
      </c>
      <c r="K358" s="538">
        <v>42</v>
      </c>
      <c r="L358" s="1549">
        <f t="shared" si="157"/>
        <v>39</v>
      </c>
      <c r="M358" s="1495">
        <v>45463</v>
      </c>
      <c r="N358" s="1495">
        <v>45474</v>
      </c>
      <c r="O358" s="564" t="s">
        <v>1563</v>
      </c>
      <c r="P358" s="564" t="s">
        <v>92</v>
      </c>
      <c r="Q358" s="1474" t="s">
        <v>1564</v>
      </c>
      <c r="R358" s="564">
        <v>45425</v>
      </c>
      <c r="S358" s="564" t="s">
        <v>77</v>
      </c>
      <c r="T358" s="580" t="s">
        <v>1574</v>
      </c>
      <c r="U358" s="1499" t="s">
        <v>1583</v>
      </c>
      <c r="V358" s="530" t="s">
        <v>1294</v>
      </c>
      <c r="W358" s="597">
        <v>1.4539</v>
      </c>
      <c r="X358" s="598">
        <f t="shared" si="196"/>
        <v>2381.4882</v>
      </c>
      <c r="Y358" s="401" t="s">
        <v>1584</v>
      </c>
      <c r="Z358" s="607" t="s">
        <v>1567</v>
      </c>
      <c r="AA358" s="1453" t="s">
        <v>128</v>
      </c>
      <c r="AB358" s="608"/>
      <c r="AC358" s="608"/>
      <c r="AD358" s="608"/>
      <c r="AE358" s="564" t="s">
        <v>80</v>
      </c>
      <c r="AF358" s="1568"/>
      <c r="AH358" s="608"/>
      <c r="AI358" s="608">
        <f t="shared" si="197"/>
        <v>1638</v>
      </c>
      <c r="AJ358" s="608"/>
      <c r="AK358" s="401">
        <f t="shared" si="191"/>
        <v>1638</v>
      </c>
      <c r="AL358" s="609"/>
      <c r="AM358" s="609"/>
      <c r="AN358" s="609"/>
      <c r="AO358" s="609"/>
      <c r="AP358" s="609">
        <f t="shared" si="192"/>
        <v>1638</v>
      </c>
      <c r="AQ358" s="609"/>
      <c r="AR358" s="609"/>
      <c r="AS358" s="609">
        <f t="shared" si="193"/>
        <v>78</v>
      </c>
      <c r="AT358" s="633"/>
      <c r="AU358" s="633"/>
      <c r="AV358" s="633"/>
      <c r="AW358" s="401"/>
      <c r="AX358" s="633"/>
      <c r="AY358" s="633"/>
      <c r="AZ358" s="633"/>
      <c r="BA358" s="633"/>
      <c r="BB358" s="633"/>
      <c r="BC358" s="633"/>
      <c r="BD358" s="633"/>
      <c r="BE358" s="633"/>
      <c r="BF358" s="633"/>
      <c r="BG358" s="633"/>
      <c r="BH358" s="633"/>
      <c r="BI358" s="633"/>
      <c r="BJ358" s="633"/>
      <c r="BK358" s="633"/>
      <c r="BL358" s="633"/>
      <c r="BM358" s="401">
        <f t="shared" si="172"/>
        <v>1638</v>
      </c>
      <c r="BO358" s="1473"/>
      <c r="BP358" s="1473"/>
    </row>
    <row r="359" s="200" customFormat="1" ht="36" customHeight="1" spans="1:68">
      <c r="A359" s="1529">
        <v>45404</v>
      </c>
      <c r="B359" s="1509" t="s">
        <v>1559</v>
      </c>
      <c r="C359" s="1561" t="s">
        <v>1560</v>
      </c>
      <c r="D359" s="1541">
        <v>4500128579</v>
      </c>
      <c r="E359" s="1542" t="s">
        <v>1581</v>
      </c>
      <c r="F359" s="1541" t="s">
        <v>1585</v>
      </c>
      <c r="G359" s="1562" t="s">
        <v>1579</v>
      </c>
      <c r="H359" s="532" t="s">
        <v>74</v>
      </c>
      <c r="I359" s="511">
        <v>2100</v>
      </c>
      <c r="J359" s="562">
        <v>0</v>
      </c>
      <c r="K359" s="531">
        <v>60</v>
      </c>
      <c r="L359" s="401">
        <f t="shared" si="157"/>
        <v>35</v>
      </c>
      <c r="M359" s="1495">
        <v>45463</v>
      </c>
      <c r="N359" s="1495">
        <v>45474</v>
      </c>
      <c r="O359" s="564"/>
      <c r="P359" s="564" t="s">
        <v>92</v>
      </c>
      <c r="Q359" s="1474" t="s">
        <v>1564</v>
      </c>
      <c r="R359" s="564">
        <v>45425</v>
      </c>
      <c r="S359" s="564" t="s">
        <v>77</v>
      </c>
      <c r="T359" s="580" t="s">
        <v>1574</v>
      </c>
      <c r="U359" s="1499" t="s">
        <v>1586</v>
      </c>
      <c r="V359" s="530" t="s">
        <v>1294</v>
      </c>
      <c r="W359" s="592">
        <v>100.2353</v>
      </c>
      <c r="X359" s="593">
        <f t="shared" si="194"/>
        <v>3508.2355</v>
      </c>
      <c r="Y359" s="401" t="s">
        <v>1584</v>
      </c>
      <c r="Z359" s="607" t="s">
        <v>1570</v>
      </c>
      <c r="AA359" s="1453" t="s">
        <v>128</v>
      </c>
      <c r="AB359" s="608"/>
      <c r="AC359" s="608"/>
      <c r="AD359" s="608"/>
      <c r="AE359" s="564" t="s">
        <v>80</v>
      </c>
      <c r="AF359" s="1568"/>
      <c r="AH359" s="608"/>
      <c r="AI359" s="608">
        <f t="shared" si="197"/>
        <v>2100</v>
      </c>
      <c r="AJ359" s="608"/>
      <c r="AK359" s="401">
        <f t="shared" si="191"/>
        <v>2100</v>
      </c>
      <c r="AL359" s="609"/>
      <c r="AM359" s="609"/>
      <c r="AN359" s="609"/>
      <c r="AO359" s="609"/>
      <c r="AP359" s="609">
        <f t="shared" si="192"/>
        <v>2100</v>
      </c>
      <c r="AQ359" s="609"/>
      <c r="AR359" s="609"/>
      <c r="AS359" s="609"/>
      <c r="AT359" s="633"/>
      <c r="AU359" s="633"/>
      <c r="AV359" s="633"/>
      <c r="AW359" s="401"/>
      <c r="AX359" s="633"/>
      <c r="AY359" s="633"/>
      <c r="AZ359" s="633"/>
      <c r="BA359" s="633"/>
      <c r="BB359" s="633"/>
      <c r="BC359" s="633"/>
      <c r="BD359" s="633">
        <f t="shared" si="195"/>
        <v>35</v>
      </c>
      <c r="BE359" s="633"/>
      <c r="BF359" s="633"/>
      <c r="BG359" s="633"/>
      <c r="BH359" s="633"/>
      <c r="BI359" s="633"/>
      <c r="BJ359" s="633"/>
      <c r="BK359" s="633"/>
      <c r="BL359" s="633"/>
      <c r="BM359" s="401">
        <f t="shared" si="172"/>
        <v>2100</v>
      </c>
      <c r="BO359" s="1473"/>
      <c r="BP359" s="1473"/>
    </row>
    <row r="360" s="200" customFormat="1" ht="36" customHeight="1" spans="1:68">
      <c r="A360" s="1529">
        <v>45440</v>
      </c>
      <c r="B360" s="1530" t="s">
        <v>1559</v>
      </c>
      <c r="C360" s="1543" t="s">
        <v>1560</v>
      </c>
      <c r="D360" s="529">
        <v>4500134816</v>
      </c>
      <c r="E360" s="1548" t="s">
        <v>1587</v>
      </c>
      <c r="F360" s="529" t="s">
        <v>1588</v>
      </c>
      <c r="G360" s="531" t="s">
        <v>215</v>
      </c>
      <c r="H360" s="539" t="s">
        <v>74</v>
      </c>
      <c r="I360" s="1549">
        <v>420</v>
      </c>
      <c r="J360" s="566">
        <v>0</v>
      </c>
      <c r="K360" s="538">
        <v>42</v>
      </c>
      <c r="L360" s="1549">
        <f t="shared" si="157"/>
        <v>10</v>
      </c>
      <c r="M360" s="563">
        <v>45463</v>
      </c>
      <c r="N360" s="1495">
        <v>45474</v>
      </c>
      <c r="O360" s="564" t="s">
        <v>1563</v>
      </c>
      <c r="P360" s="564" t="s">
        <v>92</v>
      </c>
      <c r="Q360" s="564" t="s">
        <v>1589</v>
      </c>
      <c r="R360" s="564">
        <v>45425</v>
      </c>
      <c r="S360" s="564" t="s">
        <v>77</v>
      </c>
      <c r="T360" s="580" t="s">
        <v>1574</v>
      </c>
      <c r="U360" s="1499" t="s">
        <v>1590</v>
      </c>
      <c r="V360" s="530" t="s">
        <v>1294</v>
      </c>
      <c r="W360" s="597">
        <v>1.459</v>
      </c>
      <c r="X360" s="598">
        <f t="shared" si="196"/>
        <v>612.78</v>
      </c>
      <c r="Y360" s="401" t="s">
        <v>1591</v>
      </c>
      <c r="Z360" s="607" t="s">
        <v>1567</v>
      </c>
      <c r="AA360" s="1453" t="s">
        <v>128</v>
      </c>
      <c r="AB360" s="608"/>
      <c r="AC360" s="608"/>
      <c r="AD360" s="608"/>
      <c r="AE360" s="564" t="s">
        <v>80</v>
      </c>
      <c r="AF360" s="564"/>
      <c r="AG360" s="608">
        <f t="shared" ref="AG360:AG365" si="198">I360</f>
        <v>420</v>
      </c>
      <c r="AH360" s="614"/>
      <c r="AI360" s="614"/>
      <c r="AJ360" s="608"/>
      <c r="AK360" s="401">
        <f t="shared" si="191"/>
        <v>420</v>
      </c>
      <c r="AL360" s="609"/>
      <c r="AM360" s="609"/>
      <c r="AN360" s="609"/>
      <c r="AO360" s="609"/>
      <c r="AP360" s="609">
        <f t="shared" si="192"/>
        <v>420</v>
      </c>
      <c r="AQ360" s="609"/>
      <c r="AR360" s="609"/>
      <c r="AS360" s="609">
        <f>I360/21</f>
        <v>20</v>
      </c>
      <c r="AT360" s="633"/>
      <c r="AU360" s="633"/>
      <c r="AV360" s="633"/>
      <c r="AW360" s="633"/>
      <c r="AX360" s="633"/>
      <c r="AY360" s="633"/>
      <c r="AZ360" s="633"/>
      <c r="BA360" s="633"/>
      <c r="BB360" s="633"/>
      <c r="BC360" s="633"/>
      <c r="BD360" s="633"/>
      <c r="BE360" s="633"/>
      <c r="BF360" s="633"/>
      <c r="BG360" s="633"/>
      <c r="BH360" s="633"/>
      <c r="BI360" s="633"/>
      <c r="BJ360" s="633"/>
      <c r="BK360" s="633"/>
      <c r="BL360" s="633"/>
      <c r="BM360" s="401">
        <f t="shared" si="172"/>
        <v>420</v>
      </c>
      <c r="BO360" s="1473"/>
      <c r="BP360" s="1473"/>
    </row>
    <row r="361" s="200" customFormat="1" ht="36" customHeight="1" spans="1:68">
      <c r="A361" s="1529">
        <v>45440</v>
      </c>
      <c r="B361" s="1530" t="s">
        <v>1559</v>
      </c>
      <c r="C361" s="1543" t="s">
        <v>1560</v>
      </c>
      <c r="D361" s="529">
        <v>4500134816</v>
      </c>
      <c r="E361" s="1548" t="s">
        <v>1587</v>
      </c>
      <c r="F361" s="529" t="s">
        <v>1592</v>
      </c>
      <c r="G361" s="531" t="s">
        <v>386</v>
      </c>
      <c r="H361" s="532" t="s">
        <v>74</v>
      </c>
      <c r="I361" s="511">
        <v>480</v>
      </c>
      <c r="J361" s="562">
        <v>0</v>
      </c>
      <c r="K361" s="531">
        <v>60</v>
      </c>
      <c r="L361" s="401">
        <f t="shared" si="157"/>
        <v>8</v>
      </c>
      <c r="M361" s="563">
        <v>45463</v>
      </c>
      <c r="N361" s="1495">
        <v>45474</v>
      </c>
      <c r="O361" s="564" t="s">
        <v>1563</v>
      </c>
      <c r="P361" s="564" t="s">
        <v>92</v>
      </c>
      <c r="Q361" s="564" t="s">
        <v>1589</v>
      </c>
      <c r="R361" s="564">
        <v>45425</v>
      </c>
      <c r="S361" s="564" t="s">
        <v>77</v>
      </c>
      <c r="T361" s="580" t="s">
        <v>1574</v>
      </c>
      <c r="U361" s="1499" t="s">
        <v>1593</v>
      </c>
      <c r="V361" s="530" t="s">
        <v>1294</v>
      </c>
      <c r="W361" s="592">
        <v>99.1365</v>
      </c>
      <c r="X361" s="593">
        <f t="shared" ref="X361:X365" si="199">W361*L361</f>
        <v>793.092</v>
      </c>
      <c r="Y361" s="401" t="s">
        <v>1591</v>
      </c>
      <c r="Z361" s="607" t="s">
        <v>1570</v>
      </c>
      <c r="AA361" s="1453" t="s">
        <v>128</v>
      </c>
      <c r="AB361" s="608"/>
      <c r="AC361" s="608"/>
      <c r="AD361" s="608"/>
      <c r="AE361" s="564" t="s">
        <v>80</v>
      </c>
      <c r="AF361" s="564"/>
      <c r="AG361" s="608">
        <f t="shared" si="198"/>
        <v>480</v>
      </c>
      <c r="AH361" s="614"/>
      <c r="AI361" s="614"/>
      <c r="AJ361" s="608"/>
      <c r="AK361" s="401">
        <f t="shared" si="191"/>
        <v>480</v>
      </c>
      <c r="AL361" s="609"/>
      <c r="AM361" s="609"/>
      <c r="AN361" s="609"/>
      <c r="AO361" s="609"/>
      <c r="AP361" s="609">
        <f t="shared" si="192"/>
        <v>480</v>
      </c>
      <c r="AQ361" s="609"/>
      <c r="AR361" s="609"/>
      <c r="AS361" s="609"/>
      <c r="AT361" s="633"/>
      <c r="AU361" s="633"/>
      <c r="AV361" s="633"/>
      <c r="AW361" s="633"/>
      <c r="AX361" s="633"/>
      <c r="AY361" s="633"/>
      <c r="AZ361" s="633"/>
      <c r="BA361" s="633"/>
      <c r="BB361" s="633"/>
      <c r="BC361" s="633"/>
      <c r="BD361" s="633">
        <f>I361/60</f>
        <v>8</v>
      </c>
      <c r="BE361" s="633"/>
      <c r="BF361" s="633"/>
      <c r="BG361" s="633"/>
      <c r="BH361" s="633"/>
      <c r="BI361" s="633"/>
      <c r="BJ361" s="633"/>
      <c r="BK361" s="633"/>
      <c r="BL361" s="633"/>
      <c r="BM361" s="401">
        <f t="shared" si="172"/>
        <v>480</v>
      </c>
      <c r="BO361" s="1473"/>
      <c r="BP361" s="1473"/>
    </row>
    <row r="362" s="200" customFormat="1" ht="36" customHeight="1" spans="1:68">
      <c r="A362" s="526">
        <v>45407</v>
      </c>
      <c r="B362" s="1507" t="s">
        <v>1594</v>
      </c>
      <c r="C362" s="1478" t="s">
        <v>190</v>
      </c>
      <c r="D362" s="529">
        <v>4500131302</v>
      </c>
      <c r="E362" s="1509" t="s">
        <v>1595</v>
      </c>
      <c r="F362" s="529" t="s">
        <v>1596</v>
      </c>
      <c r="G362" s="531" t="s">
        <v>107</v>
      </c>
      <c r="H362" s="532" t="s">
        <v>74</v>
      </c>
      <c r="I362" s="511">
        <v>4470</v>
      </c>
      <c r="J362" s="562">
        <v>0</v>
      </c>
      <c r="K362" s="531">
        <v>30</v>
      </c>
      <c r="L362" s="401">
        <f t="shared" si="157"/>
        <v>149</v>
      </c>
      <c r="M362" s="563">
        <v>45474</v>
      </c>
      <c r="N362" s="1495">
        <v>45474</v>
      </c>
      <c r="O362" s="564"/>
      <c r="P362" s="564" t="s">
        <v>92</v>
      </c>
      <c r="Q362" s="564" t="s">
        <v>1597</v>
      </c>
      <c r="R362" s="564">
        <v>45427</v>
      </c>
      <c r="S362" s="564" t="s">
        <v>77</v>
      </c>
      <c r="T362" s="1519" t="s">
        <v>1598</v>
      </c>
      <c r="U362" s="1499" t="s">
        <v>1599</v>
      </c>
      <c r="V362" s="564" t="s">
        <v>326</v>
      </c>
      <c r="W362" s="592">
        <v>48.9382</v>
      </c>
      <c r="X362" s="593">
        <f t="shared" si="199"/>
        <v>7291.7918</v>
      </c>
      <c r="Y362" s="401" t="s">
        <v>1600</v>
      </c>
      <c r="Z362" s="531" t="s">
        <v>107</v>
      </c>
      <c r="AA362" s="1453" t="s">
        <v>128</v>
      </c>
      <c r="AB362" s="608"/>
      <c r="AC362" s="608"/>
      <c r="AD362" s="608"/>
      <c r="AE362" s="564" t="s">
        <v>80</v>
      </c>
      <c r="AF362" s="564"/>
      <c r="AG362" s="608">
        <f t="shared" si="198"/>
        <v>4470</v>
      </c>
      <c r="AH362" s="608"/>
      <c r="AI362" s="608"/>
      <c r="AJ362" s="608"/>
      <c r="AK362" s="609">
        <f t="shared" si="191"/>
        <v>4470</v>
      </c>
      <c r="AL362" s="609"/>
      <c r="AM362" s="609"/>
      <c r="AN362" s="609"/>
      <c r="AO362" s="609">
        <f t="shared" ref="AO362:AO365" si="200">I362</f>
        <v>4470</v>
      </c>
      <c r="AP362" s="615"/>
      <c r="AQ362" s="609"/>
      <c r="AR362" s="609"/>
      <c r="AS362" s="609"/>
      <c r="AT362" s="633"/>
      <c r="AU362" s="633"/>
      <c r="AV362" s="633"/>
      <c r="AW362" s="633"/>
      <c r="AX362" s="633"/>
      <c r="AY362" s="633"/>
      <c r="AZ362" s="633"/>
      <c r="BA362" s="633"/>
      <c r="BB362" s="633"/>
      <c r="BC362" s="633"/>
      <c r="BD362" s="633"/>
      <c r="BE362" s="633"/>
      <c r="BF362" s="633">
        <f t="shared" ref="BF362:BF365" si="201">I362/30</f>
        <v>149</v>
      </c>
      <c r="BG362" s="633"/>
      <c r="BH362" s="633">
        <f t="shared" ref="BH362:BH365" si="202">BF362</f>
        <v>149</v>
      </c>
      <c r="BI362" s="633"/>
      <c r="BJ362" s="633"/>
      <c r="BK362" s="633"/>
      <c r="BL362" s="633"/>
      <c r="BM362" s="401">
        <f t="shared" si="172"/>
        <v>4470</v>
      </c>
      <c r="BO362" s="1473"/>
      <c r="BP362" s="1473"/>
    </row>
    <row r="363" s="200" customFormat="1" ht="36" customHeight="1" spans="1:68">
      <c r="A363" s="526">
        <v>45407</v>
      </c>
      <c r="B363" s="1507" t="s">
        <v>1594</v>
      </c>
      <c r="C363" s="1478" t="s">
        <v>190</v>
      </c>
      <c r="D363" s="529">
        <v>4500131302</v>
      </c>
      <c r="E363" s="1509">
        <v>43332317</v>
      </c>
      <c r="F363" s="529" t="s">
        <v>1601</v>
      </c>
      <c r="G363" s="531" t="s">
        <v>107</v>
      </c>
      <c r="H363" s="532" t="s">
        <v>74</v>
      </c>
      <c r="I363" s="511">
        <v>5220</v>
      </c>
      <c r="J363" s="562">
        <v>0</v>
      </c>
      <c r="K363" s="531">
        <v>30</v>
      </c>
      <c r="L363" s="401">
        <f t="shared" si="157"/>
        <v>174</v>
      </c>
      <c r="M363" s="563">
        <v>45474</v>
      </c>
      <c r="N363" s="1495">
        <v>45474</v>
      </c>
      <c r="O363" s="564"/>
      <c r="P363" s="564" t="s">
        <v>92</v>
      </c>
      <c r="Q363" s="564" t="s">
        <v>1597</v>
      </c>
      <c r="R363" s="564">
        <v>45427</v>
      </c>
      <c r="S363" s="564" t="s">
        <v>77</v>
      </c>
      <c r="T363" s="1519" t="s">
        <v>1598</v>
      </c>
      <c r="U363" s="1499" t="s">
        <v>1599</v>
      </c>
      <c r="V363" s="564" t="s">
        <v>326</v>
      </c>
      <c r="W363" s="592">
        <v>48.9382</v>
      </c>
      <c r="X363" s="593">
        <f t="shared" si="199"/>
        <v>8515.2468</v>
      </c>
      <c r="Y363" s="401" t="s">
        <v>1600</v>
      </c>
      <c r="Z363" s="531" t="s">
        <v>107</v>
      </c>
      <c r="AA363" s="1453" t="s">
        <v>128</v>
      </c>
      <c r="AB363" s="608"/>
      <c r="AC363" s="608"/>
      <c r="AD363" s="608"/>
      <c r="AE363" s="564" t="s">
        <v>80</v>
      </c>
      <c r="AF363" s="564"/>
      <c r="AG363" s="608">
        <f t="shared" si="198"/>
        <v>5220</v>
      </c>
      <c r="AH363" s="608"/>
      <c r="AI363" s="608"/>
      <c r="AJ363" s="608"/>
      <c r="AK363" s="609">
        <f t="shared" si="191"/>
        <v>5220</v>
      </c>
      <c r="AL363" s="609"/>
      <c r="AM363" s="609"/>
      <c r="AN363" s="609"/>
      <c r="AO363" s="609">
        <f t="shared" si="200"/>
        <v>5220</v>
      </c>
      <c r="AP363" s="615"/>
      <c r="AQ363" s="609"/>
      <c r="AR363" s="609"/>
      <c r="AS363" s="609"/>
      <c r="AT363" s="633"/>
      <c r="AU363" s="633"/>
      <c r="AV363" s="633"/>
      <c r="AW363" s="633"/>
      <c r="AX363" s="633"/>
      <c r="AY363" s="633"/>
      <c r="AZ363" s="633"/>
      <c r="BA363" s="633"/>
      <c r="BB363" s="633"/>
      <c r="BC363" s="633"/>
      <c r="BD363" s="633"/>
      <c r="BE363" s="633"/>
      <c r="BF363" s="633">
        <f t="shared" si="201"/>
        <v>174</v>
      </c>
      <c r="BG363" s="633"/>
      <c r="BH363" s="633">
        <f t="shared" si="202"/>
        <v>174</v>
      </c>
      <c r="BI363" s="633"/>
      <c r="BJ363" s="633"/>
      <c r="BK363" s="633"/>
      <c r="BL363" s="633"/>
      <c r="BM363" s="401">
        <f t="shared" si="172"/>
        <v>5220</v>
      </c>
      <c r="BO363" s="1473"/>
      <c r="BP363" s="1473"/>
    </row>
    <row r="364" s="200" customFormat="1" ht="36" customHeight="1" spans="1:68">
      <c r="A364" s="526">
        <v>45407</v>
      </c>
      <c r="B364" s="1507" t="s">
        <v>1594</v>
      </c>
      <c r="C364" s="1478" t="s">
        <v>190</v>
      </c>
      <c r="D364" s="529">
        <v>4500131302</v>
      </c>
      <c r="E364" s="1509">
        <v>43332318</v>
      </c>
      <c r="F364" s="529" t="s">
        <v>1602</v>
      </c>
      <c r="G364" s="531" t="s">
        <v>107</v>
      </c>
      <c r="H364" s="532" t="s">
        <v>74</v>
      </c>
      <c r="I364" s="511">
        <v>4710</v>
      </c>
      <c r="J364" s="562">
        <v>0</v>
      </c>
      <c r="K364" s="531">
        <v>30</v>
      </c>
      <c r="L364" s="401">
        <f t="shared" si="157"/>
        <v>157</v>
      </c>
      <c r="M364" s="563">
        <v>45474</v>
      </c>
      <c r="N364" s="1495">
        <v>45474</v>
      </c>
      <c r="O364" s="564"/>
      <c r="P364" s="564" t="s">
        <v>92</v>
      </c>
      <c r="Q364" s="564" t="s">
        <v>1597</v>
      </c>
      <c r="R364" s="564">
        <v>45427</v>
      </c>
      <c r="S364" s="564" t="s">
        <v>77</v>
      </c>
      <c r="T364" s="1519" t="s">
        <v>1598</v>
      </c>
      <c r="U364" s="1499" t="s">
        <v>1599</v>
      </c>
      <c r="V364" s="564" t="s">
        <v>326</v>
      </c>
      <c r="W364" s="592">
        <v>48.9382</v>
      </c>
      <c r="X364" s="593">
        <f t="shared" si="199"/>
        <v>7683.2974</v>
      </c>
      <c r="Y364" s="401" t="s">
        <v>1600</v>
      </c>
      <c r="Z364" s="531" t="s">
        <v>107</v>
      </c>
      <c r="AA364" s="1453" t="s">
        <v>128</v>
      </c>
      <c r="AB364" s="608"/>
      <c r="AC364" s="608"/>
      <c r="AD364" s="608"/>
      <c r="AE364" s="564" t="s">
        <v>80</v>
      </c>
      <c r="AF364" s="564"/>
      <c r="AG364" s="608">
        <f t="shared" si="198"/>
        <v>4710</v>
      </c>
      <c r="AH364" s="608"/>
      <c r="AI364" s="608"/>
      <c r="AJ364" s="608"/>
      <c r="AK364" s="609">
        <f t="shared" si="191"/>
        <v>4710</v>
      </c>
      <c r="AL364" s="609"/>
      <c r="AM364" s="609"/>
      <c r="AN364" s="609"/>
      <c r="AO364" s="609">
        <f t="shared" si="200"/>
        <v>4710</v>
      </c>
      <c r="AP364" s="615"/>
      <c r="AQ364" s="609"/>
      <c r="AR364" s="609"/>
      <c r="AS364" s="609"/>
      <c r="AT364" s="633"/>
      <c r="AU364" s="633"/>
      <c r="AV364" s="633"/>
      <c r="AW364" s="633"/>
      <c r="AX364" s="633"/>
      <c r="AY364" s="633"/>
      <c r="AZ364" s="633"/>
      <c r="BA364" s="633"/>
      <c r="BB364" s="633"/>
      <c r="BC364" s="633"/>
      <c r="BD364" s="633"/>
      <c r="BE364" s="633"/>
      <c r="BF364" s="633">
        <f t="shared" si="201"/>
        <v>157</v>
      </c>
      <c r="BG364" s="633"/>
      <c r="BH364" s="633">
        <f t="shared" si="202"/>
        <v>157</v>
      </c>
      <c r="BI364" s="633"/>
      <c r="BJ364" s="633"/>
      <c r="BK364" s="633"/>
      <c r="BL364" s="633"/>
      <c r="BM364" s="401">
        <f t="shared" si="172"/>
        <v>4710</v>
      </c>
      <c r="BO364" s="1473"/>
      <c r="BP364" s="1473"/>
    </row>
    <row r="365" s="200" customFormat="1" ht="36" customHeight="1" spans="1:68">
      <c r="A365" s="526">
        <v>45407</v>
      </c>
      <c r="B365" s="1507" t="s">
        <v>1594</v>
      </c>
      <c r="C365" s="1478" t="s">
        <v>190</v>
      </c>
      <c r="D365" s="529">
        <v>4500131302</v>
      </c>
      <c r="E365" s="1509">
        <v>43332319</v>
      </c>
      <c r="F365" s="529" t="s">
        <v>1603</v>
      </c>
      <c r="G365" s="531" t="s">
        <v>107</v>
      </c>
      <c r="H365" s="532" t="s">
        <v>74</v>
      </c>
      <c r="I365" s="511">
        <v>1860</v>
      </c>
      <c r="J365" s="562">
        <v>0</v>
      </c>
      <c r="K365" s="531">
        <v>30</v>
      </c>
      <c r="L365" s="401">
        <f t="shared" si="157"/>
        <v>62</v>
      </c>
      <c r="M365" s="563">
        <v>45474</v>
      </c>
      <c r="N365" s="1495">
        <v>45474</v>
      </c>
      <c r="O365" s="564"/>
      <c r="P365" s="564" t="s">
        <v>92</v>
      </c>
      <c r="Q365" s="564" t="s">
        <v>1597</v>
      </c>
      <c r="R365" s="564">
        <v>45427</v>
      </c>
      <c r="S365" s="564" t="s">
        <v>77</v>
      </c>
      <c r="T365" s="1519" t="s">
        <v>1598</v>
      </c>
      <c r="U365" s="1499" t="s">
        <v>1599</v>
      </c>
      <c r="V365" s="564" t="s">
        <v>326</v>
      </c>
      <c r="W365" s="592">
        <v>48.9382</v>
      </c>
      <c r="X365" s="593">
        <f t="shared" si="199"/>
        <v>3034.1684</v>
      </c>
      <c r="Y365" s="401" t="s">
        <v>1600</v>
      </c>
      <c r="Z365" s="531" t="s">
        <v>107</v>
      </c>
      <c r="AA365" s="1453" t="s">
        <v>128</v>
      </c>
      <c r="AB365" s="608"/>
      <c r="AC365" s="608"/>
      <c r="AD365" s="608"/>
      <c r="AE365" s="564" t="s">
        <v>80</v>
      </c>
      <c r="AF365" s="564"/>
      <c r="AG365" s="608">
        <f t="shared" si="198"/>
        <v>1860</v>
      </c>
      <c r="AH365" s="608"/>
      <c r="AI365" s="608"/>
      <c r="AJ365" s="608"/>
      <c r="AK365" s="609">
        <f t="shared" si="191"/>
        <v>1860</v>
      </c>
      <c r="AL365" s="609"/>
      <c r="AM365" s="609"/>
      <c r="AN365" s="609"/>
      <c r="AO365" s="609">
        <f t="shared" si="200"/>
        <v>1860</v>
      </c>
      <c r="AP365" s="615"/>
      <c r="AQ365" s="609"/>
      <c r="AR365" s="609"/>
      <c r="AS365" s="609"/>
      <c r="AT365" s="633"/>
      <c r="AU365" s="633"/>
      <c r="AV365" s="633"/>
      <c r="AW365" s="633"/>
      <c r="AX365" s="633"/>
      <c r="AY365" s="633"/>
      <c r="AZ365" s="633"/>
      <c r="BA365" s="633"/>
      <c r="BB365" s="633"/>
      <c r="BC365" s="633"/>
      <c r="BD365" s="633"/>
      <c r="BE365" s="633"/>
      <c r="BF365" s="633">
        <f t="shared" si="201"/>
        <v>62</v>
      </c>
      <c r="BG365" s="633"/>
      <c r="BH365" s="633">
        <f t="shared" si="202"/>
        <v>62</v>
      </c>
      <c r="BI365" s="633"/>
      <c r="BJ365" s="633"/>
      <c r="BK365" s="633"/>
      <c r="BL365" s="633"/>
      <c r="BM365" s="401">
        <f t="shared" si="172"/>
        <v>1860</v>
      </c>
      <c r="BO365" s="1473"/>
      <c r="BP365" s="1473"/>
    </row>
    <row r="366" s="200" customFormat="1" ht="36" customHeight="1" spans="1:73">
      <c r="A366" s="526">
        <v>45407</v>
      </c>
      <c r="B366" s="1507" t="s">
        <v>1335</v>
      </c>
      <c r="C366" s="1478" t="s">
        <v>1336</v>
      </c>
      <c r="D366" s="529" t="s">
        <v>1604</v>
      </c>
      <c r="E366" s="1509"/>
      <c r="F366" s="529"/>
      <c r="G366" s="531" t="s">
        <v>628</v>
      </c>
      <c r="H366" s="532" t="s">
        <v>1338</v>
      </c>
      <c r="I366" s="401">
        <v>900</v>
      </c>
      <c r="J366" s="562">
        <v>0</v>
      </c>
      <c r="K366" s="531">
        <v>12</v>
      </c>
      <c r="L366" s="401">
        <f t="shared" si="157"/>
        <v>75</v>
      </c>
      <c r="M366" s="563">
        <v>45471</v>
      </c>
      <c r="N366" s="1495">
        <v>45474</v>
      </c>
      <c r="O366" s="564" t="s">
        <v>1339</v>
      </c>
      <c r="P366" s="564" t="s">
        <v>92</v>
      </c>
      <c r="Q366" s="564"/>
      <c r="R366" s="1523" t="s">
        <v>76</v>
      </c>
      <c r="S366" s="564" t="s">
        <v>77</v>
      </c>
      <c r="T366" s="1519" t="s">
        <v>77</v>
      </c>
      <c r="U366" s="530" t="s">
        <v>1340</v>
      </c>
      <c r="V366" s="564" t="s">
        <v>1341</v>
      </c>
      <c r="W366" s="592">
        <v>1.33</v>
      </c>
      <c r="X366" s="593">
        <f t="shared" ref="X366:X368" si="203">I366*W366</f>
        <v>1197</v>
      </c>
      <c r="Y366" s="401" t="s">
        <v>1605</v>
      </c>
      <c r="Z366" s="607" t="s">
        <v>822</v>
      </c>
      <c r="AA366" s="1453" t="s">
        <v>128</v>
      </c>
      <c r="AB366" s="608"/>
      <c r="AC366" s="608"/>
      <c r="AD366" s="608"/>
      <c r="AE366" s="564" t="s">
        <v>80</v>
      </c>
      <c r="AF366" s="564"/>
      <c r="AG366" s="608">
        <f t="shared" ref="AG366:AG368" si="204">I366*2</f>
        <v>1800</v>
      </c>
      <c r="AH366" s="608"/>
      <c r="AI366" s="608"/>
      <c r="AJ366" s="608"/>
      <c r="AK366" s="609">
        <f t="shared" ref="AK366:AK370" si="205">AG366</f>
        <v>1800</v>
      </c>
      <c r="AL366" s="609"/>
      <c r="AM366" s="609"/>
      <c r="AN366" s="609"/>
      <c r="AO366" s="615">
        <f t="shared" ref="AO366:AO368" si="206">AK366</f>
        <v>1800</v>
      </c>
      <c r="AP366" s="615"/>
      <c r="AQ366" s="609"/>
      <c r="AR366" s="609"/>
      <c r="AS366" s="609"/>
      <c r="AT366" s="633"/>
      <c r="AU366" s="633"/>
      <c r="AV366" s="633"/>
      <c r="AW366" s="633"/>
      <c r="AX366" s="633"/>
      <c r="AY366" s="633"/>
      <c r="AZ366" s="633"/>
      <c r="BA366" s="633"/>
      <c r="BB366" s="633"/>
      <c r="BC366" s="633"/>
      <c r="BD366" s="633"/>
      <c r="BE366" s="633"/>
      <c r="BF366" s="633"/>
      <c r="BG366" s="633"/>
      <c r="BH366" s="633"/>
      <c r="BI366" s="633"/>
      <c r="BJ366" s="633"/>
      <c r="BK366" s="633">
        <f t="shared" ref="BK366:BK368" si="207">I366</f>
        <v>900</v>
      </c>
      <c r="BL366" s="633">
        <f t="shared" ref="BL366:BL368" si="208">I366</f>
        <v>900</v>
      </c>
      <c r="BM366" s="401">
        <f t="shared" si="172"/>
        <v>1800</v>
      </c>
      <c r="BO366" s="1473"/>
      <c r="BP366" s="1473"/>
      <c r="BU366" s="1502" t="s">
        <v>1343</v>
      </c>
    </row>
    <row r="367" s="200" customFormat="1" ht="36" customHeight="1" spans="1:73">
      <c r="A367" s="526">
        <v>45407</v>
      </c>
      <c r="B367" s="1507" t="s">
        <v>1335</v>
      </c>
      <c r="C367" s="1478" t="s">
        <v>1336</v>
      </c>
      <c r="D367" s="529" t="s">
        <v>1606</v>
      </c>
      <c r="E367" s="1509"/>
      <c r="F367" s="529"/>
      <c r="G367" s="531" t="s">
        <v>628</v>
      </c>
      <c r="H367" s="532" t="s">
        <v>1338</v>
      </c>
      <c r="I367" s="401">
        <v>1656</v>
      </c>
      <c r="J367" s="562">
        <v>0</v>
      </c>
      <c r="K367" s="531">
        <v>12</v>
      </c>
      <c r="L367" s="401">
        <f t="shared" si="157"/>
        <v>138</v>
      </c>
      <c r="M367" s="563">
        <v>45471</v>
      </c>
      <c r="N367" s="1495">
        <v>45474</v>
      </c>
      <c r="O367" s="564" t="s">
        <v>1339</v>
      </c>
      <c r="P367" s="564" t="s">
        <v>92</v>
      </c>
      <c r="Q367" s="564"/>
      <c r="R367" s="1523" t="s">
        <v>76</v>
      </c>
      <c r="S367" s="564" t="s">
        <v>77</v>
      </c>
      <c r="T367" s="1519" t="s">
        <v>77</v>
      </c>
      <c r="U367" s="530" t="s">
        <v>1340</v>
      </c>
      <c r="V367" s="564" t="s">
        <v>1341</v>
      </c>
      <c r="W367" s="592">
        <v>1.33</v>
      </c>
      <c r="X367" s="593">
        <f t="shared" si="203"/>
        <v>2202.48</v>
      </c>
      <c r="Y367" s="401" t="s">
        <v>1607</v>
      </c>
      <c r="Z367" s="607" t="s">
        <v>822</v>
      </c>
      <c r="AA367" s="1453" t="s">
        <v>128</v>
      </c>
      <c r="AB367" s="608"/>
      <c r="AC367" s="608"/>
      <c r="AD367" s="608"/>
      <c r="AE367" s="564" t="s">
        <v>80</v>
      </c>
      <c r="AF367" s="564"/>
      <c r="AG367" s="608">
        <f t="shared" si="204"/>
        <v>3312</v>
      </c>
      <c r="AH367" s="608"/>
      <c r="AI367" s="608"/>
      <c r="AJ367" s="608"/>
      <c r="AK367" s="609">
        <f t="shared" si="205"/>
        <v>3312</v>
      </c>
      <c r="AL367" s="609"/>
      <c r="AM367" s="609"/>
      <c r="AN367" s="609"/>
      <c r="AO367" s="615">
        <f t="shared" si="206"/>
        <v>3312</v>
      </c>
      <c r="AP367" s="615"/>
      <c r="AQ367" s="609"/>
      <c r="AR367" s="609"/>
      <c r="AS367" s="609"/>
      <c r="AT367" s="633"/>
      <c r="AU367" s="633"/>
      <c r="AV367" s="633"/>
      <c r="AW367" s="633"/>
      <c r="AX367" s="633"/>
      <c r="AY367" s="633"/>
      <c r="AZ367" s="633"/>
      <c r="BA367" s="633"/>
      <c r="BB367" s="633"/>
      <c r="BC367" s="633"/>
      <c r="BD367" s="633"/>
      <c r="BE367" s="633"/>
      <c r="BF367" s="633"/>
      <c r="BG367" s="633"/>
      <c r="BH367" s="633"/>
      <c r="BI367" s="633"/>
      <c r="BJ367" s="633"/>
      <c r="BK367" s="633">
        <f t="shared" si="207"/>
        <v>1656</v>
      </c>
      <c r="BL367" s="633">
        <f t="shared" si="208"/>
        <v>1656</v>
      </c>
      <c r="BM367" s="401">
        <f t="shared" si="172"/>
        <v>3312</v>
      </c>
      <c r="BO367" s="1473"/>
      <c r="BP367" s="1473"/>
      <c r="BU367" s="1502" t="s">
        <v>1343</v>
      </c>
    </row>
    <row r="368" s="200" customFormat="1" ht="36" customHeight="1" spans="1:73">
      <c r="A368" s="526">
        <v>45427</v>
      </c>
      <c r="B368" s="1507" t="s">
        <v>816</v>
      </c>
      <c r="C368" s="1478" t="s">
        <v>117</v>
      </c>
      <c r="D368" s="529">
        <v>4500133558</v>
      </c>
      <c r="E368" s="1509">
        <v>60161171</v>
      </c>
      <c r="F368" s="529" t="s">
        <v>1608</v>
      </c>
      <c r="G368" s="531" t="s">
        <v>628</v>
      </c>
      <c r="H368" s="532" t="s">
        <v>623</v>
      </c>
      <c r="I368" s="401">
        <v>4320</v>
      </c>
      <c r="J368" s="562">
        <v>0</v>
      </c>
      <c r="K368" s="531">
        <v>12</v>
      </c>
      <c r="L368" s="401">
        <f t="shared" si="157"/>
        <v>360</v>
      </c>
      <c r="M368" s="563">
        <v>45471</v>
      </c>
      <c r="N368" s="1495">
        <v>45474</v>
      </c>
      <c r="O368" s="564"/>
      <c r="P368" s="564" t="s">
        <v>92</v>
      </c>
      <c r="Q368" s="564" t="s">
        <v>1609</v>
      </c>
      <c r="R368" s="1523">
        <v>45429</v>
      </c>
      <c r="S368" s="564" t="s">
        <v>77</v>
      </c>
      <c r="T368" s="1519" t="s">
        <v>1546</v>
      </c>
      <c r="U368" s="530" t="s">
        <v>1513</v>
      </c>
      <c r="V368" s="564" t="s">
        <v>163</v>
      </c>
      <c r="W368" s="592">
        <v>3.0911</v>
      </c>
      <c r="X368" s="593">
        <f t="shared" si="203"/>
        <v>13353.552</v>
      </c>
      <c r="Y368" s="401" t="s">
        <v>1610</v>
      </c>
      <c r="Z368" s="607" t="s">
        <v>822</v>
      </c>
      <c r="AA368" s="1453" t="s">
        <v>128</v>
      </c>
      <c r="AB368" s="608"/>
      <c r="AC368" s="608"/>
      <c r="AD368" s="608"/>
      <c r="AE368" s="564" t="s">
        <v>80</v>
      </c>
      <c r="AF368" s="564"/>
      <c r="AG368" s="608">
        <f t="shared" si="204"/>
        <v>8640</v>
      </c>
      <c r="AH368" s="608"/>
      <c r="AI368" s="608"/>
      <c r="AJ368" s="608"/>
      <c r="AK368" s="609">
        <f t="shared" si="205"/>
        <v>8640</v>
      </c>
      <c r="AL368" s="609"/>
      <c r="AM368" s="609"/>
      <c r="AN368" s="609"/>
      <c r="AO368" s="615">
        <f t="shared" si="206"/>
        <v>8640</v>
      </c>
      <c r="AP368" s="615"/>
      <c r="AQ368" s="609"/>
      <c r="AR368" s="609"/>
      <c r="AS368" s="609"/>
      <c r="AT368" s="633"/>
      <c r="AU368" s="633"/>
      <c r="AV368" s="633"/>
      <c r="AW368" s="633"/>
      <c r="AX368" s="633"/>
      <c r="AY368" s="633"/>
      <c r="AZ368" s="633"/>
      <c r="BA368" s="633"/>
      <c r="BB368" s="633"/>
      <c r="BC368" s="633"/>
      <c r="BD368" s="633"/>
      <c r="BE368" s="633"/>
      <c r="BF368" s="633"/>
      <c r="BG368" s="633"/>
      <c r="BH368" s="633"/>
      <c r="BI368" s="633"/>
      <c r="BJ368" s="633"/>
      <c r="BK368" s="633">
        <f t="shared" si="207"/>
        <v>4320</v>
      </c>
      <c r="BL368" s="633">
        <f t="shared" si="208"/>
        <v>4320</v>
      </c>
      <c r="BM368" s="401">
        <f t="shared" si="172"/>
        <v>8640</v>
      </c>
      <c r="BO368" s="1473"/>
      <c r="BP368" s="1473"/>
      <c r="BU368" s="1502" t="s">
        <v>1343</v>
      </c>
    </row>
    <row r="369" s="200" customFormat="1" ht="36" customHeight="1" spans="1:68">
      <c r="A369" s="526">
        <v>45425</v>
      </c>
      <c r="B369" s="1507" t="s">
        <v>116</v>
      </c>
      <c r="C369" s="1478" t="s">
        <v>117</v>
      </c>
      <c r="D369" s="529">
        <v>4500133033</v>
      </c>
      <c r="E369" s="1509">
        <v>2473909</v>
      </c>
      <c r="F369" s="529" t="s">
        <v>1611</v>
      </c>
      <c r="G369" s="531" t="s">
        <v>120</v>
      </c>
      <c r="H369" s="532" t="s">
        <v>74</v>
      </c>
      <c r="I369" s="401">
        <v>19992</v>
      </c>
      <c r="J369" s="562">
        <v>0</v>
      </c>
      <c r="K369" s="531">
        <v>21</v>
      </c>
      <c r="L369" s="401">
        <f t="shared" si="157"/>
        <v>952</v>
      </c>
      <c r="M369" s="563">
        <v>45474</v>
      </c>
      <c r="N369" s="1495">
        <v>45474</v>
      </c>
      <c r="O369" s="564"/>
      <c r="P369" s="564" t="s">
        <v>92</v>
      </c>
      <c r="Q369" s="564" t="s">
        <v>1612</v>
      </c>
      <c r="R369" s="564">
        <v>45446</v>
      </c>
      <c r="S369" s="564" t="s">
        <v>123</v>
      </c>
      <c r="T369" s="1519" t="s">
        <v>1613</v>
      </c>
      <c r="U369" s="530" t="s">
        <v>1614</v>
      </c>
      <c r="V369" s="564" t="s">
        <v>126</v>
      </c>
      <c r="W369" s="592">
        <v>1.4296</v>
      </c>
      <c r="X369" s="593">
        <f>W369*L369</f>
        <v>1360.9792</v>
      </c>
      <c r="Y369" s="401" t="s">
        <v>1615</v>
      </c>
      <c r="Z369" s="607" t="s">
        <v>120</v>
      </c>
      <c r="AA369" s="1453" t="s">
        <v>128</v>
      </c>
      <c r="AB369" s="608"/>
      <c r="AC369" s="608"/>
      <c r="AD369" s="608"/>
      <c r="AE369" s="564" t="s">
        <v>80</v>
      </c>
      <c r="AF369" s="564"/>
      <c r="AG369" s="608">
        <f t="shared" ref="AG369:AG385" si="209">I369</f>
        <v>19992</v>
      </c>
      <c r="AH369" s="608"/>
      <c r="AI369" s="608"/>
      <c r="AJ369" s="608"/>
      <c r="AK369" s="609">
        <f t="shared" si="205"/>
        <v>19992</v>
      </c>
      <c r="AL369" s="609"/>
      <c r="AM369" s="609"/>
      <c r="AN369" s="609"/>
      <c r="AO369" s="615">
        <f t="shared" ref="AO369:AO376" si="210">I369</f>
        <v>19992</v>
      </c>
      <c r="AP369" s="615"/>
      <c r="AQ369" s="609"/>
      <c r="AR369" s="609"/>
      <c r="AS369" s="609">
        <f>I369/21</f>
        <v>952</v>
      </c>
      <c r="AT369" s="633"/>
      <c r="AU369" s="633"/>
      <c r="AV369" s="633"/>
      <c r="AW369" s="633"/>
      <c r="AX369" s="633"/>
      <c r="AY369" s="633"/>
      <c r="AZ369" s="633"/>
      <c r="BA369" s="633"/>
      <c r="BB369" s="633"/>
      <c r="BC369" s="633"/>
      <c r="BD369" s="633"/>
      <c r="BE369" s="633"/>
      <c r="BF369" s="633"/>
      <c r="BG369" s="633"/>
      <c r="BH369" s="633"/>
      <c r="BI369" s="633"/>
      <c r="BJ369" s="633"/>
      <c r="BK369" s="633"/>
      <c r="BL369" s="633"/>
      <c r="BM369" s="401">
        <f t="shared" si="172"/>
        <v>19992</v>
      </c>
      <c r="BO369" s="1473"/>
      <c r="BP369" s="1473"/>
    </row>
    <row r="370" s="200" customFormat="1" ht="36" customHeight="1" spans="1:73">
      <c r="A370" s="526">
        <v>45433</v>
      </c>
      <c r="B370" s="1507" t="s">
        <v>816</v>
      </c>
      <c r="C370" s="1478" t="s">
        <v>117</v>
      </c>
      <c r="D370" s="529">
        <v>4500134186</v>
      </c>
      <c r="E370" s="1509">
        <v>70043867</v>
      </c>
      <c r="F370" s="529" t="s">
        <v>1616</v>
      </c>
      <c r="G370" s="531" t="s">
        <v>628</v>
      </c>
      <c r="H370" s="532" t="s">
        <v>623</v>
      </c>
      <c r="I370" s="401">
        <v>600</v>
      </c>
      <c r="J370" s="562">
        <v>0</v>
      </c>
      <c r="K370" s="531">
        <v>12</v>
      </c>
      <c r="L370" s="401">
        <f t="shared" ref="L370:L433" si="211">I370/K370</f>
        <v>50</v>
      </c>
      <c r="M370" s="563">
        <v>45474</v>
      </c>
      <c r="N370" s="1495">
        <v>45474</v>
      </c>
      <c r="O370" s="564"/>
      <c r="P370" s="564" t="s">
        <v>92</v>
      </c>
      <c r="Q370" s="564" t="s">
        <v>1399</v>
      </c>
      <c r="R370" s="564">
        <v>45447</v>
      </c>
      <c r="S370" s="564" t="s">
        <v>77</v>
      </c>
      <c r="T370" s="1519" t="s">
        <v>1546</v>
      </c>
      <c r="U370" s="530" t="s">
        <v>1513</v>
      </c>
      <c r="V370" s="564" t="s">
        <v>163</v>
      </c>
      <c r="W370" s="592">
        <v>3.1012</v>
      </c>
      <c r="X370" s="593">
        <f t="shared" ref="X370:X376" si="212">I370*W370</f>
        <v>1860.72</v>
      </c>
      <c r="Y370" s="401" t="s">
        <v>1617</v>
      </c>
      <c r="Z370" s="607" t="s">
        <v>822</v>
      </c>
      <c r="AA370" s="1453" t="s">
        <v>128</v>
      </c>
      <c r="AB370" s="608"/>
      <c r="AC370" s="608"/>
      <c r="AD370" s="608"/>
      <c r="AE370" s="564" t="s">
        <v>80</v>
      </c>
      <c r="AF370" s="564"/>
      <c r="AG370" s="608">
        <f t="shared" ref="AG370:AG372" si="213">I370*2</f>
        <v>1200</v>
      </c>
      <c r="AH370" s="608"/>
      <c r="AI370" s="608"/>
      <c r="AJ370" s="608"/>
      <c r="AK370" s="609">
        <f t="shared" si="205"/>
        <v>1200</v>
      </c>
      <c r="AL370" s="609"/>
      <c r="AM370" s="609"/>
      <c r="AN370" s="609"/>
      <c r="AO370" s="615">
        <f>AK370</f>
        <v>1200</v>
      </c>
      <c r="AP370" s="615"/>
      <c r="AQ370" s="609"/>
      <c r="AR370" s="609"/>
      <c r="AS370" s="609"/>
      <c r="AT370" s="633"/>
      <c r="AU370" s="633"/>
      <c r="AV370" s="633"/>
      <c r="AW370" s="633"/>
      <c r="AX370" s="633"/>
      <c r="AY370" s="633"/>
      <c r="AZ370" s="633"/>
      <c r="BA370" s="633"/>
      <c r="BB370" s="633"/>
      <c r="BC370" s="633"/>
      <c r="BD370" s="633"/>
      <c r="BE370" s="633"/>
      <c r="BF370" s="633"/>
      <c r="BG370" s="633"/>
      <c r="BH370" s="633"/>
      <c r="BI370" s="633"/>
      <c r="BJ370" s="633"/>
      <c r="BK370" s="633">
        <f t="shared" ref="BK370:BK372" si="214">I370</f>
        <v>600</v>
      </c>
      <c r="BL370" s="633">
        <f t="shared" ref="BL370:BL372" si="215">I370</f>
        <v>600</v>
      </c>
      <c r="BM370" s="401">
        <f t="shared" si="172"/>
        <v>1200</v>
      </c>
      <c r="BO370" s="1473"/>
      <c r="BP370" s="1473"/>
      <c r="BU370" s="1502" t="s">
        <v>1618</v>
      </c>
    </row>
    <row r="371" s="200" customFormat="1" ht="36" customHeight="1" spans="1:73">
      <c r="A371" s="526">
        <v>45434</v>
      </c>
      <c r="B371" s="1507" t="s">
        <v>151</v>
      </c>
      <c r="C371" s="1478" t="s">
        <v>117</v>
      </c>
      <c r="D371" s="529">
        <v>4500134367</v>
      </c>
      <c r="E371" s="1509" t="s">
        <v>1619</v>
      </c>
      <c r="F371" s="529" t="s">
        <v>1620</v>
      </c>
      <c r="G371" s="531" t="s">
        <v>628</v>
      </c>
      <c r="H371" s="532" t="s">
        <v>623</v>
      </c>
      <c r="I371" s="401">
        <v>4032</v>
      </c>
      <c r="J371" s="562">
        <v>0</v>
      </c>
      <c r="K371" s="531">
        <v>12</v>
      </c>
      <c r="L371" s="401">
        <f t="shared" si="211"/>
        <v>336</v>
      </c>
      <c r="M371" s="563">
        <v>45474</v>
      </c>
      <c r="N371" s="1495">
        <v>45474</v>
      </c>
      <c r="O371" s="564"/>
      <c r="P371" s="564" t="s">
        <v>92</v>
      </c>
      <c r="Q371" s="564" t="s">
        <v>1621</v>
      </c>
      <c r="R371" s="564">
        <v>45434</v>
      </c>
      <c r="S371" s="564" t="s">
        <v>123</v>
      </c>
      <c r="T371" s="1519" t="s">
        <v>1622</v>
      </c>
      <c r="U371" s="1499" t="s">
        <v>1623</v>
      </c>
      <c r="V371" s="564" t="s">
        <v>156</v>
      </c>
      <c r="W371" s="592">
        <v>3.054</v>
      </c>
      <c r="X371" s="593">
        <f t="shared" si="212"/>
        <v>12313.728</v>
      </c>
      <c r="Y371" s="401" t="s">
        <v>1624</v>
      </c>
      <c r="Z371" s="607" t="s">
        <v>628</v>
      </c>
      <c r="AA371" s="1453" t="s">
        <v>128</v>
      </c>
      <c r="AB371" s="608"/>
      <c r="AC371" s="608"/>
      <c r="AD371" s="608"/>
      <c r="AE371" s="564" t="s">
        <v>80</v>
      </c>
      <c r="AF371" s="564"/>
      <c r="AG371" s="608">
        <f t="shared" si="213"/>
        <v>8064</v>
      </c>
      <c r="AH371" s="608"/>
      <c r="AI371" s="608"/>
      <c r="AJ371" s="1558">
        <f>AG371</f>
        <v>8064</v>
      </c>
      <c r="AK371" s="401"/>
      <c r="AL371" s="609"/>
      <c r="AM371" s="609"/>
      <c r="AN371" s="609"/>
      <c r="AO371" s="615">
        <f>AJ371</f>
        <v>8064</v>
      </c>
      <c r="AP371" s="615"/>
      <c r="AQ371" s="609"/>
      <c r="AR371" s="609"/>
      <c r="AS371" s="609"/>
      <c r="AT371" s="633"/>
      <c r="AU371" s="633"/>
      <c r="AV371" s="633"/>
      <c r="AW371" s="633"/>
      <c r="AX371" s="633"/>
      <c r="AY371" s="633"/>
      <c r="AZ371" s="633"/>
      <c r="BA371" s="633"/>
      <c r="BB371" s="633"/>
      <c r="BC371" s="633"/>
      <c r="BD371" s="633"/>
      <c r="BE371" s="633"/>
      <c r="BF371" s="633"/>
      <c r="BG371" s="633"/>
      <c r="BH371" s="633"/>
      <c r="BI371" s="633"/>
      <c r="BJ371" s="633"/>
      <c r="BK371" s="633">
        <f t="shared" si="214"/>
        <v>4032</v>
      </c>
      <c r="BL371" s="633">
        <f t="shared" si="215"/>
        <v>4032</v>
      </c>
      <c r="BM371" s="401">
        <f t="shared" si="172"/>
        <v>8064</v>
      </c>
      <c r="BO371" s="1473"/>
      <c r="BP371" s="1473"/>
      <c r="BU371" s="1502" t="s">
        <v>1343</v>
      </c>
    </row>
    <row r="372" s="200" customFormat="1" ht="36" customHeight="1" spans="1:73">
      <c r="A372" s="526">
        <v>45434</v>
      </c>
      <c r="B372" s="1507" t="s">
        <v>151</v>
      </c>
      <c r="C372" s="1478" t="s">
        <v>117</v>
      </c>
      <c r="D372" s="529">
        <v>4500134367</v>
      </c>
      <c r="E372" s="1509" t="s">
        <v>1619</v>
      </c>
      <c r="F372" s="529" t="s">
        <v>1625</v>
      </c>
      <c r="G372" s="531" t="s">
        <v>628</v>
      </c>
      <c r="H372" s="532" t="s">
        <v>623</v>
      </c>
      <c r="I372" s="401">
        <v>468</v>
      </c>
      <c r="J372" s="562">
        <v>0</v>
      </c>
      <c r="K372" s="531">
        <v>12</v>
      </c>
      <c r="L372" s="401">
        <f t="shared" si="211"/>
        <v>39</v>
      </c>
      <c r="M372" s="563">
        <v>45474</v>
      </c>
      <c r="N372" s="1495">
        <v>45474</v>
      </c>
      <c r="O372" s="564"/>
      <c r="P372" s="564" t="s">
        <v>1262</v>
      </c>
      <c r="Q372" s="564" t="s">
        <v>1621</v>
      </c>
      <c r="R372" s="564">
        <v>45434</v>
      </c>
      <c r="S372" s="564" t="s">
        <v>123</v>
      </c>
      <c r="T372" s="1519" t="s">
        <v>1622</v>
      </c>
      <c r="U372" s="1499" t="s">
        <v>1623</v>
      </c>
      <c r="V372" s="564" t="s">
        <v>156</v>
      </c>
      <c r="W372" s="592">
        <v>3.054</v>
      </c>
      <c r="X372" s="593">
        <f t="shared" si="212"/>
        <v>1429.272</v>
      </c>
      <c r="Y372" s="401" t="s">
        <v>1624</v>
      </c>
      <c r="Z372" s="607" t="s">
        <v>628</v>
      </c>
      <c r="AA372" s="1453" t="s">
        <v>128</v>
      </c>
      <c r="AB372" s="608"/>
      <c r="AC372" s="608"/>
      <c r="AD372" s="608"/>
      <c r="AE372" s="564" t="s">
        <v>80</v>
      </c>
      <c r="AF372" s="564"/>
      <c r="AG372" s="608">
        <f t="shared" si="213"/>
        <v>936</v>
      </c>
      <c r="AH372" s="608"/>
      <c r="AI372" s="608"/>
      <c r="AJ372" s="1558">
        <f>AG372</f>
        <v>936</v>
      </c>
      <c r="AK372" s="401"/>
      <c r="AL372" s="609"/>
      <c r="AM372" s="609"/>
      <c r="AN372" s="609"/>
      <c r="AO372" s="615">
        <f>AJ372</f>
        <v>936</v>
      </c>
      <c r="AP372" s="615"/>
      <c r="AQ372" s="609"/>
      <c r="AR372" s="609"/>
      <c r="AS372" s="609"/>
      <c r="AT372" s="633"/>
      <c r="AU372" s="633"/>
      <c r="AV372" s="633"/>
      <c r="AW372" s="633"/>
      <c r="AX372" s="633"/>
      <c r="AY372" s="633"/>
      <c r="AZ372" s="633"/>
      <c r="BA372" s="633"/>
      <c r="BB372" s="633"/>
      <c r="BC372" s="633"/>
      <c r="BD372" s="633"/>
      <c r="BE372" s="633"/>
      <c r="BF372" s="633"/>
      <c r="BG372" s="633"/>
      <c r="BH372" s="633"/>
      <c r="BI372" s="633"/>
      <c r="BJ372" s="633"/>
      <c r="BK372" s="633">
        <f t="shared" si="214"/>
        <v>468</v>
      </c>
      <c r="BL372" s="633">
        <f t="shared" si="215"/>
        <v>468</v>
      </c>
      <c r="BM372" s="401">
        <f t="shared" si="172"/>
        <v>936</v>
      </c>
      <c r="BO372" s="1473"/>
      <c r="BP372" s="1473"/>
      <c r="BU372" s="1502" t="s">
        <v>1343</v>
      </c>
    </row>
    <row r="373" s="200" customFormat="1" ht="36" customHeight="1" spans="1:68">
      <c r="A373" s="1534">
        <v>45421</v>
      </c>
      <c r="B373" s="1507" t="s">
        <v>1626</v>
      </c>
      <c r="C373" s="1508" t="s">
        <v>286</v>
      </c>
      <c r="D373" s="1535">
        <v>4500132862</v>
      </c>
      <c r="E373" s="1536"/>
      <c r="F373" s="1535" t="s">
        <v>1627</v>
      </c>
      <c r="G373" s="1562" t="s">
        <v>96</v>
      </c>
      <c r="H373" s="532" t="s">
        <v>74</v>
      </c>
      <c r="I373" s="1496">
        <v>1500</v>
      </c>
      <c r="J373" s="1496">
        <v>0</v>
      </c>
      <c r="K373" s="1566">
        <v>50</v>
      </c>
      <c r="L373" s="1496">
        <f t="shared" si="211"/>
        <v>30</v>
      </c>
      <c r="M373" s="563">
        <v>45457</v>
      </c>
      <c r="N373" s="1495">
        <v>45474</v>
      </c>
      <c r="O373" s="564"/>
      <c r="P373" s="564" t="s">
        <v>92</v>
      </c>
      <c r="Q373" s="564" t="s">
        <v>1628</v>
      </c>
      <c r="R373" s="564">
        <v>45450</v>
      </c>
      <c r="S373" s="564" t="s">
        <v>77</v>
      </c>
      <c r="T373" s="1567" t="s">
        <v>1629</v>
      </c>
      <c r="U373" s="530" t="s">
        <v>1630</v>
      </c>
      <c r="V373" s="530" t="s">
        <v>1631</v>
      </c>
      <c r="W373" s="592">
        <v>1.4344</v>
      </c>
      <c r="X373" s="593">
        <f t="shared" si="212"/>
        <v>2151.6</v>
      </c>
      <c r="Y373" s="401" t="s">
        <v>1632</v>
      </c>
      <c r="Z373" s="607" t="s">
        <v>1633</v>
      </c>
      <c r="AA373" s="1453" t="s">
        <v>128</v>
      </c>
      <c r="AB373" s="608"/>
      <c r="AC373" s="608"/>
      <c r="AD373" s="608"/>
      <c r="AE373" s="564" t="s">
        <v>80</v>
      </c>
      <c r="AF373" s="564"/>
      <c r="AG373" s="608">
        <f t="shared" si="209"/>
        <v>1500</v>
      </c>
      <c r="AH373" s="608"/>
      <c r="AI373" s="608"/>
      <c r="AJ373" s="608"/>
      <c r="AK373" s="401">
        <f t="shared" ref="AK373:AK383" si="216">I373</f>
        <v>1500</v>
      </c>
      <c r="AL373" s="609"/>
      <c r="AM373" s="609"/>
      <c r="AN373" s="609"/>
      <c r="AO373" s="609">
        <f t="shared" si="210"/>
        <v>1500</v>
      </c>
      <c r="AP373" s="609"/>
      <c r="AQ373" s="609"/>
      <c r="AR373" s="609"/>
      <c r="AS373" s="609"/>
      <c r="AT373" s="633"/>
      <c r="AU373" s="633"/>
      <c r="AV373" s="633"/>
      <c r="AW373" s="401"/>
      <c r="AX373" s="633"/>
      <c r="AY373" s="633"/>
      <c r="AZ373" s="633"/>
      <c r="BB373" s="633">
        <f>I373/25</f>
        <v>60</v>
      </c>
      <c r="BC373" s="633"/>
      <c r="BD373" s="633"/>
      <c r="BE373" s="633"/>
      <c r="BF373" s="633"/>
      <c r="BG373" s="633"/>
      <c r="BH373" s="633"/>
      <c r="BI373" s="633"/>
      <c r="BJ373" s="633"/>
      <c r="BK373" s="633"/>
      <c r="BL373" s="633"/>
      <c r="BM373" s="401">
        <f t="shared" si="172"/>
        <v>1500</v>
      </c>
      <c r="BO373" s="1473"/>
      <c r="BP373" s="1473"/>
    </row>
    <row r="374" s="200" customFormat="1" ht="36" customHeight="1" spans="1:68">
      <c r="A374" s="1534">
        <v>45433</v>
      </c>
      <c r="B374" s="1536" t="s">
        <v>1403</v>
      </c>
      <c r="C374" s="1559" t="s">
        <v>117</v>
      </c>
      <c r="D374" s="1535">
        <v>4500134189</v>
      </c>
      <c r="E374" s="1536" t="s">
        <v>1634</v>
      </c>
      <c r="F374" s="1535" t="s">
        <v>1635</v>
      </c>
      <c r="G374" s="531" t="s">
        <v>96</v>
      </c>
      <c r="H374" s="532" t="s">
        <v>74</v>
      </c>
      <c r="I374" s="401">
        <v>300</v>
      </c>
      <c r="J374" s="562">
        <v>0</v>
      </c>
      <c r="K374" s="531">
        <v>50</v>
      </c>
      <c r="L374" s="401">
        <f t="shared" si="211"/>
        <v>6</v>
      </c>
      <c r="M374" s="563">
        <v>45481</v>
      </c>
      <c r="N374" s="563">
        <v>45477</v>
      </c>
      <c r="O374" s="564"/>
      <c r="P374" s="564" t="s">
        <v>1262</v>
      </c>
      <c r="Q374" s="564" t="s">
        <v>1636</v>
      </c>
      <c r="R374" s="564">
        <v>45433</v>
      </c>
      <c r="S374" s="564" t="s">
        <v>77</v>
      </c>
      <c r="T374" s="564" t="s">
        <v>77</v>
      </c>
      <c r="U374" s="530" t="s">
        <v>1407</v>
      </c>
      <c r="V374" s="564" t="s">
        <v>671</v>
      </c>
      <c r="W374" s="592">
        <v>1.4395</v>
      </c>
      <c r="X374" s="593">
        <f t="shared" si="212"/>
        <v>431.85</v>
      </c>
      <c r="Y374" s="401" t="s">
        <v>1637</v>
      </c>
      <c r="Z374" s="607" t="s">
        <v>96</v>
      </c>
      <c r="AA374" s="1453" t="s">
        <v>128</v>
      </c>
      <c r="AB374" s="608"/>
      <c r="AC374" s="608"/>
      <c r="AD374" s="608"/>
      <c r="AE374" s="564" t="s">
        <v>80</v>
      </c>
      <c r="AF374" s="564"/>
      <c r="AG374" s="608">
        <f t="shared" si="209"/>
        <v>300</v>
      </c>
      <c r="AH374" s="608"/>
      <c r="AI374" s="608"/>
      <c r="AJ374" s="608"/>
      <c r="AK374" s="609">
        <f t="shared" si="216"/>
        <v>300</v>
      </c>
      <c r="AL374" s="609"/>
      <c r="AM374" s="609"/>
      <c r="AN374" s="609"/>
      <c r="AO374" s="609">
        <f t="shared" si="210"/>
        <v>300</v>
      </c>
      <c r="AP374" s="615"/>
      <c r="AQ374" s="609"/>
      <c r="AR374" s="609"/>
      <c r="AS374" s="609"/>
      <c r="AT374" s="633"/>
      <c r="AU374" s="633"/>
      <c r="AV374" s="633"/>
      <c r="AW374" s="633"/>
      <c r="AX374" s="633"/>
      <c r="AY374" s="633"/>
      <c r="AZ374" s="633"/>
      <c r="BA374" s="633">
        <f t="shared" ref="BA374:BA376" si="217">I374/25</f>
        <v>12</v>
      </c>
      <c r="BB374" s="633"/>
      <c r="BC374" s="633"/>
      <c r="BD374" s="633"/>
      <c r="BE374" s="633"/>
      <c r="BF374" s="633"/>
      <c r="BG374" s="633"/>
      <c r="BH374" s="633"/>
      <c r="BI374" s="633"/>
      <c r="BJ374" s="633"/>
      <c r="BK374" s="633"/>
      <c r="BL374" s="633"/>
      <c r="BM374" s="401">
        <f t="shared" si="172"/>
        <v>300</v>
      </c>
      <c r="BO374" s="1473"/>
      <c r="BP374" s="1473"/>
    </row>
    <row r="375" s="200" customFormat="1" ht="36" customHeight="1" spans="1:68">
      <c r="A375" s="1534">
        <v>45433</v>
      </c>
      <c r="B375" s="1536" t="s">
        <v>1403</v>
      </c>
      <c r="C375" s="1559" t="s">
        <v>117</v>
      </c>
      <c r="D375" s="1535">
        <v>4500134189</v>
      </c>
      <c r="E375" s="1536" t="s">
        <v>1638</v>
      </c>
      <c r="F375" s="1535" t="s">
        <v>1639</v>
      </c>
      <c r="G375" s="531" t="s">
        <v>96</v>
      </c>
      <c r="H375" s="532" t="s">
        <v>74</v>
      </c>
      <c r="I375" s="401">
        <v>200</v>
      </c>
      <c r="J375" s="562">
        <v>0</v>
      </c>
      <c r="K375" s="531">
        <v>50</v>
      </c>
      <c r="L375" s="401">
        <f t="shared" si="211"/>
        <v>4</v>
      </c>
      <c r="M375" s="563">
        <v>45481</v>
      </c>
      <c r="N375" s="563">
        <v>45477</v>
      </c>
      <c r="O375" s="564"/>
      <c r="P375" s="564" t="s">
        <v>1262</v>
      </c>
      <c r="Q375" s="564" t="s">
        <v>1636</v>
      </c>
      <c r="R375" s="564">
        <v>45433</v>
      </c>
      <c r="S375" s="564" t="s">
        <v>77</v>
      </c>
      <c r="T375" s="564" t="s">
        <v>77</v>
      </c>
      <c r="U375" s="530" t="s">
        <v>1407</v>
      </c>
      <c r="V375" s="564" t="s">
        <v>671</v>
      </c>
      <c r="W375" s="592">
        <v>1.4395</v>
      </c>
      <c r="X375" s="593">
        <f t="shared" si="212"/>
        <v>287.9</v>
      </c>
      <c r="Y375" s="401" t="s">
        <v>1640</v>
      </c>
      <c r="Z375" s="607" t="s">
        <v>96</v>
      </c>
      <c r="AA375" s="1453" t="s">
        <v>128</v>
      </c>
      <c r="AB375" s="608"/>
      <c r="AC375" s="608"/>
      <c r="AD375" s="608"/>
      <c r="AE375" s="564" t="s">
        <v>80</v>
      </c>
      <c r="AF375" s="564"/>
      <c r="AG375" s="608">
        <f t="shared" si="209"/>
        <v>200</v>
      </c>
      <c r="AH375" s="608"/>
      <c r="AI375" s="608"/>
      <c r="AJ375" s="608"/>
      <c r="AK375" s="609">
        <f t="shared" si="216"/>
        <v>200</v>
      </c>
      <c r="AL375" s="609"/>
      <c r="AM375" s="609"/>
      <c r="AN375" s="609"/>
      <c r="AO375" s="609">
        <f t="shared" si="210"/>
        <v>200</v>
      </c>
      <c r="AP375" s="615"/>
      <c r="AQ375" s="609"/>
      <c r="AR375" s="609"/>
      <c r="AS375" s="609"/>
      <c r="AT375" s="633"/>
      <c r="AU375" s="633"/>
      <c r="AV375" s="633"/>
      <c r="AW375" s="633"/>
      <c r="AX375" s="633"/>
      <c r="AY375" s="633"/>
      <c r="AZ375" s="633"/>
      <c r="BA375" s="633">
        <f t="shared" si="217"/>
        <v>8</v>
      </c>
      <c r="BB375" s="633"/>
      <c r="BC375" s="633"/>
      <c r="BD375" s="633"/>
      <c r="BE375" s="633"/>
      <c r="BF375" s="633"/>
      <c r="BG375" s="633"/>
      <c r="BH375" s="633"/>
      <c r="BI375" s="633"/>
      <c r="BJ375" s="633"/>
      <c r="BK375" s="633"/>
      <c r="BL375" s="633"/>
      <c r="BM375" s="401">
        <f t="shared" si="172"/>
        <v>200</v>
      </c>
      <c r="BO375" s="1473"/>
      <c r="BP375" s="1473"/>
    </row>
    <row r="376" s="200" customFormat="1" ht="36" customHeight="1" spans="1:68">
      <c r="A376" s="1534">
        <v>45439</v>
      </c>
      <c r="B376" s="1536" t="s">
        <v>512</v>
      </c>
      <c r="C376" s="528" t="s">
        <v>213</v>
      </c>
      <c r="D376" s="1535">
        <v>4500134929</v>
      </c>
      <c r="E376" s="1536"/>
      <c r="F376" s="1535" t="s">
        <v>1641</v>
      </c>
      <c r="G376" s="531" t="s">
        <v>1205</v>
      </c>
      <c r="H376" s="532" t="s">
        <v>74</v>
      </c>
      <c r="I376" s="401">
        <v>3500</v>
      </c>
      <c r="J376" s="1496">
        <v>25</v>
      </c>
      <c r="K376" s="1496">
        <v>50</v>
      </c>
      <c r="L376" s="1496">
        <f t="shared" si="211"/>
        <v>70</v>
      </c>
      <c r="M376" s="563">
        <v>45481</v>
      </c>
      <c r="N376" s="563">
        <v>45477</v>
      </c>
      <c r="O376" s="564"/>
      <c r="P376" s="564" t="s">
        <v>92</v>
      </c>
      <c r="Q376" s="564" t="s">
        <v>1636</v>
      </c>
      <c r="R376" s="564">
        <v>45449</v>
      </c>
      <c r="S376" s="564" t="s">
        <v>77</v>
      </c>
      <c r="T376" s="564" t="s">
        <v>77</v>
      </c>
      <c r="U376" s="530" t="s">
        <v>1642</v>
      </c>
      <c r="V376" s="564" t="s">
        <v>218</v>
      </c>
      <c r="W376" s="592">
        <v>1.4344</v>
      </c>
      <c r="X376" s="593">
        <f t="shared" si="212"/>
        <v>5020.4</v>
      </c>
      <c r="Y376" s="401" t="s">
        <v>1643</v>
      </c>
      <c r="Z376" s="607" t="s">
        <v>1205</v>
      </c>
      <c r="AA376" s="1453" t="s">
        <v>128</v>
      </c>
      <c r="AB376" s="608"/>
      <c r="AC376" s="608"/>
      <c r="AD376" s="608"/>
      <c r="AE376" s="564" t="s">
        <v>80</v>
      </c>
      <c r="AF376" s="564"/>
      <c r="AG376" s="608">
        <f t="shared" si="209"/>
        <v>3500</v>
      </c>
      <c r="AH376" s="608"/>
      <c r="AI376" s="608"/>
      <c r="AJ376" s="608"/>
      <c r="AK376" s="609">
        <f t="shared" si="216"/>
        <v>3500</v>
      </c>
      <c r="AL376" s="609"/>
      <c r="AM376" s="609"/>
      <c r="AN376" s="609"/>
      <c r="AO376" s="609">
        <f t="shared" si="210"/>
        <v>3500</v>
      </c>
      <c r="AP376" s="615"/>
      <c r="AQ376" s="609"/>
      <c r="AR376" s="609"/>
      <c r="AS376" s="609"/>
      <c r="AT376" s="633"/>
      <c r="AU376" s="633"/>
      <c r="AV376" s="633"/>
      <c r="AW376" s="633"/>
      <c r="AX376" s="633"/>
      <c r="AY376" s="633"/>
      <c r="AZ376" s="633"/>
      <c r="BA376" s="633">
        <f t="shared" si="217"/>
        <v>140</v>
      </c>
      <c r="BB376" s="633"/>
      <c r="BC376" s="633"/>
      <c r="BD376" s="633"/>
      <c r="BE376" s="633"/>
      <c r="BF376" s="633"/>
      <c r="BG376" s="633"/>
      <c r="BH376" s="633"/>
      <c r="BI376" s="633"/>
      <c r="BJ376" s="633"/>
      <c r="BK376" s="633"/>
      <c r="BL376" s="633"/>
      <c r="BM376" s="401">
        <f t="shared" si="172"/>
        <v>3500</v>
      </c>
      <c r="BO376" s="1473"/>
      <c r="BP376" s="1473"/>
    </row>
    <row r="377" s="200" customFormat="1" ht="36" customHeight="1" spans="1:68">
      <c r="A377" s="526">
        <v>45411</v>
      </c>
      <c r="B377" s="1507" t="s">
        <v>587</v>
      </c>
      <c r="C377" s="1478" t="s">
        <v>117</v>
      </c>
      <c r="D377" s="529">
        <v>4500131249</v>
      </c>
      <c r="E377" s="1509">
        <v>6631646273</v>
      </c>
      <c r="F377" s="529" t="s">
        <v>1644</v>
      </c>
      <c r="G377" s="531" t="s">
        <v>832</v>
      </c>
      <c r="H377" s="532" t="s">
        <v>833</v>
      </c>
      <c r="I377" s="401">
        <v>1152</v>
      </c>
      <c r="J377" s="562">
        <v>0</v>
      </c>
      <c r="K377" s="531">
        <v>1152</v>
      </c>
      <c r="L377" s="401">
        <f t="shared" si="211"/>
        <v>1</v>
      </c>
      <c r="M377" s="563">
        <v>45471</v>
      </c>
      <c r="N377" s="1495">
        <v>45478</v>
      </c>
      <c r="O377" s="1474" t="s">
        <v>1645</v>
      </c>
      <c r="P377" s="564" t="s">
        <v>92</v>
      </c>
      <c r="Q377" s="564" t="s">
        <v>1399</v>
      </c>
      <c r="R377" s="1523" t="s">
        <v>1102</v>
      </c>
      <c r="S377" s="564" t="s">
        <v>123</v>
      </c>
      <c r="T377" s="1519" t="s">
        <v>1246</v>
      </c>
      <c r="U377" s="530" t="s">
        <v>1103</v>
      </c>
      <c r="V377" s="564" t="s">
        <v>1006</v>
      </c>
      <c r="W377" s="592">
        <v>1752.1376</v>
      </c>
      <c r="X377" s="593">
        <f t="shared" ref="X377:X383" si="218">W377*L377</f>
        <v>1752.1376</v>
      </c>
      <c r="Y377" s="401" t="s">
        <v>1646</v>
      </c>
      <c r="Z377" s="607" t="s">
        <v>832</v>
      </c>
      <c r="AA377" s="1453" t="s">
        <v>128</v>
      </c>
      <c r="AB377" s="608"/>
      <c r="AC377" s="608"/>
      <c r="AD377" s="608"/>
      <c r="AE377" s="564" t="s">
        <v>80</v>
      </c>
      <c r="AF377" s="564"/>
      <c r="AG377" s="608">
        <f t="shared" si="209"/>
        <v>1152</v>
      </c>
      <c r="AH377" s="608"/>
      <c r="AI377" s="608"/>
      <c r="AJ377" s="608"/>
      <c r="AK377" s="609">
        <f t="shared" si="216"/>
        <v>1152</v>
      </c>
      <c r="AL377" s="609"/>
      <c r="AM377" s="609"/>
      <c r="AN377" s="609"/>
      <c r="AO377" s="615"/>
      <c r="AP377" s="615"/>
      <c r="AQ377" s="609">
        <f t="shared" ref="AQ377:AQ383" si="219">I377</f>
        <v>1152</v>
      </c>
      <c r="AR377" s="609"/>
      <c r="AS377" s="609"/>
      <c r="AT377" s="633"/>
      <c r="AU377" s="633"/>
      <c r="AV377" s="633">
        <f t="shared" ref="AV377:AV383" si="220">I377/12</f>
        <v>96</v>
      </c>
      <c r="AW377" s="633"/>
      <c r="AX377" s="633"/>
      <c r="AY377" s="633"/>
      <c r="AZ377" s="633"/>
      <c r="BA377" s="633"/>
      <c r="BB377" s="633"/>
      <c r="BC377" s="633"/>
      <c r="BD377" s="633"/>
      <c r="BE377" s="633"/>
      <c r="BF377" s="633"/>
      <c r="BG377" s="633"/>
      <c r="BH377" s="633"/>
      <c r="BI377" s="633"/>
      <c r="BJ377" s="633"/>
      <c r="BK377" s="633"/>
      <c r="BL377" s="633"/>
      <c r="BM377" s="401">
        <f t="shared" si="172"/>
        <v>1152</v>
      </c>
      <c r="BO377" s="1473"/>
      <c r="BP377" s="1473"/>
    </row>
    <row r="378" s="200" customFormat="1" ht="36" customHeight="1" spans="1:68">
      <c r="A378" s="526">
        <v>45411</v>
      </c>
      <c r="B378" s="1507" t="s">
        <v>587</v>
      </c>
      <c r="C378" s="1478" t="s">
        <v>117</v>
      </c>
      <c r="D378" s="529">
        <v>4500131249</v>
      </c>
      <c r="E378" s="1509">
        <v>6631646283</v>
      </c>
      <c r="F378" s="529" t="s">
        <v>1647</v>
      </c>
      <c r="G378" s="531" t="s">
        <v>832</v>
      </c>
      <c r="H378" s="532" t="s">
        <v>833</v>
      </c>
      <c r="I378" s="401">
        <v>1152</v>
      </c>
      <c r="J378" s="562">
        <v>0</v>
      </c>
      <c r="K378" s="531">
        <v>1152</v>
      </c>
      <c r="L378" s="401">
        <f t="shared" si="211"/>
        <v>1</v>
      </c>
      <c r="M378" s="563">
        <v>45471</v>
      </c>
      <c r="N378" s="1495">
        <v>45478</v>
      </c>
      <c r="O378" s="1474" t="s">
        <v>1648</v>
      </c>
      <c r="P378" s="564" t="s">
        <v>92</v>
      </c>
      <c r="Q378" s="564" t="s">
        <v>1399</v>
      </c>
      <c r="R378" s="1523" t="s">
        <v>1102</v>
      </c>
      <c r="S378" s="564" t="s">
        <v>123</v>
      </c>
      <c r="T378" s="1519" t="s">
        <v>1246</v>
      </c>
      <c r="U378" s="530" t="s">
        <v>1103</v>
      </c>
      <c r="V378" s="564" t="s">
        <v>1006</v>
      </c>
      <c r="W378" s="592">
        <v>1752.1376</v>
      </c>
      <c r="X378" s="593">
        <f t="shared" si="218"/>
        <v>1752.1376</v>
      </c>
      <c r="Y378" s="401" t="s">
        <v>1649</v>
      </c>
      <c r="Z378" s="607" t="s">
        <v>832</v>
      </c>
      <c r="AA378" s="1453" t="s">
        <v>128</v>
      </c>
      <c r="AB378" s="608"/>
      <c r="AC378" s="608"/>
      <c r="AD378" s="608"/>
      <c r="AE378" s="564" t="s">
        <v>80</v>
      </c>
      <c r="AF378" s="564"/>
      <c r="AG378" s="608">
        <f t="shared" si="209"/>
        <v>1152</v>
      </c>
      <c r="AH378" s="608"/>
      <c r="AI378" s="608"/>
      <c r="AJ378" s="608"/>
      <c r="AK378" s="609">
        <f t="shared" si="216"/>
        <v>1152</v>
      </c>
      <c r="AL378" s="609"/>
      <c r="AM378" s="609"/>
      <c r="AN378" s="609"/>
      <c r="AO378" s="615"/>
      <c r="AP378" s="615"/>
      <c r="AQ378" s="609">
        <f t="shared" si="219"/>
        <v>1152</v>
      </c>
      <c r="AR378" s="609"/>
      <c r="AS378" s="609"/>
      <c r="AT378" s="633"/>
      <c r="AU378" s="633"/>
      <c r="AV378" s="633">
        <f t="shared" si="220"/>
        <v>96</v>
      </c>
      <c r="AW378" s="633"/>
      <c r="AX378" s="633"/>
      <c r="AY378" s="633"/>
      <c r="AZ378" s="633"/>
      <c r="BA378" s="633"/>
      <c r="BB378" s="633"/>
      <c r="BC378" s="633"/>
      <c r="BD378" s="633"/>
      <c r="BE378" s="633"/>
      <c r="BF378" s="633"/>
      <c r="BG378" s="633"/>
      <c r="BH378" s="633"/>
      <c r="BI378" s="633"/>
      <c r="BJ378" s="633"/>
      <c r="BK378" s="633"/>
      <c r="BL378" s="633"/>
      <c r="BM378" s="401">
        <f t="shared" si="172"/>
        <v>1152</v>
      </c>
      <c r="BO378" s="1473"/>
      <c r="BP378" s="1473"/>
    </row>
    <row r="379" s="200" customFormat="1" ht="36" customHeight="1" spans="1:68">
      <c r="A379" s="526">
        <v>45440</v>
      </c>
      <c r="B379" s="1507" t="s">
        <v>587</v>
      </c>
      <c r="C379" s="1478" t="s">
        <v>117</v>
      </c>
      <c r="D379" s="529">
        <v>4500135039</v>
      </c>
      <c r="E379" s="1509">
        <v>6631646292</v>
      </c>
      <c r="F379" s="529" t="s">
        <v>1650</v>
      </c>
      <c r="G379" s="531" t="s">
        <v>832</v>
      </c>
      <c r="H379" s="532" t="s">
        <v>833</v>
      </c>
      <c r="I379" s="401">
        <v>1152</v>
      </c>
      <c r="J379" s="562">
        <v>0</v>
      </c>
      <c r="K379" s="531">
        <v>1152</v>
      </c>
      <c r="L379" s="401">
        <f t="shared" si="211"/>
        <v>1</v>
      </c>
      <c r="M379" s="563">
        <v>45475</v>
      </c>
      <c r="N379" s="1495">
        <v>45478</v>
      </c>
      <c r="O379" s="1474" t="s">
        <v>1651</v>
      </c>
      <c r="P379" s="564" t="s">
        <v>92</v>
      </c>
      <c r="Q379" s="564" t="s">
        <v>1652</v>
      </c>
      <c r="R379" s="1523" t="s">
        <v>1102</v>
      </c>
      <c r="S379" s="564" t="s">
        <v>123</v>
      </c>
      <c r="T379" s="1519" t="s">
        <v>1653</v>
      </c>
      <c r="U379" s="530" t="s">
        <v>1654</v>
      </c>
      <c r="V379" s="564" t="s">
        <v>634</v>
      </c>
      <c r="W379" s="592">
        <v>1752.1376</v>
      </c>
      <c r="X379" s="593">
        <f t="shared" si="218"/>
        <v>1752.1376</v>
      </c>
      <c r="Y379" s="401" t="s">
        <v>1655</v>
      </c>
      <c r="Z379" s="607" t="s">
        <v>832</v>
      </c>
      <c r="AA379" s="1453" t="s">
        <v>128</v>
      </c>
      <c r="AB379" s="608"/>
      <c r="AC379" s="608"/>
      <c r="AD379" s="608"/>
      <c r="AE379" s="564" t="s">
        <v>80</v>
      </c>
      <c r="AF379" s="564"/>
      <c r="AG379" s="608">
        <f t="shared" si="209"/>
        <v>1152</v>
      </c>
      <c r="AH379" s="608"/>
      <c r="AI379" s="608"/>
      <c r="AJ379" s="608"/>
      <c r="AK379" s="609">
        <f t="shared" si="216"/>
        <v>1152</v>
      </c>
      <c r="AL379" s="609"/>
      <c r="AM379" s="609"/>
      <c r="AN379" s="609"/>
      <c r="AO379" s="615"/>
      <c r="AP379" s="615"/>
      <c r="AQ379" s="609">
        <f t="shared" si="219"/>
        <v>1152</v>
      </c>
      <c r="AR379" s="609"/>
      <c r="AS379" s="609"/>
      <c r="AT379" s="633"/>
      <c r="AU379" s="633"/>
      <c r="AV379" s="633">
        <f t="shared" si="220"/>
        <v>96</v>
      </c>
      <c r="AW379" s="633"/>
      <c r="AX379" s="633"/>
      <c r="AY379" s="633"/>
      <c r="AZ379" s="633"/>
      <c r="BA379" s="633"/>
      <c r="BB379" s="633"/>
      <c r="BC379" s="633"/>
      <c r="BD379" s="633"/>
      <c r="BE379" s="633"/>
      <c r="BF379" s="633"/>
      <c r="BG379" s="633"/>
      <c r="BH379" s="633"/>
      <c r="BI379" s="633"/>
      <c r="BJ379" s="633"/>
      <c r="BK379" s="633"/>
      <c r="BL379" s="633"/>
      <c r="BM379" s="401">
        <f t="shared" si="172"/>
        <v>1152</v>
      </c>
      <c r="BO379" s="1473"/>
      <c r="BP379" s="1473"/>
    </row>
    <row r="380" s="200" customFormat="1" ht="36" customHeight="1" spans="1:68">
      <c r="A380" s="526">
        <v>45440</v>
      </c>
      <c r="B380" s="1507" t="s">
        <v>587</v>
      </c>
      <c r="C380" s="1478" t="s">
        <v>117</v>
      </c>
      <c r="D380" s="529">
        <v>4500135039</v>
      </c>
      <c r="E380" s="1509">
        <v>6631646293</v>
      </c>
      <c r="F380" s="529" t="s">
        <v>1656</v>
      </c>
      <c r="G380" s="531" t="s">
        <v>832</v>
      </c>
      <c r="H380" s="532" t="s">
        <v>833</v>
      </c>
      <c r="I380" s="401">
        <v>1152</v>
      </c>
      <c r="J380" s="562">
        <v>0</v>
      </c>
      <c r="K380" s="531">
        <v>1152</v>
      </c>
      <c r="L380" s="401">
        <f t="shared" si="211"/>
        <v>1</v>
      </c>
      <c r="M380" s="563">
        <v>45475</v>
      </c>
      <c r="N380" s="1495">
        <v>45478</v>
      </c>
      <c r="O380" s="1474" t="s">
        <v>1648</v>
      </c>
      <c r="P380" s="564" t="s">
        <v>92</v>
      </c>
      <c r="Q380" s="564" t="s">
        <v>1652</v>
      </c>
      <c r="R380" s="1523" t="s">
        <v>1102</v>
      </c>
      <c r="S380" s="564" t="s">
        <v>123</v>
      </c>
      <c r="T380" s="1519" t="s">
        <v>1653</v>
      </c>
      <c r="U380" s="530" t="s">
        <v>1654</v>
      </c>
      <c r="V380" s="564" t="s">
        <v>634</v>
      </c>
      <c r="W380" s="592">
        <v>1752.1376</v>
      </c>
      <c r="X380" s="593">
        <f t="shared" si="218"/>
        <v>1752.1376</v>
      </c>
      <c r="Y380" s="401" t="s">
        <v>1657</v>
      </c>
      <c r="Z380" s="607" t="s">
        <v>832</v>
      </c>
      <c r="AA380" s="1453" t="s">
        <v>128</v>
      </c>
      <c r="AB380" s="608"/>
      <c r="AC380" s="608"/>
      <c r="AD380" s="608"/>
      <c r="AE380" s="564" t="s">
        <v>80</v>
      </c>
      <c r="AF380" s="564"/>
      <c r="AG380" s="608">
        <f t="shared" si="209"/>
        <v>1152</v>
      </c>
      <c r="AH380" s="608"/>
      <c r="AI380" s="608"/>
      <c r="AJ380" s="608"/>
      <c r="AK380" s="609">
        <f t="shared" si="216"/>
        <v>1152</v>
      </c>
      <c r="AL380" s="609"/>
      <c r="AM380" s="609"/>
      <c r="AN380" s="609"/>
      <c r="AO380" s="615"/>
      <c r="AP380" s="615"/>
      <c r="AQ380" s="609">
        <f t="shared" si="219"/>
        <v>1152</v>
      </c>
      <c r="AR380" s="609"/>
      <c r="AS380" s="609"/>
      <c r="AT380" s="633"/>
      <c r="AU380" s="633"/>
      <c r="AV380" s="633">
        <f t="shared" si="220"/>
        <v>96</v>
      </c>
      <c r="AW380" s="633"/>
      <c r="AX380" s="633"/>
      <c r="AY380" s="633"/>
      <c r="AZ380" s="633"/>
      <c r="BA380" s="633"/>
      <c r="BB380" s="633"/>
      <c r="BC380" s="633"/>
      <c r="BD380" s="633"/>
      <c r="BE380" s="633"/>
      <c r="BF380" s="633"/>
      <c r="BG380" s="633"/>
      <c r="BH380" s="633"/>
      <c r="BI380" s="633"/>
      <c r="BJ380" s="633"/>
      <c r="BK380" s="633"/>
      <c r="BL380" s="633"/>
      <c r="BM380" s="401">
        <f t="shared" si="172"/>
        <v>1152</v>
      </c>
      <c r="BO380" s="1473"/>
      <c r="BP380" s="1473"/>
    </row>
    <row r="381" s="200" customFormat="1" ht="36" customHeight="1" spans="1:68">
      <c r="A381" s="526">
        <v>45440</v>
      </c>
      <c r="B381" s="1507" t="s">
        <v>587</v>
      </c>
      <c r="C381" s="1478"/>
      <c r="D381" s="529">
        <v>4500135044</v>
      </c>
      <c r="E381" s="1509">
        <v>6631646288</v>
      </c>
      <c r="F381" s="529" t="s">
        <v>1658</v>
      </c>
      <c r="G381" s="531" t="s">
        <v>832</v>
      </c>
      <c r="H381" s="532" t="s">
        <v>833</v>
      </c>
      <c r="I381" s="401">
        <v>1152</v>
      </c>
      <c r="J381" s="562">
        <v>0</v>
      </c>
      <c r="K381" s="531">
        <v>1152</v>
      </c>
      <c r="L381" s="401">
        <f t="shared" si="211"/>
        <v>1</v>
      </c>
      <c r="M381" s="563">
        <v>45478</v>
      </c>
      <c r="N381" s="1495">
        <v>45478</v>
      </c>
      <c r="O381" s="1474" t="s">
        <v>1651</v>
      </c>
      <c r="P381" s="564" t="s">
        <v>92</v>
      </c>
      <c r="Q381" s="564" t="s">
        <v>1659</v>
      </c>
      <c r="R381" s="1523" t="s">
        <v>1102</v>
      </c>
      <c r="S381" s="564" t="s">
        <v>123</v>
      </c>
      <c r="T381" s="1519" t="s">
        <v>1653</v>
      </c>
      <c r="U381" s="530" t="s">
        <v>1660</v>
      </c>
      <c r="V381" s="564" t="s">
        <v>634</v>
      </c>
      <c r="W381" s="592">
        <v>1752.1376</v>
      </c>
      <c r="X381" s="593">
        <f t="shared" si="218"/>
        <v>1752.1376</v>
      </c>
      <c r="Y381" s="401" t="s">
        <v>1661</v>
      </c>
      <c r="Z381" s="607" t="s">
        <v>832</v>
      </c>
      <c r="AA381" s="1453" t="s">
        <v>128</v>
      </c>
      <c r="AB381" s="608"/>
      <c r="AC381" s="608"/>
      <c r="AD381" s="608"/>
      <c r="AE381" s="564" t="s">
        <v>80</v>
      </c>
      <c r="AF381" s="564"/>
      <c r="AG381" s="608">
        <f t="shared" si="209"/>
        <v>1152</v>
      </c>
      <c r="AH381" s="608"/>
      <c r="AI381" s="608"/>
      <c r="AJ381" s="608"/>
      <c r="AK381" s="609">
        <f t="shared" si="216"/>
        <v>1152</v>
      </c>
      <c r="AL381" s="609"/>
      <c r="AM381" s="609"/>
      <c r="AN381" s="609"/>
      <c r="AO381" s="615"/>
      <c r="AP381" s="615"/>
      <c r="AQ381" s="609">
        <f t="shared" si="219"/>
        <v>1152</v>
      </c>
      <c r="AR381" s="609"/>
      <c r="AS381" s="609"/>
      <c r="AT381" s="633"/>
      <c r="AU381" s="633"/>
      <c r="AV381" s="633">
        <f t="shared" si="220"/>
        <v>96</v>
      </c>
      <c r="AW381" s="633"/>
      <c r="AX381" s="633"/>
      <c r="AY381" s="633"/>
      <c r="AZ381" s="633"/>
      <c r="BA381" s="633"/>
      <c r="BB381" s="633"/>
      <c r="BC381" s="633"/>
      <c r="BD381" s="633"/>
      <c r="BE381" s="633"/>
      <c r="BF381" s="633"/>
      <c r="BG381" s="633"/>
      <c r="BH381" s="633"/>
      <c r="BI381" s="633"/>
      <c r="BJ381" s="633"/>
      <c r="BK381" s="633"/>
      <c r="BL381" s="633"/>
      <c r="BM381" s="401">
        <f t="shared" si="172"/>
        <v>1152</v>
      </c>
      <c r="BO381" s="1473"/>
      <c r="BP381" s="1473"/>
    </row>
    <row r="382" s="200" customFormat="1" ht="36" customHeight="1" spans="1:68">
      <c r="A382" s="526">
        <v>45440</v>
      </c>
      <c r="B382" s="1507" t="s">
        <v>587</v>
      </c>
      <c r="C382" s="1478" t="s">
        <v>117</v>
      </c>
      <c r="D382" s="529">
        <v>4500135044</v>
      </c>
      <c r="E382" s="1509">
        <v>6631646289</v>
      </c>
      <c r="F382" s="529" t="s">
        <v>1662</v>
      </c>
      <c r="G382" s="531" t="s">
        <v>832</v>
      </c>
      <c r="H382" s="532" t="s">
        <v>833</v>
      </c>
      <c r="I382" s="401">
        <v>2304</v>
      </c>
      <c r="J382" s="562">
        <v>0</v>
      </c>
      <c r="K382" s="531">
        <v>1152</v>
      </c>
      <c r="L382" s="401">
        <f t="shared" si="211"/>
        <v>2</v>
      </c>
      <c r="M382" s="563">
        <v>45478</v>
      </c>
      <c r="N382" s="1495">
        <v>45478</v>
      </c>
      <c r="O382" s="1474" t="s">
        <v>1651</v>
      </c>
      <c r="P382" s="564" t="s">
        <v>92</v>
      </c>
      <c r="Q382" s="564" t="s">
        <v>1663</v>
      </c>
      <c r="R382" s="1523" t="s">
        <v>1102</v>
      </c>
      <c r="S382" s="564" t="s">
        <v>123</v>
      </c>
      <c r="T382" s="1519" t="s">
        <v>1653</v>
      </c>
      <c r="U382" s="530" t="s">
        <v>1660</v>
      </c>
      <c r="V382" s="564" t="s">
        <v>634</v>
      </c>
      <c r="W382" s="592">
        <v>1752.1376</v>
      </c>
      <c r="X382" s="593">
        <f t="shared" si="218"/>
        <v>3504.2752</v>
      </c>
      <c r="Y382" s="401" t="s">
        <v>1664</v>
      </c>
      <c r="Z382" s="607" t="s">
        <v>832</v>
      </c>
      <c r="AA382" s="1453" t="s">
        <v>128</v>
      </c>
      <c r="AB382" s="608"/>
      <c r="AC382" s="608"/>
      <c r="AD382" s="608"/>
      <c r="AE382" s="564" t="s">
        <v>80</v>
      </c>
      <c r="AF382" s="564"/>
      <c r="AG382" s="608">
        <f t="shared" si="209"/>
        <v>2304</v>
      </c>
      <c r="AH382" s="608"/>
      <c r="AI382" s="608"/>
      <c r="AJ382" s="608"/>
      <c r="AK382" s="609">
        <f t="shared" si="216"/>
        <v>2304</v>
      </c>
      <c r="AL382" s="609"/>
      <c r="AM382" s="609"/>
      <c r="AN382" s="609"/>
      <c r="AO382" s="615"/>
      <c r="AP382" s="615"/>
      <c r="AQ382" s="609">
        <f t="shared" si="219"/>
        <v>2304</v>
      </c>
      <c r="AR382" s="609"/>
      <c r="AS382" s="609"/>
      <c r="AT382" s="633"/>
      <c r="AU382" s="633"/>
      <c r="AV382" s="633">
        <f t="shared" si="220"/>
        <v>192</v>
      </c>
      <c r="AW382" s="633"/>
      <c r="AX382" s="633"/>
      <c r="AY382" s="633"/>
      <c r="AZ382" s="633"/>
      <c r="BA382" s="633"/>
      <c r="BB382" s="633"/>
      <c r="BC382" s="633"/>
      <c r="BD382" s="633"/>
      <c r="BE382" s="633"/>
      <c r="BF382" s="633"/>
      <c r="BG382" s="633"/>
      <c r="BH382" s="633"/>
      <c r="BI382" s="633"/>
      <c r="BJ382" s="633"/>
      <c r="BK382" s="633"/>
      <c r="BL382" s="633"/>
      <c r="BM382" s="401">
        <f t="shared" si="172"/>
        <v>2304</v>
      </c>
      <c r="BO382" s="1473"/>
      <c r="BP382" s="1473"/>
    </row>
    <row r="383" s="200" customFormat="1" ht="36" customHeight="1" spans="1:68">
      <c r="A383" s="526">
        <v>45440</v>
      </c>
      <c r="B383" s="1507" t="s">
        <v>587</v>
      </c>
      <c r="C383" s="1478" t="s">
        <v>117</v>
      </c>
      <c r="D383" s="529">
        <v>4500135044</v>
      </c>
      <c r="E383" s="1509">
        <v>6631646291</v>
      </c>
      <c r="F383" s="529" t="s">
        <v>1665</v>
      </c>
      <c r="G383" s="531" t="s">
        <v>832</v>
      </c>
      <c r="H383" s="532" t="s">
        <v>833</v>
      </c>
      <c r="I383" s="401">
        <v>1152</v>
      </c>
      <c r="J383" s="562">
        <v>0</v>
      </c>
      <c r="K383" s="531">
        <v>1152</v>
      </c>
      <c r="L383" s="401">
        <f t="shared" si="211"/>
        <v>1</v>
      </c>
      <c r="M383" s="563">
        <v>45478</v>
      </c>
      <c r="N383" s="1495">
        <v>45478</v>
      </c>
      <c r="O383" s="1474" t="s">
        <v>1666</v>
      </c>
      <c r="P383" s="564" t="s">
        <v>92</v>
      </c>
      <c r="Q383" s="564" t="s">
        <v>1667</v>
      </c>
      <c r="R383" s="1523" t="s">
        <v>1102</v>
      </c>
      <c r="S383" s="564" t="s">
        <v>123</v>
      </c>
      <c r="T383" s="1519" t="s">
        <v>1653</v>
      </c>
      <c r="U383" s="530" t="s">
        <v>1660</v>
      </c>
      <c r="V383" s="564" t="s">
        <v>634</v>
      </c>
      <c r="W383" s="592">
        <v>1752.1376</v>
      </c>
      <c r="X383" s="593">
        <f t="shared" si="218"/>
        <v>1752.1376</v>
      </c>
      <c r="Y383" s="401" t="s">
        <v>1668</v>
      </c>
      <c r="Z383" s="607" t="s">
        <v>832</v>
      </c>
      <c r="AA383" s="1453" t="s">
        <v>128</v>
      </c>
      <c r="AB383" s="608"/>
      <c r="AC383" s="608"/>
      <c r="AD383" s="608"/>
      <c r="AE383" s="564" t="s">
        <v>80</v>
      </c>
      <c r="AF383" s="564"/>
      <c r="AG383" s="608">
        <f t="shared" si="209"/>
        <v>1152</v>
      </c>
      <c r="AH383" s="608"/>
      <c r="AI383" s="608"/>
      <c r="AJ383" s="608"/>
      <c r="AK383" s="609">
        <f t="shared" si="216"/>
        <v>1152</v>
      </c>
      <c r="AL383" s="609"/>
      <c r="AM383" s="609"/>
      <c r="AN383" s="609"/>
      <c r="AO383" s="615"/>
      <c r="AP383" s="615"/>
      <c r="AQ383" s="609">
        <f t="shared" si="219"/>
        <v>1152</v>
      </c>
      <c r="AR383" s="609"/>
      <c r="AS383" s="609"/>
      <c r="AT383" s="633"/>
      <c r="AU383" s="633"/>
      <c r="AV383" s="633">
        <f t="shared" si="220"/>
        <v>96</v>
      </c>
      <c r="AW383" s="633"/>
      <c r="AX383" s="633"/>
      <c r="AY383" s="633"/>
      <c r="AZ383" s="633"/>
      <c r="BA383" s="633"/>
      <c r="BB383" s="633"/>
      <c r="BC383" s="633"/>
      <c r="BD383" s="633"/>
      <c r="BE383" s="633"/>
      <c r="BF383" s="633"/>
      <c r="BG383" s="633"/>
      <c r="BH383" s="633"/>
      <c r="BI383" s="633"/>
      <c r="BJ383" s="633"/>
      <c r="BK383" s="633"/>
      <c r="BL383" s="633"/>
      <c r="BM383" s="401">
        <f t="shared" si="172"/>
        <v>1152</v>
      </c>
      <c r="BO383" s="1473"/>
      <c r="BP383" s="1473"/>
    </row>
    <row r="384" s="200" customFormat="1" ht="36" customHeight="1" spans="1:68">
      <c r="A384" s="1529">
        <v>45439</v>
      </c>
      <c r="B384" s="1563" t="s">
        <v>225</v>
      </c>
      <c r="C384" s="614" t="s">
        <v>213</v>
      </c>
      <c r="D384" s="529">
        <v>4500134903</v>
      </c>
      <c r="E384" s="1547" t="s">
        <v>1669</v>
      </c>
      <c r="F384" s="529" t="s">
        <v>1670</v>
      </c>
      <c r="G384" s="595" t="s">
        <v>1671</v>
      </c>
      <c r="H384" s="532" t="s">
        <v>1672</v>
      </c>
      <c r="I384" s="1454">
        <v>7956</v>
      </c>
      <c r="J384" s="595">
        <v>0</v>
      </c>
      <c r="K384" s="595">
        <v>13</v>
      </c>
      <c r="L384" s="594">
        <f t="shared" si="211"/>
        <v>612</v>
      </c>
      <c r="M384" s="563">
        <v>45471</v>
      </c>
      <c r="N384" s="1495">
        <v>45479</v>
      </c>
      <c r="O384" s="564"/>
      <c r="P384" s="564" t="s">
        <v>92</v>
      </c>
      <c r="Q384" s="564" t="s">
        <v>1673</v>
      </c>
      <c r="R384" s="564">
        <v>45443</v>
      </c>
      <c r="S384" s="564" t="s">
        <v>77</v>
      </c>
      <c r="T384" s="1519" t="s">
        <v>1674</v>
      </c>
      <c r="U384" s="530" t="s">
        <v>1675</v>
      </c>
      <c r="V384" s="564" t="s">
        <v>230</v>
      </c>
      <c r="W384" s="592">
        <v>89.8644</v>
      </c>
      <c r="X384" s="593">
        <f t="shared" ref="X384:X392" si="221">I384*W384</f>
        <v>714961.1664</v>
      </c>
      <c r="Y384" s="401" t="s">
        <v>1676</v>
      </c>
      <c r="Z384" s="607" t="s">
        <v>1671</v>
      </c>
      <c r="AA384" s="1453" t="s">
        <v>1677</v>
      </c>
      <c r="AB384" s="608"/>
      <c r="AC384" s="608"/>
      <c r="AD384" s="608"/>
      <c r="AE384" s="564" t="s">
        <v>80</v>
      </c>
      <c r="AF384" s="564"/>
      <c r="AG384" s="608">
        <f t="shared" si="209"/>
        <v>7956</v>
      </c>
      <c r="AH384" s="608"/>
      <c r="AI384" s="608"/>
      <c r="AJ384" s="608"/>
      <c r="AK384" s="609">
        <f>AG384</f>
        <v>7956</v>
      </c>
      <c r="AL384" s="609"/>
      <c r="AM384" s="609"/>
      <c r="AN384" s="609"/>
      <c r="AO384" s="609">
        <f>AG384</f>
        <v>7956</v>
      </c>
      <c r="AP384" s="615"/>
      <c r="AQ384" s="609"/>
      <c r="AR384" s="609"/>
      <c r="AS384" s="609"/>
      <c r="AT384" s="633"/>
      <c r="AU384" s="633"/>
      <c r="AV384" s="633"/>
      <c r="AW384" s="633"/>
      <c r="AX384" s="633"/>
      <c r="AY384" s="633">
        <f>I384/13</f>
        <v>612</v>
      </c>
      <c r="AZ384" s="633"/>
      <c r="BA384" s="633"/>
      <c r="BB384" s="633"/>
      <c r="BC384" s="633"/>
      <c r="BD384" s="633"/>
      <c r="BE384" s="633"/>
      <c r="BF384" s="633"/>
      <c r="BG384" s="633"/>
      <c r="BH384" s="633"/>
      <c r="BI384" s="633"/>
      <c r="BJ384" s="633"/>
      <c r="BK384" s="633"/>
      <c r="BL384" s="633"/>
      <c r="BM384" s="401">
        <f t="shared" si="172"/>
        <v>7956</v>
      </c>
      <c r="BO384" s="1473"/>
      <c r="BP384" s="1473"/>
    </row>
    <row r="385" s="200" customFormat="1" ht="36" customHeight="1" spans="1:68">
      <c r="A385" s="1534">
        <v>45443</v>
      </c>
      <c r="B385" s="1536" t="s">
        <v>1678</v>
      </c>
      <c r="C385" s="1559" t="s">
        <v>351</v>
      </c>
      <c r="D385" s="1535">
        <v>4500135422</v>
      </c>
      <c r="E385" s="1536" t="s">
        <v>1679</v>
      </c>
      <c r="F385" s="1535" t="s">
        <v>1680</v>
      </c>
      <c r="G385" s="531" t="s">
        <v>107</v>
      </c>
      <c r="H385" s="532" t="s">
        <v>74</v>
      </c>
      <c r="I385" s="401">
        <v>3000</v>
      </c>
      <c r="J385" s="562">
        <v>0</v>
      </c>
      <c r="K385" s="531">
        <v>30</v>
      </c>
      <c r="L385" s="401">
        <f t="shared" si="211"/>
        <v>100</v>
      </c>
      <c r="M385" s="563">
        <v>45483</v>
      </c>
      <c r="N385" s="1495">
        <v>45479</v>
      </c>
      <c r="O385" s="564"/>
      <c r="P385" s="564" t="s">
        <v>92</v>
      </c>
      <c r="Q385" s="564" t="s">
        <v>1681</v>
      </c>
      <c r="R385" s="564" t="s">
        <v>1682</v>
      </c>
      <c r="S385" s="564" t="s">
        <v>77</v>
      </c>
      <c r="T385" s="564" t="s">
        <v>1683</v>
      </c>
      <c r="U385" s="530" t="s">
        <v>1684</v>
      </c>
      <c r="V385" s="564" t="s">
        <v>647</v>
      </c>
      <c r="W385" s="592">
        <v>57.6474</v>
      </c>
      <c r="X385" s="593">
        <f>W385*L385</f>
        <v>5764.74</v>
      </c>
      <c r="Y385" s="401" t="s">
        <v>1685</v>
      </c>
      <c r="Z385" s="607" t="s">
        <v>423</v>
      </c>
      <c r="AA385" s="1453" t="s">
        <v>128</v>
      </c>
      <c r="AB385" s="608"/>
      <c r="AC385" s="608"/>
      <c r="AD385" s="608"/>
      <c r="AE385" s="564" t="s">
        <v>80</v>
      </c>
      <c r="AF385" s="564"/>
      <c r="AG385" s="608">
        <f t="shared" si="209"/>
        <v>3000</v>
      </c>
      <c r="AH385" s="608"/>
      <c r="AI385" s="608"/>
      <c r="AJ385" s="608"/>
      <c r="AK385" s="609"/>
      <c r="AL385" s="609">
        <f t="shared" ref="AL385:AL389" si="222">I385</f>
        <v>3000</v>
      </c>
      <c r="AM385" s="609"/>
      <c r="AN385" s="609"/>
      <c r="AO385" s="609">
        <f t="shared" ref="AO385:AO395" si="223">I385</f>
        <v>3000</v>
      </c>
      <c r="AP385" s="615"/>
      <c r="AQ385" s="609"/>
      <c r="AR385" s="609"/>
      <c r="AS385" s="609"/>
      <c r="AT385" s="633"/>
      <c r="AU385" s="633"/>
      <c r="AV385" s="633"/>
      <c r="AW385" s="633"/>
      <c r="AX385" s="633"/>
      <c r="AY385" s="633"/>
      <c r="AZ385" s="633"/>
      <c r="BA385" s="633"/>
      <c r="BB385" s="633"/>
      <c r="BC385" s="633"/>
      <c r="BD385" s="633"/>
      <c r="BE385" s="633"/>
      <c r="BF385" s="633"/>
      <c r="BG385" s="633">
        <f>I385/30</f>
        <v>100</v>
      </c>
      <c r="BH385" s="633">
        <f>BG385</f>
        <v>100</v>
      </c>
      <c r="BI385" s="633"/>
      <c r="BJ385" s="633"/>
      <c r="BK385" s="633"/>
      <c r="BL385" s="633"/>
      <c r="BM385" s="401">
        <f t="shared" si="172"/>
        <v>3000</v>
      </c>
      <c r="BO385" s="1473"/>
      <c r="BP385" s="1473"/>
    </row>
    <row r="386" s="200" customFormat="1" ht="36" customHeight="1" spans="1:68">
      <c r="A386" s="526">
        <v>45441</v>
      </c>
      <c r="B386" s="1507" t="s">
        <v>1686</v>
      </c>
      <c r="C386" s="1478" t="s">
        <v>477</v>
      </c>
      <c r="D386" s="529">
        <v>4500135247</v>
      </c>
      <c r="E386" s="1509">
        <v>30240529</v>
      </c>
      <c r="F386" s="529" t="s">
        <v>1687</v>
      </c>
      <c r="G386" s="531" t="s">
        <v>73</v>
      </c>
      <c r="H386" s="532" t="s">
        <v>1688</v>
      </c>
      <c r="I386" s="401">
        <v>10008</v>
      </c>
      <c r="J386" s="562">
        <v>0</v>
      </c>
      <c r="K386" s="531">
        <v>24</v>
      </c>
      <c r="L386" s="401">
        <f t="shared" si="211"/>
        <v>417</v>
      </c>
      <c r="M386" s="563">
        <v>45477</v>
      </c>
      <c r="N386" s="1495">
        <v>45481</v>
      </c>
      <c r="O386" s="1474" t="s">
        <v>1689</v>
      </c>
      <c r="P386" s="564" t="s">
        <v>1690</v>
      </c>
      <c r="Q386" s="564"/>
      <c r="R386" s="564">
        <v>45441</v>
      </c>
      <c r="S386" s="564" t="s">
        <v>77</v>
      </c>
      <c r="T386" s="1519" t="s">
        <v>1691</v>
      </c>
      <c r="U386" s="1522" t="s">
        <v>1692</v>
      </c>
      <c r="V386" s="564" t="s">
        <v>482</v>
      </c>
      <c r="W386" s="592">
        <v>1.3355</v>
      </c>
      <c r="X386" s="593">
        <f t="shared" si="221"/>
        <v>13365.684</v>
      </c>
      <c r="Y386" s="401" t="s">
        <v>1693</v>
      </c>
      <c r="Z386" s="607" t="s">
        <v>1694</v>
      </c>
      <c r="AA386" s="1453" t="s">
        <v>128</v>
      </c>
      <c r="AB386" s="608"/>
      <c r="AC386" s="608"/>
      <c r="AD386" s="608"/>
      <c r="AE386" s="564" t="s">
        <v>80</v>
      </c>
      <c r="AF386" s="1568"/>
      <c r="AH386" s="608">
        <f>I386</f>
        <v>10008</v>
      </c>
      <c r="AI386" s="608"/>
      <c r="AJ386" s="608"/>
      <c r="AK386" s="609">
        <f>AH386</f>
        <v>10008</v>
      </c>
      <c r="AL386" s="609"/>
      <c r="AM386" s="609"/>
      <c r="AN386" s="609"/>
      <c r="AO386" s="609">
        <f>AH386</f>
        <v>10008</v>
      </c>
      <c r="AP386" s="615"/>
      <c r="AQ386" s="609"/>
      <c r="AR386" s="609"/>
      <c r="AS386" s="609"/>
      <c r="AT386" s="633"/>
      <c r="AU386" s="633"/>
      <c r="AV386" s="633"/>
      <c r="AW386" s="633"/>
      <c r="AX386" s="633"/>
      <c r="AY386" s="633"/>
      <c r="AZ386" s="633"/>
      <c r="BA386" s="633"/>
      <c r="BB386" s="633"/>
      <c r="BC386" s="633"/>
      <c r="BD386" s="633"/>
      <c r="BE386" s="633"/>
      <c r="BF386" s="633"/>
      <c r="BG386" s="633"/>
      <c r="BH386" s="633"/>
      <c r="BI386" s="633"/>
      <c r="BJ386" s="633"/>
      <c r="BK386" s="633"/>
      <c r="BL386" s="633"/>
      <c r="BM386" s="401">
        <f t="shared" si="172"/>
        <v>10008</v>
      </c>
      <c r="BO386" s="1473"/>
      <c r="BP386" s="1473"/>
    </row>
    <row r="387" s="200" customFormat="1" ht="36" customHeight="1" spans="1:68">
      <c r="A387" s="1534">
        <v>45433</v>
      </c>
      <c r="B387" s="1536" t="s">
        <v>1695</v>
      </c>
      <c r="C387" s="1559" t="s">
        <v>286</v>
      </c>
      <c r="D387" s="1535">
        <v>4500134144</v>
      </c>
      <c r="E387" s="1536">
        <v>23488</v>
      </c>
      <c r="F387" s="1535" t="s">
        <v>1696</v>
      </c>
      <c r="G387" s="531" t="s">
        <v>96</v>
      </c>
      <c r="H387" s="532" t="s">
        <v>74</v>
      </c>
      <c r="I387" s="401">
        <v>5300</v>
      </c>
      <c r="J387" s="562">
        <v>0</v>
      </c>
      <c r="K387" s="531">
        <v>50</v>
      </c>
      <c r="L387" s="401">
        <f t="shared" si="211"/>
        <v>106</v>
      </c>
      <c r="M387" s="563">
        <v>45481</v>
      </c>
      <c r="N387" s="1495">
        <v>45481</v>
      </c>
      <c r="O387" s="564"/>
      <c r="P387" s="564" t="s">
        <v>92</v>
      </c>
      <c r="Q387" s="564" t="s">
        <v>1214</v>
      </c>
      <c r="R387" s="564">
        <v>45449</v>
      </c>
      <c r="S387" s="564" t="s">
        <v>77</v>
      </c>
      <c r="T387" s="564" t="s">
        <v>1697</v>
      </c>
      <c r="U387" s="530" t="s">
        <v>1698</v>
      </c>
      <c r="V387" s="564" t="s">
        <v>290</v>
      </c>
      <c r="W387" s="592">
        <v>1.4294</v>
      </c>
      <c r="X387" s="593">
        <f t="shared" si="221"/>
        <v>7575.82</v>
      </c>
      <c r="Y387" s="401" t="s">
        <v>1699</v>
      </c>
      <c r="Z387" s="607" t="s">
        <v>220</v>
      </c>
      <c r="AA387" s="1453" t="s">
        <v>128</v>
      </c>
      <c r="AB387" s="608"/>
      <c r="AC387" s="608"/>
      <c r="AD387" s="608"/>
      <c r="AE387" s="564" t="s">
        <v>80</v>
      </c>
      <c r="AF387" s="564"/>
      <c r="AG387" s="608">
        <f t="shared" ref="AG387:AG410" si="224">I387</f>
        <v>5300</v>
      </c>
      <c r="AH387" s="608"/>
      <c r="AI387" s="608"/>
      <c r="AJ387" s="608"/>
      <c r="AK387" s="609"/>
      <c r="AL387" s="609">
        <f t="shared" si="222"/>
        <v>5300</v>
      </c>
      <c r="AM387" s="609"/>
      <c r="AN387" s="609"/>
      <c r="AO387" s="609">
        <f t="shared" si="223"/>
        <v>5300</v>
      </c>
      <c r="AP387" s="615"/>
      <c r="AQ387" s="609"/>
      <c r="AR387" s="609"/>
      <c r="AS387" s="609"/>
      <c r="AT387" s="633"/>
      <c r="AU387" s="633"/>
      <c r="AV387" s="633"/>
      <c r="AW387" s="633"/>
      <c r="AX387" s="633"/>
      <c r="AY387" s="633"/>
      <c r="AZ387" s="633"/>
      <c r="BA387" s="633"/>
      <c r="BB387" s="633">
        <f t="shared" ref="BB387:BB389" si="225">I387/25</f>
        <v>212</v>
      </c>
      <c r="BC387" s="633"/>
      <c r="BD387" s="633"/>
      <c r="BE387" s="633"/>
      <c r="BF387" s="633"/>
      <c r="BG387" s="633"/>
      <c r="BH387" s="633"/>
      <c r="BI387" s="633"/>
      <c r="BJ387" s="633"/>
      <c r="BK387" s="633"/>
      <c r="BL387" s="633"/>
      <c r="BM387" s="401">
        <f t="shared" si="172"/>
        <v>5300</v>
      </c>
      <c r="BO387" s="1473"/>
      <c r="BP387" s="1473"/>
    </row>
    <row r="388" s="200" customFormat="1" ht="36" customHeight="1" spans="1:68">
      <c r="A388" s="533">
        <v>45369</v>
      </c>
      <c r="B388" s="527" t="s">
        <v>523</v>
      </c>
      <c r="C388" s="528" t="s">
        <v>351</v>
      </c>
      <c r="D388" s="534">
        <v>4500127149</v>
      </c>
      <c r="E388" s="530">
        <v>2300875208</v>
      </c>
      <c r="F388" s="534" t="s">
        <v>1700</v>
      </c>
      <c r="G388" s="531" t="s">
        <v>826</v>
      </c>
      <c r="H388" s="532" t="s">
        <v>74</v>
      </c>
      <c r="I388" s="1496">
        <v>3900</v>
      </c>
      <c r="J388" s="1496">
        <v>0</v>
      </c>
      <c r="K388" s="1496">
        <v>25</v>
      </c>
      <c r="L388" s="1496">
        <f t="shared" si="211"/>
        <v>156</v>
      </c>
      <c r="M388" s="563">
        <v>45483</v>
      </c>
      <c r="N388" s="1495">
        <v>45482</v>
      </c>
      <c r="O388" s="1584" t="s">
        <v>1701</v>
      </c>
      <c r="P388" s="564" t="s">
        <v>92</v>
      </c>
      <c r="Q388" s="564" t="s">
        <v>1681</v>
      </c>
      <c r="R388" s="564" t="s">
        <v>1702</v>
      </c>
      <c r="S388" s="564" t="s">
        <v>77</v>
      </c>
      <c r="T388" s="564" t="s">
        <v>77</v>
      </c>
      <c r="U388" s="530" t="s">
        <v>1703</v>
      </c>
      <c r="V388" s="564" t="s">
        <v>529</v>
      </c>
      <c r="W388" s="592">
        <v>1.4344</v>
      </c>
      <c r="X388" s="593">
        <f t="shared" si="221"/>
        <v>5594.16</v>
      </c>
      <c r="Y388" s="401" t="s">
        <v>1704</v>
      </c>
      <c r="Z388" s="607" t="s">
        <v>945</v>
      </c>
      <c r="AA388" s="1453" t="s">
        <v>128</v>
      </c>
      <c r="AB388" s="608"/>
      <c r="AC388" s="608"/>
      <c r="AD388" s="608"/>
      <c r="AE388" s="564" t="s">
        <v>80</v>
      </c>
      <c r="AF388" s="564"/>
      <c r="AG388" s="608">
        <f t="shared" si="224"/>
        <v>3900</v>
      </c>
      <c r="AH388" s="608"/>
      <c r="AI388" s="608"/>
      <c r="AJ388" s="608"/>
      <c r="AK388" s="609"/>
      <c r="AL388" s="609"/>
      <c r="AM388" s="609"/>
      <c r="AN388" s="609">
        <f>I388</f>
        <v>3900</v>
      </c>
      <c r="AO388" s="609">
        <f t="shared" si="223"/>
        <v>3900</v>
      </c>
      <c r="AP388" s="609"/>
      <c r="AQ388" s="609"/>
      <c r="AR388" s="609"/>
      <c r="AS388" s="609"/>
      <c r="AT388" s="633"/>
      <c r="AU388" s="633"/>
      <c r="AV388" s="633"/>
      <c r="AW388" s="633"/>
      <c r="AX388" s="633"/>
      <c r="AY388" s="633"/>
      <c r="AZ388" s="633"/>
      <c r="BA388" s="633"/>
      <c r="BB388" s="633">
        <f t="shared" si="225"/>
        <v>156</v>
      </c>
      <c r="BC388" s="633"/>
      <c r="BD388" s="633"/>
      <c r="BE388" s="633"/>
      <c r="BF388" s="633"/>
      <c r="BG388" s="633"/>
      <c r="BH388" s="633"/>
      <c r="BI388" s="633"/>
      <c r="BJ388" s="633"/>
      <c r="BK388" s="633"/>
      <c r="BL388" s="633"/>
      <c r="BM388" s="401">
        <f t="shared" ref="BM388:BM451" si="226">AG388+AH388+AI388</f>
        <v>3900</v>
      </c>
      <c r="BO388" s="1473"/>
      <c r="BP388" s="1473"/>
    </row>
    <row r="389" s="200" customFormat="1" ht="36" customHeight="1" spans="1:68">
      <c r="A389" s="526">
        <v>45439</v>
      </c>
      <c r="B389" s="1507" t="s">
        <v>1113</v>
      </c>
      <c r="C389" s="1478" t="s">
        <v>477</v>
      </c>
      <c r="D389" s="1570">
        <v>4500134957</v>
      </c>
      <c r="E389" s="1571">
        <v>4400405580</v>
      </c>
      <c r="F389" s="1570" t="s">
        <v>1705</v>
      </c>
      <c r="G389" s="531" t="s">
        <v>96</v>
      </c>
      <c r="H389" s="532" t="s">
        <v>74</v>
      </c>
      <c r="I389" s="401">
        <v>5000</v>
      </c>
      <c r="J389" s="562">
        <v>0</v>
      </c>
      <c r="K389" s="531">
        <v>50</v>
      </c>
      <c r="L389" s="401">
        <f t="shared" si="211"/>
        <v>100</v>
      </c>
      <c r="M389" s="563">
        <v>45485</v>
      </c>
      <c r="N389" s="1495">
        <v>45482</v>
      </c>
      <c r="O389" s="564"/>
      <c r="P389" s="564" t="s">
        <v>92</v>
      </c>
      <c r="Q389" s="564" t="s">
        <v>1621</v>
      </c>
      <c r="R389" s="564">
        <v>45440</v>
      </c>
      <c r="S389" s="564" t="s">
        <v>77</v>
      </c>
      <c r="T389" s="564" t="s">
        <v>1115</v>
      </c>
      <c r="U389" s="530" t="s">
        <v>1706</v>
      </c>
      <c r="V389" s="564" t="s">
        <v>1707</v>
      </c>
      <c r="W389" s="592">
        <v>1.4294</v>
      </c>
      <c r="X389" s="593">
        <f t="shared" si="221"/>
        <v>7147</v>
      </c>
      <c r="Y389" s="401" t="s">
        <v>1708</v>
      </c>
      <c r="Z389" s="607" t="s">
        <v>220</v>
      </c>
      <c r="AA389" s="1453" t="s">
        <v>128</v>
      </c>
      <c r="AB389" s="608"/>
      <c r="AC389" s="608"/>
      <c r="AD389" s="608"/>
      <c r="AE389" s="564" t="s">
        <v>80</v>
      </c>
      <c r="AF389" s="564"/>
      <c r="AG389" s="608">
        <f t="shared" si="224"/>
        <v>5000</v>
      </c>
      <c r="AH389" s="608"/>
      <c r="AI389" s="608"/>
      <c r="AJ389" s="608"/>
      <c r="AK389" s="609"/>
      <c r="AL389" s="609">
        <f t="shared" si="222"/>
        <v>5000</v>
      </c>
      <c r="AM389" s="609"/>
      <c r="AN389" s="609"/>
      <c r="AO389" s="609">
        <f t="shared" si="223"/>
        <v>5000</v>
      </c>
      <c r="AP389" s="609"/>
      <c r="AQ389" s="609"/>
      <c r="AR389" s="609"/>
      <c r="AS389" s="609"/>
      <c r="AT389" s="633"/>
      <c r="AU389" s="633"/>
      <c r="AV389" s="633"/>
      <c r="AW389" s="633"/>
      <c r="AX389" s="633"/>
      <c r="AY389" s="633"/>
      <c r="AZ389" s="633"/>
      <c r="BA389" s="633"/>
      <c r="BB389" s="633">
        <f t="shared" si="225"/>
        <v>200</v>
      </c>
      <c r="BC389" s="633"/>
      <c r="BD389" s="633"/>
      <c r="BE389" s="633"/>
      <c r="BF389" s="633"/>
      <c r="BG389" s="633"/>
      <c r="BH389" s="633"/>
      <c r="BI389" s="633"/>
      <c r="BJ389" s="633"/>
      <c r="BK389" s="633"/>
      <c r="BL389" s="633"/>
      <c r="BM389" s="401">
        <f t="shared" si="226"/>
        <v>5000</v>
      </c>
      <c r="BO389" s="1473"/>
      <c r="BP389" s="1473"/>
    </row>
    <row r="390" s="200" customFormat="1" ht="36" customHeight="1" spans="1:68">
      <c r="A390" s="533">
        <v>45441</v>
      </c>
      <c r="B390" s="527" t="s">
        <v>1709</v>
      </c>
      <c r="C390" s="528" t="s">
        <v>233</v>
      </c>
      <c r="D390" s="534">
        <v>4500133936</v>
      </c>
      <c r="E390" s="1572">
        <v>4503906703</v>
      </c>
      <c r="F390" s="534" t="s">
        <v>1710</v>
      </c>
      <c r="G390" s="531" t="s">
        <v>160</v>
      </c>
      <c r="H390" s="532" t="s">
        <v>74</v>
      </c>
      <c r="I390" s="401">
        <v>3601</v>
      </c>
      <c r="J390" s="562">
        <v>0</v>
      </c>
      <c r="K390" s="531">
        <v>13</v>
      </c>
      <c r="L390" s="401">
        <f t="shared" si="211"/>
        <v>277</v>
      </c>
      <c r="M390" s="563">
        <v>45483</v>
      </c>
      <c r="N390" s="1495">
        <v>45483</v>
      </c>
      <c r="O390" s="1474" t="s">
        <v>568</v>
      </c>
      <c r="P390" s="564" t="s">
        <v>92</v>
      </c>
      <c r="Q390" s="564" t="s">
        <v>1681</v>
      </c>
      <c r="R390" s="564">
        <v>45441</v>
      </c>
      <c r="S390" s="564" t="s">
        <v>77</v>
      </c>
      <c r="T390" s="564" t="s">
        <v>1711</v>
      </c>
      <c r="U390" s="1499" t="s">
        <v>1712</v>
      </c>
      <c r="V390" s="564" t="s">
        <v>491</v>
      </c>
      <c r="W390" s="592">
        <v>1.4071</v>
      </c>
      <c r="X390" s="593">
        <f t="shared" si="221"/>
        <v>5066.9671</v>
      </c>
      <c r="Y390" s="401" t="s">
        <v>1713</v>
      </c>
      <c r="Z390" s="607" t="s">
        <v>160</v>
      </c>
      <c r="AA390" s="1453" t="s">
        <v>128</v>
      </c>
      <c r="AB390" s="608"/>
      <c r="AC390" s="608"/>
      <c r="AD390" s="608"/>
      <c r="AE390" s="564" t="s">
        <v>80</v>
      </c>
      <c r="AF390" s="564"/>
      <c r="AG390" s="608">
        <f t="shared" si="224"/>
        <v>3601</v>
      </c>
      <c r="AH390" s="608"/>
      <c r="AI390" s="608"/>
      <c r="AJ390" s="608"/>
      <c r="AK390" s="609">
        <f t="shared" ref="AK390:AK403" si="227">I390</f>
        <v>3601</v>
      </c>
      <c r="AL390" s="609"/>
      <c r="AM390" s="609"/>
      <c r="AN390" s="609"/>
      <c r="AO390" s="609">
        <f t="shared" si="223"/>
        <v>3601</v>
      </c>
      <c r="AP390" s="609"/>
      <c r="AQ390" s="609"/>
      <c r="AR390" s="609"/>
      <c r="AS390" s="609"/>
      <c r="AT390" s="633"/>
      <c r="AU390" s="633"/>
      <c r="AV390" s="633"/>
      <c r="AW390" s="633"/>
      <c r="AX390" s="633"/>
      <c r="AY390" s="633">
        <f t="shared" ref="AY390:AY395" si="228">I390/13</f>
        <v>277</v>
      </c>
      <c r="AZ390" s="633"/>
      <c r="BA390" s="633"/>
      <c r="BB390" s="633"/>
      <c r="BC390" s="633"/>
      <c r="BD390" s="633"/>
      <c r="BE390" s="633"/>
      <c r="BF390" s="633"/>
      <c r="BG390" s="633"/>
      <c r="BH390" s="633"/>
      <c r="BI390" s="633"/>
      <c r="BJ390" s="633"/>
      <c r="BK390" s="633"/>
      <c r="BL390" s="633"/>
      <c r="BM390" s="401">
        <f t="shared" si="226"/>
        <v>3601</v>
      </c>
      <c r="BO390" s="1473"/>
      <c r="BP390" s="1473"/>
    </row>
    <row r="391" s="200" customFormat="1" ht="36" customHeight="1" spans="1:68">
      <c r="A391" s="526">
        <v>45426</v>
      </c>
      <c r="B391" s="1507" t="s">
        <v>225</v>
      </c>
      <c r="C391" s="1478" t="s">
        <v>213</v>
      </c>
      <c r="D391" s="529">
        <v>4500132996</v>
      </c>
      <c r="E391" s="1509" t="s">
        <v>1714</v>
      </c>
      <c r="F391" s="529" t="s">
        <v>1715</v>
      </c>
      <c r="G391" s="531" t="s">
        <v>96</v>
      </c>
      <c r="H391" s="532" t="s">
        <v>74</v>
      </c>
      <c r="I391" s="401">
        <v>35600</v>
      </c>
      <c r="J391" s="562">
        <v>0</v>
      </c>
      <c r="K391" s="531">
        <v>50</v>
      </c>
      <c r="L391" s="401">
        <f t="shared" si="211"/>
        <v>712</v>
      </c>
      <c r="M391" s="563">
        <v>45481</v>
      </c>
      <c r="N391" s="1495">
        <v>45481</v>
      </c>
      <c r="O391" s="564" t="s">
        <v>1524</v>
      </c>
      <c r="P391" s="564" t="s">
        <v>92</v>
      </c>
      <c r="Q391" s="564" t="s">
        <v>1214</v>
      </c>
      <c r="R391" s="564">
        <v>45433</v>
      </c>
      <c r="S391" s="564" t="s">
        <v>77</v>
      </c>
      <c r="T391" s="564" t="s">
        <v>1716</v>
      </c>
      <c r="U391" s="530" t="s">
        <v>1717</v>
      </c>
      <c r="V391" s="564" t="s">
        <v>230</v>
      </c>
      <c r="W391" s="592">
        <v>1.4158</v>
      </c>
      <c r="X391" s="593">
        <f t="shared" si="221"/>
        <v>50402.48</v>
      </c>
      <c r="Y391" s="401" t="s">
        <v>1718</v>
      </c>
      <c r="Z391" s="607" t="s">
        <v>220</v>
      </c>
      <c r="AA391" s="1453" t="s">
        <v>128</v>
      </c>
      <c r="AB391" s="608"/>
      <c r="AC391" s="608"/>
      <c r="AD391" s="608"/>
      <c r="AE391" s="564" t="s">
        <v>80</v>
      </c>
      <c r="AF391" s="564"/>
      <c r="AG391" s="608">
        <f t="shared" si="224"/>
        <v>35600</v>
      </c>
      <c r="AH391" s="608"/>
      <c r="AI391" s="608"/>
      <c r="AJ391" s="608"/>
      <c r="AK391" s="609"/>
      <c r="AL391" s="609">
        <f>I391</f>
        <v>35600</v>
      </c>
      <c r="AM391" s="609"/>
      <c r="AN391" s="609"/>
      <c r="AO391" s="609">
        <f t="shared" si="223"/>
        <v>35600</v>
      </c>
      <c r="AP391" s="615"/>
      <c r="AQ391" s="609"/>
      <c r="AR391" s="609"/>
      <c r="AS391" s="609"/>
      <c r="AT391" s="633"/>
      <c r="AU391" s="633"/>
      <c r="AV391" s="633"/>
      <c r="AW391" s="633"/>
      <c r="AX391" s="633"/>
      <c r="AY391" s="633"/>
      <c r="AZ391" s="633"/>
      <c r="BA391" s="633"/>
      <c r="BB391" s="633">
        <f>I391/25</f>
        <v>1424</v>
      </c>
      <c r="BC391" s="633"/>
      <c r="BD391" s="633"/>
      <c r="BE391" s="633"/>
      <c r="BF391" s="633"/>
      <c r="BG391" s="633"/>
      <c r="BH391" s="633"/>
      <c r="BI391" s="633"/>
      <c r="BJ391" s="633"/>
      <c r="BK391" s="633"/>
      <c r="BL391" s="633"/>
      <c r="BM391" s="401">
        <f t="shared" si="226"/>
        <v>35600</v>
      </c>
      <c r="BO391" s="1473"/>
      <c r="BP391" s="1473"/>
    </row>
    <row r="392" s="200" customFormat="1" ht="36" customHeight="1" spans="1:68">
      <c r="A392" s="526">
        <v>45449</v>
      </c>
      <c r="B392" s="1507" t="s">
        <v>1086</v>
      </c>
      <c r="C392" s="1478" t="s">
        <v>1087</v>
      </c>
      <c r="D392" s="1570">
        <v>4500135927</v>
      </c>
      <c r="E392" s="1571"/>
      <c r="F392" s="1570" t="s">
        <v>1719</v>
      </c>
      <c r="G392" s="531" t="s">
        <v>96</v>
      </c>
      <c r="H392" s="532" t="s">
        <v>74</v>
      </c>
      <c r="I392" s="401">
        <v>7200</v>
      </c>
      <c r="J392" s="562">
        <v>0</v>
      </c>
      <c r="K392" s="531">
        <v>50</v>
      </c>
      <c r="L392" s="401">
        <f t="shared" si="211"/>
        <v>144</v>
      </c>
      <c r="M392" s="563">
        <v>45485</v>
      </c>
      <c r="N392" s="1495">
        <v>45482</v>
      </c>
      <c r="O392" s="564"/>
      <c r="P392" s="564" t="s">
        <v>92</v>
      </c>
      <c r="Q392" s="564" t="s">
        <v>1360</v>
      </c>
      <c r="R392" s="564" t="s">
        <v>1682</v>
      </c>
      <c r="S392" s="564" t="s">
        <v>77</v>
      </c>
      <c r="T392" s="564" t="s">
        <v>1720</v>
      </c>
      <c r="U392" s="530" t="s">
        <v>1721</v>
      </c>
      <c r="V392" s="564" t="s">
        <v>618</v>
      </c>
      <c r="W392" s="592">
        <v>1.4123</v>
      </c>
      <c r="X392" s="593">
        <f t="shared" si="221"/>
        <v>10168.56</v>
      </c>
      <c r="Y392" s="401" t="s">
        <v>1722</v>
      </c>
      <c r="Z392" s="607" t="s">
        <v>96</v>
      </c>
      <c r="AA392" s="1453" t="s">
        <v>128</v>
      </c>
      <c r="AB392" s="608"/>
      <c r="AC392" s="608"/>
      <c r="AD392" s="608"/>
      <c r="AE392" s="564" t="s">
        <v>80</v>
      </c>
      <c r="AF392" s="564"/>
      <c r="AG392" s="608">
        <f t="shared" si="224"/>
        <v>7200</v>
      </c>
      <c r="AH392" s="608"/>
      <c r="AI392" s="608"/>
      <c r="AJ392" s="608"/>
      <c r="AK392" s="609">
        <f t="shared" si="227"/>
        <v>7200</v>
      </c>
      <c r="AL392" s="609"/>
      <c r="AM392" s="609"/>
      <c r="AN392" s="609"/>
      <c r="AO392" s="609">
        <f t="shared" si="223"/>
        <v>7200</v>
      </c>
      <c r="AP392" s="609"/>
      <c r="AQ392" s="609"/>
      <c r="AR392" s="609"/>
      <c r="AS392" s="609"/>
      <c r="AT392" s="633"/>
      <c r="AU392" s="633"/>
      <c r="AV392" s="633"/>
      <c r="AW392" s="633"/>
      <c r="AX392" s="633"/>
      <c r="AY392" s="633"/>
      <c r="AZ392" s="633"/>
      <c r="BA392" s="633">
        <f>I392/25</f>
        <v>288</v>
      </c>
      <c r="BB392" s="633"/>
      <c r="BC392" s="633"/>
      <c r="BD392" s="633"/>
      <c r="BE392" s="633"/>
      <c r="BF392" s="633"/>
      <c r="BG392" s="633"/>
      <c r="BH392" s="633"/>
      <c r="BI392" s="633"/>
      <c r="BJ392" s="633"/>
      <c r="BK392" s="633"/>
      <c r="BL392" s="633"/>
      <c r="BM392" s="401">
        <f t="shared" si="226"/>
        <v>7200</v>
      </c>
      <c r="BO392" s="1473"/>
      <c r="BP392" s="1473"/>
    </row>
    <row r="393" s="200" customFormat="1" ht="36" customHeight="1" spans="1:68">
      <c r="A393" s="526">
        <v>45440</v>
      </c>
      <c r="B393" s="1507" t="s">
        <v>116</v>
      </c>
      <c r="C393" s="1478" t="s">
        <v>117</v>
      </c>
      <c r="D393" s="1570">
        <v>4500134934</v>
      </c>
      <c r="E393" s="1571">
        <v>4695904</v>
      </c>
      <c r="F393" s="1570" t="s">
        <v>1723</v>
      </c>
      <c r="G393" s="531" t="s">
        <v>120</v>
      </c>
      <c r="H393" s="532" t="s">
        <v>74</v>
      </c>
      <c r="I393" s="401">
        <v>19992</v>
      </c>
      <c r="J393" s="562">
        <v>0</v>
      </c>
      <c r="K393" s="531">
        <v>21</v>
      </c>
      <c r="L393" s="401">
        <f t="shared" si="211"/>
        <v>952</v>
      </c>
      <c r="M393" s="563">
        <v>45488</v>
      </c>
      <c r="N393" s="1495">
        <v>45485</v>
      </c>
      <c r="O393" s="564"/>
      <c r="P393" s="564" t="s">
        <v>92</v>
      </c>
      <c r="Q393" s="564" t="s">
        <v>1663</v>
      </c>
      <c r="R393" s="564" t="s">
        <v>1724</v>
      </c>
      <c r="S393" s="564" t="s">
        <v>123</v>
      </c>
      <c r="T393" s="1519" t="s">
        <v>1725</v>
      </c>
      <c r="U393" s="530" t="s">
        <v>1423</v>
      </c>
      <c r="V393" s="564" t="s">
        <v>126</v>
      </c>
      <c r="W393" s="592">
        <v>1.4296</v>
      </c>
      <c r="X393" s="593">
        <f t="shared" ref="X393:X403" si="229">W393*L393</f>
        <v>1360.9792</v>
      </c>
      <c r="Y393" s="401" t="s">
        <v>1726</v>
      </c>
      <c r="Z393" s="607" t="s">
        <v>120</v>
      </c>
      <c r="AA393" s="1453" t="s">
        <v>128</v>
      </c>
      <c r="AB393" s="608"/>
      <c r="AC393" s="608"/>
      <c r="AD393" s="608"/>
      <c r="AE393" s="564" t="s">
        <v>80</v>
      </c>
      <c r="AF393" s="564"/>
      <c r="AG393" s="608">
        <f t="shared" si="224"/>
        <v>19992</v>
      </c>
      <c r="AH393" s="608"/>
      <c r="AI393" s="608"/>
      <c r="AJ393" s="608"/>
      <c r="AK393" s="609">
        <f>AG393</f>
        <v>19992</v>
      </c>
      <c r="AL393" s="609"/>
      <c r="AM393" s="609"/>
      <c r="AN393" s="609"/>
      <c r="AO393" s="615">
        <f t="shared" si="223"/>
        <v>19992</v>
      </c>
      <c r="AP393" s="609"/>
      <c r="AQ393" s="609"/>
      <c r="AR393" s="609"/>
      <c r="AS393" s="609">
        <f>I393/21</f>
        <v>952</v>
      </c>
      <c r="AT393" s="633"/>
      <c r="AU393" s="633"/>
      <c r="AV393" s="633"/>
      <c r="AW393" s="633"/>
      <c r="AX393" s="633"/>
      <c r="AY393" s="633"/>
      <c r="AZ393" s="633"/>
      <c r="BA393" s="633"/>
      <c r="BB393" s="633"/>
      <c r="BC393" s="633"/>
      <c r="BD393" s="633"/>
      <c r="BE393" s="633"/>
      <c r="BF393" s="633"/>
      <c r="BG393" s="633"/>
      <c r="BH393" s="633"/>
      <c r="BI393" s="633"/>
      <c r="BJ393" s="633"/>
      <c r="BK393" s="633"/>
      <c r="BL393" s="633"/>
      <c r="BM393" s="401">
        <f t="shared" si="226"/>
        <v>19992</v>
      </c>
      <c r="BO393" s="1473"/>
      <c r="BP393" s="1473"/>
    </row>
    <row r="394" s="200" customFormat="1" ht="36" customHeight="1" spans="1:68">
      <c r="A394" s="526">
        <v>45448</v>
      </c>
      <c r="B394" s="1507" t="s">
        <v>158</v>
      </c>
      <c r="C394" s="1573" t="s">
        <v>117</v>
      </c>
      <c r="D394" s="529">
        <v>4500135809</v>
      </c>
      <c r="E394" s="530">
        <v>215767941</v>
      </c>
      <c r="F394" s="529" t="s">
        <v>1727</v>
      </c>
      <c r="G394" s="531" t="s">
        <v>160</v>
      </c>
      <c r="H394" s="532" t="s">
        <v>74</v>
      </c>
      <c r="I394" s="401">
        <v>455</v>
      </c>
      <c r="J394" s="562">
        <v>0</v>
      </c>
      <c r="K394" s="531">
        <v>13</v>
      </c>
      <c r="L394" s="401">
        <f t="shared" si="211"/>
        <v>35</v>
      </c>
      <c r="M394" s="563">
        <v>45488</v>
      </c>
      <c r="N394" s="1495">
        <v>45485</v>
      </c>
      <c r="O394" s="564"/>
      <c r="P394" s="564" t="s">
        <v>92</v>
      </c>
      <c r="Q394" s="564" t="s">
        <v>1728</v>
      </c>
      <c r="R394" s="564" t="s">
        <v>1729</v>
      </c>
      <c r="S394" s="564" t="s">
        <v>77</v>
      </c>
      <c r="T394" s="564" t="s">
        <v>77</v>
      </c>
      <c r="U394" s="530" t="s">
        <v>162</v>
      </c>
      <c r="V394" s="1509" t="s">
        <v>163</v>
      </c>
      <c r="W394" s="592">
        <v>1.4483</v>
      </c>
      <c r="X394" s="593">
        <f>I394*W394</f>
        <v>658.9765</v>
      </c>
      <c r="Y394" s="401" t="s">
        <v>1730</v>
      </c>
      <c r="Z394" s="607" t="s">
        <v>160</v>
      </c>
      <c r="AA394" s="1453" t="s">
        <v>128</v>
      </c>
      <c r="AB394" s="608"/>
      <c r="AC394" s="608"/>
      <c r="AD394" s="608"/>
      <c r="AE394" s="564" t="s">
        <v>80</v>
      </c>
      <c r="AF394" s="564"/>
      <c r="AG394" s="608">
        <f t="shared" si="224"/>
        <v>455</v>
      </c>
      <c r="AH394" s="608"/>
      <c r="AI394" s="608"/>
      <c r="AJ394" s="608"/>
      <c r="AK394" s="609">
        <f t="shared" si="227"/>
        <v>455</v>
      </c>
      <c r="AL394" s="609"/>
      <c r="AM394" s="609"/>
      <c r="AN394" s="609"/>
      <c r="AO394" s="609">
        <f t="shared" si="223"/>
        <v>455</v>
      </c>
      <c r="AP394" s="609"/>
      <c r="AQ394" s="609"/>
      <c r="AR394" s="609"/>
      <c r="AS394" s="609"/>
      <c r="AT394" s="633"/>
      <c r="AU394" s="633"/>
      <c r="AV394" s="633"/>
      <c r="AW394" s="401"/>
      <c r="AX394" s="1526"/>
      <c r="AY394" s="633">
        <f t="shared" si="228"/>
        <v>35</v>
      </c>
      <c r="AZ394" s="633"/>
      <c r="BA394" s="633"/>
      <c r="BB394" s="633"/>
      <c r="BC394" s="633"/>
      <c r="BD394" s="633"/>
      <c r="BE394" s="633"/>
      <c r="BF394" s="633"/>
      <c r="BG394" s="633"/>
      <c r="BH394" s="633"/>
      <c r="BI394" s="633"/>
      <c r="BJ394" s="1526"/>
      <c r="BK394" s="633"/>
      <c r="BL394" s="633"/>
      <c r="BM394" s="401">
        <f t="shared" si="226"/>
        <v>455</v>
      </c>
      <c r="BO394" s="1473"/>
      <c r="BP394" s="1473"/>
    </row>
    <row r="395" s="200" customFormat="1" ht="36" customHeight="1" spans="1:68">
      <c r="A395" s="526">
        <v>45448</v>
      </c>
      <c r="B395" s="1507" t="s">
        <v>158</v>
      </c>
      <c r="C395" s="1573" t="s">
        <v>117</v>
      </c>
      <c r="D395" s="529">
        <v>4500135797</v>
      </c>
      <c r="E395" s="530">
        <v>215767928</v>
      </c>
      <c r="F395" s="529" t="s">
        <v>1731</v>
      </c>
      <c r="G395" s="531" t="s">
        <v>160</v>
      </c>
      <c r="H395" s="532" t="s">
        <v>74</v>
      </c>
      <c r="I395" s="401">
        <v>845</v>
      </c>
      <c r="J395" s="562">
        <v>0</v>
      </c>
      <c r="K395" s="531">
        <v>13</v>
      </c>
      <c r="L395" s="401">
        <f t="shared" si="211"/>
        <v>65</v>
      </c>
      <c r="M395" s="563">
        <v>45488</v>
      </c>
      <c r="N395" s="1495">
        <v>45485</v>
      </c>
      <c r="O395" s="564"/>
      <c r="P395" s="564" t="s">
        <v>92</v>
      </c>
      <c r="Q395" s="564" t="s">
        <v>1728</v>
      </c>
      <c r="R395" s="564" t="s">
        <v>1729</v>
      </c>
      <c r="S395" s="564" t="s">
        <v>77</v>
      </c>
      <c r="T395" s="564" t="s">
        <v>77</v>
      </c>
      <c r="U395" s="530" t="s">
        <v>162</v>
      </c>
      <c r="V395" s="1509" t="s">
        <v>163</v>
      </c>
      <c r="W395" s="592">
        <v>1.4483</v>
      </c>
      <c r="X395" s="593">
        <f>I395*W395</f>
        <v>1223.8135</v>
      </c>
      <c r="Y395" s="401" t="s">
        <v>1732</v>
      </c>
      <c r="Z395" s="607" t="s">
        <v>160</v>
      </c>
      <c r="AA395" s="1453" t="s">
        <v>128</v>
      </c>
      <c r="AB395" s="608"/>
      <c r="AC395" s="608"/>
      <c r="AD395" s="608"/>
      <c r="AE395" s="564" t="s">
        <v>80</v>
      </c>
      <c r="AF395" s="564"/>
      <c r="AG395" s="608">
        <f t="shared" si="224"/>
        <v>845</v>
      </c>
      <c r="AH395" s="608"/>
      <c r="AI395" s="608"/>
      <c r="AJ395" s="608"/>
      <c r="AK395" s="609">
        <f t="shared" si="227"/>
        <v>845</v>
      </c>
      <c r="AL395" s="609"/>
      <c r="AM395" s="609"/>
      <c r="AN395" s="609"/>
      <c r="AO395" s="609">
        <f t="shared" si="223"/>
        <v>845</v>
      </c>
      <c r="AP395" s="609"/>
      <c r="AQ395" s="609"/>
      <c r="AR395" s="609"/>
      <c r="AS395" s="609"/>
      <c r="AT395" s="633"/>
      <c r="AU395" s="633"/>
      <c r="AV395" s="633"/>
      <c r="AW395" s="401"/>
      <c r="AX395" s="1526"/>
      <c r="AY395" s="633">
        <f t="shared" si="228"/>
        <v>65</v>
      </c>
      <c r="AZ395" s="633"/>
      <c r="BA395" s="633"/>
      <c r="BB395" s="633"/>
      <c r="BC395" s="633"/>
      <c r="BD395" s="633"/>
      <c r="BE395" s="633"/>
      <c r="BF395" s="633"/>
      <c r="BG395" s="633"/>
      <c r="BH395" s="633"/>
      <c r="BI395" s="633"/>
      <c r="BJ395" s="1526"/>
      <c r="BK395" s="633"/>
      <c r="BL395" s="633"/>
      <c r="BM395" s="401">
        <f t="shared" si="226"/>
        <v>845</v>
      </c>
      <c r="BO395" s="1473"/>
      <c r="BP395" s="1473"/>
    </row>
    <row r="396" s="200" customFormat="1" ht="36" customHeight="1" spans="1:68">
      <c r="A396" s="526">
        <v>45440</v>
      </c>
      <c r="B396" s="1507" t="s">
        <v>587</v>
      </c>
      <c r="C396" s="1478" t="s">
        <v>117</v>
      </c>
      <c r="D396" s="1570">
        <v>4500135055</v>
      </c>
      <c r="E396" s="1571">
        <v>6631646280</v>
      </c>
      <c r="F396" s="1570" t="s">
        <v>1733</v>
      </c>
      <c r="G396" s="531" t="s">
        <v>832</v>
      </c>
      <c r="H396" s="532" t="s">
        <v>833</v>
      </c>
      <c r="I396" s="401">
        <v>1152</v>
      </c>
      <c r="J396" s="562">
        <v>0</v>
      </c>
      <c r="K396" s="531">
        <v>1152</v>
      </c>
      <c r="L396" s="401">
        <f t="shared" si="211"/>
        <v>1</v>
      </c>
      <c r="M396" s="563">
        <v>45485</v>
      </c>
      <c r="N396" s="1495">
        <v>45484</v>
      </c>
      <c r="O396" s="1474" t="s">
        <v>1666</v>
      </c>
      <c r="P396" s="564" t="s">
        <v>92</v>
      </c>
      <c r="Q396" s="564" t="s">
        <v>1734</v>
      </c>
      <c r="R396" s="1523" t="s">
        <v>1102</v>
      </c>
      <c r="S396" s="564" t="s">
        <v>123</v>
      </c>
      <c r="T396" s="1519" t="s">
        <v>1653</v>
      </c>
      <c r="U396" s="530" t="s">
        <v>1654</v>
      </c>
      <c r="V396" s="564" t="s">
        <v>1006</v>
      </c>
      <c r="W396" s="592">
        <v>1752.1376</v>
      </c>
      <c r="X396" s="593">
        <f t="shared" si="229"/>
        <v>1752.1376</v>
      </c>
      <c r="Y396" s="401" t="s">
        <v>1735</v>
      </c>
      <c r="Z396" s="607" t="s">
        <v>832</v>
      </c>
      <c r="AA396" s="1453" t="s">
        <v>128</v>
      </c>
      <c r="AB396" s="608"/>
      <c r="AC396" s="608"/>
      <c r="AD396" s="608"/>
      <c r="AE396" s="564" t="s">
        <v>80</v>
      </c>
      <c r="AF396" s="564"/>
      <c r="AG396" s="608">
        <f t="shared" si="224"/>
        <v>1152</v>
      </c>
      <c r="AH396" s="608"/>
      <c r="AI396" s="608"/>
      <c r="AJ396" s="608"/>
      <c r="AK396" s="609">
        <f t="shared" si="227"/>
        <v>1152</v>
      </c>
      <c r="AL396" s="609"/>
      <c r="AM396" s="609"/>
      <c r="AN396" s="609"/>
      <c r="AO396" s="615"/>
      <c r="AP396" s="609"/>
      <c r="AQ396" s="609">
        <f t="shared" ref="AQ396:AQ402" si="230">I396</f>
        <v>1152</v>
      </c>
      <c r="AR396" s="609"/>
      <c r="AS396" s="609"/>
      <c r="AT396" s="633"/>
      <c r="AU396" s="633"/>
      <c r="AV396" s="633">
        <f t="shared" ref="AV396:AV402" si="231">I396/12</f>
        <v>96</v>
      </c>
      <c r="AW396" s="633"/>
      <c r="AX396" s="633"/>
      <c r="AY396" s="633"/>
      <c r="AZ396" s="633"/>
      <c r="BA396" s="633"/>
      <c r="BB396" s="633"/>
      <c r="BC396" s="633"/>
      <c r="BD396" s="633"/>
      <c r="BE396" s="633"/>
      <c r="BF396" s="633"/>
      <c r="BG396" s="633"/>
      <c r="BH396" s="633"/>
      <c r="BI396" s="633"/>
      <c r="BJ396" s="633"/>
      <c r="BK396" s="633"/>
      <c r="BL396" s="633"/>
      <c r="BM396" s="401">
        <f t="shared" si="226"/>
        <v>1152</v>
      </c>
      <c r="BO396" s="1473"/>
      <c r="BP396" s="1473"/>
    </row>
    <row r="397" s="200" customFormat="1" ht="36" customHeight="1" spans="1:68">
      <c r="A397" s="526">
        <v>45440</v>
      </c>
      <c r="B397" s="1507" t="s">
        <v>587</v>
      </c>
      <c r="C397" s="1478" t="s">
        <v>117</v>
      </c>
      <c r="D397" s="1570">
        <v>4500135055</v>
      </c>
      <c r="E397" s="1571">
        <v>6631646290</v>
      </c>
      <c r="F397" s="1570" t="s">
        <v>1736</v>
      </c>
      <c r="G397" s="531" t="s">
        <v>832</v>
      </c>
      <c r="H397" s="532" t="s">
        <v>833</v>
      </c>
      <c r="I397" s="401">
        <v>3456</v>
      </c>
      <c r="J397" s="562">
        <v>0</v>
      </c>
      <c r="K397" s="531">
        <v>1152</v>
      </c>
      <c r="L397" s="401">
        <f t="shared" si="211"/>
        <v>3</v>
      </c>
      <c r="M397" s="563">
        <v>45485</v>
      </c>
      <c r="N397" s="1495">
        <v>45484</v>
      </c>
      <c r="O397" s="1474" t="s">
        <v>1666</v>
      </c>
      <c r="P397" s="564" t="s">
        <v>92</v>
      </c>
      <c r="Q397" s="564" t="s">
        <v>1663</v>
      </c>
      <c r="R397" s="1523" t="s">
        <v>1102</v>
      </c>
      <c r="S397" s="564" t="s">
        <v>123</v>
      </c>
      <c r="T397" s="1519" t="s">
        <v>1653</v>
      </c>
      <c r="U397" s="530" t="s">
        <v>1654</v>
      </c>
      <c r="V397" s="564" t="s">
        <v>1006</v>
      </c>
      <c r="W397" s="592">
        <v>1752.1376</v>
      </c>
      <c r="X397" s="593">
        <f t="shared" si="229"/>
        <v>5256.4128</v>
      </c>
      <c r="Y397" s="401" t="s">
        <v>1735</v>
      </c>
      <c r="Z397" s="607" t="s">
        <v>832</v>
      </c>
      <c r="AA397" s="1453" t="s">
        <v>128</v>
      </c>
      <c r="AB397" s="608"/>
      <c r="AC397" s="608"/>
      <c r="AD397" s="608"/>
      <c r="AE397" s="564" t="s">
        <v>80</v>
      </c>
      <c r="AF397" s="564"/>
      <c r="AG397" s="608">
        <f t="shared" si="224"/>
        <v>3456</v>
      </c>
      <c r="AH397" s="608"/>
      <c r="AI397" s="608"/>
      <c r="AJ397" s="608"/>
      <c r="AK397" s="609">
        <f t="shared" si="227"/>
        <v>3456</v>
      </c>
      <c r="AL397" s="609"/>
      <c r="AM397" s="609"/>
      <c r="AN397" s="609"/>
      <c r="AO397" s="615"/>
      <c r="AP397" s="609"/>
      <c r="AQ397" s="609">
        <f t="shared" si="230"/>
        <v>3456</v>
      </c>
      <c r="AR397" s="609"/>
      <c r="AS397" s="609"/>
      <c r="AT397" s="633"/>
      <c r="AU397" s="633"/>
      <c r="AV397" s="633">
        <f t="shared" si="231"/>
        <v>288</v>
      </c>
      <c r="AW397" s="633"/>
      <c r="AX397" s="633"/>
      <c r="AY397" s="633"/>
      <c r="AZ397" s="633"/>
      <c r="BA397" s="633"/>
      <c r="BB397" s="633"/>
      <c r="BC397" s="633"/>
      <c r="BD397" s="633"/>
      <c r="BE397" s="633"/>
      <c r="BF397" s="633"/>
      <c r="BG397" s="633"/>
      <c r="BH397" s="633"/>
      <c r="BI397" s="633"/>
      <c r="BJ397" s="633"/>
      <c r="BK397" s="633"/>
      <c r="BL397" s="633"/>
      <c r="BM397" s="401">
        <f t="shared" si="226"/>
        <v>3456</v>
      </c>
      <c r="BO397" s="1473"/>
      <c r="BP397" s="1473"/>
    </row>
    <row r="398" s="200" customFormat="1" ht="36" customHeight="1" spans="1:68">
      <c r="A398" s="526">
        <v>45440</v>
      </c>
      <c r="B398" s="1507" t="s">
        <v>587</v>
      </c>
      <c r="C398" s="1478" t="s">
        <v>117</v>
      </c>
      <c r="D398" s="1570">
        <v>4500135055</v>
      </c>
      <c r="E398" s="1571">
        <v>6631646295</v>
      </c>
      <c r="F398" s="1570" t="s">
        <v>1737</v>
      </c>
      <c r="G398" s="531" t="s">
        <v>832</v>
      </c>
      <c r="H398" s="532" t="s">
        <v>833</v>
      </c>
      <c r="I398" s="401">
        <v>1152</v>
      </c>
      <c r="J398" s="562">
        <v>0</v>
      </c>
      <c r="K398" s="531">
        <v>1152</v>
      </c>
      <c r="L398" s="401">
        <f t="shared" si="211"/>
        <v>1</v>
      </c>
      <c r="M398" s="563">
        <v>45485</v>
      </c>
      <c r="N398" s="1495">
        <v>45484</v>
      </c>
      <c r="O398" s="1474" t="s">
        <v>1666</v>
      </c>
      <c r="P398" s="564" t="s">
        <v>92</v>
      </c>
      <c r="Q398" s="564" t="s">
        <v>1738</v>
      </c>
      <c r="R398" s="1523" t="s">
        <v>1102</v>
      </c>
      <c r="S398" s="564" t="s">
        <v>123</v>
      </c>
      <c r="T398" s="1519" t="s">
        <v>1653</v>
      </c>
      <c r="U398" s="530" t="s">
        <v>1654</v>
      </c>
      <c r="V398" s="564" t="s">
        <v>1006</v>
      </c>
      <c r="W398" s="592">
        <v>1752.1376</v>
      </c>
      <c r="X398" s="593">
        <f t="shared" si="229"/>
        <v>1752.1376</v>
      </c>
      <c r="Y398" s="401" t="s">
        <v>1739</v>
      </c>
      <c r="Z398" s="607" t="s">
        <v>832</v>
      </c>
      <c r="AA398" s="1453" t="s">
        <v>128</v>
      </c>
      <c r="AB398" s="608"/>
      <c r="AC398" s="608"/>
      <c r="AD398" s="608"/>
      <c r="AE398" s="564" t="s">
        <v>80</v>
      </c>
      <c r="AF398" s="564"/>
      <c r="AG398" s="608">
        <f t="shared" si="224"/>
        <v>1152</v>
      </c>
      <c r="AH398" s="608"/>
      <c r="AI398" s="608"/>
      <c r="AJ398" s="608"/>
      <c r="AK398" s="609">
        <f t="shared" si="227"/>
        <v>1152</v>
      </c>
      <c r="AL398" s="609"/>
      <c r="AM398" s="609"/>
      <c r="AN398" s="609"/>
      <c r="AO398" s="615"/>
      <c r="AP398" s="609"/>
      <c r="AQ398" s="609">
        <f t="shared" si="230"/>
        <v>1152</v>
      </c>
      <c r="AR398" s="609"/>
      <c r="AS398" s="609"/>
      <c r="AT398" s="633"/>
      <c r="AU398" s="633"/>
      <c r="AV398" s="633">
        <f t="shared" si="231"/>
        <v>96</v>
      </c>
      <c r="AW398" s="633"/>
      <c r="AX398" s="633"/>
      <c r="AY398" s="633"/>
      <c r="AZ398" s="633"/>
      <c r="BA398" s="633"/>
      <c r="BB398" s="633"/>
      <c r="BC398" s="633"/>
      <c r="BD398" s="633"/>
      <c r="BE398" s="633"/>
      <c r="BF398" s="633"/>
      <c r="BG398" s="633"/>
      <c r="BH398" s="633"/>
      <c r="BI398" s="633"/>
      <c r="BJ398" s="633"/>
      <c r="BK398" s="633"/>
      <c r="BL398" s="633"/>
      <c r="BM398" s="401">
        <f t="shared" si="226"/>
        <v>1152</v>
      </c>
      <c r="BO398" s="1473"/>
      <c r="BP398" s="1473"/>
    </row>
    <row r="399" s="200" customFormat="1" ht="36" customHeight="1" spans="1:68">
      <c r="A399" s="526">
        <v>45440</v>
      </c>
      <c r="B399" s="1507" t="s">
        <v>587</v>
      </c>
      <c r="C399" s="1478" t="s">
        <v>117</v>
      </c>
      <c r="D399" s="1570">
        <v>4500135055</v>
      </c>
      <c r="E399" s="1571">
        <v>6631646296</v>
      </c>
      <c r="F399" s="1570" t="s">
        <v>1740</v>
      </c>
      <c r="G399" s="531" t="s">
        <v>832</v>
      </c>
      <c r="H399" s="532" t="s">
        <v>833</v>
      </c>
      <c r="I399" s="401">
        <v>1152</v>
      </c>
      <c r="J399" s="562">
        <v>0</v>
      </c>
      <c r="K399" s="531">
        <v>1152</v>
      </c>
      <c r="L399" s="401">
        <f t="shared" si="211"/>
        <v>1</v>
      </c>
      <c r="M399" s="563">
        <v>45485</v>
      </c>
      <c r="N399" s="1495">
        <v>45484</v>
      </c>
      <c r="O399" s="1474" t="s">
        <v>1666</v>
      </c>
      <c r="P399" s="564" t="s">
        <v>92</v>
      </c>
      <c r="Q399" s="564" t="s">
        <v>1734</v>
      </c>
      <c r="R399" s="1523" t="s">
        <v>1102</v>
      </c>
      <c r="S399" s="564" t="s">
        <v>123</v>
      </c>
      <c r="T399" s="1519" t="s">
        <v>1653</v>
      </c>
      <c r="U399" s="530" t="s">
        <v>1654</v>
      </c>
      <c r="V399" s="564" t="s">
        <v>1006</v>
      </c>
      <c r="W399" s="592">
        <v>1752.1376</v>
      </c>
      <c r="X399" s="593">
        <f t="shared" si="229"/>
        <v>1752.1376</v>
      </c>
      <c r="Y399" s="401" t="s">
        <v>1741</v>
      </c>
      <c r="Z399" s="607" t="s">
        <v>832</v>
      </c>
      <c r="AA399" s="1453" t="s">
        <v>128</v>
      </c>
      <c r="AB399" s="608"/>
      <c r="AC399" s="608"/>
      <c r="AD399" s="608"/>
      <c r="AE399" s="564" t="s">
        <v>80</v>
      </c>
      <c r="AF399" s="564"/>
      <c r="AG399" s="608">
        <f t="shared" si="224"/>
        <v>1152</v>
      </c>
      <c r="AH399" s="608"/>
      <c r="AI399" s="608"/>
      <c r="AJ399" s="608"/>
      <c r="AK399" s="609">
        <f t="shared" si="227"/>
        <v>1152</v>
      </c>
      <c r="AL399" s="609"/>
      <c r="AM399" s="609"/>
      <c r="AN399" s="609"/>
      <c r="AO399" s="615"/>
      <c r="AP399" s="609"/>
      <c r="AQ399" s="609">
        <f t="shared" si="230"/>
        <v>1152</v>
      </c>
      <c r="AR399" s="609"/>
      <c r="AS399" s="609"/>
      <c r="AT399" s="633"/>
      <c r="AU399" s="633"/>
      <c r="AV399" s="633">
        <f t="shared" si="231"/>
        <v>96</v>
      </c>
      <c r="AW399" s="633"/>
      <c r="AX399" s="633"/>
      <c r="AY399" s="633"/>
      <c r="AZ399" s="633"/>
      <c r="BA399" s="633"/>
      <c r="BB399" s="633"/>
      <c r="BC399" s="633"/>
      <c r="BD399" s="633"/>
      <c r="BE399" s="633"/>
      <c r="BF399" s="633"/>
      <c r="BG399" s="633"/>
      <c r="BH399" s="633"/>
      <c r="BI399" s="633"/>
      <c r="BJ399" s="633"/>
      <c r="BK399" s="633"/>
      <c r="BL399" s="633"/>
      <c r="BM399" s="401">
        <f t="shared" si="226"/>
        <v>1152</v>
      </c>
      <c r="BO399" s="1473"/>
      <c r="BP399" s="1473"/>
    </row>
    <row r="400" s="200" customFormat="1" ht="36" customHeight="1" spans="1:68">
      <c r="A400" s="526">
        <v>45440</v>
      </c>
      <c r="B400" s="1507" t="s">
        <v>587</v>
      </c>
      <c r="C400" s="1478" t="s">
        <v>117</v>
      </c>
      <c r="D400" s="1570">
        <v>4500135055</v>
      </c>
      <c r="E400" s="1571">
        <v>6631646298</v>
      </c>
      <c r="F400" s="1570" t="s">
        <v>1742</v>
      </c>
      <c r="G400" s="531" t="s">
        <v>832</v>
      </c>
      <c r="H400" s="532" t="s">
        <v>833</v>
      </c>
      <c r="I400" s="401">
        <v>3456</v>
      </c>
      <c r="J400" s="562">
        <v>0</v>
      </c>
      <c r="K400" s="531">
        <v>1152</v>
      </c>
      <c r="L400" s="401">
        <f t="shared" si="211"/>
        <v>3</v>
      </c>
      <c r="M400" s="563">
        <v>45485</v>
      </c>
      <c r="N400" s="1495">
        <v>45484</v>
      </c>
      <c r="O400" s="1474" t="s">
        <v>1666</v>
      </c>
      <c r="P400" s="564" t="s">
        <v>92</v>
      </c>
      <c r="Q400" s="564" t="s">
        <v>1743</v>
      </c>
      <c r="R400" s="1523" t="s">
        <v>1102</v>
      </c>
      <c r="S400" s="564" t="s">
        <v>123</v>
      </c>
      <c r="T400" s="1519" t="s">
        <v>1653</v>
      </c>
      <c r="U400" s="530" t="s">
        <v>1654</v>
      </c>
      <c r="V400" s="564" t="s">
        <v>1006</v>
      </c>
      <c r="W400" s="592">
        <v>1752.1376</v>
      </c>
      <c r="X400" s="593">
        <f t="shared" si="229"/>
        <v>5256.4128</v>
      </c>
      <c r="Y400" s="401" t="s">
        <v>1744</v>
      </c>
      <c r="Z400" s="607" t="s">
        <v>832</v>
      </c>
      <c r="AA400" s="1453" t="s">
        <v>128</v>
      </c>
      <c r="AB400" s="608"/>
      <c r="AC400" s="608"/>
      <c r="AD400" s="608"/>
      <c r="AE400" s="564" t="s">
        <v>80</v>
      </c>
      <c r="AF400" s="564"/>
      <c r="AG400" s="608">
        <f t="shared" si="224"/>
        <v>3456</v>
      </c>
      <c r="AH400" s="608"/>
      <c r="AI400" s="608"/>
      <c r="AJ400" s="608"/>
      <c r="AK400" s="609">
        <f t="shared" si="227"/>
        <v>3456</v>
      </c>
      <c r="AL400" s="609"/>
      <c r="AM400" s="609"/>
      <c r="AN400" s="609"/>
      <c r="AO400" s="615"/>
      <c r="AP400" s="609"/>
      <c r="AQ400" s="609">
        <f t="shared" si="230"/>
        <v>3456</v>
      </c>
      <c r="AR400" s="609"/>
      <c r="AS400" s="609"/>
      <c r="AT400" s="633"/>
      <c r="AU400" s="633"/>
      <c r="AV400" s="633">
        <f t="shared" si="231"/>
        <v>288</v>
      </c>
      <c r="AW400" s="633"/>
      <c r="AX400" s="633"/>
      <c r="AY400" s="633"/>
      <c r="AZ400" s="633"/>
      <c r="BA400" s="633"/>
      <c r="BB400" s="633"/>
      <c r="BC400" s="633"/>
      <c r="BD400" s="633"/>
      <c r="BE400" s="633"/>
      <c r="BF400" s="633"/>
      <c r="BG400" s="633"/>
      <c r="BH400" s="633"/>
      <c r="BI400" s="633"/>
      <c r="BJ400" s="633"/>
      <c r="BK400" s="633"/>
      <c r="BL400" s="633"/>
      <c r="BM400" s="401">
        <f t="shared" si="226"/>
        <v>3456</v>
      </c>
      <c r="BO400" s="1473"/>
      <c r="BP400" s="1473"/>
    </row>
    <row r="401" s="200" customFormat="1" ht="36" customHeight="1" spans="1:68">
      <c r="A401" s="526">
        <v>45440</v>
      </c>
      <c r="B401" s="1507" t="s">
        <v>587</v>
      </c>
      <c r="C401" s="1478" t="s">
        <v>117</v>
      </c>
      <c r="D401" s="1570">
        <v>4500135055</v>
      </c>
      <c r="E401" s="1571">
        <v>6631646299</v>
      </c>
      <c r="F401" s="1570" t="s">
        <v>1745</v>
      </c>
      <c r="G401" s="531" t="s">
        <v>832</v>
      </c>
      <c r="H401" s="532" t="s">
        <v>833</v>
      </c>
      <c r="I401" s="401">
        <v>2304</v>
      </c>
      <c r="J401" s="562">
        <v>0</v>
      </c>
      <c r="K401" s="531">
        <v>1152</v>
      </c>
      <c r="L401" s="401">
        <f t="shared" si="211"/>
        <v>2</v>
      </c>
      <c r="M401" s="563">
        <v>45485</v>
      </c>
      <c r="N401" s="1495">
        <v>45484</v>
      </c>
      <c r="O401" s="1474" t="s">
        <v>1666</v>
      </c>
      <c r="P401" s="564" t="s">
        <v>92</v>
      </c>
      <c r="Q401" s="564" t="s">
        <v>1746</v>
      </c>
      <c r="R401" s="1523" t="s">
        <v>1102</v>
      </c>
      <c r="S401" s="564" t="s">
        <v>123</v>
      </c>
      <c r="T401" s="1519" t="s">
        <v>1653</v>
      </c>
      <c r="U401" s="530" t="s">
        <v>1654</v>
      </c>
      <c r="V401" s="564" t="s">
        <v>1006</v>
      </c>
      <c r="W401" s="592">
        <v>1752.1376</v>
      </c>
      <c r="X401" s="593">
        <f t="shared" si="229"/>
        <v>3504.2752</v>
      </c>
      <c r="Y401" s="200" t="s">
        <v>1747</v>
      </c>
      <c r="Z401" s="607" t="s">
        <v>832</v>
      </c>
      <c r="AA401" s="1453" t="s">
        <v>128</v>
      </c>
      <c r="AB401" s="608"/>
      <c r="AC401" s="608"/>
      <c r="AD401" s="608"/>
      <c r="AE401" s="564" t="s">
        <v>80</v>
      </c>
      <c r="AF401" s="564"/>
      <c r="AG401" s="608">
        <f t="shared" si="224"/>
        <v>2304</v>
      </c>
      <c r="AH401" s="608"/>
      <c r="AI401" s="608"/>
      <c r="AJ401" s="608"/>
      <c r="AK401" s="609">
        <f t="shared" si="227"/>
        <v>2304</v>
      </c>
      <c r="AL401" s="609"/>
      <c r="AM401" s="609"/>
      <c r="AN401" s="609"/>
      <c r="AO401" s="615"/>
      <c r="AP401" s="609"/>
      <c r="AQ401" s="609">
        <f t="shared" si="230"/>
        <v>2304</v>
      </c>
      <c r="AR401" s="609"/>
      <c r="AS401" s="609"/>
      <c r="AT401" s="633"/>
      <c r="AU401" s="633"/>
      <c r="AV401" s="633">
        <f t="shared" si="231"/>
        <v>192</v>
      </c>
      <c r="AW401" s="633"/>
      <c r="AX401" s="633"/>
      <c r="AY401" s="633"/>
      <c r="AZ401" s="633"/>
      <c r="BA401" s="633"/>
      <c r="BB401" s="633"/>
      <c r="BC401" s="633"/>
      <c r="BD401" s="633"/>
      <c r="BE401" s="633"/>
      <c r="BF401" s="633"/>
      <c r="BG401" s="633"/>
      <c r="BH401" s="633"/>
      <c r="BI401" s="633"/>
      <c r="BJ401" s="633"/>
      <c r="BK401" s="633"/>
      <c r="BL401" s="633"/>
      <c r="BM401" s="401">
        <f t="shared" si="226"/>
        <v>2304</v>
      </c>
      <c r="BO401" s="1473"/>
      <c r="BP401" s="1473"/>
    </row>
    <row r="402" s="200" customFormat="1" ht="36" customHeight="1" spans="1:68">
      <c r="A402" s="526">
        <v>45440</v>
      </c>
      <c r="B402" s="1507" t="s">
        <v>587</v>
      </c>
      <c r="C402" s="1478" t="s">
        <v>117</v>
      </c>
      <c r="D402" s="1570">
        <v>4500135055</v>
      </c>
      <c r="E402" s="1571" t="s">
        <v>1748</v>
      </c>
      <c r="F402" s="1570" t="s">
        <v>1749</v>
      </c>
      <c r="G402" s="531" t="s">
        <v>832</v>
      </c>
      <c r="H402" s="532" t="s">
        <v>833</v>
      </c>
      <c r="I402" s="401">
        <v>2304</v>
      </c>
      <c r="J402" s="562">
        <v>0</v>
      </c>
      <c r="K402" s="531">
        <v>1152</v>
      </c>
      <c r="L402" s="401">
        <f t="shared" si="211"/>
        <v>2</v>
      </c>
      <c r="M402" s="563">
        <v>45485</v>
      </c>
      <c r="N402" s="1495">
        <v>45484</v>
      </c>
      <c r="O402" s="1474" t="s">
        <v>1666</v>
      </c>
      <c r="P402" s="564" t="s">
        <v>92</v>
      </c>
      <c r="Q402" s="564" t="s">
        <v>1750</v>
      </c>
      <c r="R402" s="1523" t="s">
        <v>1102</v>
      </c>
      <c r="S402" s="564" t="s">
        <v>123</v>
      </c>
      <c r="T402" s="1519" t="s">
        <v>1653</v>
      </c>
      <c r="U402" s="530" t="s">
        <v>1654</v>
      </c>
      <c r="V402" s="564" t="s">
        <v>1006</v>
      </c>
      <c r="W402" s="592">
        <v>1752.1376</v>
      </c>
      <c r="X402" s="593">
        <f t="shared" si="229"/>
        <v>3504.2752</v>
      </c>
      <c r="Y402" s="401" t="s">
        <v>1735</v>
      </c>
      <c r="Z402" s="607" t="s">
        <v>832</v>
      </c>
      <c r="AA402" s="1453" t="s">
        <v>128</v>
      </c>
      <c r="AB402" s="608"/>
      <c r="AC402" s="608"/>
      <c r="AD402" s="608"/>
      <c r="AE402" s="564" t="s">
        <v>80</v>
      </c>
      <c r="AF402" s="564"/>
      <c r="AG402" s="608">
        <f t="shared" si="224"/>
        <v>2304</v>
      </c>
      <c r="AH402" s="608"/>
      <c r="AI402" s="608"/>
      <c r="AJ402" s="608"/>
      <c r="AK402" s="609">
        <f t="shared" si="227"/>
        <v>2304</v>
      </c>
      <c r="AL402" s="609"/>
      <c r="AM402" s="609"/>
      <c r="AN402" s="609"/>
      <c r="AO402" s="615"/>
      <c r="AP402" s="609"/>
      <c r="AQ402" s="609">
        <f t="shared" si="230"/>
        <v>2304</v>
      </c>
      <c r="AR402" s="609"/>
      <c r="AS402" s="609"/>
      <c r="AT402" s="633"/>
      <c r="AU402" s="633"/>
      <c r="AV402" s="633">
        <f t="shared" si="231"/>
        <v>192</v>
      </c>
      <c r="AW402" s="633"/>
      <c r="AX402" s="633"/>
      <c r="AY402" s="633"/>
      <c r="AZ402" s="633"/>
      <c r="BA402" s="633"/>
      <c r="BB402" s="633"/>
      <c r="BC402" s="633"/>
      <c r="BD402" s="633"/>
      <c r="BE402" s="633"/>
      <c r="BF402" s="633"/>
      <c r="BG402" s="633"/>
      <c r="BH402" s="633"/>
      <c r="BI402" s="633"/>
      <c r="BJ402" s="633"/>
      <c r="BK402" s="633"/>
      <c r="BL402" s="633"/>
      <c r="BM402" s="401">
        <f t="shared" si="226"/>
        <v>2304</v>
      </c>
      <c r="BO402" s="1473"/>
      <c r="BP402" s="1473"/>
    </row>
    <row r="403" s="200" customFormat="1" ht="36" customHeight="1" spans="1:68">
      <c r="A403" s="533">
        <v>45419</v>
      </c>
      <c r="B403" s="527" t="s">
        <v>243</v>
      </c>
      <c r="C403" s="528" t="s">
        <v>213</v>
      </c>
      <c r="D403" s="534">
        <v>4500132689</v>
      </c>
      <c r="E403" s="530">
        <v>2950865455</v>
      </c>
      <c r="F403" s="534" t="s">
        <v>1751</v>
      </c>
      <c r="G403" s="531" t="s">
        <v>1365</v>
      </c>
      <c r="H403" s="532" t="s">
        <v>1366</v>
      </c>
      <c r="I403" s="401">
        <v>4800</v>
      </c>
      <c r="J403" s="562">
        <v>0</v>
      </c>
      <c r="K403" s="531">
        <v>960</v>
      </c>
      <c r="L403" s="401">
        <f t="shared" si="211"/>
        <v>5</v>
      </c>
      <c r="M403" s="563">
        <v>45488</v>
      </c>
      <c r="N403" s="1495">
        <v>45485</v>
      </c>
      <c r="O403" s="564"/>
      <c r="P403" s="564" t="s">
        <v>92</v>
      </c>
      <c r="Q403" s="564" t="s">
        <v>1752</v>
      </c>
      <c r="R403" s="564">
        <v>45423</v>
      </c>
      <c r="S403" s="564" t="s">
        <v>123</v>
      </c>
      <c r="T403" s="564" t="s">
        <v>1368</v>
      </c>
      <c r="U403" s="530" t="s">
        <v>1753</v>
      </c>
      <c r="V403" s="530" t="s">
        <v>218</v>
      </c>
      <c r="W403" s="592">
        <v>1498.448</v>
      </c>
      <c r="X403" s="593">
        <f t="shared" si="229"/>
        <v>7492.24</v>
      </c>
      <c r="Y403" s="401" t="s">
        <v>1754</v>
      </c>
      <c r="Z403" s="607" t="s">
        <v>1365</v>
      </c>
      <c r="AA403" s="1453" t="s">
        <v>128</v>
      </c>
      <c r="AB403" s="608"/>
      <c r="AC403" s="608"/>
      <c r="AD403" s="608"/>
      <c r="AE403" s="564" t="s">
        <v>80</v>
      </c>
      <c r="AF403" s="564"/>
      <c r="AG403" s="608">
        <f t="shared" si="224"/>
        <v>4800</v>
      </c>
      <c r="AH403" s="608"/>
      <c r="AI403" s="608"/>
      <c r="AJ403" s="608"/>
      <c r="AK403" s="609">
        <f t="shared" si="227"/>
        <v>4800</v>
      </c>
      <c r="AL403" s="609"/>
      <c r="AM403" s="609"/>
      <c r="AN403" s="609"/>
      <c r="AO403" s="615">
        <f>I403</f>
        <v>4800</v>
      </c>
      <c r="AP403" s="609"/>
      <c r="AQ403" s="609"/>
      <c r="AR403" s="609"/>
      <c r="AS403" s="609"/>
      <c r="AT403" s="633"/>
      <c r="AU403" s="633"/>
      <c r="AV403" s="633"/>
      <c r="AW403" s="401">
        <f>I403/12</f>
        <v>400</v>
      </c>
      <c r="AX403" s="633"/>
      <c r="AY403" s="633"/>
      <c r="AZ403" s="633"/>
      <c r="BA403" s="633"/>
      <c r="BB403" s="633"/>
      <c r="BC403" s="633"/>
      <c r="BD403" s="633"/>
      <c r="BE403" s="633"/>
      <c r="BF403" s="633"/>
      <c r="BG403" s="633"/>
      <c r="BH403" s="633"/>
      <c r="BI403" s="633"/>
      <c r="BJ403" s="633"/>
      <c r="BK403" s="633"/>
      <c r="BL403" s="633"/>
      <c r="BM403" s="401">
        <f t="shared" si="226"/>
        <v>4800</v>
      </c>
      <c r="BO403" s="1473"/>
      <c r="BP403" s="1473"/>
    </row>
    <row r="404" s="200" customFormat="1" ht="36" customHeight="1" spans="1:68">
      <c r="A404" s="526">
        <v>45442</v>
      </c>
      <c r="B404" s="1507" t="s">
        <v>151</v>
      </c>
      <c r="C404" s="528" t="s">
        <v>117</v>
      </c>
      <c r="D404" s="529">
        <v>4500135267</v>
      </c>
      <c r="E404" s="530" t="s">
        <v>1755</v>
      </c>
      <c r="F404" s="529" t="s">
        <v>1756</v>
      </c>
      <c r="G404" s="531" t="s">
        <v>73</v>
      </c>
      <c r="H404" s="532" t="s">
        <v>74</v>
      </c>
      <c r="I404" s="401">
        <v>840</v>
      </c>
      <c r="J404" s="562">
        <v>0</v>
      </c>
      <c r="K404" s="531">
        <v>24</v>
      </c>
      <c r="L404" s="401">
        <f t="shared" si="211"/>
        <v>35</v>
      </c>
      <c r="M404" s="563">
        <v>45490</v>
      </c>
      <c r="N404" s="1495">
        <v>45486</v>
      </c>
      <c r="O404" s="564"/>
      <c r="P404" s="564" t="s">
        <v>92</v>
      </c>
      <c r="Q404" s="564" t="s">
        <v>1757</v>
      </c>
      <c r="R404" s="564">
        <v>45442</v>
      </c>
      <c r="S404" s="564" t="s">
        <v>123</v>
      </c>
      <c r="T404" s="564" t="s">
        <v>1758</v>
      </c>
      <c r="U404" s="530" t="s">
        <v>1759</v>
      </c>
      <c r="V404" s="1509" t="s">
        <v>156</v>
      </c>
      <c r="W404" s="592">
        <v>1.3645</v>
      </c>
      <c r="X404" s="593">
        <f t="shared" ref="X404:X410" si="232">I404*W404</f>
        <v>1146.18</v>
      </c>
      <c r="Y404" s="401" t="s">
        <v>1760</v>
      </c>
      <c r="Z404" s="607" t="s">
        <v>73</v>
      </c>
      <c r="AA404" s="1453" t="s">
        <v>128</v>
      </c>
      <c r="AB404" s="608"/>
      <c r="AC404" s="608"/>
      <c r="AD404" s="608"/>
      <c r="AE404" s="564" t="s">
        <v>80</v>
      </c>
      <c r="AF404" s="564"/>
      <c r="AG404" s="608">
        <f t="shared" si="224"/>
        <v>840</v>
      </c>
      <c r="AH404" s="608"/>
      <c r="AI404" s="608"/>
      <c r="AJ404" s="608"/>
      <c r="AK404" s="609">
        <f t="shared" ref="AK404:AK407" si="233">AG404</f>
        <v>840</v>
      </c>
      <c r="AL404" s="609"/>
      <c r="AM404" s="609"/>
      <c r="AN404" s="609"/>
      <c r="AO404" s="609">
        <f t="shared" ref="AO404:AO408" si="234">AG404</f>
        <v>840</v>
      </c>
      <c r="AP404" s="609"/>
      <c r="AQ404" s="609"/>
      <c r="AR404" s="609"/>
      <c r="AS404" s="609"/>
      <c r="AT404" s="633"/>
      <c r="AU404" s="633"/>
      <c r="AV404" s="633"/>
      <c r="AW404" s="401"/>
      <c r="AX404" s="1526"/>
      <c r="AY404" s="633"/>
      <c r="AZ404" s="633"/>
      <c r="BA404" s="633"/>
      <c r="BB404" s="633"/>
      <c r="BC404" s="633"/>
      <c r="BD404" s="633"/>
      <c r="BE404" s="633"/>
      <c r="BF404" s="633"/>
      <c r="BG404" s="633"/>
      <c r="BH404" s="633"/>
      <c r="BI404" s="633"/>
      <c r="BJ404" s="1526"/>
      <c r="BK404" s="633"/>
      <c r="BL404" s="633"/>
      <c r="BM404" s="401">
        <f t="shared" si="226"/>
        <v>840</v>
      </c>
      <c r="BO404" s="1473"/>
      <c r="BP404" s="1473"/>
    </row>
    <row r="405" s="200" customFormat="1" ht="36" customHeight="1" spans="1:68">
      <c r="A405" s="526">
        <v>45442</v>
      </c>
      <c r="B405" s="1507" t="s">
        <v>151</v>
      </c>
      <c r="C405" s="528" t="s">
        <v>117</v>
      </c>
      <c r="D405" s="529">
        <v>4500135282</v>
      </c>
      <c r="E405" s="530" t="s">
        <v>1761</v>
      </c>
      <c r="F405" s="529" t="s">
        <v>1762</v>
      </c>
      <c r="G405" s="531" t="s">
        <v>73</v>
      </c>
      <c r="H405" s="532" t="s">
        <v>74</v>
      </c>
      <c r="I405" s="401">
        <v>1488</v>
      </c>
      <c r="J405" s="562">
        <v>0</v>
      </c>
      <c r="K405" s="531">
        <v>24</v>
      </c>
      <c r="L405" s="401">
        <f t="shared" si="211"/>
        <v>62</v>
      </c>
      <c r="M405" s="563">
        <v>45490</v>
      </c>
      <c r="N405" s="1495">
        <v>45486</v>
      </c>
      <c r="O405" s="564"/>
      <c r="P405" s="564" t="s">
        <v>92</v>
      </c>
      <c r="Q405" s="564" t="s">
        <v>1763</v>
      </c>
      <c r="R405" s="564">
        <v>45442</v>
      </c>
      <c r="S405" s="564" t="s">
        <v>123</v>
      </c>
      <c r="T405" s="564" t="s">
        <v>1758</v>
      </c>
      <c r="U405" s="530" t="s">
        <v>1764</v>
      </c>
      <c r="V405" s="1509" t="s">
        <v>156</v>
      </c>
      <c r="W405" s="592">
        <v>1.3456</v>
      </c>
      <c r="X405" s="593">
        <f t="shared" si="232"/>
        <v>2002.2528</v>
      </c>
      <c r="Y405" s="401" t="s">
        <v>1765</v>
      </c>
      <c r="Z405" s="607" t="s">
        <v>73</v>
      </c>
      <c r="AA405" s="1453" t="s">
        <v>128</v>
      </c>
      <c r="AB405" s="608"/>
      <c r="AC405" s="608"/>
      <c r="AD405" s="608"/>
      <c r="AE405" s="564" t="s">
        <v>80</v>
      </c>
      <c r="AF405" s="564"/>
      <c r="AG405" s="608">
        <f t="shared" si="224"/>
        <v>1488</v>
      </c>
      <c r="AH405" s="608"/>
      <c r="AI405" s="608"/>
      <c r="AJ405" s="608"/>
      <c r="AK405" s="609">
        <f t="shared" si="233"/>
        <v>1488</v>
      </c>
      <c r="AL405" s="609"/>
      <c r="AM405" s="609"/>
      <c r="AN405" s="609"/>
      <c r="AO405" s="609">
        <f t="shared" si="234"/>
        <v>1488</v>
      </c>
      <c r="AP405" s="609"/>
      <c r="AQ405" s="609"/>
      <c r="AR405" s="609"/>
      <c r="AS405" s="609"/>
      <c r="AT405" s="633"/>
      <c r="AU405" s="633"/>
      <c r="AV405" s="633"/>
      <c r="AW405" s="401"/>
      <c r="AX405" s="1526"/>
      <c r="AY405" s="633"/>
      <c r="AZ405" s="633"/>
      <c r="BA405" s="633"/>
      <c r="BB405" s="633"/>
      <c r="BC405" s="633"/>
      <c r="BD405" s="633"/>
      <c r="BE405" s="633"/>
      <c r="BF405" s="633"/>
      <c r="BG405" s="633"/>
      <c r="BH405" s="633"/>
      <c r="BI405" s="633"/>
      <c r="BJ405" s="1526"/>
      <c r="BK405" s="633"/>
      <c r="BL405" s="633"/>
      <c r="BM405" s="401">
        <f t="shared" si="226"/>
        <v>1488</v>
      </c>
      <c r="BO405" s="1473"/>
      <c r="BP405" s="1473"/>
    </row>
    <row r="406" s="200" customFormat="1" ht="36" customHeight="1" spans="1:68">
      <c r="A406" s="526">
        <v>45442</v>
      </c>
      <c r="B406" s="1507" t="s">
        <v>151</v>
      </c>
      <c r="C406" s="528" t="s">
        <v>117</v>
      </c>
      <c r="D406" s="529">
        <v>4500135282</v>
      </c>
      <c r="E406" s="530" t="s">
        <v>1761</v>
      </c>
      <c r="F406" s="529" t="s">
        <v>1766</v>
      </c>
      <c r="G406" s="531" t="s">
        <v>73</v>
      </c>
      <c r="H406" s="532" t="s">
        <v>74</v>
      </c>
      <c r="I406" s="401">
        <v>1032</v>
      </c>
      <c r="J406" s="562">
        <v>0</v>
      </c>
      <c r="K406" s="531">
        <v>24</v>
      </c>
      <c r="L406" s="401">
        <f t="shared" si="211"/>
        <v>43</v>
      </c>
      <c r="M406" s="563">
        <v>45490</v>
      </c>
      <c r="N406" s="1495">
        <v>45486</v>
      </c>
      <c r="O406" s="564"/>
      <c r="P406" s="564" t="s">
        <v>92</v>
      </c>
      <c r="Q406" s="564" t="s">
        <v>1763</v>
      </c>
      <c r="R406" s="564">
        <v>45442</v>
      </c>
      <c r="S406" s="564" t="s">
        <v>123</v>
      </c>
      <c r="T406" s="564" t="s">
        <v>1758</v>
      </c>
      <c r="U406" s="530" t="s">
        <v>1764</v>
      </c>
      <c r="V406" s="1509" t="s">
        <v>156</v>
      </c>
      <c r="W406" s="592">
        <v>1.3456</v>
      </c>
      <c r="X406" s="593">
        <f t="shared" si="232"/>
        <v>1388.6592</v>
      </c>
      <c r="Y406" s="401" t="s">
        <v>1765</v>
      </c>
      <c r="Z406" s="607" t="s">
        <v>73</v>
      </c>
      <c r="AA406" s="1453" t="s">
        <v>128</v>
      </c>
      <c r="AB406" s="608"/>
      <c r="AC406" s="608"/>
      <c r="AD406" s="608"/>
      <c r="AE406" s="564" t="s">
        <v>80</v>
      </c>
      <c r="AF406" s="564"/>
      <c r="AG406" s="608">
        <f t="shared" si="224"/>
        <v>1032</v>
      </c>
      <c r="AH406" s="608"/>
      <c r="AI406" s="608"/>
      <c r="AJ406" s="608"/>
      <c r="AK406" s="609">
        <f t="shared" si="233"/>
        <v>1032</v>
      </c>
      <c r="AL406" s="609"/>
      <c r="AM406" s="609"/>
      <c r="AN406" s="609"/>
      <c r="AO406" s="609">
        <f t="shared" si="234"/>
        <v>1032</v>
      </c>
      <c r="AP406" s="609"/>
      <c r="AQ406" s="609"/>
      <c r="AR406" s="609"/>
      <c r="AS406" s="609"/>
      <c r="AT406" s="633"/>
      <c r="AU406" s="633"/>
      <c r="AV406" s="633"/>
      <c r="AW406" s="401"/>
      <c r="AX406" s="1526"/>
      <c r="AY406" s="633"/>
      <c r="AZ406" s="633"/>
      <c r="BA406" s="633"/>
      <c r="BB406" s="633"/>
      <c r="BC406" s="633"/>
      <c r="BD406" s="633"/>
      <c r="BE406" s="633"/>
      <c r="BF406" s="633"/>
      <c r="BG406" s="633"/>
      <c r="BH406" s="633"/>
      <c r="BI406" s="633"/>
      <c r="BJ406" s="1526"/>
      <c r="BK406" s="633"/>
      <c r="BL406" s="633"/>
      <c r="BM406" s="401">
        <f t="shared" si="226"/>
        <v>1032</v>
      </c>
      <c r="BO406" s="1473"/>
      <c r="BP406" s="1473"/>
    </row>
    <row r="407" s="200" customFormat="1" ht="36" customHeight="1" spans="1:68">
      <c r="A407" s="526">
        <v>45442</v>
      </c>
      <c r="B407" s="1507" t="s">
        <v>151</v>
      </c>
      <c r="C407" s="528" t="s">
        <v>117</v>
      </c>
      <c r="D407" s="529">
        <v>4500135161</v>
      </c>
      <c r="E407" s="530" t="s">
        <v>1767</v>
      </c>
      <c r="F407" s="529" t="s">
        <v>1768</v>
      </c>
      <c r="G407" s="531" t="s">
        <v>73</v>
      </c>
      <c r="H407" s="532" t="s">
        <v>74</v>
      </c>
      <c r="I407" s="401">
        <v>7200</v>
      </c>
      <c r="J407" s="562">
        <v>0</v>
      </c>
      <c r="K407" s="531">
        <v>24</v>
      </c>
      <c r="L407" s="401">
        <f t="shared" si="211"/>
        <v>300</v>
      </c>
      <c r="M407" s="563">
        <v>45490</v>
      </c>
      <c r="N407" s="1495">
        <v>45486</v>
      </c>
      <c r="O407" s="564"/>
      <c r="P407" s="564" t="s">
        <v>92</v>
      </c>
      <c r="Q407" s="200" t="s">
        <v>1769</v>
      </c>
      <c r="R407" s="564">
        <v>45442</v>
      </c>
      <c r="S407" s="564" t="s">
        <v>123</v>
      </c>
      <c r="T407" s="564" t="s">
        <v>1758</v>
      </c>
      <c r="U407" s="530" t="s">
        <v>1770</v>
      </c>
      <c r="V407" s="1509" t="s">
        <v>156</v>
      </c>
      <c r="W407" s="592">
        <v>1.3406</v>
      </c>
      <c r="X407" s="593">
        <f t="shared" si="232"/>
        <v>9652.32</v>
      </c>
      <c r="Y407" s="401" t="s">
        <v>1771</v>
      </c>
      <c r="Z407" s="607" t="s">
        <v>73</v>
      </c>
      <c r="AA407" s="1453" t="s">
        <v>128</v>
      </c>
      <c r="AB407" s="608"/>
      <c r="AC407" s="608"/>
      <c r="AD407" s="608"/>
      <c r="AE407" s="564" t="s">
        <v>80</v>
      </c>
      <c r="AF407" s="564"/>
      <c r="AG407" s="608">
        <f t="shared" si="224"/>
        <v>7200</v>
      </c>
      <c r="AH407" s="608"/>
      <c r="AI407" s="608"/>
      <c r="AJ407" s="608"/>
      <c r="AK407" s="609">
        <f t="shared" si="233"/>
        <v>7200</v>
      </c>
      <c r="AL407" s="609"/>
      <c r="AM407" s="609"/>
      <c r="AN407" s="609"/>
      <c r="AO407" s="609">
        <f t="shared" si="234"/>
        <v>7200</v>
      </c>
      <c r="AP407" s="609"/>
      <c r="AQ407" s="609"/>
      <c r="AR407" s="609"/>
      <c r="AS407" s="609"/>
      <c r="AT407" s="633"/>
      <c r="AU407" s="633"/>
      <c r="AV407" s="633"/>
      <c r="AW407" s="401"/>
      <c r="AX407" s="1526"/>
      <c r="AY407" s="633"/>
      <c r="AZ407" s="633"/>
      <c r="BA407" s="633"/>
      <c r="BB407" s="633"/>
      <c r="BC407" s="633"/>
      <c r="BD407" s="633"/>
      <c r="BE407" s="633"/>
      <c r="BF407" s="633"/>
      <c r="BG407" s="633"/>
      <c r="BH407" s="633"/>
      <c r="BI407" s="633"/>
      <c r="BJ407" s="1526"/>
      <c r="BK407" s="633"/>
      <c r="BL407" s="633"/>
      <c r="BM407" s="401">
        <f t="shared" si="226"/>
        <v>7200</v>
      </c>
      <c r="BO407" s="1473"/>
      <c r="BP407" s="1473"/>
    </row>
    <row r="408" s="200" customFormat="1" ht="36" customHeight="1" spans="1:68">
      <c r="A408" s="526">
        <v>45435</v>
      </c>
      <c r="B408" s="1507" t="s">
        <v>1772</v>
      </c>
      <c r="C408" s="528" t="s">
        <v>117</v>
      </c>
      <c r="D408" s="529">
        <v>4500134580</v>
      </c>
      <c r="E408" s="530">
        <v>23546319</v>
      </c>
      <c r="F408" s="529" t="s">
        <v>1773</v>
      </c>
      <c r="G408" s="531" t="s">
        <v>701</v>
      </c>
      <c r="H408" s="532" t="s">
        <v>74</v>
      </c>
      <c r="I408" s="401">
        <v>34240</v>
      </c>
      <c r="J408" s="562">
        <v>0</v>
      </c>
      <c r="K408" s="531">
        <v>8</v>
      </c>
      <c r="L408" s="401">
        <f t="shared" si="211"/>
        <v>4280</v>
      </c>
      <c r="M408" s="563">
        <v>45491</v>
      </c>
      <c r="N408" s="563">
        <v>45488</v>
      </c>
      <c r="O408" s="564" t="s">
        <v>1774</v>
      </c>
      <c r="P408" s="564" t="s">
        <v>92</v>
      </c>
      <c r="Q408" s="594" t="s">
        <v>1775</v>
      </c>
      <c r="R408" s="564">
        <v>45435</v>
      </c>
      <c r="S408" s="564" t="s">
        <v>77</v>
      </c>
      <c r="T408" s="564" t="s">
        <v>1776</v>
      </c>
      <c r="U408" s="530" t="s">
        <v>1777</v>
      </c>
      <c r="V408" s="1509" t="s">
        <v>1778</v>
      </c>
      <c r="W408" s="592">
        <v>1.4476</v>
      </c>
      <c r="X408" s="593">
        <f t="shared" si="232"/>
        <v>49565.824</v>
      </c>
      <c r="Y408" s="401" t="s">
        <v>1779</v>
      </c>
      <c r="Z408" s="531" t="s">
        <v>701</v>
      </c>
      <c r="AA408" s="1453" t="s">
        <v>128</v>
      </c>
      <c r="AB408" s="608"/>
      <c r="AC408" s="608"/>
      <c r="AD408" s="608"/>
      <c r="AE408" s="564" t="s">
        <v>80</v>
      </c>
      <c r="AF408" s="564"/>
      <c r="AG408" s="608">
        <f t="shared" si="224"/>
        <v>34240</v>
      </c>
      <c r="AH408" s="608"/>
      <c r="AI408" s="608"/>
      <c r="AJ408" s="608"/>
      <c r="AK408" s="609">
        <f>I408</f>
        <v>34240</v>
      </c>
      <c r="AL408" s="609"/>
      <c r="AM408" s="609"/>
      <c r="AN408" s="609"/>
      <c r="AO408" s="609">
        <f t="shared" si="234"/>
        <v>34240</v>
      </c>
      <c r="AP408" s="609"/>
      <c r="AQ408" s="609"/>
      <c r="AR408" s="609"/>
      <c r="AS408" s="609"/>
      <c r="AT408" s="633"/>
      <c r="AU408" s="633"/>
      <c r="AV408" s="633"/>
      <c r="AW408" s="401"/>
      <c r="AX408" s="1526"/>
      <c r="AY408" s="633"/>
      <c r="AZ408" s="633"/>
      <c r="BA408" s="633"/>
      <c r="BB408" s="633"/>
      <c r="BC408" s="633"/>
      <c r="BD408" s="633"/>
      <c r="BE408" s="633"/>
      <c r="BF408" s="633"/>
      <c r="BG408" s="633"/>
      <c r="BH408" s="633"/>
      <c r="BI408" s="633">
        <f>I408/8</f>
        <v>4280</v>
      </c>
      <c r="BK408" s="633"/>
      <c r="BL408" s="633"/>
      <c r="BM408" s="401">
        <f t="shared" si="226"/>
        <v>34240</v>
      </c>
      <c r="BO408" s="1473"/>
      <c r="BP408" s="1473"/>
    </row>
    <row r="409" s="200" customFormat="1" ht="36" customHeight="1" spans="1:68">
      <c r="A409" s="526">
        <v>45448</v>
      </c>
      <c r="B409" s="1507" t="s">
        <v>933</v>
      </c>
      <c r="C409" s="1508" t="s">
        <v>934</v>
      </c>
      <c r="D409" s="529">
        <v>4500135501</v>
      </c>
      <c r="E409" s="530">
        <v>5000001536</v>
      </c>
      <c r="F409" s="529" t="s">
        <v>1780</v>
      </c>
      <c r="G409" s="531" t="s">
        <v>160</v>
      </c>
      <c r="H409" s="532" t="s">
        <v>74</v>
      </c>
      <c r="I409" s="401">
        <v>2600</v>
      </c>
      <c r="J409" s="562">
        <v>0</v>
      </c>
      <c r="K409" s="531">
        <v>13</v>
      </c>
      <c r="L409" s="401">
        <f t="shared" si="211"/>
        <v>200</v>
      </c>
      <c r="M409" s="563">
        <v>45491</v>
      </c>
      <c r="N409" s="1495">
        <v>45489</v>
      </c>
      <c r="O409" s="564"/>
      <c r="P409" s="564" t="s">
        <v>92</v>
      </c>
      <c r="Q409" s="401" t="s">
        <v>1781</v>
      </c>
      <c r="R409" s="564" t="s">
        <v>1782</v>
      </c>
      <c r="S409" s="564" t="s">
        <v>77</v>
      </c>
      <c r="T409" s="564" t="s">
        <v>1160</v>
      </c>
      <c r="U409" s="530" t="s">
        <v>1783</v>
      </c>
      <c r="V409" s="1509" t="s">
        <v>938</v>
      </c>
      <c r="W409" s="592">
        <v>1.4309</v>
      </c>
      <c r="X409" s="593">
        <f t="shared" si="232"/>
        <v>3720.34</v>
      </c>
      <c r="Y409" s="401" t="s">
        <v>1784</v>
      </c>
      <c r="Z409" s="607" t="s">
        <v>940</v>
      </c>
      <c r="AA409" s="1453" t="s">
        <v>128</v>
      </c>
      <c r="AB409" s="608"/>
      <c r="AC409" s="608"/>
      <c r="AD409" s="608"/>
      <c r="AE409" s="564" t="s">
        <v>80</v>
      </c>
      <c r="AF409" s="564"/>
      <c r="AG409" s="608">
        <f t="shared" si="224"/>
        <v>2600</v>
      </c>
      <c r="AH409" s="608"/>
      <c r="AI409" s="608"/>
      <c r="AJ409" s="608"/>
      <c r="AK409" s="609">
        <f>I409</f>
        <v>2600</v>
      </c>
      <c r="AL409" s="609"/>
      <c r="AM409" s="609"/>
      <c r="AN409" s="609"/>
      <c r="AO409" s="609"/>
      <c r="AP409" s="609"/>
      <c r="AQ409" s="609"/>
      <c r="AR409" s="609">
        <f>I409</f>
        <v>2600</v>
      </c>
      <c r="AS409" s="609"/>
      <c r="AT409" s="633"/>
      <c r="AU409" s="633"/>
      <c r="AV409" s="633"/>
      <c r="AW409" s="401"/>
      <c r="AX409" s="1526"/>
      <c r="AY409" s="633">
        <f>I409/13</f>
        <v>200</v>
      </c>
      <c r="AZ409" s="633"/>
      <c r="BA409" s="633"/>
      <c r="BB409" s="633"/>
      <c r="BC409" s="633"/>
      <c r="BD409" s="633"/>
      <c r="BE409" s="633"/>
      <c r="BF409" s="633"/>
      <c r="BG409" s="633"/>
      <c r="BH409" s="633"/>
      <c r="BI409" s="633"/>
      <c r="BK409" s="633"/>
      <c r="BL409" s="633"/>
      <c r="BM409" s="401">
        <f t="shared" si="226"/>
        <v>2600</v>
      </c>
      <c r="BO409" s="1473"/>
      <c r="BP409" s="1473"/>
    </row>
    <row r="410" s="200" customFormat="1" ht="36" customHeight="1" spans="1:68">
      <c r="A410" s="526">
        <v>45439</v>
      </c>
      <c r="B410" s="1507" t="s">
        <v>1528</v>
      </c>
      <c r="C410" s="1508" t="s">
        <v>373</v>
      </c>
      <c r="D410" s="529">
        <v>4500132790</v>
      </c>
      <c r="E410" s="530">
        <v>2000005201</v>
      </c>
      <c r="F410" s="529" t="s">
        <v>1785</v>
      </c>
      <c r="G410" s="531" t="s">
        <v>215</v>
      </c>
      <c r="H410" s="539" t="s">
        <v>74</v>
      </c>
      <c r="I410" s="1549">
        <v>336</v>
      </c>
      <c r="J410" s="566">
        <v>0</v>
      </c>
      <c r="K410" s="538">
        <v>42</v>
      </c>
      <c r="L410" s="1549">
        <f t="shared" si="211"/>
        <v>8</v>
      </c>
      <c r="M410" s="563">
        <v>45492</v>
      </c>
      <c r="N410" s="1495">
        <v>45489</v>
      </c>
      <c r="O410" s="564"/>
      <c r="P410" s="564" t="s">
        <v>92</v>
      </c>
      <c r="Q410" s="200" t="s">
        <v>1786</v>
      </c>
      <c r="R410" s="564">
        <v>45464</v>
      </c>
      <c r="S410" s="564" t="s">
        <v>77</v>
      </c>
      <c r="T410" s="564" t="s">
        <v>1787</v>
      </c>
      <c r="U410" s="1499" t="s">
        <v>1788</v>
      </c>
      <c r="V410" s="1509" t="s">
        <v>377</v>
      </c>
      <c r="W410" s="597">
        <v>1.4389</v>
      </c>
      <c r="X410" s="598">
        <f t="shared" si="232"/>
        <v>483.4704</v>
      </c>
      <c r="Y410" s="401" t="s">
        <v>1789</v>
      </c>
      <c r="Z410" s="607" t="s">
        <v>220</v>
      </c>
      <c r="AA410" s="1453" t="s">
        <v>128</v>
      </c>
      <c r="AB410" s="608"/>
      <c r="AC410" s="608"/>
      <c r="AD410" s="608"/>
      <c r="AE410" s="564" t="s">
        <v>80</v>
      </c>
      <c r="AF410" s="564"/>
      <c r="AG410" s="608">
        <f t="shared" si="224"/>
        <v>336</v>
      </c>
      <c r="AH410" s="608"/>
      <c r="AI410" s="608"/>
      <c r="AJ410" s="608"/>
      <c r="AK410" s="609"/>
      <c r="AL410" s="609">
        <f>AG410</f>
        <v>336</v>
      </c>
      <c r="AM410" s="609"/>
      <c r="AN410" s="609"/>
      <c r="AO410" s="609">
        <f>AG410</f>
        <v>336</v>
      </c>
      <c r="AP410" s="609"/>
      <c r="AQ410" s="609"/>
      <c r="AR410" s="609"/>
      <c r="AS410" s="609"/>
      <c r="AT410" s="633">
        <f>AG410/21</f>
        <v>16</v>
      </c>
      <c r="AU410" s="633"/>
      <c r="AV410" s="633"/>
      <c r="AW410" s="401"/>
      <c r="AX410" s="1526"/>
      <c r="AY410" s="633"/>
      <c r="AZ410" s="633"/>
      <c r="BA410" s="633"/>
      <c r="BB410" s="633"/>
      <c r="BC410" s="633"/>
      <c r="BD410" s="633"/>
      <c r="BE410" s="633"/>
      <c r="BF410" s="633"/>
      <c r="BG410" s="633"/>
      <c r="BH410" s="633"/>
      <c r="BI410" s="633"/>
      <c r="BK410" s="633"/>
      <c r="BL410" s="633"/>
      <c r="BM410" s="401">
        <f t="shared" si="226"/>
        <v>336</v>
      </c>
      <c r="BO410" s="1473"/>
      <c r="BP410" s="1473"/>
    </row>
    <row r="411" s="3" customFormat="1" ht="36" customHeight="1" spans="1:71">
      <c r="A411" s="1574">
        <v>45451</v>
      </c>
      <c r="B411" s="1575"/>
      <c r="C411" s="1576"/>
      <c r="D411" s="1577" t="s">
        <v>1790</v>
      </c>
      <c r="E411" s="1575"/>
      <c r="F411" s="1577"/>
      <c r="G411" s="23" t="s">
        <v>73</v>
      </c>
      <c r="H411" s="24" t="s">
        <v>74</v>
      </c>
      <c r="I411" s="88">
        <v>330</v>
      </c>
      <c r="J411" s="89">
        <v>0</v>
      </c>
      <c r="K411" s="23">
        <v>24</v>
      </c>
      <c r="L411" s="88">
        <f t="shared" si="211"/>
        <v>13.75</v>
      </c>
      <c r="M411" s="90">
        <v>45489</v>
      </c>
      <c r="N411" s="90">
        <v>45485</v>
      </c>
      <c r="O411" s="91"/>
      <c r="P411" s="91" t="s">
        <v>1791</v>
      </c>
      <c r="Q411" s="91"/>
      <c r="R411" s="91"/>
      <c r="S411" s="91"/>
      <c r="T411" s="91"/>
      <c r="U411" s="114" t="s">
        <v>1792</v>
      </c>
      <c r="V411" s="22"/>
      <c r="W411" s="116"/>
      <c r="X411" s="117"/>
      <c r="Y411" s="88" t="s">
        <v>1793</v>
      </c>
      <c r="Z411" s="470" t="s">
        <v>443</v>
      </c>
      <c r="AA411" s="154"/>
      <c r="AB411" s="155"/>
      <c r="AC411" s="155"/>
      <c r="AD411" s="155"/>
      <c r="AE411" s="91" t="s">
        <v>80</v>
      </c>
      <c r="AF411" s="91"/>
      <c r="AG411" s="155"/>
      <c r="AH411" s="155"/>
      <c r="AI411" s="155"/>
      <c r="AJ411" s="155"/>
      <c r="AK411" s="175"/>
      <c r="AL411" s="175"/>
      <c r="AM411" s="175"/>
      <c r="AN411" s="175"/>
      <c r="AO411" s="175"/>
      <c r="AP411" s="175"/>
      <c r="AQ411" s="175"/>
      <c r="AR411" s="175"/>
      <c r="AS411" s="175"/>
      <c r="AT411" s="181"/>
      <c r="AU411" s="181"/>
      <c r="AV411" s="181"/>
      <c r="AW411" s="88"/>
      <c r="AX411" s="1591"/>
      <c r="AY411" s="181"/>
      <c r="AZ411" s="181"/>
      <c r="BA411" s="181"/>
      <c r="BB411" s="181"/>
      <c r="BC411" s="181"/>
      <c r="BD411" s="181"/>
      <c r="BE411" s="181"/>
      <c r="BF411" s="181"/>
      <c r="BG411" s="181"/>
      <c r="BH411" s="181"/>
      <c r="BI411" s="181"/>
      <c r="BJ411" s="1591"/>
      <c r="BK411" s="181"/>
      <c r="BL411" s="181"/>
      <c r="BM411" s="401">
        <f t="shared" si="226"/>
        <v>0</v>
      </c>
      <c r="BN411" s="200"/>
      <c r="BO411" s="1473"/>
      <c r="BP411" s="1473"/>
      <c r="BQ411" s="200"/>
      <c r="BR411" s="200"/>
      <c r="BS411" s="200"/>
    </row>
    <row r="412" s="200" customFormat="1" ht="36" customHeight="1" spans="1:73">
      <c r="A412" s="526">
        <v>45455</v>
      </c>
      <c r="B412" s="1507" t="s">
        <v>1794</v>
      </c>
      <c r="C412" s="1508" t="s">
        <v>117</v>
      </c>
      <c r="D412" s="529">
        <v>4500136522</v>
      </c>
      <c r="E412" s="530" t="s">
        <v>1795</v>
      </c>
      <c r="F412" s="529" t="s">
        <v>1796</v>
      </c>
      <c r="G412" s="531" t="s">
        <v>628</v>
      </c>
      <c r="H412" s="532" t="s">
        <v>623</v>
      </c>
      <c r="I412" s="401">
        <v>804</v>
      </c>
      <c r="J412" s="562">
        <v>0</v>
      </c>
      <c r="K412" s="531">
        <v>12</v>
      </c>
      <c r="L412" s="401">
        <f t="shared" si="211"/>
        <v>67</v>
      </c>
      <c r="M412" s="563">
        <v>45491</v>
      </c>
      <c r="N412" s="1495">
        <v>45489</v>
      </c>
      <c r="O412" s="564"/>
      <c r="P412" s="1446" t="s">
        <v>92</v>
      </c>
      <c r="Q412" s="564" t="s">
        <v>1360</v>
      </c>
      <c r="R412" s="564">
        <v>45460</v>
      </c>
      <c r="S412" s="564" t="s">
        <v>77</v>
      </c>
      <c r="T412" s="564" t="s">
        <v>1797</v>
      </c>
      <c r="U412" s="530" t="s">
        <v>1798</v>
      </c>
      <c r="V412" s="1509" t="s">
        <v>1341</v>
      </c>
      <c r="W412" s="592">
        <v>3.1012</v>
      </c>
      <c r="X412" s="593">
        <f t="shared" ref="X412:X426" si="235">I412*W412</f>
        <v>2493.3648</v>
      </c>
      <c r="Y412" s="401" t="s">
        <v>1799</v>
      </c>
      <c r="Z412" s="607" t="s">
        <v>628</v>
      </c>
      <c r="AA412" s="1453" t="s">
        <v>128</v>
      </c>
      <c r="AB412" s="608"/>
      <c r="AC412" s="608"/>
      <c r="AD412" s="608"/>
      <c r="AE412" s="564" t="s">
        <v>80</v>
      </c>
      <c r="AF412" s="564"/>
      <c r="AG412" s="608">
        <f t="shared" ref="AG412:AG416" si="236">I412*2</f>
        <v>1608</v>
      </c>
      <c r="AH412" s="608"/>
      <c r="AI412" s="608"/>
      <c r="AJ412" s="609">
        <f t="shared" ref="AJ412:AJ415" si="237">AG412</f>
        <v>1608</v>
      </c>
      <c r="AK412" s="609"/>
      <c r="AL412" s="609"/>
      <c r="AM412" s="609"/>
      <c r="AN412" s="609"/>
      <c r="AO412" s="615">
        <f t="shared" ref="AO412:AO415" si="238">AJ412</f>
        <v>1608</v>
      </c>
      <c r="AP412" s="609"/>
      <c r="AQ412" s="609"/>
      <c r="AR412" s="609"/>
      <c r="AS412" s="609"/>
      <c r="AT412" s="633"/>
      <c r="AU412" s="633"/>
      <c r="AV412" s="633"/>
      <c r="AW412" s="401"/>
      <c r="AX412" s="1526"/>
      <c r="AY412" s="633"/>
      <c r="AZ412" s="633"/>
      <c r="BA412" s="633"/>
      <c r="BB412" s="633"/>
      <c r="BC412" s="633"/>
      <c r="BD412" s="633"/>
      <c r="BE412" s="633"/>
      <c r="BF412" s="633"/>
      <c r="BG412" s="633"/>
      <c r="BH412" s="633"/>
      <c r="BI412" s="633"/>
      <c r="BK412" s="633">
        <f t="shared" ref="BK412:BK416" si="239">I412</f>
        <v>804</v>
      </c>
      <c r="BL412" s="633">
        <f t="shared" ref="BL412:BL416" si="240">I412</f>
        <v>804</v>
      </c>
      <c r="BM412" s="401">
        <f t="shared" si="226"/>
        <v>1608</v>
      </c>
      <c r="BO412" s="1473"/>
      <c r="BP412" s="1473"/>
      <c r="BU412" s="1502" t="s">
        <v>1800</v>
      </c>
    </row>
    <row r="413" s="200" customFormat="1" ht="36" customHeight="1" spans="1:73">
      <c r="A413" s="526">
        <v>45455</v>
      </c>
      <c r="B413" s="1540" t="s">
        <v>1794</v>
      </c>
      <c r="C413" s="1560" t="s">
        <v>117</v>
      </c>
      <c r="D413" s="529">
        <v>4500136506</v>
      </c>
      <c r="E413" s="530" t="s">
        <v>1801</v>
      </c>
      <c r="F413" s="529" t="s">
        <v>1802</v>
      </c>
      <c r="G413" s="531" t="s">
        <v>628</v>
      </c>
      <c r="H413" s="532" t="s">
        <v>623</v>
      </c>
      <c r="I413" s="401">
        <v>996</v>
      </c>
      <c r="J413" s="562">
        <v>0</v>
      </c>
      <c r="K413" s="531">
        <v>12</v>
      </c>
      <c r="L413" s="401">
        <f t="shared" si="211"/>
        <v>83</v>
      </c>
      <c r="M413" s="563">
        <v>45491</v>
      </c>
      <c r="N413" s="1495">
        <v>45489</v>
      </c>
      <c r="O413" s="564"/>
      <c r="P413" s="1446" t="s">
        <v>92</v>
      </c>
      <c r="Q413" s="401" t="s">
        <v>1803</v>
      </c>
      <c r="R413" s="564">
        <v>45460</v>
      </c>
      <c r="S413" s="564" t="s">
        <v>77</v>
      </c>
      <c r="T413" s="564" t="s">
        <v>1797</v>
      </c>
      <c r="U413" s="530" t="s">
        <v>1804</v>
      </c>
      <c r="V413" s="1509" t="s">
        <v>1341</v>
      </c>
      <c r="W413" s="592">
        <v>3.1012</v>
      </c>
      <c r="X413" s="593">
        <f t="shared" si="235"/>
        <v>3088.7952</v>
      </c>
      <c r="Y413" s="401" t="s">
        <v>1805</v>
      </c>
      <c r="Z413" s="607" t="s">
        <v>628</v>
      </c>
      <c r="AA413" s="1453" t="s">
        <v>128</v>
      </c>
      <c r="AB413" s="608"/>
      <c r="AC413" s="608"/>
      <c r="AD413" s="608"/>
      <c r="AE413" s="564" t="s">
        <v>80</v>
      </c>
      <c r="AF413" s="564"/>
      <c r="AG413" s="608">
        <f t="shared" si="236"/>
        <v>1992</v>
      </c>
      <c r="AH413" s="608"/>
      <c r="AI413" s="608"/>
      <c r="AJ413" s="609">
        <f t="shared" si="237"/>
        <v>1992</v>
      </c>
      <c r="AK413" s="609"/>
      <c r="AL413" s="609"/>
      <c r="AM413" s="609"/>
      <c r="AN413" s="609"/>
      <c r="AO413" s="615">
        <f t="shared" si="238"/>
        <v>1992</v>
      </c>
      <c r="AP413" s="609"/>
      <c r="AQ413" s="609"/>
      <c r="AR413" s="609"/>
      <c r="AS413" s="609"/>
      <c r="AT413" s="633"/>
      <c r="AU413" s="633"/>
      <c r="AV413" s="633"/>
      <c r="AW413" s="401"/>
      <c r="AX413" s="1526"/>
      <c r="AY413" s="633"/>
      <c r="AZ413" s="633"/>
      <c r="BA413" s="633"/>
      <c r="BB413" s="633"/>
      <c r="BC413" s="633"/>
      <c r="BD413" s="633"/>
      <c r="BE413" s="633"/>
      <c r="BF413" s="633"/>
      <c r="BG413" s="633"/>
      <c r="BH413" s="633"/>
      <c r="BI413" s="633"/>
      <c r="BK413" s="633">
        <f t="shared" si="239"/>
        <v>996</v>
      </c>
      <c r="BL413" s="633">
        <f t="shared" si="240"/>
        <v>996</v>
      </c>
      <c r="BM413" s="401">
        <f t="shared" si="226"/>
        <v>1992</v>
      </c>
      <c r="BO413" s="1473"/>
      <c r="BP413" s="1473"/>
      <c r="BU413" s="1502" t="s">
        <v>1800</v>
      </c>
    </row>
    <row r="414" s="200" customFormat="1" ht="36" customHeight="1" spans="1:73">
      <c r="A414" s="526">
        <v>45455</v>
      </c>
      <c r="B414" s="1540" t="s">
        <v>1794</v>
      </c>
      <c r="C414" s="1560" t="s">
        <v>117</v>
      </c>
      <c r="D414" s="529">
        <v>4500136556</v>
      </c>
      <c r="E414" s="530" t="s">
        <v>1806</v>
      </c>
      <c r="F414" s="529" t="s">
        <v>1807</v>
      </c>
      <c r="G414" s="531" t="s">
        <v>628</v>
      </c>
      <c r="H414" s="532" t="s">
        <v>623</v>
      </c>
      <c r="I414" s="401">
        <v>996</v>
      </c>
      <c r="J414" s="562">
        <v>0</v>
      </c>
      <c r="K414" s="531">
        <v>12</v>
      </c>
      <c r="L414" s="401">
        <f t="shared" si="211"/>
        <v>83</v>
      </c>
      <c r="M414" s="563">
        <v>45491</v>
      </c>
      <c r="N414" s="1495">
        <v>45489</v>
      </c>
      <c r="O414" s="564"/>
      <c r="P414" s="1446" t="s">
        <v>92</v>
      </c>
      <c r="Q414" s="401" t="s">
        <v>1728</v>
      </c>
      <c r="R414" s="564">
        <v>45460</v>
      </c>
      <c r="S414" s="564" t="s">
        <v>77</v>
      </c>
      <c r="T414" s="564" t="s">
        <v>1797</v>
      </c>
      <c r="U414" s="530" t="s">
        <v>1798</v>
      </c>
      <c r="V414" s="1509" t="s">
        <v>1341</v>
      </c>
      <c r="W414" s="592">
        <v>3.1012</v>
      </c>
      <c r="X414" s="593">
        <f t="shared" si="235"/>
        <v>3088.7952</v>
      </c>
      <c r="Y414" s="511" t="s">
        <v>1808</v>
      </c>
      <c r="Z414" s="607" t="s">
        <v>628</v>
      </c>
      <c r="AA414" s="1453" t="s">
        <v>128</v>
      </c>
      <c r="AB414" s="608"/>
      <c r="AC414" s="608"/>
      <c r="AD414" s="608"/>
      <c r="AE414" s="564" t="s">
        <v>80</v>
      </c>
      <c r="AF414" s="564"/>
      <c r="AG414" s="608">
        <f t="shared" si="236"/>
        <v>1992</v>
      </c>
      <c r="AH414" s="608"/>
      <c r="AI414" s="608"/>
      <c r="AJ414" s="609">
        <f t="shared" si="237"/>
        <v>1992</v>
      </c>
      <c r="AK414" s="609"/>
      <c r="AL414" s="609"/>
      <c r="AM414" s="609"/>
      <c r="AN414" s="609"/>
      <c r="AO414" s="615">
        <f t="shared" si="238"/>
        <v>1992</v>
      </c>
      <c r="AP414" s="609"/>
      <c r="AQ414" s="609"/>
      <c r="AR414" s="609"/>
      <c r="AS414" s="609"/>
      <c r="AT414" s="633"/>
      <c r="AU414" s="633"/>
      <c r="AV414" s="633"/>
      <c r="AW414" s="401"/>
      <c r="AX414" s="1526"/>
      <c r="AY414" s="633"/>
      <c r="AZ414" s="633"/>
      <c r="BA414" s="633"/>
      <c r="BB414" s="633"/>
      <c r="BC414" s="633"/>
      <c r="BD414" s="633"/>
      <c r="BE414" s="633"/>
      <c r="BF414" s="633"/>
      <c r="BG414" s="633"/>
      <c r="BH414" s="633"/>
      <c r="BI414" s="633"/>
      <c r="BK414" s="633">
        <f t="shared" si="239"/>
        <v>996</v>
      </c>
      <c r="BL414" s="633">
        <f t="shared" si="240"/>
        <v>996</v>
      </c>
      <c r="BM414" s="401">
        <f t="shared" si="226"/>
        <v>1992</v>
      </c>
      <c r="BO414" s="1473"/>
      <c r="BP414" s="1473"/>
      <c r="BU414" s="1502" t="s">
        <v>1800</v>
      </c>
    </row>
    <row r="415" s="200" customFormat="1" ht="36" customHeight="1" spans="1:73">
      <c r="A415" s="526">
        <v>45455</v>
      </c>
      <c r="B415" s="1540" t="s">
        <v>1794</v>
      </c>
      <c r="C415" s="1560" t="s">
        <v>117</v>
      </c>
      <c r="D415" s="529">
        <v>4500136539</v>
      </c>
      <c r="E415" s="530" t="s">
        <v>1809</v>
      </c>
      <c r="F415" s="529" t="s">
        <v>1810</v>
      </c>
      <c r="G415" s="531" t="s">
        <v>628</v>
      </c>
      <c r="H415" s="532" t="s">
        <v>623</v>
      </c>
      <c r="I415" s="401">
        <v>1200</v>
      </c>
      <c r="J415" s="562">
        <v>0</v>
      </c>
      <c r="K415" s="531">
        <v>12</v>
      </c>
      <c r="L415" s="401">
        <f t="shared" si="211"/>
        <v>100</v>
      </c>
      <c r="M415" s="563">
        <v>45491</v>
      </c>
      <c r="N415" s="1495">
        <v>45489</v>
      </c>
      <c r="O415" s="564"/>
      <c r="P415" s="1446" t="s">
        <v>92</v>
      </c>
      <c r="Q415" s="401" t="s">
        <v>1734</v>
      </c>
      <c r="R415" s="564">
        <v>45460</v>
      </c>
      <c r="S415" s="564" t="s">
        <v>77</v>
      </c>
      <c r="T415" s="564" t="s">
        <v>1797</v>
      </c>
      <c r="U415" s="530" t="s">
        <v>1798</v>
      </c>
      <c r="V415" s="1509" t="s">
        <v>1341</v>
      </c>
      <c r="W415" s="592">
        <v>3.1012</v>
      </c>
      <c r="X415" s="593">
        <f t="shared" si="235"/>
        <v>3721.44</v>
      </c>
      <c r="Y415" s="511" t="s">
        <v>1811</v>
      </c>
      <c r="Z415" s="607" t="s">
        <v>628</v>
      </c>
      <c r="AA415" s="1453" t="s">
        <v>128</v>
      </c>
      <c r="AB415" s="608"/>
      <c r="AC415" s="608"/>
      <c r="AD415" s="608"/>
      <c r="AE415" s="564" t="s">
        <v>80</v>
      </c>
      <c r="AF415" s="564"/>
      <c r="AG415" s="608">
        <f t="shared" si="236"/>
        <v>2400</v>
      </c>
      <c r="AH415" s="608"/>
      <c r="AI415" s="608"/>
      <c r="AJ415" s="609">
        <f t="shared" si="237"/>
        <v>2400</v>
      </c>
      <c r="AK415" s="609"/>
      <c r="AL415" s="609"/>
      <c r="AM415" s="609"/>
      <c r="AN415" s="609"/>
      <c r="AO415" s="615">
        <f t="shared" si="238"/>
        <v>2400</v>
      </c>
      <c r="AP415" s="609"/>
      <c r="AQ415" s="609"/>
      <c r="AR415" s="609"/>
      <c r="AS415" s="609"/>
      <c r="AT415" s="633"/>
      <c r="AU415" s="633"/>
      <c r="AV415" s="633"/>
      <c r="AW415" s="401"/>
      <c r="AX415" s="1526"/>
      <c r="AY415" s="633"/>
      <c r="AZ415" s="633"/>
      <c r="BA415" s="633"/>
      <c r="BB415" s="633"/>
      <c r="BC415" s="633"/>
      <c r="BD415" s="633"/>
      <c r="BE415" s="633"/>
      <c r="BF415" s="633"/>
      <c r="BG415" s="633"/>
      <c r="BH415" s="633"/>
      <c r="BI415" s="633"/>
      <c r="BK415" s="633">
        <f t="shared" si="239"/>
        <v>1200</v>
      </c>
      <c r="BL415" s="633">
        <f t="shared" si="240"/>
        <v>1200</v>
      </c>
      <c r="BM415" s="401">
        <f t="shared" si="226"/>
        <v>2400</v>
      </c>
      <c r="BO415" s="1473"/>
      <c r="BP415" s="1473"/>
      <c r="BU415" s="1502" t="s">
        <v>1800</v>
      </c>
    </row>
    <row r="416" s="200" customFormat="1" ht="36" customHeight="1" spans="1:73">
      <c r="A416" s="526">
        <v>45433</v>
      </c>
      <c r="B416" s="1578" t="s">
        <v>816</v>
      </c>
      <c r="C416" s="1478" t="s">
        <v>117</v>
      </c>
      <c r="D416" s="1579">
        <v>4500134268</v>
      </c>
      <c r="E416" s="1482">
        <v>70043868</v>
      </c>
      <c r="F416" s="1579" t="s">
        <v>1812</v>
      </c>
      <c r="G416" s="531" t="s">
        <v>628</v>
      </c>
      <c r="H416" s="532" t="s">
        <v>623</v>
      </c>
      <c r="I416" s="401">
        <v>600</v>
      </c>
      <c r="J416" s="562">
        <v>0</v>
      </c>
      <c r="K416" s="531">
        <v>12</v>
      </c>
      <c r="L416" s="401">
        <f t="shared" si="211"/>
        <v>50</v>
      </c>
      <c r="M416" s="563">
        <v>45492</v>
      </c>
      <c r="N416" s="1495">
        <v>45489</v>
      </c>
      <c r="O416" s="564"/>
      <c r="P416" s="564" t="s">
        <v>1262</v>
      </c>
      <c r="Q416" s="564" t="s">
        <v>1360</v>
      </c>
      <c r="R416" s="564">
        <v>45448</v>
      </c>
      <c r="S416" s="564" t="s">
        <v>77</v>
      </c>
      <c r="T416" s="564" t="s">
        <v>1546</v>
      </c>
      <c r="U416" s="530" t="s">
        <v>1513</v>
      </c>
      <c r="V416" s="1585" t="s">
        <v>163</v>
      </c>
      <c r="W416" s="592">
        <v>4.1259</v>
      </c>
      <c r="X416" s="593">
        <f t="shared" si="235"/>
        <v>2475.54</v>
      </c>
      <c r="Y416" s="401" t="s">
        <v>1813</v>
      </c>
      <c r="Z416" s="607" t="s">
        <v>822</v>
      </c>
      <c r="AA416" s="1453" t="s">
        <v>128</v>
      </c>
      <c r="AB416" s="608"/>
      <c r="AC416" s="608"/>
      <c r="AD416" s="608"/>
      <c r="AE416" s="564" t="s">
        <v>80</v>
      </c>
      <c r="AF416" s="564"/>
      <c r="AG416" s="608">
        <f t="shared" si="236"/>
        <v>1200</v>
      </c>
      <c r="AH416" s="608"/>
      <c r="AI416" s="608"/>
      <c r="AJ416" s="608"/>
      <c r="AK416" s="609">
        <f t="shared" ref="AK416:AK422" si="241">AG416</f>
        <v>1200</v>
      </c>
      <c r="AL416" s="609"/>
      <c r="AM416" s="609"/>
      <c r="AN416" s="609"/>
      <c r="AO416" s="615">
        <f>AK416</f>
        <v>1200</v>
      </c>
      <c r="AP416" s="609"/>
      <c r="AQ416" s="609"/>
      <c r="AR416" s="609"/>
      <c r="AS416" s="609"/>
      <c r="AT416" s="633"/>
      <c r="AU416" s="633"/>
      <c r="AV416" s="633"/>
      <c r="AW416" s="633"/>
      <c r="AY416" s="633"/>
      <c r="AZ416" s="633"/>
      <c r="BA416" s="633"/>
      <c r="BB416" s="633"/>
      <c r="BC416" s="633"/>
      <c r="BD416" s="633"/>
      <c r="BE416" s="633"/>
      <c r="BF416" s="633"/>
      <c r="BG416" s="633"/>
      <c r="BH416" s="633"/>
      <c r="BI416" s="633"/>
      <c r="BJ416" s="633"/>
      <c r="BK416" s="633">
        <f t="shared" si="239"/>
        <v>600</v>
      </c>
      <c r="BL416" s="633">
        <f t="shared" si="240"/>
        <v>600</v>
      </c>
      <c r="BM416" s="401">
        <f t="shared" si="226"/>
        <v>1200</v>
      </c>
      <c r="BO416" s="1473"/>
      <c r="BP416" s="1473"/>
      <c r="BU416" s="1502" t="s">
        <v>1343</v>
      </c>
    </row>
    <row r="417" s="200" customFormat="1" ht="36" customHeight="1" spans="1:68">
      <c r="A417" s="526">
        <v>45446</v>
      </c>
      <c r="B417" s="1578" t="s">
        <v>512</v>
      </c>
      <c r="C417" s="1478" t="s">
        <v>213</v>
      </c>
      <c r="D417" s="1579">
        <v>4500135655</v>
      </c>
      <c r="E417" s="1482"/>
      <c r="F417" s="1579" t="s">
        <v>1814</v>
      </c>
      <c r="G417" s="531" t="s">
        <v>1205</v>
      </c>
      <c r="H417" s="532" t="s">
        <v>74</v>
      </c>
      <c r="I417" s="401">
        <v>3000</v>
      </c>
      <c r="J417" s="1496">
        <v>25</v>
      </c>
      <c r="K417" s="1496">
        <v>50</v>
      </c>
      <c r="L417" s="1496">
        <f t="shared" si="211"/>
        <v>60</v>
      </c>
      <c r="M417" s="563">
        <v>45492</v>
      </c>
      <c r="N417" s="1495">
        <v>45489</v>
      </c>
      <c r="O417" s="564"/>
      <c r="P417" s="1446" t="s">
        <v>92</v>
      </c>
      <c r="Q417" s="564" t="s">
        <v>1815</v>
      </c>
      <c r="R417" s="564">
        <v>45456</v>
      </c>
      <c r="S417" s="564" t="s">
        <v>77</v>
      </c>
      <c r="T417" s="564" t="s">
        <v>77</v>
      </c>
      <c r="U417" s="530" t="s">
        <v>1816</v>
      </c>
      <c r="V417" s="1585" t="s">
        <v>218</v>
      </c>
      <c r="W417" s="592">
        <v>1.4545</v>
      </c>
      <c r="X417" s="593">
        <f t="shared" si="235"/>
        <v>4363.5</v>
      </c>
      <c r="Y417" s="401" t="s">
        <v>1817</v>
      </c>
      <c r="Z417" s="607" t="s">
        <v>1205</v>
      </c>
      <c r="AA417" s="1453" t="s">
        <v>128</v>
      </c>
      <c r="AB417" s="608"/>
      <c r="AC417" s="608"/>
      <c r="AD417" s="608"/>
      <c r="AE417" s="564" t="s">
        <v>80</v>
      </c>
      <c r="AF417" s="564"/>
      <c r="AG417" s="608">
        <f t="shared" ref="AG417:AG444" si="242">I417</f>
        <v>3000</v>
      </c>
      <c r="AH417" s="608"/>
      <c r="AI417" s="608"/>
      <c r="AJ417" s="608"/>
      <c r="AK417" s="609">
        <f>I417</f>
        <v>3000</v>
      </c>
      <c r="AL417" s="609"/>
      <c r="AM417" s="609"/>
      <c r="AN417" s="609"/>
      <c r="AO417" s="609">
        <f t="shared" ref="AO417:AO419" si="243">I417</f>
        <v>3000</v>
      </c>
      <c r="AP417" s="609"/>
      <c r="AQ417" s="609"/>
      <c r="AR417" s="609"/>
      <c r="AS417" s="609"/>
      <c r="AT417" s="633"/>
      <c r="AU417" s="633"/>
      <c r="AV417" s="633"/>
      <c r="AW417" s="633"/>
      <c r="AY417" s="633"/>
      <c r="AZ417" s="633"/>
      <c r="BA417" s="633">
        <f>I417/25</f>
        <v>120</v>
      </c>
      <c r="BB417" s="633"/>
      <c r="BC417" s="633"/>
      <c r="BD417" s="633"/>
      <c r="BE417" s="633"/>
      <c r="BF417" s="633"/>
      <c r="BG417" s="633"/>
      <c r="BH417" s="633"/>
      <c r="BI417" s="633"/>
      <c r="BJ417" s="633"/>
      <c r="BK417" s="633"/>
      <c r="BL417" s="633"/>
      <c r="BM417" s="401">
        <f t="shared" si="226"/>
        <v>3000</v>
      </c>
      <c r="BO417" s="1473"/>
      <c r="BP417" s="1473"/>
    </row>
    <row r="418" s="200" customFormat="1" ht="36" customHeight="1" spans="1:68">
      <c r="A418" s="526">
        <v>45446</v>
      </c>
      <c r="B418" s="1578" t="s">
        <v>512</v>
      </c>
      <c r="C418" s="1478" t="s">
        <v>213</v>
      </c>
      <c r="D418" s="1579">
        <v>4500135655</v>
      </c>
      <c r="E418" s="1482"/>
      <c r="F418" s="1579" t="s">
        <v>1818</v>
      </c>
      <c r="G418" s="531" t="s">
        <v>1205</v>
      </c>
      <c r="H418" s="532" t="s">
        <v>74</v>
      </c>
      <c r="I418" s="401">
        <v>3000</v>
      </c>
      <c r="J418" s="1496">
        <v>25</v>
      </c>
      <c r="K418" s="1496">
        <v>50</v>
      </c>
      <c r="L418" s="1496">
        <f t="shared" si="211"/>
        <v>60</v>
      </c>
      <c r="M418" s="563">
        <v>45492</v>
      </c>
      <c r="N418" s="1495">
        <v>45489</v>
      </c>
      <c r="O418" s="564"/>
      <c r="P418" s="1446" t="s">
        <v>92</v>
      </c>
      <c r="Q418" s="564" t="s">
        <v>1815</v>
      </c>
      <c r="R418" s="564">
        <v>45456</v>
      </c>
      <c r="S418" s="564" t="s">
        <v>77</v>
      </c>
      <c r="T418" s="564" t="s">
        <v>77</v>
      </c>
      <c r="U418" s="530" t="s">
        <v>1816</v>
      </c>
      <c r="V418" s="1585" t="s">
        <v>218</v>
      </c>
      <c r="W418" s="592">
        <v>1.4545</v>
      </c>
      <c r="X418" s="593">
        <f t="shared" si="235"/>
        <v>4363.5</v>
      </c>
      <c r="Y418" s="401" t="s">
        <v>1817</v>
      </c>
      <c r="Z418" s="607" t="s">
        <v>1205</v>
      </c>
      <c r="AA418" s="1453" t="s">
        <v>128</v>
      </c>
      <c r="AB418" s="608"/>
      <c r="AC418" s="608"/>
      <c r="AD418" s="608"/>
      <c r="AE418" s="564" t="s">
        <v>80</v>
      </c>
      <c r="AF418" s="564"/>
      <c r="AG418" s="608">
        <f t="shared" si="242"/>
        <v>3000</v>
      </c>
      <c r="AH418" s="608"/>
      <c r="AI418" s="608"/>
      <c r="AJ418" s="608"/>
      <c r="AK418" s="609">
        <f>I418</f>
        <v>3000</v>
      </c>
      <c r="AL418" s="609"/>
      <c r="AM418" s="609"/>
      <c r="AN418" s="609"/>
      <c r="AO418" s="609">
        <f t="shared" si="243"/>
        <v>3000</v>
      </c>
      <c r="AP418" s="609"/>
      <c r="AQ418" s="609"/>
      <c r="AR418" s="609"/>
      <c r="AS418" s="609"/>
      <c r="AT418" s="633"/>
      <c r="AU418" s="633"/>
      <c r="AV418" s="633"/>
      <c r="AW418" s="633"/>
      <c r="AY418" s="633"/>
      <c r="AZ418" s="633"/>
      <c r="BA418" s="633">
        <f>I418/25</f>
        <v>120</v>
      </c>
      <c r="BB418" s="633"/>
      <c r="BC418" s="633"/>
      <c r="BD418" s="633"/>
      <c r="BE418" s="633"/>
      <c r="BF418" s="633"/>
      <c r="BG418" s="633"/>
      <c r="BH418" s="633"/>
      <c r="BI418" s="633"/>
      <c r="BJ418" s="633"/>
      <c r="BK418" s="633"/>
      <c r="BL418" s="633"/>
      <c r="BM418" s="401">
        <f t="shared" si="226"/>
        <v>3000</v>
      </c>
      <c r="BO418" s="1473"/>
      <c r="BP418" s="1473"/>
    </row>
    <row r="419" s="200" customFormat="1" ht="36" customHeight="1" spans="1:68">
      <c r="A419" s="526">
        <v>45454</v>
      </c>
      <c r="B419" s="1578" t="s">
        <v>1126</v>
      </c>
      <c r="C419" s="1478" t="s">
        <v>180</v>
      </c>
      <c r="D419" s="1579">
        <v>4500136316</v>
      </c>
      <c r="E419" s="1482">
        <v>4400410424</v>
      </c>
      <c r="F419" s="1579" t="s">
        <v>1819</v>
      </c>
      <c r="G419" s="531" t="s">
        <v>96</v>
      </c>
      <c r="H419" s="532" t="s">
        <v>74</v>
      </c>
      <c r="I419" s="401">
        <v>2550</v>
      </c>
      <c r="J419" s="562">
        <v>0</v>
      </c>
      <c r="K419" s="531">
        <v>50</v>
      </c>
      <c r="L419" s="401">
        <f t="shared" si="211"/>
        <v>51</v>
      </c>
      <c r="M419" s="563">
        <v>45492</v>
      </c>
      <c r="N419" s="1495">
        <v>45489</v>
      </c>
      <c r="O419" s="564"/>
      <c r="P419" s="1446" t="s">
        <v>92</v>
      </c>
      <c r="Q419" s="564" t="s">
        <v>1728</v>
      </c>
      <c r="R419" s="564">
        <v>45461</v>
      </c>
      <c r="S419" s="564" t="s">
        <v>77</v>
      </c>
      <c r="T419" s="564" t="s">
        <v>1820</v>
      </c>
      <c r="U419" s="530" t="s">
        <v>1821</v>
      </c>
      <c r="V419" s="1585" t="s">
        <v>1129</v>
      </c>
      <c r="W419" s="592">
        <v>1.4344</v>
      </c>
      <c r="X419" s="593">
        <f t="shared" si="235"/>
        <v>3657.72</v>
      </c>
      <c r="Y419" s="401" t="s">
        <v>1822</v>
      </c>
      <c r="Z419" s="607" t="s">
        <v>220</v>
      </c>
      <c r="AA419" s="1453" t="s">
        <v>128</v>
      </c>
      <c r="AB419" s="608"/>
      <c r="AC419" s="608"/>
      <c r="AD419" s="608"/>
      <c r="AE419" s="564" t="s">
        <v>80</v>
      </c>
      <c r="AF419" s="564"/>
      <c r="AG419" s="608">
        <f t="shared" si="242"/>
        <v>2550</v>
      </c>
      <c r="AH419" s="608"/>
      <c r="AI419" s="608"/>
      <c r="AJ419" s="608"/>
      <c r="AK419" s="609"/>
      <c r="AL419" s="609">
        <f>I419</f>
        <v>2550</v>
      </c>
      <c r="AM419" s="609"/>
      <c r="AN419" s="609"/>
      <c r="AO419" s="609">
        <f t="shared" si="243"/>
        <v>2550</v>
      </c>
      <c r="AP419" s="609"/>
      <c r="AQ419" s="609"/>
      <c r="AR419" s="609"/>
      <c r="AS419" s="609"/>
      <c r="AT419" s="633"/>
      <c r="AU419" s="633"/>
      <c r="AV419" s="633"/>
      <c r="AW419" s="633"/>
      <c r="AY419" s="633"/>
      <c r="AZ419" s="633"/>
      <c r="BA419" s="633"/>
      <c r="BB419" s="633">
        <f>I419/25</f>
        <v>102</v>
      </c>
      <c r="BC419" s="633"/>
      <c r="BD419" s="633"/>
      <c r="BE419" s="633"/>
      <c r="BF419" s="633"/>
      <c r="BG419" s="633"/>
      <c r="BH419" s="633"/>
      <c r="BI419" s="633"/>
      <c r="BJ419" s="633"/>
      <c r="BK419" s="633"/>
      <c r="BL419" s="633"/>
      <c r="BM419" s="401">
        <f t="shared" si="226"/>
        <v>2550</v>
      </c>
      <c r="BO419" s="1473"/>
      <c r="BP419" s="1473"/>
    </row>
    <row r="420" s="200" customFormat="1" ht="36" customHeight="1" spans="1:68">
      <c r="A420" s="1534">
        <v>45441</v>
      </c>
      <c r="B420" s="1536" t="s">
        <v>612</v>
      </c>
      <c r="C420" s="528" t="s">
        <v>613</v>
      </c>
      <c r="D420" s="1535">
        <v>4500134486</v>
      </c>
      <c r="E420" s="1536" t="s">
        <v>1823</v>
      </c>
      <c r="F420" s="1535" t="s">
        <v>1824</v>
      </c>
      <c r="G420" s="531" t="s">
        <v>403</v>
      </c>
      <c r="H420" s="532" t="s">
        <v>74</v>
      </c>
      <c r="I420" s="401">
        <v>156</v>
      </c>
      <c r="J420" s="562">
        <v>0</v>
      </c>
      <c r="K420" s="531">
        <v>52</v>
      </c>
      <c r="L420" s="401">
        <f t="shared" si="211"/>
        <v>3</v>
      </c>
      <c r="M420" s="563">
        <v>45481</v>
      </c>
      <c r="N420" s="563">
        <v>45490</v>
      </c>
      <c r="O420" s="564"/>
      <c r="P420" s="1446" t="s">
        <v>92</v>
      </c>
      <c r="Q420" s="564" t="s">
        <v>1825</v>
      </c>
      <c r="R420" s="564">
        <v>45462</v>
      </c>
      <c r="S420" s="564" t="s">
        <v>77</v>
      </c>
      <c r="T420" s="564" t="s">
        <v>1826</v>
      </c>
      <c r="U420" s="1499" t="s">
        <v>1827</v>
      </c>
      <c r="V420" s="564" t="s">
        <v>618</v>
      </c>
      <c r="W420" s="592">
        <v>1.4096</v>
      </c>
      <c r="X420" s="593">
        <f t="shared" si="235"/>
        <v>219.8976</v>
      </c>
      <c r="Y420" s="401" t="s">
        <v>1828</v>
      </c>
      <c r="Z420" s="607" t="s">
        <v>403</v>
      </c>
      <c r="AA420" s="1453" t="s">
        <v>128</v>
      </c>
      <c r="AB420" s="608"/>
      <c r="AC420" s="608"/>
      <c r="AD420" s="608"/>
      <c r="AE420" s="564" t="s">
        <v>80</v>
      </c>
      <c r="AF420" s="564"/>
      <c r="AG420" s="608">
        <f t="shared" si="242"/>
        <v>156</v>
      </c>
      <c r="AH420" s="608"/>
      <c r="AI420" s="608"/>
      <c r="AJ420" s="608"/>
      <c r="AK420" s="609">
        <f t="shared" si="241"/>
        <v>156</v>
      </c>
      <c r="AL420" s="609"/>
      <c r="AM420" s="609"/>
      <c r="AN420" s="609"/>
      <c r="AO420" s="609">
        <f t="shared" ref="AO420:AO422" si="244">AG420</f>
        <v>156</v>
      </c>
      <c r="AP420" s="615"/>
      <c r="AQ420" s="609"/>
      <c r="AR420" s="609"/>
      <c r="AS420" s="609"/>
      <c r="AT420" s="633"/>
      <c r="AU420" s="633"/>
      <c r="AV420" s="633"/>
      <c r="AW420" s="633"/>
      <c r="AX420" s="633"/>
      <c r="AY420" s="633">
        <f t="shared" ref="AY420:AY422" si="245">AG420/13</f>
        <v>12</v>
      </c>
      <c r="AZ420" s="633"/>
      <c r="BA420" s="633"/>
      <c r="BB420" s="633"/>
      <c r="BC420" s="633"/>
      <c r="BD420" s="633"/>
      <c r="BE420" s="633"/>
      <c r="BF420" s="633"/>
      <c r="BG420" s="633"/>
      <c r="BH420" s="633"/>
      <c r="BI420" s="633"/>
      <c r="BJ420" s="633"/>
      <c r="BK420" s="633"/>
      <c r="BL420" s="633"/>
      <c r="BM420" s="401">
        <f t="shared" si="226"/>
        <v>156</v>
      </c>
      <c r="BO420" s="1473"/>
      <c r="BP420" s="1473"/>
    </row>
    <row r="421" s="200" customFormat="1" ht="36" customHeight="1" spans="1:68">
      <c r="A421" s="1534">
        <v>45441</v>
      </c>
      <c r="B421" s="1536" t="s">
        <v>612</v>
      </c>
      <c r="C421" s="528" t="s">
        <v>613</v>
      </c>
      <c r="D421" s="1535">
        <v>4500134559</v>
      </c>
      <c r="E421" s="1536" t="s">
        <v>1829</v>
      </c>
      <c r="F421" s="1535" t="s">
        <v>1830</v>
      </c>
      <c r="G421" s="531" t="s">
        <v>403</v>
      </c>
      <c r="H421" s="532" t="s">
        <v>74</v>
      </c>
      <c r="I421" s="1514">
        <v>468</v>
      </c>
      <c r="J421" s="562">
        <v>0</v>
      </c>
      <c r="K421" s="531">
        <v>52</v>
      </c>
      <c r="L421" s="401">
        <f t="shared" si="211"/>
        <v>9</v>
      </c>
      <c r="M421" s="563">
        <v>45481</v>
      </c>
      <c r="N421" s="563">
        <v>45490</v>
      </c>
      <c r="O421" s="564"/>
      <c r="P421" s="1446" t="s">
        <v>92</v>
      </c>
      <c r="Q421" s="564" t="s">
        <v>1663</v>
      </c>
      <c r="R421" s="564">
        <v>45462</v>
      </c>
      <c r="S421" s="564" t="s">
        <v>77</v>
      </c>
      <c r="T421" s="564" t="s">
        <v>77</v>
      </c>
      <c r="U421" s="530" t="s">
        <v>1831</v>
      </c>
      <c r="V421" s="564" t="s">
        <v>618</v>
      </c>
      <c r="W421" s="592">
        <v>1.4096</v>
      </c>
      <c r="X421" s="593">
        <f t="shared" si="235"/>
        <v>659.6928</v>
      </c>
      <c r="Y421" s="401" t="s">
        <v>1832</v>
      </c>
      <c r="Z421" s="607" t="s">
        <v>403</v>
      </c>
      <c r="AA421" s="1453" t="s">
        <v>128</v>
      </c>
      <c r="AB421" s="608"/>
      <c r="AC421" s="608"/>
      <c r="AD421" s="608"/>
      <c r="AE421" s="564" t="s">
        <v>80</v>
      </c>
      <c r="AF421" s="564"/>
      <c r="AG421" s="608">
        <f t="shared" si="242"/>
        <v>468</v>
      </c>
      <c r="AH421" s="608"/>
      <c r="AI421" s="608"/>
      <c r="AJ421" s="608"/>
      <c r="AK421" s="609">
        <f t="shared" si="241"/>
        <v>468</v>
      </c>
      <c r="AL421" s="609"/>
      <c r="AM421" s="609"/>
      <c r="AN421" s="609"/>
      <c r="AO421" s="609">
        <f t="shared" si="244"/>
        <v>468</v>
      </c>
      <c r="AP421" s="615"/>
      <c r="AQ421" s="609"/>
      <c r="AR421" s="609"/>
      <c r="AS421" s="609"/>
      <c r="AT421" s="633"/>
      <c r="AU421" s="633"/>
      <c r="AV421" s="633"/>
      <c r="AW421" s="633"/>
      <c r="AX421" s="633"/>
      <c r="AY421" s="633">
        <f t="shared" si="245"/>
        <v>36</v>
      </c>
      <c r="AZ421" s="633"/>
      <c r="BA421" s="633"/>
      <c r="BB421" s="633"/>
      <c r="BC421" s="633"/>
      <c r="BD421" s="633"/>
      <c r="BE421" s="633"/>
      <c r="BF421" s="633"/>
      <c r="BG421" s="633"/>
      <c r="BH421" s="633"/>
      <c r="BI421" s="633"/>
      <c r="BJ421" s="633"/>
      <c r="BK421" s="633"/>
      <c r="BL421" s="633"/>
      <c r="BM421" s="401">
        <f t="shared" si="226"/>
        <v>468</v>
      </c>
      <c r="BO421" s="1473"/>
      <c r="BP421" s="1473"/>
    </row>
    <row r="422" s="200" customFormat="1" ht="36" customHeight="1" spans="1:68">
      <c r="A422" s="1534">
        <v>45441</v>
      </c>
      <c r="B422" s="1536" t="s">
        <v>612</v>
      </c>
      <c r="C422" s="528" t="s">
        <v>613</v>
      </c>
      <c r="D422" s="1535">
        <v>4500134404</v>
      </c>
      <c r="E422" s="1536" t="s">
        <v>1833</v>
      </c>
      <c r="F422" s="1535" t="s">
        <v>1834</v>
      </c>
      <c r="G422" s="531" t="s">
        <v>403</v>
      </c>
      <c r="H422" s="532" t="s">
        <v>74</v>
      </c>
      <c r="I422" s="401">
        <v>520</v>
      </c>
      <c r="J422" s="562">
        <v>0</v>
      </c>
      <c r="K422" s="531">
        <v>52</v>
      </c>
      <c r="L422" s="401">
        <f t="shared" si="211"/>
        <v>10</v>
      </c>
      <c r="M422" s="563">
        <v>45481</v>
      </c>
      <c r="N422" s="563">
        <v>45490</v>
      </c>
      <c r="O422" s="564"/>
      <c r="P422" s="1446" t="s">
        <v>92</v>
      </c>
      <c r="Q422" s="564" t="s">
        <v>1214</v>
      </c>
      <c r="R422" s="564">
        <v>45462</v>
      </c>
      <c r="S422" s="564" t="s">
        <v>77</v>
      </c>
      <c r="T422" s="564" t="s">
        <v>77</v>
      </c>
      <c r="U422" s="1499" t="s">
        <v>1835</v>
      </c>
      <c r="V422" s="564" t="s">
        <v>618</v>
      </c>
      <c r="W422" s="592">
        <v>1.4096</v>
      </c>
      <c r="X422" s="593">
        <f t="shared" si="235"/>
        <v>732.992</v>
      </c>
      <c r="Y422" s="401" t="s">
        <v>1836</v>
      </c>
      <c r="Z422" s="607" t="s">
        <v>403</v>
      </c>
      <c r="AA422" s="1453" t="s">
        <v>128</v>
      </c>
      <c r="AB422" s="608"/>
      <c r="AC422" s="608"/>
      <c r="AD422" s="608"/>
      <c r="AE422" s="564" t="s">
        <v>80</v>
      </c>
      <c r="AF422" s="564"/>
      <c r="AG422" s="608">
        <f t="shared" si="242"/>
        <v>520</v>
      </c>
      <c r="AH422" s="608"/>
      <c r="AI422" s="608"/>
      <c r="AJ422" s="608"/>
      <c r="AK422" s="609">
        <f t="shared" si="241"/>
        <v>520</v>
      </c>
      <c r="AL422" s="609"/>
      <c r="AM422" s="609"/>
      <c r="AN422" s="609"/>
      <c r="AO422" s="609">
        <f t="shared" si="244"/>
        <v>520</v>
      </c>
      <c r="AP422" s="615"/>
      <c r="AQ422" s="609"/>
      <c r="AR422" s="609"/>
      <c r="AS422" s="609"/>
      <c r="AT422" s="633"/>
      <c r="AU422" s="633"/>
      <c r="AV422" s="633"/>
      <c r="AW422" s="633"/>
      <c r="AX422" s="633"/>
      <c r="AY422" s="633">
        <f t="shared" si="245"/>
        <v>40</v>
      </c>
      <c r="AZ422" s="633"/>
      <c r="BA422" s="633"/>
      <c r="BB422" s="633"/>
      <c r="BC422" s="633"/>
      <c r="BD422" s="633"/>
      <c r="BE422" s="633"/>
      <c r="BF422" s="633"/>
      <c r="BG422" s="633"/>
      <c r="BH422" s="633"/>
      <c r="BI422" s="633"/>
      <c r="BJ422" s="633"/>
      <c r="BK422" s="633"/>
      <c r="BL422" s="633"/>
      <c r="BM422" s="401">
        <f t="shared" si="226"/>
        <v>520</v>
      </c>
      <c r="BO422" s="1473"/>
      <c r="BP422" s="1473"/>
    </row>
    <row r="423" s="200" customFormat="1" ht="36" customHeight="1" spans="1:68">
      <c r="A423" s="1534">
        <v>45441</v>
      </c>
      <c r="B423" s="1536" t="s">
        <v>612</v>
      </c>
      <c r="C423" s="1559" t="s">
        <v>613</v>
      </c>
      <c r="D423" s="1535">
        <v>4500135179</v>
      </c>
      <c r="E423" s="1536" t="s">
        <v>1837</v>
      </c>
      <c r="F423" s="1535" t="s">
        <v>1838</v>
      </c>
      <c r="G423" s="531" t="s">
        <v>96</v>
      </c>
      <c r="H423" s="532" t="s">
        <v>74</v>
      </c>
      <c r="I423" s="401">
        <v>550</v>
      </c>
      <c r="J423" s="562">
        <v>0</v>
      </c>
      <c r="K423" s="531">
        <v>50</v>
      </c>
      <c r="L423" s="401">
        <f t="shared" si="211"/>
        <v>11</v>
      </c>
      <c r="M423" s="563">
        <v>45481</v>
      </c>
      <c r="N423" s="563">
        <v>45490</v>
      </c>
      <c r="O423" s="564"/>
      <c r="P423" s="1446" t="s">
        <v>92</v>
      </c>
      <c r="Q423" s="564" t="s">
        <v>1214</v>
      </c>
      <c r="R423" s="564">
        <v>45462</v>
      </c>
      <c r="S423" s="564" t="s">
        <v>77</v>
      </c>
      <c r="T423" s="564" t="s">
        <v>77</v>
      </c>
      <c r="U423" s="530" t="s">
        <v>1839</v>
      </c>
      <c r="V423" s="564" t="s">
        <v>618</v>
      </c>
      <c r="W423" s="592">
        <v>1.4395</v>
      </c>
      <c r="X423" s="593">
        <f t="shared" si="235"/>
        <v>791.725</v>
      </c>
      <c r="Y423" s="401" t="s">
        <v>1840</v>
      </c>
      <c r="Z423" s="607" t="s">
        <v>96</v>
      </c>
      <c r="AA423" s="1453" t="s">
        <v>128</v>
      </c>
      <c r="AB423" s="608"/>
      <c r="AC423" s="608"/>
      <c r="AD423" s="608"/>
      <c r="AE423" s="564" t="s">
        <v>80</v>
      </c>
      <c r="AF423" s="564"/>
      <c r="AG423" s="608">
        <f t="shared" si="242"/>
        <v>550</v>
      </c>
      <c r="AH423" s="608"/>
      <c r="AI423" s="608"/>
      <c r="AJ423" s="608"/>
      <c r="AK423" s="609">
        <f t="shared" ref="AK423:AK428" si="246">I423</f>
        <v>550</v>
      </c>
      <c r="AL423" s="609"/>
      <c r="AM423" s="609"/>
      <c r="AN423" s="609"/>
      <c r="AO423" s="609">
        <f t="shared" ref="AO423:AO428" si="247">I423</f>
        <v>550</v>
      </c>
      <c r="AP423" s="615"/>
      <c r="AQ423" s="609"/>
      <c r="AR423" s="609"/>
      <c r="AS423" s="609"/>
      <c r="AT423" s="633"/>
      <c r="AU423" s="633"/>
      <c r="AV423" s="633"/>
      <c r="AW423" s="633"/>
      <c r="AX423" s="633"/>
      <c r="AY423" s="633"/>
      <c r="AZ423" s="633"/>
      <c r="BA423" s="633">
        <f t="shared" ref="BA423:BA427" si="248">I423/25</f>
        <v>22</v>
      </c>
      <c r="BB423" s="633"/>
      <c r="BC423" s="633"/>
      <c r="BD423" s="633"/>
      <c r="BE423" s="633"/>
      <c r="BF423" s="633"/>
      <c r="BG423" s="633"/>
      <c r="BH423" s="633"/>
      <c r="BI423" s="633"/>
      <c r="BJ423" s="633"/>
      <c r="BK423" s="633"/>
      <c r="BL423" s="633"/>
      <c r="BM423" s="401">
        <f t="shared" si="226"/>
        <v>550</v>
      </c>
      <c r="BO423" s="1473"/>
      <c r="BP423" s="1473"/>
    </row>
    <row r="424" s="200" customFormat="1" ht="36" customHeight="1" spans="1:68">
      <c r="A424" s="526">
        <v>45425</v>
      </c>
      <c r="B424" s="1578" t="s">
        <v>1841</v>
      </c>
      <c r="C424" s="1578" t="s">
        <v>1842</v>
      </c>
      <c r="D424" s="1579">
        <v>4500129803</v>
      </c>
      <c r="E424" s="1482"/>
      <c r="F424" s="1579" t="s">
        <v>1843</v>
      </c>
      <c r="G424" s="531" t="s">
        <v>207</v>
      </c>
      <c r="H424" s="532" t="s">
        <v>74</v>
      </c>
      <c r="I424" s="401">
        <v>3024</v>
      </c>
      <c r="J424" s="562">
        <v>0</v>
      </c>
      <c r="K424" s="531">
        <v>48</v>
      </c>
      <c r="L424" s="401">
        <f t="shared" si="211"/>
        <v>63</v>
      </c>
      <c r="M424" s="563">
        <v>45492</v>
      </c>
      <c r="N424" s="1495">
        <v>45495</v>
      </c>
      <c r="O424" s="564"/>
      <c r="P424" s="1446" t="s">
        <v>92</v>
      </c>
      <c r="Q424" s="564"/>
      <c r="R424" s="564">
        <v>45446</v>
      </c>
      <c r="S424" s="564" t="s">
        <v>77</v>
      </c>
      <c r="T424" s="564" t="s">
        <v>1844</v>
      </c>
      <c r="U424" s="530" t="s">
        <v>1845</v>
      </c>
      <c r="V424" s="1585" t="s">
        <v>606</v>
      </c>
      <c r="W424" s="592">
        <v>1.4064</v>
      </c>
      <c r="X424" s="593">
        <f t="shared" si="235"/>
        <v>4252.9536</v>
      </c>
      <c r="Y424" s="401" t="s">
        <v>1846</v>
      </c>
      <c r="Z424" s="607" t="s">
        <v>207</v>
      </c>
      <c r="AA424" s="1453" t="s">
        <v>128</v>
      </c>
      <c r="AB424" s="608"/>
      <c r="AC424" s="608"/>
      <c r="AD424" s="608"/>
      <c r="AE424" s="564" t="s">
        <v>80</v>
      </c>
      <c r="AF424" s="564"/>
      <c r="AG424" s="608">
        <f t="shared" si="242"/>
        <v>3024</v>
      </c>
      <c r="AH424" s="608"/>
      <c r="AI424" s="608"/>
      <c r="AJ424" s="608"/>
      <c r="AK424" s="609"/>
      <c r="AL424" s="609">
        <f>I424</f>
        <v>3024</v>
      </c>
      <c r="AM424" s="609"/>
      <c r="AN424" s="609"/>
      <c r="AO424" s="609">
        <f>AG424</f>
        <v>3024</v>
      </c>
      <c r="AP424" s="609"/>
      <c r="AQ424" s="609"/>
      <c r="AR424" s="609"/>
      <c r="AS424" s="609"/>
      <c r="AT424" s="633"/>
      <c r="AU424" s="633"/>
      <c r="AV424" s="633"/>
      <c r="AW424" s="633">
        <f>I424/12</f>
        <v>252</v>
      </c>
      <c r="AY424" s="633"/>
      <c r="AZ424" s="633"/>
      <c r="BA424" s="633"/>
      <c r="BB424" s="633"/>
      <c r="BC424" s="633"/>
      <c r="BD424" s="633"/>
      <c r="BE424" s="633"/>
      <c r="BF424" s="633"/>
      <c r="BG424" s="633"/>
      <c r="BH424" s="633"/>
      <c r="BI424" s="633"/>
      <c r="BJ424" s="633"/>
      <c r="BK424" s="633"/>
      <c r="BL424" s="633"/>
      <c r="BM424" s="401">
        <f t="shared" si="226"/>
        <v>3024</v>
      </c>
      <c r="BO424" s="1473"/>
      <c r="BP424" s="1473"/>
    </row>
    <row r="425" s="200" customFormat="1" ht="36" customHeight="1" spans="1:68">
      <c r="A425" s="526">
        <v>45455</v>
      </c>
      <c r="B425" s="1578" t="s">
        <v>358</v>
      </c>
      <c r="C425" s="1478" t="s">
        <v>213</v>
      </c>
      <c r="D425" s="1579">
        <v>4500135730</v>
      </c>
      <c r="E425" s="1482" t="s">
        <v>1847</v>
      </c>
      <c r="F425" s="1579" t="s">
        <v>1848</v>
      </c>
      <c r="G425" s="531" t="s">
        <v>826</v>
      </c>
      <c r="H425" s="532" t="s">
        <v>74</v>
      </c>
      <c r="I425" s="1496">
        <v>47000</v>
      </c>
      <c r="J425" s="1496">
        <v>0</v>
      </c>
      <c r="K425" s="1496">
        <v>25</v>
      </c>
      <c r="L425" s="1496">
        <f t="shared" si="211"/>
        <v>1880</v>
      </c>
      <c r="M425" s="563">
        <v>45492</v>
      </c>
      <c r="N425" s="1495">
        <v>45495</v>
      </c>
      <c r="O425" s="564"/>
      <c r="P425" s="1446" t="s">
        <v>92</v>
      </c>
      <c r="Q425" s="564" t="s">
        <v>1734</v>
      </c>
      <c r="R425" s="564">
        <v>45456</v>
      </c>
      <c r="S425" s="564" t="s">
        <v>77</v>
      </c>
      <c r="T425" s="564" t="s">
        <v>77</v>
      </c>
      <c r="U425" s="530" t="s">
        <v>1849</v>
      </c>
      <c r="V425" s="1585" t="s">
        <v>230</v>
      </c>
      <c r="W425" s="592">
        <v>1.4163</v>
      </c>
      <c r="X425" s="593">
        <f t="shared" si="235"/>
        <v>66566.1</v>
      </c>
      <c r="Y425" s="401" t="s">
        <v>1850</v>
      </c>
      <c r="Z425" s="607" t="s">
        <v>826</v>
      </c>
      <c r="AA425" s="1453" t="s">
        <v>128</v>
      </c>
      <c r="AB425" s="608"/>
      <c r="AC425" s="608"/>
      <c r="AD425" s="608"/>
      <c r="AE425" s="564" t="s">
        <v>80</v>
      </c>
      <c r="AF425" s="564"/>
      <c r="AG425" s="608">
        <f t="shared" si="242"/>
        <v>47000</v>
      </c>
      <c r="AH425" s="608"/>
      <c r="AI425" s="608"/>
      <c r="AJ425" s="608"/>
      <c r="AK425" s="609">
        <f t="shared" si="246"/>
        <v>47000</v>
      </c>
      <c r="AL425" s="609"/>
      <c r="AM425" s="609"/>
      <c r="AN425" s="609"/>
      <c r="AO425" s="609">
        <f t="shared" si="247"/>
        <v>47000</v>
      </c>
      <c r="AP425" s="609"/>
      <c r="AQ425" s="609"/>
      <c r="AR425" s="609"/>
      <c r="AS425" s="609"/>
      <c r="AT425" s="633"/>
      <c r="AU425" s="633"/>
      <c r="AV425" s="633"/>
      <c r="AW425" s="633"/>
      <c r="AY425" s="633"/>
      <c r="AZ425" s="633"/>
      <c r="BA425" s="633">
        <f t="shared" si="248"/>
        <v>1880</v>
      </c>
      <c r="BB425" s="633"/>
      <c r="BC425" s="633"/>
      <c r="BD425" s="633"/>
      <c r="BE425" s="633"/>
      <c r="BF425" s="633"/>
      <c r="BG425" s="633"/>
      <c r="BH425" s="633"/>
      <c r="BI425" s="633"/>
      <c r="BJ425" s="633"/>
      <c r="BK425" s="633"/>
      <c r="BL425" s="633"/>
      <c r="BM425" s="401">
        <f t="shared" si="226"/>
        <v>47000</v>
      </c>
      <c r="BO425" s="1473"/>
      <c r="BP425" s="1473"/>
    </row>
    <row r="426" s="200" customFormat="1" ht="36" customHeight="1" spans="1:68">
      <c r="A426" s="1580">
        <v>45425</v>
      </c>
      <c r="B426" s="1581" t="s">
        <v>1080</v>
      </c>
      <c r="C426" s="1573" t="s">
        <v>117</v>
      </c>
      <c r="D426" s="1570">
        <v>4500133128</v>
      </c>
      <c r="E426" s="1571" t="s">
        <v>1851</v>
      </c>
      <c r="F426" s="1570" t="s">
        <v>1852</v>
      </c>
      <c r="G426" s="531" t="s">
        <v>160</v>
      </c>
      <c r="H426" s="532" t="s">
        <v>74</v>
      </c>
      <c r="I426" s="1514">
        <v>8385</v>
      </c>
      <c r="J426" s="562">
        <v>0</v>
      </c>
      <c r="K426" s="531">
        <v>13</v>
      </c>
      <c r="L426" s="401">
        <f t="shared" si="211"/>
        <v>645</v>
      </c>
      <c r="M426" s="1495">
        <v>45495</v>
      </c>
      <c r="N426" s="1495">
        <v>45495</v>
      </c>
      <c r="O426" s="564"/>
      <c r="P426" s="1446" t="s">
        <v>92</v>
      </c>
      <c r="Q426" s="564" t="s">
        <v>1738</v>
      </c>
      <c r="R426" s="564">
        <v>45426</v>
      </c>
      <c r="S426" s="564" t="s">
        <v>77</v>
      </c>
      <c r="T426" s="564" t="s">
        <v>1853</v>
      </c>
      <c r="U426" s="530" t="s">
        <v>1854</v>
      </c>
      <c r="V426" s="564" t="s">
        <v>1855</v>
      </c>
      <c r="W426" s="592">
        <v>1.4021</v>
      </c>
      <c r="X426" s="593">
        <f t="shared" si="235"/>
        <v>11756.6085</v>
      </c>
      <c r="Y426" s="401" t="s">
        <v>1856</v>
      </c>
      <c r="Z426" s="607" t="s">
        <v>160</v>
      </c>
      <c r="AA426" s="1453" t="s">
        <v>128</v>
      </c>
      <c r="AB426" s="608"/>
      <c r="AC426" s="608"/>
      <c r="AD426" s="608"/>
      <c r="AE426" s="564" t="s">
        <v>80</v>
      </c>
      <c r="AF426" s="564"/>
      <c r="AG426" s="608">
        <f t="shared" si="242"/>
        <v>8385</v>
      </c>
      <c r="AH426" s="608"/>
      <c r="AI426" s="608"/>
      <c r="AJ426" s="608"/>
      <c r="AK426" s="609">
        <f t="shared" si="246"/>
        <v>8385</v>
      </c>
      <c r="AL426" s="609"/>
      <c r="AM426" s="609"/>
      <c r="AN426" s="609"/>
      <c r="AO426" s="609">
        <f t="shared" si="247"/>
        <v>8385</v>
      </c>
      <c r="AP426" s="609"/>
      <c r="AQ426" s="609"/>
      <c r="AR426" s="609"/>
      <c r="AS426" s="609"/>
      <c r="AT426" s="633"/>
      <c r="AU426" s="633"/>
      <c r="AV426" s="633"/>
      <c r="AW426" s="633"/>
      <c r="AX426" s="633"/>
      <c r="AY426" s="633">
        <f>I426/13</f>
        <v>645</v>
      </c>
      <c r="AZ426" s="633"/>
      <c r="BA426" s="633"/>
      <c r="BB426" s="633"/>
      <c r="BC426" s="633"/>
      <c r="BD426" s="633"/>
      <c r="BE426" s="633"/>
      <c r="BF426" s="633"/>
      <c r="BG426" s="633"/>
      <c r="BH426" s="633"/>
      <c r="BI426" s="633"/>
      <c r="BJ426" s="633"/>
      <c r="BK426" s="633"/>
      <c r="BL426" s="633"/>
      <c r="BM426" s="401">
        <f t="shared" si="226"/>
        <v>8385</v>
      </c>
      <c r="BO426" s="1473"/>
      <c r="BP426" s="1473"/>
    </row>
    <row r="427" s="200" customFormat="1" ht="36" customHeight="1" spans="1:68">
      <c r="A427" s="1582">
        <v>45477</v>
      </c>
      <c r="B427" s="1583" t="s">
        <v>70</v>
      </c>
      <c r="C427" s="1573" t="s">
        <v>71</v>
      </c>
      <c r="D427" s="1535" t="s">
        <v>1857</v>
      </c>
      <c r="E427" s="1571"/>
      <c r="F427" s="1535"/>
      <c r="G427" s="531" t="s">
        <v>96</v>
      </c>
      <c r="H427" s="532" t="s">
        <v>74</v>
      </c>
      <c r="I427" s="401">
        <v>500</v>
      </c>
      <c r="J427" s="562">
        <v>0</v>
      </c>
      <c r="K427" s="531">
        <v>50</v>
      </c>
      <c r="L427" s="401">
        <f t="shared" si="211"/>
        <v>10</v>
      </c>
      <c r="M427" s="563">
        <v>45495</v>
      </c>
      <c r="N427" s="1495">
        <v>45495</v>
      </c>
      <c r="O427" s="564"/>
      <c r="P427" s="1446" t="s">
        <v>92</v>
      </c>
      <c r="Q427" s="564"/>
      <c r="R427" s="564">
        <v>45477</v>
      </c>
      <c r="S427" s="564" t="s">
        <v>77</v>
      </c>
      <c r="T427" s="564" t="s">
        <v>77</v>
      </c>
      <c r="U427" s="530" t="s">
        <v>1858</v>
      </c>
      <c r="V427" s="1515"/>
      <c r="W427" s="592"/>
      <c r="X427" s="593"/>
      <c r="Y427" s="401" t="s">
        <v>1859</v>
      </c>
      <c r="Z427" s="607" t="s">
        <v>96</v>
      </c>
      <c r="AA427" s="1453" t="s">
        <v>128</v>
      </c>
      <c r="AB427" s="608"/>
      <c r="AC427" s="608"/>
      <c r="AD427" s="608"/>
      <c r="AE427" s="564" t="s">
        <v>80</v>
      </c>
      <c r="AF427" s="564"/>
      <c r="AG427" s="608">
        <f t="shared" si="242"/>
        <v>500</v>
      </c>
      <c r="AH427" s="608"/>
      <c r="AI427" s="608"/>
      <c r="AJ427" s="608"/>
      <c r="AK427" s="609">
        <f t="shared" si="246"/>
        <v>500</v>
      </c>
      <c r="AL427" s="609"/>
      <c r="AM427" s="609"/>
      <c r="AN427" s="609"/>
      <c r="AO427" s="609">
        <f t="shared" si="247"/>
        <v>500</v>
      </c>
      <c r="AP427" s="714"/>
      <c r="AQ427" s="609"/>
      <c r="AR427" s="609"/>
      <c r="AS427" s="609"/>
      <c r="AT427" s="633"/>
      <c r="AU427" s="633"/>
      <c r="AV427" s="633"/>
      <c r="AW427" s="633"/>
      <c r="AX427" s="1526"/>
      <c r="AY427" s="633"/>
      <c r="AZ427" s="633"/>
      <c r="BA427" s="633">
        <f t="shared" si="248"/>
        <v>20</v>
      </c>
      <c r="BB427" s="633"/>
      <c r="BC427" s="1526"/>
      <c r="BD427" s="1526"/>
      <c r="BE427" s="633"/>
      <c r="BF427" s="633"/>
      <c r="BG427" s="633"/>
      <c r="BH427" s="633"/>
      <c r="BI427" s="633"/>
      <c r="BJ427" s="633"/>
      <c r="BK427" s="633"/>
      <c r="BL427" s="633"/>
      <c r="BM427" s="401">
        <f t="shared" si="226"/>
        <v>500</v>
      </c>
      <c r="BO427" s="1473"/>
      <c r="BP427" s="1473"/>
    </row>
    <row r="428" s="200" customFormat="1" ht="36" customHeight="1" spans="1:68">
      <c r="A428" s="526">
        <v>45455</v>
      </c>
      <c r="B428" s="1578" t="s">
        <v>1860</v>
      </c>
      <c r="C428" s="1478" t="s">
        <v>117</v>
      </c>
      <c r="D428" s="1579">
        <v>4500136797</v>
      </c>
      <c r="E428" s="1482" t="s">
        <v>1861</v>
      </c>
      <c r="F428" s="1579" t="s">
        <v>1862</v>
      </c>
      <c r="G428" s="531" t="s">
        <v>386</v>
      </c>
      <c r="H428" s="532" t="s">
        <v>74</v>
      </c>
      <c r="I428" s="511">
        <v>1800</v>
      </c>
      <c r="J428" s="562">
        <v>0</v>
      </c>
      <c r="K428" s="531">
        <v>60</v>
      </c>
      <c r="L428" s="401">
        <f t="shared" si="211"/>
        <v>30</v>
      </c>
      <c r="M428" s="563">
        <v>45495</v>
      </c>
      <c r="N428" s="1495">
        <v>45495</v>
      </c>
      <c r="O428" s="564"/>
      <c r="P428" s="1446" t="s">
        <v>92</v>
      </c>
      <c r="Q428" s="564" t="s">
        <v>1663</v>
      </c>
      <c r="R428" s="1523">
        <v>45460</v>
      </c>
      <c r="S428" s="564" t="s">
        <v>77</v>
      </c>
      <c r="T428" s="564" t="s">
        <v>77</v>
      </c>
      <c r="U428" s="530" t="s">
        <v>1863</v>
      </c>
      <c r="V428" s="1515" t="s">
        <v>1864</v>
      </c>
      <c r="W428" s="592">
        <v>100.2353</v>
      </c>
      <c r="X428" s="593">
        <f t="shared" ref="X428:X433" si="249">W428*L428</f>
        <v>3007.059</v>
      </c>
      <c r="Y428" s="401" t="s">
        <v>1865</v>
      </c>
      <c r="Z428" s="607" t="s">
        <v>1866</v>
      </c>
      <c r="AA428" s="1453" t="s">
        <v>128</v>
      </c>
      <c r="AB428" s="608"/>
      <c r="AC428" s="608"/>
      <c r="AD428" s="608"/>
      <c r="AE428" s="564" t="s">
        <v>80</v>
      </c>
      <c r="AF428" s="564"/>
      <c r="AG428" s="608">
        <f t="shared" si="242"/>
        <v>1800</v>
      </c>
      <c r="AH428" s="608"/>
      <c r="AI428" s="608"/>
      <c r="AJ428" s="608"/>
      <c r="AK428" s="401">
        <f t="shared" si="246"/>
        <v>1800</v>
      </c>
      <c r="AL428" s="609"/>
      <c r="AM428" s="609"/>
      <c r="AN428" s="609"/>
      <c r="AO428" s="1558">
        <f t="shared" si="247"/>
        <v>1800</v>
      </c>
      <c r="AQ428" s="609"/>
      <c r="AR428" s="609"/>
      <c r="AS428" s="609"/>
      <c r="AT428" s="633"/>
      <c r="AU428" s="633"/>
      <c r="AV428" s="633"/>
      <c r="AW428" s="633"/>
      <c r="AY428" s="633"/>
      <c r="AZ428" s="633"/>
      <c r="BA428" s="633"/>
      <c r="BB428" s="633"/>
      <c r="BC428" s="633"/>
      <c r="BD428" s="401"/>
      <c r="BE428" s="633">
        <f>I428/60</f>
        <v>30</v>
      </c>
      <c r="BF428" s="633"/>
      <c r="BG428" s="633"/>
      <c r="BH428" s="633"/>
      <c r="BI428" s="633"/>
      <c r="BJ428" s="633"/>
      <c r="BK428" s="633"/>
      <c r="BL428" s="633"/>
      <c r="BM428" s="401">
        <f t="shared" si="226"/>
        <v>1800</v>
      </c>
      <c r="BO428" s="1473"/>
      <c r="BP428" s="1473"/>
    </row>
    <row r="429" s="200" customFormat="1" ht="36" customHeight="1" spans="1:68">
      <c r="A429" s="526">
        <v>45455</v>
      </c>
      <c r="B429" s="1578" t="s">
        <v>250</v>
      </c>
      <c r="C429" s="1578" t="s">
        <v>180</v>
      </c>
      <c r="D429" s="1579">
        <v>4500136707</v>
      </c>
      <c r="E429" s="1578">
        <v>5200004763</v>
      </c>
      <c r="F429" s="1579" t="s">
        <v>1867</v>
      </c>
      <c r="G429" s="531" t="s">
        <v>252</v>
      </c>
      <c r="H429" s="532" t="s">
        <v>74</v>
      </c>
      <c r="I429" s="1514">
        <v>1470</v>
      </c>
      <c r="J429" s="562">
        <v>0</v>
      </c>
      <c r="K429" s="531">
        <v>21</v>
      </c>
      <c r="L429" s="401">
        <f t="shared" si="211"/>
        <v>70</v>
      </c>
      <c r="M429" s="563">
        <v>45496</v>
      </c>
      <c r="N429" s="1495">
        <v>45495</v>
      </c>
      <c r="O429" s="564" t="s">
        <v>1410</v>
      </c>
      <c r="P429" s="1446" t="s">
        <v>92</v>
      </c>
      <c r="Q429" s="564" t="s">
        <v>1667</v>
      </c>
      <c r="R429" s="564">
        <v>45456</v>
      </c>
      <c r="S429" s="564" t="s">
        <v>77</v>
      </c>
      <c r="T429" s="564" t="s">
        <v>1412</v>
      </c>
      <c r="U429" s="530" t="s">
        <v>1868</v>
      </c>
      <c r="V429" s="596" t="s">
        <v>410</v>
      </c>
      <c r="W429" s="592">
        <v>1.4397</v>
      </c>
      <c r="X429" s="593">
        <f>I429*W429</f>
        <v>2116.359</v>
      </c>
      <c r="Y429" s="401" t="s">
        <v>1869</v>
      </c>
      <c r="Z429" s="607" t="s">
        <v>257</v>
      </c>
      <c r="AA429" s="1453" t="s">
        <v>128</v>
      </c>
      <c r="AB429" s="608"/>
      <c r="AC429" s="608"/>
      <c r="AD429" s="608"/>
      <c r="AE429" s="564" t="s">
        <v>80</v>
      </c>
      <c r="AF429" s="564"/>
      <c r="AG429" s="608">
        <f t="shared" si="242"/>
        <v>1470</v>
      </c>
      <c r="AH429" s="608"/>
      <c r="AI429" s="608"/>
      <c r="AJ429" s="608"/>
      <c r="AK429" s="609"/>
      <c r="AL429" s="609">
        <f>I429</f>
        <v>1470</v>
      </c>
      <c r="AM429" s="609"/>
      <c r="AN429" s="609"/>
      <c r="AO429" s="609">
        <f>AG429</f>
        <v>1470</v>
      </c>
      <c r="AP429" s="609"/>
      <c r="AQ429" s="609"/>
      <c r="AR429" s="609"/>
      <c r="AS429" s="609"/>
      <c r="AT429" s="633">
        <f>I429/21</f>
        <v>70</v>
      </c>
      <c r="AU429" s="633"/>
      <c r="AV429" s="633"/>
      <c r="AW429" s="633"/>
      <c r="AY429" s="633"/>
      <c r="AZ429" s="633"/>
      <c r="BA429" s="633"/>
      <c r="BB429" s="633"/>
      <c r="BC429" s="633"/>
      <c r="BD429" s="633"/>
      <c r="BE429" s="633"/>
      <c r="BF429" s="633"/>
      <c r="BG429" s="633"/>
      <c r="BH429" s="633"/>
      <c r="BI429" s="633"/>
      <c r="BJ429" s="633"/>
      <c r="BK429" s="633"/>
      <c r="BL429" s="633"/>
      <c r="BM429" s="401">
        <f t="shared" si="226"/>
        <v>1470</v>
      </c>
      <c r="BO429" s="1473"/>
      <c r="BP429" s="1473"/>
    </row>
    <row r="430" s="200" customFormat="1" ht="36" customHeight="1" spans="1:68">
      <c r="A430" s="526">
        <v>45450</v>
      </c>
      <c r="B430" s="1578" t="s">
        <v>587</v>
      </c>
      <c r="C430" s="1478" t="s">
        <v>117</v>
      </c>
      <c r="D430" s="1579">
        <v>4500136067</v>
      </c>
      <c r="E430" s="1482">
        <v>6631646287</v>
      </c>
      <c r="F430" s="1579" t="s">
        <v>1870</v>
      </c>
      <c r="G430" s="531" t="s">
        <v>832</v>
      </c>
      <c r="H430" s="532" t="s">
        <v>833</v>
      </c>
      <c r="I430" s="401">
        <v>1152</v>
      </c>
      <c r="J430" s="562">
        <v>0</v>
      </c>
      <c r="K430" s="531">
        <v>1152</v>
      </c>
      <c r="L430" s="401">
        <f t="shared" si="211"/>
        <v>1</v>
      </c>
      <c r="M430" s="563">
        <v>45495</v>
      </c>
      <c r="N430" s="1495">
        <v>45495</v>
      </c>
      <c r="O430" s="1474" t="s">
        <v>1871</v>
      </c>
      <c r="P430" s="564" t="s">
        <v>92</v>
      </c>
      <c r="Q430" s="564" t="s">
        <v>1872</v>
      </c>
      <c r="R430" s="1523" t="s">
        <v>1102</v>
      </c>
      <c r="S430" s="564" t="s">
        <v>123</v>
      </c>
      <c r="T430" s="1519" t="s">
        <v>1653</v>
      </c>
      <c r="U430" s="530" t="s">
        <v>993</v>
      </c>
      <c r="V430" s="564" t="s">
        <v>1006</v>
      </c>
      <c r="W430" s="592">
        <v>1624.9899</v>
      </c>
      <c r="X430" s="593">
        <f t="shared" si="249"/>
        <v>1624.9899</v>
      </c>
      <c r="Y430" s="401" t="s">
        <v>1873</v>
      </c>
      <c r="Z430" s="607" t="s">
        <v>832</v>
      </c>
      <c r="AA430" s="1453" t="s">
        <v>128</v>
      </c>
      <c r="AB430" s="155"/>
      <c r="AC430" s="155"/>
      <c r="AD430" s="155"/>
      <c r="AE430" s="91" t="s">
        <v>80</v>
      </c>
      <c r="AF430" s="91"/>
      <c r="AG430" s="608">
        <f t="shared" si="242"/>
        <v>1152</v>
      </c>
      <c r="AH430" s="608"/>
      <c r="AI430" s="608"/>
      <c r="AJ430" s="608"/>
      <c r="AK430" s="609">
        <f t="shared" ref="AK430:AK433" si="250">I430</f>
        <v>1152</v>
      </c>
      <c r="AL430" s="609"/>
      <c r="AM430" s="609"/>
      <c r="AN430" s="609"/>
      <c r="AO430" s="609"/>
      <c r="AP430" s="609"/>
      <c r="AQ430" s="609">
        <f t="shared" ref="AQ430:AQ433" si="251">I430</f>
        <v>1152</v>
      </c>
      <c r="AR430" s="609"/>
      <c r="AS430" s="609"/>
      <c r="AT430" s="633"/>
      <c r="AU430" s="633"/>
      <c r="AV430" s="633">
        <f t="shared" ref="AV430:AV433" si="252">I430/12</f>
        <v>96</v>
      </c>
      <c r="AW430" s="633"/>
      <c r="AY430" s="633"/>
      <c r="AZ430" s="633"/>
      <c r="BA430" s="633"/>
      <c r="BB430" s="633"/>
      <c r="BC430" s="633"/>
      <c r="BD430" s="633"/>
      <c r="BE430" s="633"/>
      <c r="BF430" s="633"/>
      <c r="BG430" s="633"/>
      <c r="BH430" s="633"/>
      <c r="BI430" s="633"/>
      <c r="BJ430" s="633"/>
      <c r="BK430" s="633"/>
      <c r="BL430" s="633"/>
      <c r="BM430" s="401">
        <f t="shared" si="226"/>
        <v>1152</v>
      </c>
      <c r="BO430" s="1473"/>
      <c r="BP430" s="1473"/>
    </row>
    <row r="431" s="200" customFormat="1" ht="36" customHeight="1" spans="1:68">
      <c r="A431" s="526">
        <v>45450</v>
      </c>
      <c r="B431" s="1578" t="s">
        <v>587</v>
      </c>
      <c r="C431" s="1478" t="s">
        <v>117</v>
      </c>
      <c r="D431" s="1579">
        <v>4500136067</v>
      </c>
      <c r="E431" s="1482">
        <v>6631646297</v>
      </c>
      <c r="F431" s="1579" t="s">
        <v>1874</v>
      </c>
      <c r="G431" s="531" t="s">
        <v>832</v>
      </c>
      <c r="H431" s="532" t="s">
        <v>833</v>
      </c>
      <c r="I431" s="401">
        <v>2304</v>
      </c>
      <c r="J431" s="562">
        <v>0</v>
      </c>
      <c r="K431" s="531">
        <v>1152</v>
      </c>
      <c r="L431" s="401">
        <f t="shared" si="211"/>
        <v>2</v>
      </c>
      <c r="M431" s="563">
        <v>45495</v>
      </c>
      <c r="N431" s="1495">
        <v>45495</v>
      </c>
      <c r="O431" s="1474" t="s">
        <v>1871</v>
      </c>
      <c r="P431" s="564" t="s">
        <v>92</v>
      </c>
      <c r="Q431" s="564" t="s">
        <v>1872</v>
      </c>
      <c r="R431" s="1523" t="s">
        <v>1102</v>
      </c>
      <c r="S431" s="564" t="s">
        <v>123</v>
      </c>
      <c r="T431" s="1519" t="s">
        <v>1653</v>
      </c>
      <c r="U431" s="530" t="s">
        <v>993</v>
      </c>
      <c r="V431" s="564" t="s">
        <v>1006</v>
      </c>
      <c r="W431" s="592">
        <v>1624.9899</v>
      </c>
      <c r="X431" s="593">
        <f t="shared" si="249"/>
        <v>3249.9798</v>
      </c>
      <c r="Y431" s="401" t="s">
        <v>1875</v>
      </c>
      <c r="Z431" s="607" t="s">
        <v>832</v>
      </c>
      <c r="AA431" s="1453" t="s">
        <v>128</v>
      </c>
      <c r="AB431" s="155"/>
      <c r="AC431" s="155"/>
      <c r="AD431" s="155"/>
      <c r="AE431" s="91" t="s">
        <v>80</v>
      </c>
      <c r="AF431" s="91"/>
      <c r="AG431" s="608">
        <f t="shared" si="242"/>
        <v>2304</v>
      </c>
      <c r="AH431" s="608"/>
      <c r="AI431" s="608"/>
      <c r="AJ431" s="608"/>
      <c r="AK431" s="609">
        <f t="shared" si="250"/>
        <v>2304</v>
      </c>
      <c r="AL431" s="609"/>
      <c r="AM431" s="609"/>
      <c r="AN431" s="609"/>
      <c r="AO431" s="609"/>
      <c r="AP431" s="609"/>
      <c r="AQ431" s="609">
        <f t="shared" si="251"/>
        <v>2304</v>
      </c>
      <c r="AR431" s="609"/>
      <c r="AS431" s="609"/>
      <c r="AT431" s="633"/>
      <c r="AU431" s="633"/>
      <c r="AV431" s="633">
        <f t="shared" si="252"/>
        <v>192</v>
      </c>
      <c r="AW431" s="633"/>
      <c r="AY431" s="633"/>
      <c r="AZ431" s="633"/>
      <c r="BA431" s="633"/>
      <c r="BB431" s="633"/>
      <c r="BC431" s="633"/>
      <c r="BD431" s="633"/>
      <c r="BE431" s="633"/>
      <c r="BF431" s="633"/>
      <c r="BG431" s="633"/>
      <c r="BH431" s="633"/>
      <c r="BI431" s="633"/>
      <c r="BJ431" s="633"/>
      <c r="BK431" s="633"/>
      <c r="BL431" s="633"/>
      <c r="BM431" s="401">
        <f t="shared" si="226"/>
        <v>2304</v>
      </c>
      <c r="BO431" s="1473"/>
      <c r="BP431" s="1473"/>
    </row>
    <row r="432" s="200" customFormat="1" ht="36" customHeight="1" spans="1:68">
      <c r="A432" s="526">
        <v>45450</v>
      </c>
      <c r="B432" s="1578" t="s">
        <v>587</v>
      </c>
      <c r="C432" s="1478" t="s">
        <v>117</v>
      </c>
      <c r="D432" s="1579">
        <v>4500136067</v>
      </c>
      <c r="E432" s="1482">
        <v>6631646306</v>
      </c>
      <c r="F432" s="1579" t="s">
        <v>1876</v>
      </c>
      <c r="G432" s="531" t="s">
        <v>832</v>
      </c>
      <c r="H432" s="532" t="s">
        <v>833</v>
      </c>
      <c r="I432" s="401">
        <v>2304</v>
      </c>
      <c r="J432" s="562">
        <v>0</v>
      </c>
      <c r="K432" s="531">
        <v>1152</v>
      </c>
      <c r="L432" s="401">
        <f t="shared" si="211"/>
        <v>2</v>
      </c>
      <c r="M432" s="563">
        <v>45495</v>
      </c>
      <c r="N432" s="1495">
        <v>45495</v>
      </c>
      <c r="O432" s="1474" t="s">
        <v>1871</v>
      </c>
      <c r="P432" s="564" t="s">
        <v>92</v>
      </c>
      <c r="Q432" s="564" t="s">
        <v>1877</v>
      </c>
      <c r="R432" s="1523" t="s">
        <v>1102</v>
      </c>
      <c r="S432" s="564" t="s">
        <v>123</v>
      </c>
      <c r="T432" s="1519" t="s">
        <v>1653</v>
      </c>
      <c r="U432" s="530" t="s">
        <v>993</v>
      </c>
      <c r="V432" s="564" t="s">
        <v>1006</v>
      </c>
      <c r="W432" s="592">
        <v>1624.9899</v>
      </c>
      <c r="X432" s="593">
        <f t="shared" si="249"/>
        <v>3249.9798</v>
      </c>
      <c r="Y432" s="401" t="s">
        <v>1878</v>
      </c>
      <c r="Z432" s="607" t="s">
        <v>832</v>
      </c>
      <c r="AA432" s="1453" t="s">
        <v>128</v>
      </c>
      <c r="AB432" s="155"/>
      <c r="AC432" s="155"/>
      <c r="AD432" s="155"/>
      <c r="AE432" s="91" t="s">
        <v>80</v>
      </c>
      <c r="AF432" s="91"/>
      <c r="AG432" s="608">
        <f t="shared" si="242"/>
        <v>2304</v>
      </c>
      <c r="AH432" s="608"/>
      <c r="AI432" s="608"/>
      <c r="AJ432" s="608"/>
      <c r="AK432" s="609">
        <f t="shared" si="250"/>
        <v>2304</v>
      </c>
      <c r="AL432" s="609"/>
      <c r="AM432" s="609"/>
      <c r="AN432" s="609"/>
      <c r="AO432" s="609"/>
      <c r="AP432" s="609"/>
      <c r="AQ432" s="609">
        <f t="shared" si="251"/>
        <v>2304</v>
      </c>
      <c r="AR432" s="609"/>
      <c r="AS432" s="609"/>
      <c r="AT432" s="633"/>
      <c r="AU432" s="633"/>
      <c r="AV432" s="633">
        <f t="shared" si="252"/>
        <v>192</v>
      </c>
      <c r="AW432" s="633"/>
      <c r="AY432" s="633"/>
      <c r="AZ432" s="633"/>
      <c r="BA432" s="633"/>
      <c r="BB432" s="633"/>
      <c r="BC432" s="633"/>
      <c r="BD432" s="633"/>
      <c r="BE432" s="633"/>
      <c r="BF432" s="633"/>
      <c r="BG432" s="633"/>
      <c r="BH432" s="633"/>
      <c r="BI432" s="633"/>
      <c r="BJ432" s="633"/>
      <c r="BK432" s="633"/>
      <c r="BL432" s="633"/>
      <c r="BM432" s="401">
        <f t="shared" si="226"/>
        <v>2304</v>
      </c>
      <c r="BO432" s="1473"/>
      <c r="BP432" s="1473"/>
    </row>
    <row r="433" s="200" customFormat="1" ht="36" customHeight="1" spans="1:68">
      <c r="A433" s="526">
        <v>45450</v>
      </c>
      <c r="B433" s="1578" t="s">
        <v>587</v>
      </c>
      <c r="C433" s="1478" t="s">
        <v>117</v>
      </c>
      <c r="D433" s="1579">
        <v>4500136067</v>
      </c>
      <c r="E433" s="1482">
        <v>6631646307</v>
      </c>
      <c r="F433" s="1579" t="s">
        <v>1879</v>
      </c>
      <c r="G433" s="531" t="s">
        <v>832</v>
      </c>
      <c r="H433" s="532" t="s">
        <v>833</v>
      </c>
      <c r="I433" s="401">
        <v>1152</v>
      </c>
      <c r="J433" s="562">
        <v>0</v>
      </c>
      <c r="K433" s="531">
        <v>1152</v>
      </c>
      <c r="L433" s="401">
        <f t="shared" si="211"/>
        <v>1</v>
      </c>
      <c r="M433" s="563">
        <v>45495</v>
      </c>
      <c r="N433" s="1495">
        <v>45495</v>
      </c>
      <c r="O433" s="1474" t="s">
        <v>1880</v>
      </c>
      <c r="P433" s="564" t="s">
        <v>92</v>
      </c>
      <c r="Q433" s="564" t="s">
        <v>1881</v>
      </c>
      <c r="R433" s="1523" t="s">
        <v>1102</v>
      </c>
      <c r="S433" s="564" t="s">
        <v>123</v>
      </c>
      <c r="T433" s="1519" t="s">
        <v>1653</v>
      </c>
      <c r="U433" s="530" t="s">
        <v>993</v>
      </c>
      <c r="V433" s="564" t="s">
        <v>1006</v>
      </c>
      <c r="W433" s="592">
        <v>1624.9899</v>
      </c>
      <c r="X433" s="593">
        <f t="shared" si="249"/>
        <v>1624.9899</v>
      </c>
      <c r="Y433" s="401" t="s">
        <v>1873</v>
      </c>
      <c r="Z433" s="607" t="s">
        <v>832</v>
      </c>
      <c r="AA433" s="1453" t="s">
        <v>128</v>
      </c>
      <c r="AB433" s="155"/>
      <c r="AC433" s="155"/>
      <c r="AD433" s="155"/>
      <c r="AE433" s="91" t="s">
        <v>80</v>
      </c>
      <c r="AF433" s="91"/>
      <c r="AG433" s="608">
        <f t="shared" si="242"/>
        <v>1152</v>
      </c>
      <c r="AH433" s="608"/>
      <c r="AI433" s="608"/>
      <c r="AJ433" s="608"/>
      <c r="AK433" s="609">
        <f t="shared" si="250"/>
        <v>1152</v>
      </c>
      <c r="AL433" s="609"/>
      <c r="AM433" s="609"/>
      <c r="AN433" s="609"/>
      <c r="AO433" s="609"/>
      <c r="AP433" s="609"/>
      <c r="AQ433" s="609">
        <f t="shared" si="251"/>
        <v>1152</v>
      </c>
      <c r="AR433" s="609"/>
      <c r="AS433" s="609"/>
      <c r="AT433" s="633"/>
      <c r="AU433" s="633"/>
      <c r="AV433" s="633">
        <f t="shared" si="252"/>
        <v>96</v>
      </c>
      <c r="AW433" s="633"/>
      <c r="AY433" s="633"/>
      <c r="AZ433" s="633"/>
      <c r="BA433" s="633"/>
      <c r="BB433" s="633"/>
      <c r="BC433" s="633"/>
      <c r="BD433" s="633"/>
      <c r="BE433" s="633"/>
      <c r="BF433" s="633"/>
      <c r="BG433" s="633"/>
      <c r="BH433" s="633"/>
      <c r="BI433" s="633"/>
      <c r="BJ433" s="633"/>
      <c r="BK433" s="633"/>
      <c r="BL433" s="633"/>
      <c r="BM433" s="401">
        <f t="shared" si="226"/>
        <v>1152</v>
      </c>
      <c r="BO433" s="1473"/>
      <c r="BP433" s="1473"/>
    </row>
    <row r="434" s="200" customFormat="1" ht="36" customHeight="1" spans="1:68">
      <c r="A434" s="526">
        <v>45499</v>
      </c>
      <c r="B434" s="1578" t="s">
        <v>612</v>
      </c>
      <c r="C434" s="1478" t="s">
        <v>613</v>
      </c>
      <c r="D434" s="1579">
        <v>4500141346</v>
      </c>
      <c r="E434" s="1482" t="s">
        <v>1882</v>
      </c>
      <c r="F434" s="1579" t="s">
        <v>1883</v>
      </c>
      <c r="G434" s="531" t="s">
        <v>403</v>
      </c>
      <c r="H434" s="532" t="s">
        <v>74</v>
      </c>
      <c r="I434" s="401">
        <v>416</v>
      </c>
      <c r="J434" s="562">
        <v>0</v>
      </c>
      <c r="K434" s="531">
        <v>52</v>
      </c>
      <c r="L434" s="401">
        <f t="shared" ref="L434:L497" si="253">I434/K434</f>
        <v>8</v>
      </c>
      <c r="M434" s="563">
        <v>45495</v>
      </c>
      <c r="N434" s="563">
        <v>45491</v>
      </c>
      <c r="O434" s="564"/>
      <c r="P434" s="564" t="s">
        <v>1262</v>
      </c>
      <c r="Q434" s="564" t="s">
        <v>1884</v>
      </c>
      <c r="R434" s="564" t="s">
        <v>1885</v>
      </c>
      <c r="S434" s="564" t="s">
        <v>77</v>
      </c>
      <c r="T434" s="564" t="s">
        <v>77</v>
      </c>
      <c r="U434" s="530" t="s">
        <v>1886</v>
      </c>
      <c r="V434" s="564" t="s">
        <v>618</v>
      </c>
      <c r="W434" s="592">
        <v>1.4239</v>
      </c>
      <c r="X434" s="593">
        <f t="shared" ref="X434:X445" si="254">I434*W434</f>
        <v>592.3424</v>
      </c>
      <c r="Y434" s="401" t="s">
        <v>1887</v>
      </c>
      <c r="Z434" s="607" t="s">
        <v>403</v>
      </c>
      <c r="AA434" s="1453" t="s">
        <v>128</v>
      </c>
      <c r="AB434" s="155"/>
      <c r="AC434" s="155"/>
      <c r="AD434" s="155"/>
      <c r="AE434" s="91" t="s">
        <v>80</v>
      </c>
      <c r="AF434" s="91"/>
      <c r="AG434" s="608">
        <f t="shared" si="242"/>
        <v>416</v>
      </c>
      <c r="AH434" s="608"/>
      <c r="AI434" s="608"/>
      <c r="AJ434" s="608"/>
      <c r="AK434" s="609">
        <f t="shared" ref="AK434:AK440" si="255">AG434</f>
        <v>416</v>
      </c>
      <c r="AL434" s="609"/>
      <c r="AM434" s="609"/>
      <c r="AN434" s="609"/>
      <c r="AO434" s="609">
        <f t="shared" ref="AO434:AO443" si="256">AG434</f>
        <v>416</v>
      </c>
      <c r="AP434" s="609"/>
      <c r="AQ434" s="609"/>
      <c r="AR434" s="609"/>
      <c r="AS434" s="609"/>
      <c r="AT434" s="633"/>
      <c r="AU434" s="633"/>
      <c r="AV434" s="633"/>
      <c r="AW434" s="633"/>
      <c r="AY434" s="633">
        <f>AG434/13</f>
        <v>32</v>
      </c>
      <c r="AZ434" s="633"/>
      <c r="BA434" s="633"/>
      <c r="BB434" s="633"/>
      <c r="BC434" s="633"/>
      <c r="BD434" s="633"/>
      <c r="BE434" s="633"/>
      <c r="BF434" s="633"/>
      <c r="BG434" s="633"/>
      <c r="BH434" s="633"/>
      <c r="BI434" s="633"/>
      <c r="BJ434" s="633"/>
      <c r="BK434" s="633"/>
      <c r="BL434" s="633"/>
      <c r="BM434" s="401">
        <f t="shared" si="226"/>
        <v>416</v>
      </c>
      <c r="BO434" s="1473"/>
      <c r="BP434" s="1473"/>
    </row>
    <row r="435" s="200" customFormat="1" ht="36" customHeight="1" spans="1:68">
      <c r="A435" s="533">
        <v>45393</v>
      </c>
      <c r="B435" s="527" t="s">
        <v>769</v>
      </c>
      <c r="C435" s="528" t="s">
        <v>213</v>
      </c>
      <c r="D435" s="534">
        <v>4500129564</v>
      </c>
      <c r="E435" s="530">
        <v>14036062</v>
      </c>
      <c r="F435" s="534" t="s">
        <v>1888</v>
      </c>
      <c r="G435" s="531" t="s">
        <v>772</v>
      </c>
      <c r="H435" s="532" t="s">
        <v>74</v>
      </c>
      <c r="I435" s="401">
        <v>1560</v>
      </c>
      <c r="J435" s="562">
        <v>13</v>
      </c>
      <c r="K435" s="531">
        <v>52</v>
      </c>
      <c r="L435" s="401">
        <f t="shared" si="253"/>
        <v>30</v>
      </c>
      <c r="M435" s="563">
        <v>45497</v>
      </c>
      <c r="N435" s="1495">
        <v>45496</v>
      </c>
      <c r="O435" s="564"/>
      <c r="P435" s="564" t="s">
        <v>92</v>
      </c>
      <c r="Q435" s="564" t="s">
        <v>1815</v>
      </c>
      <c r="R435" s="564">
        <v>45456</v>
      </c>
      <c r="S435" s="564" t="s">
        <v>123</v>
      </c>
      <c r="T435" s="564" t="s">
        <v>1889</v>
      </c>
      <c r="U435" s="530" t="s">
        <v>1890</v>
      </c>
      <c r="V435" s="564" t="s">
        <v>218</v>
      </c>
      <c r="W435" s="592">
        <v>1.65</v>
      </c>
      <c r="X435" s="593">
        <f t="shared" si="254"/>
        <v>2574</v>
      </c>
      <c r="Y435" s="401" t="s">
        <v>1891</v>
      </c>
      <c r="Z435" s="531" t="s">
        <v>777</v>
      </c>
      <c r="AA435" s="1453" t="s">
        <v>128</v>
      </c>
      <c r="AB435" s="155"/>
      <c r="AC435" s="155"/>
      <c r="AD435" s="155"/>
      <c r="AE435" s="91" t="s">
        <v>80</v>
      </c>
      <c r="AF435" s="91"/>
      <c r="AG435" s="608">
        <f t="shared" si="242"/>
        <v>1560</v>
      </c>
      <c r="AH435" s="608"/>
      <c r="AI435" s="608"/>
      <c r="AJ435" s="608"/>
      <c r="AK435" s="609">
        <f>I435</f>
        <v>1560</v>
      </c>
      <c r="AL435" s="609"/>
      <c r="AM435" s="609"/>
      <c r="AN435" s="609"/>
      <c r="AO435" s="609">
        <f>I435</f>
        <v>1560</v>
      </c>
      <c r="AP435" s="609"/>
      <c r="AQ435" s="609"/>
      <c r="AR435" s="609"/>
      <c r="AS435" s="609"/>
      <c r="AT435" s="633"/>
      <c r="AU435" s="633"/>
      <c r="AV435" s="633"/>
      <c r="AW435" s="633"/>
      <c r="AX435" s="633"/>
      <c r="AY435" s="633">
        <f>I435/13</f>
        <v>120</v>
      </c>
      <c r="AZ435" s="633"/>
      <c r="BA435" s="633"/>
      <c r="BB435" s="633"/>
      <c r="BC435" s="633"/>
      <c r="BD435" s="633"/>
      <c r="BE435" s="633"/>
      <c r="BF435" s="633"/>
      <c r="BG435" s="633"/>
      <c r="BH435" s="633"/>
      <c r="BI435" s="633"/>
      <c r="BJ435" s="633"/>
      <c r="BK435" s="633"/>
      <c r="BL435" s="633"/>
      <c r="BM435" s="401">
        <f t="shared" si="226"/>
        <v>1560</v>
      </c>
      <c r="BO435" s="1473"/>
      <c r="BP435" s="1473"/>
    </row>
    <row r="436" s="200" customFormat="1" ht="36" customHeight="1" spans="1:68">
      <c r="A436" s="526">
        <v>45455</v>
      </c>
      <c r="B436" s="1578" t="s">
        <v>1892</v>
      </c>
      <c r="C436" s="1543" t="s">
        <v>117</v>
      </c>
      <c r="D436" s="1579">
        <v>4500136946</v>
      </c>
      <c r="E436" s="1681" t="s">
        <v>1893</v>
      </c>
      <c r="F436" s="1579" t="s">
        <v>1894</v>
      </c>
      <c r="G436" s="595" t="s">
        <v>1895</v>
      </c>
      <c r="H436" s="532" t="s">
        <v>1672</v>
      </c>
      <c r="I436" s="1454">
        <v>240</v>
      </c>
      <c r="J436" s="595">
        <v>0</v>
      </c>
      <c r="K436" s="595">
        <v>30</v>
      </c>
      <c r="L436" s="401">
        <f t="shared" si="253"/>
        <v>8</v>
      </c>
      <c r="M436" s="563">
        <v>45497</v>
      </c>
      <c r="N436" s="1495">
        <v>45496</v>
      </c>
      <c r="O436" s="564"/>
      <c r="P436" s="564" t="s">
        <v>1262</v>
      </c>
      <c r="Q436" s="564"/>
      <c r="R436" s="564">
        <v>45461</v>
      </c>
      <c r="S436" s="564" t="s">
        <v>123</v>
      </c>
      <c r="T436" s="580" t="s">
        <v>1896</v>
      </c>
      <c r="U436" s="1505" t="s">
        <v>1897</v>
      </c>
      <c r="V436" s="1586" t="s">
        <v>396</v>
      </c>
      <c r="W436" s="1587">
        <v>86.089</v>
      </c>
      <c r="X436" s="593">
        <f t="shared" si="254"/>
        <v>20661.36</v>
      </c>
      <c r="Y436" s="401" t="s">
        <v>1898</v>
      </c>
      <c r="Z436" s="595" t="s">
        <v>1895</v>
      </c>
      <c r="AA436" s="1453" t="s">
        <v>128</v>
      </c>
      <c r="AB436" s="155"/>
      <c r="AC436" s="155"/>
      <c r="AD436" s="155"/>
      <c r="AE436" s="91" t="s">
        <v>80</v>
      </c>
      <c r="AF436" s="91"/>
      <c r="AG436" s="608">
        <f t="shared" si="242"/>
        <v>240</v>
      </c>
      <c r="AH436" s="608"/>
      <c r="AI436" s="608"/>
      <c r="AJ436" s="608"/>
      <c r="AK436" s="609">
        <f t="shared" si="255"/>
        <v>240</v>
      </c>
      <c r="AL436" s="609"/>
      <c r="AM436" s="609"/>
      <c r="AN436" s="609"/>
      <c r="AO436" s="609">
        <f t="shared" si="256"/>
        <v>240</v>
      </c>
      <c r="AP436" s="609"/>
      <c r="AQ436" s="609"/>
      <c r="AR436" s="609"/>
      <c r="AS436" s="609"/>
      <c r="AT436" s="633"/>
      <c r="AU436" s="633"/>
      <c r="AV436" s="633"/>
      <c r="AW436" s="633"/>
      <c r="AX436" s="633"/>
      <c r="AY436" s="633"/>
      <c r="AZ436" s="633"/>
      <c r="BA436" s="633"/>
      <c r="BB436" s="633"/>
      <c r="BC436" s="633"/>
      <c r="BD436" s="633"/>
      <c r="BE436" s="633"/>
      <c r="BF436" s="633"/>
      <c r="BG436" s="633"/>
      <c r="BH436" s="633"/>
      <c r="BI436" s="633"/>
      <c r="BJ436" s="633"/>
      <c r="BK436" s="633"/>
      <c r="BL436" s="633"/>
      <c r="BM436" s="401">
        <f t="shared" si="226"/>
        <v>240</v>
      </c>
      <c r="BO436" s="1473"/>
      <c r="BP436" s="1473"/>
    </row>
    <row r="437" s="200" customFormat="1" ht="36" customHeight="1" spans="1:68">
      <c r="A437" s="526">
        <v>45455</v>
      </c>
      <c r="B437" s="1578" t="s">
        <v>1892</v>
      </c>
      <c r="C437" s="1543" t="s">
        <v>117</v>
      </c>
      <c r="D437" s="1579">
        <v>4500136946</v>
      </c>
      <c r="E437" s="1681" t="s">
        <v>1899</v>
      </c>
      <c r="F437" s="1579" t="s">
        <v>1900</v>
      </c>
      <c r="G437" s="595" t="s">
        <v>1895</v>
      </c>
      <c r="H437" s="532" t="s">
        <v>1672</v>
      </c>
      <c r="I437" s="1454">
        <v>180</v>
      </c>
      <c r="J437" s="595">
        <v>0</v>
      </c>
      <c r="K437" s="595">
        <v>30</v>
      </c>
      <c r="L437" s="401">
        <f t="shared" si="253"/>
        <v>6</v>
      </c>
      <c r="M437" s="563">
        <v>45497</v>
      </c>
      <c r="N437" s="1495">
        <v>45496</v>
      </c>
      <c r="O437" s="564"/>
      <c r="P437" s="564" t="s">
        <v>1262</v>
      </c>
      <c r="Q437" s="564"/>
      <c r="R437" s="564">
        <v>45461</v>
      </c>
      <c r="S437" s="564" t="s">
        <v>123</v>
      </c>
      <c r="T437" s="580" t="s">
        <v>1896</v>
      </c>
      <c r="U437" s="1505" t="s">
        <v>1897</v>
      </c>
      <c r="V437" s="1586" t="s">
        <v>396</v>
      </c>
      <c r="W437" s="1587">
        <v>86.089</v>
      </c>
      <c r="X437" s="593">
        <f t="shared" si="254"/>
        <v>15496.02</v>
      </c>
      <c r="Y437" s="401" t="s">
        <v>1898</v>
      </c>
      <c r="Z437" s="595" t="s">
        <v>1895</v>
      </c>
      <c r="AA437" s="1453" t="s">
        <v>128</v>
      </c>
      <c r="AB437" s="155"/>
      <c r="AC437" s="155"/>
      <c r="AD437" s="155"/>
      <c r="AE437" s="91" t="s">
        <v>80</v>
      </c>
      <c r="AF437" s="91"/>
      <c r="AG437" s="608">
        <f t="shared" si="242"/>
        <v>180</v>
      </c>
      <c r="AH437" s="608"/>
      <c r="AI437" s="608"/>
      <c r="AJ437" s="608"/>
      <c r="AK437" s="609">
        <f t="shared" si="255"/>
        <v>180</v>
      </c>
      <c r="AL437" s="609"/>
      <c r="AM437" s="609"/>
      <c r="AN437" s="609"/>
      <c r="AO437" s="609">
        <f t="shared" si="256"/>
        <v>180</v>
      </c>
      <c r="AP437" s="609"/>
      <c r="AQ437" s="609"/>
      <c r="AR437" s="609"/>
      <c r="AS437" s="609"/>
      <c r="AT437" s="633"/>
      <c r="AU437" s="633"/>
      <c r="AV437" s="633"/>
      <c r="AW437" s="633"/>
      <c r="AX437" s="633"/>
      <c r="AY437" s="633"/>
      <c r="AZ437" s="633"/>
      <c r="BA437" s="633"/>
      <c r="BB437" s="633"/>
      <c r="BC437" s="633"/>
      <c r="BD437" s="633"/>
      <c r="BE437" s="633"/>
      <c r="BF437" s="633"/>
      <c r="BG437" s="633"/>
      <c r="BH437" s="633"/>
      <c r="BI437" s="633"/>
      <c r="BJ437" s="633"/>
      <c r="BK437" s="633"/>
      <c r="BL437" s="633"/>
      <c r="BM437" s="401">
        <f t="shared" si="226"/>
        <v>180</v>
      </c>
      <c r="BO437" s="1473"/>
      <c r="BP437" s="1473"/>
    </row>
    <row r="438" s="200" customFormat="1" ht="36" customHeight="1" spans="1:68">
      <c r="A438" s="526">
        <v>45455</v>
      </c>
      <c r="B438" s="1578" t="s">
        <v>1892</v>
      </c>
      <c r="C438" s="1543" t="s">
        <v>117</v>
      </c>
      <c r="D438" s="1579">
        <v>4500136946</v>
      </c>
      <c r="E438" s="1681" t="s">
        <v>1901</v>
      </c>
      <c r="F438" s="1579" t="s">
        <v>1902</v>
      </c>
      <c r="G438" s="595" t="s">
        <v>1895</v>
      </c>
      <c r="H438" s="532" t="s">
        <v>1672</v>
      </c>
      <c r="I438" s="1454">
        <v>330</v>
      </c>
      <c r="J438" s="595">
        <v>0</v>
      </c>
      <c r="K438" s="595">
        <v>30</v>
      </c>
      <c r="L438" s="401">
        <f t="shared" si="253"/>
        <v>11</v>
      </c>
      <c r="M438" s="563">
        <v>45497</v>
      </c>
      <c r="N438" s="1495">
        <v>45496</v>
      </c>
      <c r="O438" s="564"/>
      <c r="P438" s="564" t="s">
        <v>1262</v>
      </c>
      <c r="Q438" s="564"/>
      <c r="R438" s="564">
        <v>45461</v>
      </c>
      <c r="S438" s="564" t="s">
        <v>123</v>
      </c>
      <c r="T438" s="580" t="s">
        <v>1896</v>
      </c>
      <c r="U438" s="1505" t="s">
        <v>1897</v>
      </c>
      <c r="V438" s="1586" t="s">
        <v>396</v>
      </c>
      <c r="W438" s="1587">
        <v>86.089</v>
      </c>
      <c r="X438" s="593">
        <f t="shared" si="254"/>
        <v>28409.37</v>
      </c>
      <c r="Y438" s="401" t="s">
        <v>1898</v>
      </c>
      <c r="Z438" s="595" t="s">
        <v>1895</v>
      </c>
      <c r="AA438" s="1453" t="s">
        <v>128</v>
      </c>
      <c r="AB438" s="155"/>
      <c r="AC438" s="155"/>
      <c r="AD438" s="155"/>
      <c r="AE438" s="91" t="s">
        <v>80</v>
      </c>
      <c r="AF438" s="91"/>
      <c r="AG438" s="608">
        <f t="shared" si="242"/>
        <v>330</v>
      </c>
      <c r="AH438" s="608"/>
      <c r="AI438" s="608"/>
      <c r="AJ438" s="608"/>
      <c r="AK438" s="609">
        <f t="shared" si="255"/>
        <v>330</v>
      </c>
      <c r="AL438" s="609"/>
      <c r="AM438" s="609"/>
      <c r="AN438" s="609"/>
      <c r="AO438" s="609">
        <f t="shared" si="256"/>
        <v>330</v>
      </c>
      <c r="AP438" s="609"/>
      <c r="AQ438" s="609"/>
      <c r="AR438" s="609"/>
      <c r="AS438" s="609"/>
      <c r="AT438" s="633"/>
      <c r="AU438" s="633"/>
      <c r="AV438" s="633"/>
      <c r="AW438" s="633"/>
      <c r="AX438" s="633"/>
      <c r="AY438" s="633"/>
      <c r="AZ438" s="633"/>
      <c r="BA438" s="633"/>
      <c r="BB438" s="633"/>
      <c r="BC438" s="633"/>
      <c r="BD438" s="633"/>
      <c r="BE438" s="633"/>
      <c r="BF438" s="633"/>
      <c r="BG438" s="633"/>
      <c r="BH438" s="633"/>
      <c r="BI438" s="633"/>
      <c r="BJ438" s="633"/>
      <c r="BK438" s="633"/>
      <c r="BL438" s="633"/>
      <c r="BM438" s="401">
        <f t="shared" si="226"/>
        <v>330</v>
      </c>
      <c r="BO438" s="1473"/>
      <c r="BP438" s="1473"/>
    </row>
    <row r="439" s="200" customFormat="1" ht="36" customHeight="1" spans="1:68">
      <c r="A439" s="526">
        <v>45455</v>
      </c>
      <c r="B439" s="1578" t="s">
        <v>1892</v>
      </c>
      <c r="C439" s="1543" t="s">
        <v>117</v>
      </c>
      <c r="D439" s="1579">
        <v>4500136946</v>
      </c>
      <c r="E439" s="1681" t="s">
        <v>1903</v>
      </c>
      <c r="F439" s="1579" t="s">
        <v>1904</v>
      </c>
      <c r="G439" s="595" t="s">
        <v>1895</v>
      </c>
      <c r="H439" s="532" t="s">
        <v>1672</v>
      </c>
      <c r="I439" s="1454">
        <v>300</v>
      </c>
      <c r="J439" s="595">
        <v>0</v>
      </c>
      <c r="K439" s="595">
        <v>30</v>
      </c>
      <c r="L439" s="401">
        <f t="shared" si="253"/>
        <v>10</v>
      </c>
      <c r="M439" s="563">
        <v>45497</v>
      </c>
      <c r="N439" s="1495">
        <v>45496</v>
      </c>
      <c r="O439" s="564"/>
      <c r="P439" s="564" t="s">
        <v>1262</v>
      </c>
      <c r="Q439" s="564"/>
      <c r="R439" s="564">
        <v>45461</v>
      </c>
      <c r="S439" s="564" t="s">
        <v>123</v>
      </c>
      <c r="T439" s="580" t="s">
        <v>1896</v>
      </c>
      <c r="U439" s="1505" t="s">
        <v>1897</v>
      </c>
      <c r="V439" s="1586" t="s">
        <v>396</v>
      </c>
      <c r="W439" s="1587">
        <v>86.089</v>
      </c>
      <c r="X439" s="593">
        <f t="shared" si="254"/>
        <v>25826.7</v>
      </c>
      <c r="Y439" s="401" t="s">
        <v>1898</v>
      </c>
      <c r="Z439" s="595" t="s">
        <v>1895</v>
      </c>
      <c r="AA439" s="1453" t="s">
        <v>128</v>
      </c>
      <c r="AB439" s="155"/>
      <c r="AC439" s="155"/>
      <c r="AD439" s="155"/>
      <c r="AE439" s="91" t="s">
        <v>80</v>
      </c>
      <c r="AF439" s="91"/>
      <c r="AG439" s="608">
        <f t="shared" si="242"/>
        <v>300</v>
      </c>
      <c r="AH439" s="608"/>
      <c r="AI439" s="608"/>
      <c r="AJ439" s="608"/>
      <c r="AK439" s="609">
        <f t="shared" si="255"/>
        <v>300</v>
      </c>
      <c r="AL439" s="609"/>
      <c r="AM439" s="609"/>
      <c r="AN439" s="609"/>
      <c r="AO439" s="609">
        <f t="shared" si="256"/>
        <v>300</v>
      </c>
      <c r="AP439" s="609"/>
      <c r="AQ439" s="609"/>
      <c r="AR439" s="609"/>
      <c r="AS439" s="609"/>
      <c r="AT439" s="633"/>
      <c r="AU439" s="633"/>
      <c r="AV439" s="633"/>
      <c r="AW439" s="633"/>
      <c r="AX439" s="633"/>
      <c r="AY439" s="633"/>
      <c r="AZ439" s="633"/>
      <c r="BA439" s="633"/>
      <c r="BB439" s="633"/>
      <c r="BC439" s="633"/>
      <c r="BD439" s="633"/>
      <c r="BE439" s="633"/>
      <c r="BF439" s="633"/>
      <c r="BG439" s="633"/>
      <c r="BH439" s="633"/>
      <c r="BI439" s="633"/>
      <c r="BJ439" s="633"/>
      <c r="BK439" s="633"/>
      <c r="BL439" s="633"/>
      <c r="BM439" s="401">
        <f t="shared" si="226"/>
        <v>300</v>
      </c>
      <c r="BO439" s="1473"/>
      <c r="BP439" s="1473"/>
    </row>
    <row r="440" s="200" customFormat="1" ht="36" customHeight="1" spans="1:68">
      <c r="A440" s="526">
        <v>45455</v>
      </c>
      <c r="B440" s="1578" t="s">
        <v>1892</v>
      </c>
      <c r="C440" s="1543" t="s">
        <v>117</v>
      </c>
      <c r="D440" s="1579">
        <v>4500136946</v>
      </c>
      <c r="E440" s="1681" t="s">
        <v>1905</v>
      </c>
      <c r="F440" s="1579" t="s">
        <v>1906</v>
      </c>
      <c r="G440" s="595" t="s">
        <v>1895</v>
      </c>
      <c r="H440" s="532" t="s">
        <v>1672</v>
      </c>
      <c r="I440" s="1454">
        <v>450</v>
      </c>
      <c r="J440" s="595">
        <v>0</v>
      </c>
      <c r="K440" s="595">
        <v>30</v>
      </c>
      <c r="L440" s="401">
        <f t="shared" si="253"/>
        <v>15</v>
      </c>
      <c r="M440" s="563">
        <v>45497</v>
      </c>
      <c r="N440" s="1495">
        <v>45496</v>
      </c>
      <c r="O440" s="564"/>
      <c r="P440" s="564" t="s">
        <v>1262</v>
      </c>
      <c r="Q440" s="564"/>
      <c r="R440" s="564">
        <v>45461</v>
      </c>
      <c r="S440" s="564" t="s">
        <v>123</v>
      </c>
      <c r="T440" s="580" t="s">
        <v>1896</v>
      </c>
      <c r="U440" s="1505" t="s">
        <v>1897</v>
      </c>
      <c r="V440" s="1586" t="s">
        <v>396</v>
      </c>
      <c r="W440" s="1587">
        <v>86.089</v>
      </c>
      <c r="X440" s="593">
        <f t="shared" si="254"/>
        <v>38740.05</v>
      </c>
      <c r="Y440" s="401" t="s">
        <v>1898</v>
      </c>
      <c r="Z440" s="595" t="s">
        <v>1895</v>
      </c>
      <c r="AA440" s="1453" t="s">
        <v>128</v>
      </c>
      <c r="AB440" s="155"/>
      <c r="AC440" s="155"/>
      <c r="AD440" s="155"/>
      <c r="AE440" s="91" t="s">
        <v>80</v>
      </c>
      <c r="AF440" s="91"/>
      <c r="AG440" s="608">
        <f t="shared" si="242"/>
        <v>450</v>
      </c>
      <c r="AH440" s="608"/>
      <c r="AI440" s="608"/>
      <c r="AJ440" s="608"/>
      <c r="AK440" s="609">
        <f t="shared" si="255"/>
        <v>450</v>
      </c>
      <c r="AL440" s="609"/>
      <c r="AM440" s="609"/>
      <c r="AN440" s="609"/>
      <c r="AO440" s="609">
        <f t="shared" si="256"/>
        <v>450</v>
      </c>
      <c r="AP440" s="609"/>
      <c r="AQ440" s="609"/>
      <c r="AR440" s="609"/>
      <c r="AS440" s="609"/>
      <c r="AT440" s="633"/>
      <c r="AU440" s="633"/>
      <c r="AV440" s="633"/>
      <c r="AW440" s="633"/>
      <c r="AX440" s="633"/>
      <c r="AY440" s="633"/>
      <c r="AZ440" s="633"/>
      <c r="BA440" s="633"/>
      <c r="BB440" s="633"/>
      <c r="BC440" s="633"/>
      <c r="BD440" s="633"/>
      <c r="BE440" s="633"/>
      <c r="BF440" s="633"/>
      <c r="BG440" s="633"/>
      <c r="BH440" s="633"/>
      <c r="BI440" s="633"/>
      <c r="BJ440" s="633"/>
      <c r="BK440" s="633"/>
      <c r="BL440" s="633"/>
      <c r="BM440" s="401">
        <f t="shared" si="226"/>
        <v>450</v>
      </c>
      <c r="BO440" s="1473"/>
      <c r="BP440" s="1473"/>
    </row>
    <row r="441" s="200" customFormat="1" ht="36" customHeight="1" spans="1:68">
      <c r="A441" s="526">
        <v>45456</v>
      </c>
      <c r="B441" s="1578" t="s">
        <v>179</v>
      </c>
      <c r="C441" s="1512" t="s">
        <v>180</v>
      </c>
      <c r="D441" s="1579">
        <v>4500136617</v>
      </c>
      <c r="E441" s="1578" t="s">
        <v>1907</v>
      </c>
      <c r="F441" s="1579" t="s">
        <v>1908</v>
      </c>
      <c r="G441" s="531" t="s">
        <v>73</v>
      </c>
      <c r="H441" s="532" t="s">
        <v>74</v>
      </c>
      <c r="I441" s="401">
        <v>840</v>
      </c>
      <c r="J441" s="562">
        <v>0</v>
      </c>
      <c r="K441" s="531">
        <v>24</v>
      </c>
      <c r="L441" s="401">
        <f t="shared" si="253"/>
        <v>35</v>
      </c>
      <c r="M441" s="563">
        <v>45499</v>
      </c>
      <c r="N441" s="1495">
        <v>45496</v>
      </c>
      <c r="O441" s="1474" t="s">
        <v>1909</v>
      </c>
      <c r="P441" s="564" t="s">
        <v>1262</v>
      </c>
      <c r="Q441" s="564"/>
      <c r="R441" s="1523" t="s">
        <v>1910</v>
      </c>
      <c r="S441" s="564" t="s">
        <v>123</v>
      </c>
      <c r="T441" s="1519" t="s">
        <v>1911</v>
      </c>
      <c r="U441" s="530" t="s">
        <v>1912</v>
      </c>
      <c r="V441" s="564" t="s">
        <v>186</v>
      </c>
      <c r="W441" s="592">
        <v>1.3645</v>
      </c>
      <c r="X441" s="593">
        <f t="shared" si="254"/>
        <v>1146.18</v>
      </c>
      <c r="Y441" s="401" t="s">
        <v>1913</v>
      </c>
      <c r="Z441" s="607" t="s">
        <v>188</v>
      </c>
      <c r="AA441" s="1453" t="s">
        <v>128</v>
      </c>
      <c r="AB441" s="608"/>
      <c r="AC441" s="608"/>
      <c r="AD441" s="608"/>
      <c r="AE441" s="564" t="s">
        <v>80</v>
      </c>
      <c r="AF441" s="564"/>
      <c r="AG441" s="608">
        <f t="shared" si="242"/>
        <v>840</v>
      </c>
      <c r="AH441" s="608"/>
      <c r="AI441" s="608"/>
      <c r="AJ441" s="608"/>
      <c r="AK441" s="609"/>
      <c r="AL441" s="401">
        <f>AG441</f>
        <v>840</v>
      </c>
      <c r="AM441" s="609"/>
      <c r="AN441" s="609"/>
      <c r="AO441" s="609">
        <f t="shared" si="256"/>
        <v>840</v>
      </c>
      <c r="AP441" s="609"/>
      <c r="AQ441" s="609"/>
      <c r="AR441" s="609"/>
      <c r="AS441" s="609"/>
      <c r="AT441" s="633"/>
      <c r="AU441" s="633"/>
      <c r="AV441" s="633"/>
      <c r="AW441" s="633"/>
      <c r="AX441" s="633"/>
      <c r="AY441" s="633"/>
      <c r="AZ441" s="633"/>
      <c r="BA441" s="633"/>
      <c r="BB441" s="633"/>
      <c r="BC441" s="633"/>
      <c r="BD441" s="633"/>
      <c r="BE441" s="633"/>
      <c r="BF441" s="633"/>
      <c r="BG441" s="633"/>
      <c r="BH441" s="633"/>
      <c r="BI441" s="633"/>
      <c r="BJ441" s="633"/>
      <c r="BK441" s="633"/>
      <c r="BL441" s="633"/>
      <c r="BM441" s="401">
        <f t="shared" si="226"/>
        <v>840</v>
      </c>
      <c r="BO441" s="1473"/>
      <c r="BP441" s="1473"/>
    </row>
    <row r="442" s="200" customFormat="1" ht="36" customHeight="1" spans="1:68">
      <c r="A442" s="526">
        <v>45460</v>
      </c>
      <c r="B442" s="1578" t="s">
        <v>1217</v>
      </c>
      <c r="C442" s="1543" t="s">
        <v>1211</v>
      </c>
      <c r="D442" s="1579">
        <v>4500137214</v>
      </c>
      <c r="E442" s="1578" t="s">
        <v>1914</v>
      </c>
      <c r="F442" s="1579" t="s">
        <v>1915</v>
      </c>
      <c r="G442" s="595" t="s">
        <v>207</v>
      </c>
      <c r="H442" s="532" t="s">
        <v>74</v>
      </c>
      <c r="I442" s="401">
        <v>960</v>
      </c>
      <c r="J442" s="562">
        <v>0</v>
      </c>
      <c r="K442" s="531">
        <v>48</v>
      </c>
      <c r="L442" s="401">
        <f t="shared" si="253"/>
        <v>20</v>
      </c>
      <c r="M442" s="563">
        <v>45498</v>
      </c>
      <c r="N442" s="1495">
        <v>45496</v>
      </c>
      <c r="O442" s="564" t="s">
        <v>1916</v>
      </c>
      <c r="P442" s="564" t="s">
        <v>92</v>
      </c>
      <c r="Q442" s="564" t="s">
        <v>1917</v>
      </c>
      <c r="R442" s="1588">
        <v>45468</v>
      </c>
      <c r="S442" s="1588" t="s">
        <v>77</v>
      </c>
      <c r="T442" s="1588" t="s">
        <v>1720</v>
      </c>
      <c r="U442" s="1505" t="s">
        <v>1918</v>
      </c>
      <c r="V442" s="1586" t="s">
        <v>618</v>
      </c>
      <c r="W442" s="592">
        <v>1.3917</v>
      </c>
      <c r="X442" s="593">
        <f t="shared" si="254"/>
        <v>1336.032</v>
      </c>
      <c r="Y442" s="401" t="s">
        <v>1919</v>
      </c>
      <c r="Z442" s="595" t="s">
        <v>207</v>
      </c>
      <c r="AA442" s="1453" t="s">
        <v>128</v>
      </c>
      <c r="AB442" s="1589"/>
      <c r="AC442" s="1589"/>
      <c r="AD442" s="1589"/>
      <c r="AE442" s="1590" t="s">
        <v>80</v>
      </c>
      <c r="AF442" s="1590"/>
      <c r="AG442" s="608">
        <f t="shared" si="242"/>
        <v>960</v>
      </c>
      <c r="AH442" s="608"/>
      <c r="AI442" s="608"/>
      <c r="AJ442" s="608"/>
      <c r="AK442" s="401">
        <f>I442</f>
        <v>960</v>
      </c>
      <c r="AL442" s="609"/>
      <c r="AM442" s="609"/>
      <c r="AN442" s="609"/>
      <c r="AO442" s="609">
        <f t="shared" si="256"/>
        <v>960</v>
      </c>
      <c r="AP442" s="609"/>
      <c r="AQ442" s="609"/>
      <c r="AR442" s="609"/>
      <c r="AS442" s="609"/>
      <c r="AT442" s="633"/>
      <c r="AU442" s="633"/>
      <c r="AV442" s="633"/>
      <c r="AW442" s="633">
        <f>I442/12</f>
        <v>80</v>
      </c>
      <c r="AX442" s="633"/>
      <c r="AY442" s="633"/>
      <c r="AZ442" s="633"/>
      <c r="BA442" s="633"/>
      <c r="BB442" s="633"/>
      <c r="BC442" s="633"/>
      <c r="BD442" s="633"/>
      <c r="BE442" s="633"/>
      <c r="BF442" s="633"/>
      <c r="BG442" s="633"/>
      <c r="BH442" s="633"/>
      <c r="BI442" s="633"/>
      <c r="BJ442" s="633"/>
      <c r="BK442" s="633"/>
      <c r="BL442" s="633"/>
      <c r="BM442" s="401">
        <f t="shared" si="226"/>
        <v>960</v>
      </c>
      <c r="BO442" s="1473"/>
      <c r="BP442" s="1473"/>
    </row>
    <row r="443" s="200" customFormat="1" ht="36" customHeight="1" spans="1:68">
      <c r="A443" s="526">
        <v>45460</v>
      </c>
      <c r="B443" s="1578" t="s">
        <v>1217</v>
      </c>
      <c r="C443" s="1543" t="s">
        <v>1211</v>
      </c>
      <c r="D443" s="1579">
        <v>4500137217</v>
      </c>
      <c r="E443" s="1578" t="s">
        <v>1920</v>
      </c>
      <c r="F443" s="1579" t="s">
        <v>1921</v>
      </c>
      <c r="G443" s="595" t="s">
        <v>207</v>
      </c>
      <c r="H443" s="532" t="s">
        <v>74</v>
      </c>
      <c r="I443" s="401">
        <v>3504</v>
      </c>
      <c r="J443" s="562">
        <v>0</v>
      </c>
      <c r="K443" s="531">
        <v>48</v>
      </c>
      <c r="L443" s="401">
        <f t="shared" si="253"/>
        <v>73</v>
      </c>
      <c r="M443" s="563">
        <v>45498</v>
      </c>
      <c r="N443" s="1495">
        <v>45496</v>
      </c>
      <c r="O443" s="564" t="s">
        <v>1916</v>
      </c>
      <c r="P443" s="564" t="s">
        <v>92</v>
      </c>
      <c r="Q443" s="564" t="s">
        <v>1922</v>
      </c>
      <c r="R443" s="1588">
        <v>45468</v>
      </c>
      <c r="S443" s="1588" t="s">
        <v>77</v>
      </c>
      <c r="T443" s="1588" t="s">
        <v>1720</v>
      </c>
      <c r="U443" s="1505" t="s">
        <v>1918</v>
      </c>
      <c r="V443" s="1586" t="s">
        <v>618</v>
      </c>
      <c r="W443" s="592">
        <v>1.4219</v>
      </c>
      <c r="X443" s="593">
        <f t="shared" si="254"/>
        <v>4982.3376</v>
      </c>
      <c r="Y443" s="401" t="s">
        <v>1923</v>
      </c>
      <c r="Z443" s="595" t="s">
        <v>207</v>
      </c>
      <c r="AA443" s="1453" t="s">
        <v>128</v>
      </c>
      <c r="AB443" s="1589"/>
      <c r="AC443" s="1589"/>
      <c r="AD443" s="1589"/>
      <c r="AE443" s="1590" t="s">
        <v>80</v>
      </c>
      <c r="AF443" s="1590"/>
      <c r="AG443" s="608">
        <f t="shared" si="242"/>
        <v>3504</v>
      </c>
      <c r="AH443" s="608"/>
      <c r="AI443" s="608"/>
      <c r="AJ443" s="608"/>
      <c r="AK443" s="401">
        <f>I443</f>
        <v>3504</v>
      </c>
      <c r="AL443" s="609"/>
      <c r="AM443" s="609"/>
      <c r="AN443" s="609"/>
      <c r="AO443" s="609">
        <f t="shared" si="256"/>
        <v>3504</v>
      </c>
      <c r="AP443" s="609"/>
      <c r="AQ443" s="609"/>
      <c r="AR443" s="609"/>
      <c r="AS443" s="609"/>
      <c r="AT443" s="633"/>
      <c r="AU443" s="633"/>
      <c r="AV443" s="633"/>
      <c r="AW443" s="633">
        <f>I443/12</f>
        <v>292</v>
      </c>
      <c r="AX443" s="633"/>
      <c r="AY443" s="633"/>
      <c r="AZ443" s="633"/>
      <c r="BA443" s="633"/>
      <c r="BB443" s="633"/>
      <c r="BC443" s="633"/>
      <c r="BD443" s="633"/>
      <c r="BE443" s="633"/>
      <c r="BF443" s="633"/>
      <c r="BG443" s="633"/>
      <c r="BH443" s="633"/>
      <c r="BI443" s="633"/>
      <c r="BJ443" s="633"/>
      <c r="BK443" s="633"/>
      <c r="BL443" s="633"/>
      <c r="BM443" s="401">
        <f t="shared" si="226"/>
        <v>3504</v>
      </c>
      <c r="BO443" s="1473"/>
      <c r="BP443" s="1473"/>
    </row>
    <row r="444" s="200" customFormat="1" ht="36" customHeight="1" spans="1:68">
      <c r="A444" s="526">
        <v>45460</v>
      </c>
      <c r="B444" s="1578" t="s">
        <v>708</v>
      </c>
      <c r="C444" s="1543" t="s">
        <v>286</v>
      </c>
      <c r="D444" s="1579">
        <v>4500137238</v>
      </c>
      <c r="E444" s="1578"/>
      <c r="F444" s="1579" t="s">
        <v>1924</v>
      </c>
      <c r="G444" s="595" t="s">
        <v>96</v>
      </c>
      <c r="H444" s="532" t="s">
        <v>74</v>
      </c>
      <c r="I444" s="401">
        <v>2000</v>
      </c>
      <c r="J444" s="562">
        <v>0</v>
      </c>
      <c r="K444" s="531">
        <v>50</v>
      </c>
      <c r="L444" s="401">
        <f t="shared" si="253"/>
        <v>40</v>
      </c>
      <c r="M444" s="563">
        <v>45497</v>
      </c>
      <c r="N444" s="1495">
        <v>45496</v>
      </c>
      <c r="O444" s="564"/>
      <c r="P444" s="564" t="s">
        <v>92</v>
      </c>
      <c r="Q444" s="564" t="s">
        <v>1825</v>
      </c>
      <c r="R444" s="564">
        <v>45470</v>
      </c>
      <c r="S444" s="564" t="s">
        <v>77</v>
      </c>
      <c r="T444" s="580" t="s">
        <v>1925</v>
      </c>
      <c r="U444" s="1505" t="s">
        <v>1926</v>
      </c>
      <c r="V444" s="596" t="s">
        <v>290</v>
      </c>
      <c r="W444" s="592">
        <v>1.4344</v>
      </c>
      <c r="X444" s="593">
        <f t="shared" si="254"/>
        <v>2868.8</v>
      </c>
      <c r="Y444" s="401" t="s">
        <v>1927</v>
      </c>
      <c r="Z444" s="595" t="s">
        <v>292</v>
      </c>
      <c r="AA444" s="1453" t="s">
        <v>128</v>
      </c>
      <c r="AB444" s="155"/>
      <c r="AC444" s="155"/>
      <c r="AD444" s="155"/>
      <c r="AE444" s="91" t="s">
        <v>80</v>
      </c>
      <c r="AF444" s="91"/>
      <c r="AG444" s="608">
        <f t="shared" si="242"/>
        <v>2000</v>
      </c>
      <c r="AH444" s="608"/>
      <c r="AI444" s="608"/>
      <c r="AJ444" s="608"/>
      <c r="AK444" s="609"/>
      <c r="AL444" s="609">
        <f t="shared" ref="AL444:AL447" si="257">I444</f>
        <v>2000</v>
      </c>
      <c r="AM444" s="609"/>
      <c r="AN444" s="609"/>
      <c r="AO444" s="609">
        <f t="shared" ref="AO444:AO447" si="258">I444</f>
        <v>2000</v>
      </c>
      <c r="AP444" s="609"/>
      <c r="AQ444" s="609"/>
      <c r="AR444" s="609"/>
      <c r="AS444" s="609"/>
      <c r="AT444" s="633"/>
      <c r="AU444" s="633"/>
      <c r="AV444" s="633"/>
      <c r="AW444" s="633"/>
      <c r="AX444" s="633"/>
      <c r="AY444" s="633"/>
      <c r="AZ444" s="633"/>
      <c r="BA444" s="633"/>
      <c r="BB444" s="633">
        <f>I444/25</f>
        <v>80</v>
      </c>
      <c r="BC444" s="633"/>
      <c r="BD444" s="633"/>
      <c r="BE444" s="633"/>
      <c r="BF444" s="633"/>
      <c r="BG444" s="633"/>
      <c r="BH444" s="633"/>
      <c r="BI444" s="633"/>
      <c r="BJ444" s="633"/>
      <c r="BK444" s="633"/>
      <c r="BL444" s="633"/>
      <c r="BM444" s="401">
        <f t="shared" si="226"/>
        <v>2000</v>
      </c>
      <c r="BO444" s="1473"/>
      <c r="BP444" s="1473"/>
    </row>
    <row r="445" s="200" customFormat="1" ht="36" customHeight="1" spans="1:68">
      <c r="A445" s="526">
        <v>45468</v>
      </c>
      <c r="B445" s="1578" t="s">
        <v>379</v>
      </c>
      <c r="C445" s="1543" t="s">
        <v>373</v>
      </c>
      <c r="D445" s="1579">
        <v>4500137977</v>
      </c>
      <c r="E445" s="1578"/>
      <c r="F445" s="1579" t="s">
        <v>1928</v>
      </c>
      <c r="G445" s="595" t="s">
        <v>1196</v>
      </c>
      <c r="H445" s="532" t="s">
        <v>74</v>
      </c>
      <c r="I445" s="401">
        <v>420</v>
      </c>
      <c r="J445" s="562">
        <v>0</v>
      </c>
      <c r="K445" s="531">
        <v>42</v>
      </c>
      <c r="L445" s="401">
        <f t="shared" si="253"/>
        <v>10</v>
      </c>
      <c r="M445" s="563">
        <v>45498</v>
      </c>
      <c r="N445" s="563">
        <v>45496</v>
      </c>
      <c r="O445" s="564"/>
      <c r="P445" s="564" t="s">
        <v>1262</v>
      </c>
      <c r="Q445" s="564" t="s">
        <v>1929</v>
      </c>
      <c r="R445" s="1588">
        <v>45468</v>
      </c>
      <c r="S445" s="1588" t="s">
        <v>77</v>
      </c>
      <c r="T445" s="580" t="s">
        <v>1930</v>
      </c>
      <c r="U445" s="1505" t="s">
        <v>1931</v>
      </c>
      <c r="V445" s="1586" t="s">
        <v>881</v>
      </c>
      <c r="W445" s="592">
        <v>1.4595</v>
      </c>
      <c r="X445" s="593">
        <f t="shared" si="254"/>
        <v>612.99</v>
      </c>
      <c r="Y445" s="401" t="s">
        <v>1932</v>
      </c>
      <c r="Z445" s="607" t="s">
        <v>697</v>
      </c>
      <c r="AA445" s="1453" t="s">
        <v>128</v>
      </c>
      <c r="AB445" s="608"/>
      <c r="AC445" s="608"/>
      <c r="AD445" s="608"/>
      <c r="AE445" s="564" t="s">
        <v>80</v>
      </c>
      <c r="AF445" s="564"/>
      <c r="AG445" s="608"/>
      <c r="AH445" s="608">
        <f>I445</f>
        <v>420</v>
      </c>
      <c r="AI445" s="608"/>
      <c r="AJ445" s="608"/>
      <c r="AK445" s="401"/>
      <c r="AL445" s="609">
        <f t="shared" si="257"/>
        <v>420</v>
      </c>
      <c r="AM445" s="609"/>
      <c r="AN445" s="609"/>
      <c r="AO445" s="609">
        <f t="shared" si="258"/>
        <v>420</v>
      </c>
      <c r="AP445" s="609"/>
      <c r="AQ445" s="609"/>
      <c r="AR445" s="609"/>
      <c r="AS445" s="609"/>
      <c r="AT445" s="609">
        <f>I445/21</f>
        <v>20</v>
      </c>
      <c r="AU445" s="609"/>
      <c r="AV445" s="633"/>
      <c r="AW445" s="633"/>
      <c r="AX445" s="633"/>
      <c r="AY445" s="633"/>
      <c r="AZ445" s="633"/>
      <c r="BA445" s="633"/>
      <c r="BB445" s="633"/>
      <c r="BC445" s="633"/>
      <c r="BD445" s="633"/>
      <c r="BE445" s="633"/>
      <c r="BF445" s="633"/>
      <c r="BG445" s="633"/>
      <c r="BH445" s="633"/>
      <c r="BI445" s="633"/>
      <c r="BJ445" s="633"/>
      <c r="BK445" s="633"/>
      <c r="BL445" s="633"/>
      <c r="BM445" s="401">
        <f t="shared" si="226"/>
        <v>420</v>
      </c>
      <c r="BO445" s="1473"/>
      <c r="BP445" s="1473"/>
    </row>
    <row r="446" s="200" customFormat="1" ht="36" customHeight="1" spans="1:68">
      <c r="A446" s="526">
        <v>45455</v>
      </c>
      <c r="B446" s="1578" t="s">
        <v>116</v>
      </c>
      <c r="C446" s="1478" t="s">
        <v>117</v>
      </c>
      <c r="D446" s="534">
        <v>4500136650</v>
      </c>
      <c r="E446" s="530">
        <v>8932927</v>
      </c>
      <c r="F446" s="534" t="s">
        <v>1933</v>
      </c>
      <c r="G446" s="531" t="s">
        <v>120</v>
      </c>
      <c r="H446" s="532" t="s">
        <v>74</v>
      </c>
      <c r="I446" s="401">
        <v>19992</v>
      </c>
      <c r="J446" s="562">
        <v>0</v>
      </c>
      <c r="K446" s="531">
        <v>21</v>
      </c>
      <c r="L446" s="401">
        <f t="shared" si="253"/>
        <v>952</v>
      </c>
      <c r="M446" s="563">
        <v>45502</v>
      </c>
      <c r="N446" s="563">
        <v>45498</v>
      </c>
      <c r="O446" s="564"/>
      <c r="P446" s="564" t="s">
        <v>92</v>
      </c>
      <c r="Q446" s="564" t="s">
        <v>1934</v>
      </c>
      <c r="R446" s="564">
        <v>45471</v>
      </c>
      <c r="S446" s="564" t="s">
        <v>123</v>
      </c>
      <c r="T446" s="1519" t="s">
        <v>1935</v>
      </c>
      <c r="U446" s="530" t="s">
        <v>1423</v>
      </c>
      <c r="V446" s="564" t="s">
        <v>126</v>
      </c>
      <c r="W446" s="592">
        <v>1.4296</v>
      </c>
      <c r="X446" s="593">
        <f>W446*L446</f>
        <v>1360.9792</v>
      </c>
      <c r="Y446" s="401" t="s">
        <v>1936</v>
      </c>
      <c r="Z446" s="607" t="s">
        <v>120</v>
      </c>
      <c r="AA446" s="1453" t="s">
        <v>128</v>
      </c>
      <c r="AB446" s="608"/>
      <c r="AC446" s="608"/>
      <c r="AD446" s="608"/>
      <c r="AE446" s="564" t="s">
        <v>80</v>
      </c>
      <c r="AF446" s="564"/>
      <c r="AG446" s="608">
        <f t="shared" ref="AG446:AG449" si="259">I446</f>
        <v>19992</v>
      </c>
      <c r="AH446" s="608"/>
      <c r="AI446" s="608"/>
      <c r="AJ446" s="608"/>
      <c r="AK446" s="609">
        <f t="shared" ref="AK446:AK451" si="260">AG446</f>
        <v>19992</v>
      </c>
      <c r="AL446" s="609"/>
      <c r="AM446" s="609"/>
      <c r="AN446" s="609"/>
      <c r="AO446" s="615">
        <f t="shared" si="258"/>
        <v>19992</v>
      </c>
      <c r="AP446" s="609"/>
      <c r="AQ446" s="609"/>
      <c r="AR446" s="609"/>
      <c r="AS446" s="609">
        <f>I446/21</f>
        <v>952</v>
      </c>
      <c r="AT446" s="633"/>
      <c r="AU446" s="633"/>
      <c r="AV446" s="633"/>
      <c r="AW446" s="633"/>
      <c r="AX446" s="633"/>
      <c r="AY446" s="633"/>
      <c r="AZ446" s="633"/>
      <c r="BA446" s="633"/>
      <c r="BB446" s="633"/>
      <c r="BC446" s="633"/>
      <c r="BD446" s="633"/>
      <c r="BE446" s="633"/>
      <c r="BF446" s="633"/>
      <c r="BG446" s="633"/>
      <c r="BH446" s="633"/>
      <c r="BI446" s="633"/>
      <c r="BJ446" s="633"/>
      <c r="BK446" s="633"/>
      <c r="BL446" s="633"/>
      <c r="BM446" s="401">
        <f t="shared" si="226"/>
        <v>19992</v>
      </c>
      <c r="BO446" s="1473"/>
      <c r="BP446" s="1473"/>
    </row>
    <row r="447" s="200" customFormat="1" ht="36" customHeight="1" spans="1:68">
      <c r="A447" s="526">
        <v>45461</v>
      </c>
      <c r="B447" s="1578" t="s">
        <v>1937</v>
      </c>
      <c r="C447" s="1561" t="s">
        <v>373</v>
      </c>
      <c r="D447" s="529">
        <v>4500137569</v>
      </c>
      <c r="E447" s="530"/>
      <c r="F447" s="529" t="s">
        <v>1938</v>
      </c>
      <c r="G447" s="531" t="s">
        <v>1196</v>
      </c>
      <c r="H447" s="532" t="s">
        <v>74</v>
      </c>
      <c r="I447" s="401">
        <v>504</v>
      </c>
      <c r="J447" s="562">
        <v>0</v>
      </c>
      <c r="K447" s="531">
        <v>42</v>
      </c>
      <c r="L447" s="401">
        <f t="shared" si="253"/>
        <v>12</v>
      </c>
      <c r="M447" s="563">
        <v>45502</v>
      </c>
      <c r="N447" s="563">
        <v>45498</v>
      </c>
      <c r="O447" s="564"/>
      <c r="P447" s="564" t="s">
        <v>1262</v>
      </c>
      <c r="Q447" s="564" t="s">
        <v>1939</v>
      </c>
      <c r="R447" s="564">
        <v>45462</v>
      </c>
      <c r="S447" s="564" t="s">
        <v>77</v>
      </c>
      <c r="T447" s="1519" t="s">
        <v>1940</v>
      </c>
      <c r="U447" s="530" t="s">
        <v>1941</v>
      </c>
      <c r="V447" s="564" t="s">
        <v>881</v>
      </c>
      <c r="W447" s="592">
        <v>1.4394</v>
      </c>
      <c r="X447" s="593">
        <f t="shared" ref="X447:X453" si="261">I447*W447</f>
        <v>725.4576</v>
      </c>
      <c r="Y447" s="401" t="s">
        <v>1942</v>
      </c>
      <c r="Z447" s="607" t="s">
        <v>697</v>
      </c>
      <c r="AA447" s="1453" t="s">
        <v>128</v>
      </c>
      <c r="AB447" s="608"/>
      <c r="AC447" s="608"/>
      <c r="AD447" s="608"/>
      <c r="AE447" s="564" t="s">
        <v>80</v>
      </c>
      <c r="AF447" s="564"/>
      <c r="AG447" s="608"/>
      <c r="AH447" s="608">
        <f>I447</f>
        <v>504</v>
      </c>
      <c r="AI447" s="608"/>
      <c r="AJ447" s="608"/>
      <c r="AK447" s="609"/>
      <c r="AL447" s="609">
        <f t="shared" si="257"/>
        <v>504</v>
      </c>
      <c r="AM447" s="609"/>
      <c r="AN447" s="609"/>
      <c r="AO447" s="609">
        <f t="shared" si="258"/>
        <v>504</v>
      </c>
      <c r="AP447" s="609"/>
      <c r="AQ447" s="609"/>
      <c r="AR447" s="609"/>
      <c r="AS447" s="609"/>
      <c r="AT447" s="609">
        <f>I447/21</f>
        <v>24</v>
      </c>
      <c r="AU447" s="609"/>
      <c r="AV447" s="633"/>
      <c r="AW447" s="633"/>
      <c r="AX447" s="633"/>
      <c r="AY447" s="633"/>
      <c r="AZ447" s="633"/>
      <c r="BA447" s="633"/>
      <c r="BB447" s="633"/>
      <c r="BC447" s="633"/>
      <c r="BD447" s="633"/>
      <c r="BE447" s="633"/>
      <c r="BF447" s="633"/>
      <c r="BG447" s="633"/>
      <c r="BH447" s="633"/>
      <c r="BI447" s="633"/>
      <c r="BJ447" s="633"/>
      <c r="BK447" s="633"/>
      <c r="BL447" s="633"/>
      <c r="BM447" s="401">
        <f t="shared" si="226"/>
        <v>504</v>
      </c>
      <c r="BO447" s="1473"/>
      <c r="BP447" s="1473"/>
    </row>
    <row r="448" s="200" customFormat="1" ht="36" customHeight="1" spans="1:68">
      <c r="A448" s="526">
        <v>45464</v>
      </c>
      <c r="B448" s="1578" t="s">
        <v>1943</v>
      </c>
      <c r="C448" s="1561" t="s">
        <v>373</v>
      </c>
      <c r="D448" s="529">
        <v>4500137958</v>
      </c>
      <c r="E448" s="530"/>
      <c r="F448" s="529" t="s">
        <v>1944</v>
      </c>
      <c r="G448" s="531" t="s">
        <v>215</v>
      </c>
      <c r="H448" s="539" t="s">
        <v>74</v>
      </c>
      <c r="I448" s="1549">
        <v>756</v>
      </c>
      <c r="J448" s="566">
        <v>0</v>
      </c>
      <c r="K448" s="538">
        <v>42</v>
      </c>
      <c r="L448" s="1549">
        <f t="shared" si="253"/>
        <v>18</v>
      </c>
      <c r="M448" s="563">
        <v>45502</v>
      </c>
      <c r="N448" s="563">
        <v>45498</v>
      </c>
      <c r="O448" s="564"/>
      <c r="P448" s="564" t="s">
        <v>1262</v>
      </c>
      <c r="Q448" s="564"/>
      <c r="R448" s="564">
        <v>45464</v>
      </c>
      <c r="S448" s="564" t="s">
        <v>77</v>
      </c>
      <c r="T448" s="1519" t="s">
        <v>1945</v>
      </c>
      <c r="U448" s="530" t="s">
        <v>1946</v>
      </c>
      <c r="V448" s="564" t="s">
        <v>881</v>
      </c>
      <c r="W448" s="597">
        <v>1.459</v>
      </c>
      <c r="X448" s="598">
        <f t="shared" si="261"/>
        <v>1103.004</v>
      </c>
      <c r="Y448" s="401" t="s">
        <v>1947</v>
      </c>
      <c r="Z448" s="607" t="s">
        <v>220</v>
      </c>
      <c r="AA448" s="1453" t="s">
        <v>128</v>
      </c>
      <c r="AB448" s="608"/>
      <c r="AC448" s="608"/>
      <c r="AD448" s="608"/>
      <c r="AE448" s="564" t="s">
        <v>80</v>
      </c>
      <c r="AF448" s="564"/>
      <c r="AG448" s="608">
        <f t="shared" si="259"/>
        <v>756</v>
      </c>
      <c r="AH448" s="608"/>
      <c r="AI448" s="608"/>
      <c r="AJ448" s="608"/>
      <c r="AK448" s="609"/>
      <c r="AL448" s="609">
        <f>AG448</f>
        <v>756</v>
      </c>
      <c r="AM448" s="609"/>
      <c r="AN448" s="609"/>
      <c r="AO448" s="609">
        <f t="shared" ref="AO448:AO452" si="262">AG448</f>
        <v>756</v>
      </c>
      <c r="AP448" s="609"/>
      <c r="AQ448" s="609"/>
      <c r="AR448" s="609"/>
      <c r="AS448" s="609"/>
      <c r="AT448" s="633">
        <f>AG448/21</f>
        <v>36</v>
      </c>
      <c r="AU448" s="633"/>
      <c r="AV448" s="633"/>
      <c r="AW448" s="633"/>
      <c r="AX448" s="633"/>
      <c r="AY448" s="633"/>
      <c r="AZ448" s="633"/>
      <c r="BA448" s="633"/>
      <c r="BB448" s="633"/>
      <c r="BC448" s="633"/>
      <c r="BD448" s="633"/>
      <c r="BE448" s="633"/>
      <c r="BF448" s="633"/>
      <c r="BG448" s="633"/>
      <c r="BH448" s="633"/>
      <c r="BI448" s="633"/>
      <c r="BJ448" s="633"/>
      <c r="BK448" s="633"/>
      <c r="BL448" s="633"/>
      <c r="BM448" s="401">
        <f t="shared" si="226"/>
        <v>756</v>
      </c>
      <c r="BO448" s="1473"/>
      <c r="BP448" s="1473"/>
    </row>
    <row r="449" s="200" customFormat="1" ht="36" customHeight="1" spans="1:68">
      <c r="A449" s="1534">
        <v>45469</v>
      </c>
      <c r="B449" s="1536" t="s">
        <v>823</v>
      </c>
      <c r="C449" s="1559" t="s">
        <v>117</v>
      </c>
      <c r="D449" s="1535">
        <v>4500137595</v>
      </c>
      <c r="E449" s="1682" t="s">
        <v>1948</v>
      </c>
      <c r="F449" s="1535" t="s">
        <v>1949</v>
      </c>
      <c r="G449" s="531" t="s">
        <v>826</v>
      </c>
      <c r="H449" s="532" t="s">
        <v>74</v>
      </c>
      <c r="I449" s="1496">
        <v>1725</v>
      </c>
      <c r="J449" s="1496">
        <v>0</v>
      </c>
      <c r="K449" s="1496">
        <v>25</v>
      </c>
      <c r="L449" s="1496">
        <f t="shared" si="253"/>
        <v>69</v>
      </c>
      <c r="M449" s="563">
        <v>45505</v>
      </c>
      <c r="N449" s="563">
        <v>45500</v>
      </c>
      <c r="O449" s="564"/>
      <c r="P449" s="564" t="s">
        <v>92</v>
      </c>
      <c r="Q449" s="564" t="s">
        <v>1950</v>
      </c>
      <c r="R449" s="564">
        <v>45469</v>
      </c>
      <c r="S449" s="1599" t="s">
        <v>77</v>
      </c>
      <c r="T449" s="1552" t="s">
        <v>77</v>
      </c>
      <c r="U449" s="530" t="s">
        <v>828</v>
      </c>
      <c r="V449" s="564" t="s">
        <v>829</v>
      </c>
      <c r="W449" s="592">
        <v>1.435</v>
      </c>
      <c r="X449" s="593">
        <f t="shared" si="261"/>
        <v>2475.375</v>
      </c>
      <c r="Y449" s="401" t="s">
        <v>1951</v>
      </c>
      <c r="Z449" s="607" t="s">
        <v>826</v>
      </c>
      <c r="AA449" s="1453" t="s">
        <v>128</v>
      </c>
      <c r="AB449" s="155"/>
      <c r="AC449" s="155"/>
      <c r="AD449" s="155"/>
      <c r="AE449" s="91" t="s">
        <v>80</v>
      </c>
      <c r="AF449" s="91"/>
      <c r="AG449" s="608">
        <f t="shared" si="259"/>
        <v>1725</v>
      </c>
      <c r="AH449" s="608"/>
      <c r="AI449" s="608"/>
      <c r="AJ449" s="609"/>
      <c r="AK449" s="609">
        <f>I449</f>
        <v>1725</v>
      </c>
      <c r="AL449" s="609"/>
      <c r="AM449" s="609"/>
      <c r="AN449" s="609"/>
      <c r="AO449" s="609">
        <f>I449</f>
        <v>1725</v>
      </c>
      <c r="AP449" s="609"/>
      <c r="AQ449" s="609"/>
      <c r="AR449" s="609"/>
      <c r="AS449" s="609"/>
      <c r="AT449" s="633"/>
      <c r="AU449" s="633"/>
      <c r="AV449" s="633"/>
      <c r="AW449" s="633"/>
      <c r="AX449" s="633"/>
      <c r="AY449" s="633"/>
      <c r="AZ449" s="633"/>
      <c r="BA449" s="633">
        <f>I449/25</f>
        <v>69</v>
      </c>
      <c r="BB449" s="633"/>
      <c r="BC449" s="633"/>
      <c r="BD449" s="633"/>
      <c r="BE449" s="633"/>
      <c r="BF449" s="633"/>
      <c r="BG449" s="633"/>
      <c r="BH449" s="633"/>
      <c r="BI449" s="633"/>
      <c r="BJ449" s="633"/>
      <c r="BK449" s="633"/>
      <c r="BL449" s="633"/>
      <c r="BM449" s="401">
        <f t="shared" si="226"/>
        <v>1725</v>
      </c>
      <c r="BO449" s="1473"/>
      <c r="BP449" s="1473"/>
    </row>
    <row r="450" s="200" customFormat="1" ht="36" customHeight="1" spans="1:73">
      <c r="A450" s="1545">
        <v>45462</v>
      </c>
      <c r="B450" s="1507" t="s">
        <v>816</v>
      </c>
      <c r="C450" s="1508" t="s">
        <v>117</v>
      </c>
      <c r="D450" s="529">
        <v>4500137647</v>
      </c>
      <c r="E450" s="1479">
        <v>70043872</v>
      </c>
      <c r="F450" s="529" t="s">
        <v>1952</v>
      </c>
      <c r="G450" s="531" t="s">
        <v>628</v>
      </c>
      <c r="H450" s="532" t="s">
        <v>623</v>
      </c>
      <c r="I450" s="401">
        <v>1200</v>
      </c>
      <c r="J450" s="562">
        <v>0</v>
      </c>
      <c r="K450" s="531">
        <v>12</v>
      </c>
      <c r="L450" s="401">
        <f t="shared" si="253"/>
        <v>100</v>
      </c>
      <c r="M450" s="563">
        <v>45506</v>
      </c>
      <c r="N450" s="563">
        <v>45502</v>
      </c>
      <c r="O450" s="564"/>
      <c r="P450" s="564" t="s">
        <v>1690</v>
      </c>
      <c r="Q450" s="564" t="s">
        <v>1953</v>
      </c>
      <c r="R450" s="564">
        <v>45463</v>
      </c>
      <c r="S450" s="1599" t="s">
        <v>77</v>
      </c>
      <c r="T450" s="1552" t="s">
        <v>1954</v>
      </c>
      <c r="U450" s="530" t="s">
        <v>1955</v>
      </c>
      <c r="V450" s="564" t="s">
        <v>163</v>
      </c>
      <c r="W450" s="592">
        <v>3.1012</v>
      </c>
      <c r="X450" s="593">
        <f t="shared" si="261"/>
        <v>3721.44</v>
      </c>
      <c r="Y450" s="401" t="s">
        <v>1956</v>
      </c>
      <c r="Z450" s="607" t="s">
        <v>628</v>
      </c>
      <c r="AA450" s="1453" t="s">
        <v>128</v>
      </c>
      <c r="AB450" s="155"/>
      <c r="AC450" s="155"/>
      <c r="AD450" s="155"/>
      <c r="AE450" s="91" t="s">
        <v>80</v>
      </c>
      <c r="AF450" s="91"/>
      <c r="AG450" s="608">
        <f>I450*2</f>
        <v>2400</v>
      </c>
      <c r="AH450" s="608"/>
      <c r="AI450" s="608"/>
      <c r="AJ450" s="609"/>
      <c r="AK450" s="609">
        <f t="shared" si="260"/>
        <v>2400</v>
      </c>
      <c r="AL450" s="609"/>
      <c r="AM450" s="609"/>
      <c r="AN450" s="609"/>
      <c r="AO450" s="615">
        <f t="shared" si="262"/>
        <v>2400</v>
      </c>
      <c r="AP450" s="609"/>
      <c r="AQ450" s="609"/>
      <c r="AR450" s="609"/>
      <c r="AS450" s="609"/>
      <c r="AT450" s="633"/>
      <c r="AU450" s="633"/>
      <c r="AV450" s="633"/>
      <c r="AW450" s="633"/>
      <c r="AX450" s="633"/>
      <c r="AY450" s="633"/>
      <c r="AZ450" s="633"/>
      <c r="BA450" s="633"/>
      <c r="BB450" s="633"/>
      <c r="BC450" s="633"/>
      <c r="BD450" s="633"/>
      <c r="BE450" s="633"/>
      <c r="BF450" s="633"/>
      <c r="BG450" s="633"/>
      <c r="BH450" s="633"/>
      <c r="BI450" s="633"/>
      <c r="BJ450" s="633"/>
      <c r="BK450" s="633">
        <f>I450</f>
        <v>1200</v>
      </c>
      <c r="BL450" s="633">
        <f>I450</f>
        <v>1200</v>
      </c>
      <c r="BM450" s="401">
        <f t="shared" si="226"/>
        <v>2400</v>
      </c>
      <c r="BO450" s="1473"/>
      <c r="BP450" s="1473"/>
      <c r="BU450" s="1502" t="s">
        <v>1343</v>
      </c>
    </row>
    <row r="451" s="200" customFormat="1" ht="36" customHeight="1" spans="1:73">
      <c r="A451" s="1545">
        <v>45462</v>
      </c>
      <c r="B451" s="1507" t="s">
        <v>816</v>
      </c>
      <c r="C451" s="1508" t="s">
        <v>117</v>
      </c>
      <c r="D451" s="529">
        <v>4500137625</v>
      </c>
      <c r="E451" s="1479">
        <v>60161172</v>
      </c>
      <c r="F451" s="529" t="s">
        <v>1957</v>
      </c>
      <c r="G451" s="531" t="s">
        <v>628</v>
      </c>
      <c r="H451" s="532" t="s">
        <v>623</v>
      </c>
      <c r="I451" s="401">
        <v>6000</v>
      </c>
      <c r="J451" s="562">
        <v>0</v>
      </c>
      <c r="K451" s="531">
        <v>12</v>
      </c>
      <c r="L451" s="401">
        <f t="shared" si="253"/>
        <v>500</v>
      </c>
      <c r="M451" s="563">
        <v>45506</v>
      </c>
      <c r="N451" s="563">
        <v>45502</v>
      </c>
      <c r="O451" s="564"/>
      <c r="P451" s="564" t="s">
        <v>1690</v>
      </c>
      <c r="Q451" s="564" t="s">
        <v>1958</v>
      </c>
      <c r="R451" s="564">
        <v>45463</v>
      </c>
      <c r="S451" s="1599" t="s">
        <v>77</v>
      </c>
      <c r="T451" s="1552" t="s">
        <v>1954</v>
      </c>
      <c r="U451" s="530" t="s">
        <v>1955</v>
      </c>
      <c r="V451" s="564" t="s">
        <v>163</v>
      </c>
      <c r="W451" s="592">
        <v>3.0809</v>
      </c>
      <c r="X451" s="593">
        <f t="shared" si="261"/>
        <v>18485.4</v>
      </c>
      <c r="Y451" s="401" t="s">
        <v>1959</v>
      </c>
      <c r="Z451" s="607" t="s">
        <v>628</v>
      </c>
      <c r="AA451" s="1453" t="s">
        <v>128</v>
      </c>
      <c r="AB451" s="155"/>
      <c r="AC451" s="155"/>
      <c r="AD451" s="155"/>
      <c r="AE451" s="91" t="s">
        <v>80</v>
      </c>
      <c r="AF451" s="91"/>
      <c r="AG451" s="608">
        <f>I451*2</f>
        <v>12000</v>
      </c>
      <c r="AH451" s="608"/>
      <c r="AI451" s="608"/>
      <c r="AJ451" s="609"/>
      <c r="AK451" s="609">
        <f t="shared" si="260"/>
        <v>12000</v>
      </c>
      <c r="AL451" s="609"/>
      <c r="AM451" s="609"/>
      <c r="AN451" s="609"/>
      <c r="AO451" s="615">
        <f t="shared" si="262"/>
        <v>12000</v>
      </c>
      <c r="AP451" s="609"/>
      <c r="AQ451" s="609"/>
      <c r="AR451" s="609"/>
      <c r="AS451" s="609"/>
      <c r="AT451" s="633"/>
      <c r="AU451" s="633"/>
      <c r="AV451" s="633"/>
      <c r="AW451" s="633"/>
      <c r="AX451" s="633"/>
      <c r="AY451" s="633"/>
      <c r="AZ451" s="633"/>
      <c r="BA451" s="633"/>
      <c r="BB451" s="633"/>
      <c r="BC451" s="633"/>
      <c r="BD451" s="633"/>
      <c r="BE451" s="633"/>
      <c r="BF451" s="633"/>
      <c r="BG451" s="633"/>
      <c r="BH451" s="633"/>
      <c r="BI451" s="633"/>
      <c r="BJ451" s="633"/>
      <c r="BK451" s="633">
        <f>I451</f>
        <v>6000</v>
      </c>
      <c r="BL451" s="633">
        <f>I451</f>
        <v>6000</v>
      </c>
      <c r="BM451" s="401">
        <f t="shared" si="226"/>
        <v>12000</v>
      </c>
      <c r="BO451" s="1473"/>
      <c r="BP451" s="1473"/>
      <c r="BU451" s="1502" t="s">
        <v>1343</v>
      </c>
    </row>
    <row r="452" s="200" customFormat="1" ht="36" customHeight="1" spans="1:68">
      <c r="A452" s="1545">
        <v>45464</v>
      </c>
      <c r="B452" s="1507" t="s">
        <v>1960</v>
      </c>
      <c r="C452" s="1508" t="s">
        <v>351</v>
      </c>
      <c r="D452" s="529">
        <v>4500137926</v>
      </c>
      <c r="E452" s="1479" t="s">
        <v>1961</v>
      </c>
      <c r="F452" s="529" t="s">
        <v>1962</v>
      </c>
      <c r="G452" s="531" t="s">
        <v>73</v>
      </c>
      <c r="H452" s="532" t="s">
        <v>74</v>
      </c>
      <c r="I452" s="401">
        <v>3048</v>
      </c>
      <c r="J452" s="562">
        <v>0</v>
      </c>
      <c r="K452" s="531">
        <v>24</v>
      </c>
      <c r="L452" s="401">
        <f t="shared" si="253"/>
        <v>127</v>
      </c>
      <c r="M452" s="563">
        <v>45506</v>
      </c>
      <c r="N452" s="563">
        <v>45502</v>
      </c>
      <c r="O452" s="564"/>
      <c r="P452" s="564" t="s">
        <v>1690</v>
      </c>
      <c r="Q452" s="564" t="s">
        <v>1872</v>
      </c>
      <c r="R452" s="564">
        <v>45471</v>
      </c>
      <c r="S452" s="564" t="s">
        <v>77</v>
      </c>
      <c r="T452" s="564" t="s">
        <v>1963</v>
      </c>
      <c r="U452" s="530" t="s">
        <v>1964</v>
      </c>
      <c r="V452" s="564" t="s">
        <v>647</v>
      </c>
      <c r="W452" s="592">
        <v>1.3456</v>
      </c>
      <c r="X452" s="593">
        <f t="shared" si="261"/>
        <v>4101.3888</v>
      </c>
      <c r="Y452" s="401" t="s">
        <v>1965</v>
      </c>
      <c r="Z452" s="607" t="s">
        <v>188</v>
      </c>
      <c r="AA452" s="1453" t="s">
        <v>128</v>
      </c>
      <c r="AB452" s="155"/>
      <c r="AC452" s="155"/>
      <c r="AD452" s="155"/>
      <c r="AE452" s="91" t="s">
        <v>80</v>
      </c>
      <c r="AF452" s="91"/>
      <c r="AG452" s="608">
        <f t="shared" ref="AG452:AG464" si="263">I452</f>
        <v>3048</v>
      </c>
      <c r="AH452" s="608"/>
      <c r="AI452" s="608"/>
      <c r="AJ452" s="609"/>
      <c r="AK452" s="609"/>
      <c r="AL452" s="401">
        <f>AG452</f>
        <v>3048</v>
      </c>
      <c r="AM452" s="609"/>
      <c r="AN452" s="609"/>
      <c r="AO452" s="609">
        <f t="shared" si="262"/>
        <v>3048</v>
      </c>
      <c r="AP452" s="609"/>
      <c r="AQ452" s="609"/>
      <c r="AR452" s="609"/>
      <c r="AS452" s="609"/>
      <c r="AT452" s="633"/>
      <c r="AU452" s="633"/>
      <c r="AV452" s="633"/>
      <c r="AW452" s="633"/>
      <c r="AX452" s="633"/>
      <c r="AY452" s="633"/>
      <c r="AZ452" s="633"/>
      <c r="BA452" s="633"/>
      <c r="BB452" s="633"/>
      <c r="BC452" s="633"/>
      <c r="BD452" s="633"/>
      <c r="BE452" s="633"/>
      <c r="BF452" s="633"/>
      <c r="BG452" s="633"/>
      <c r="BH452" s="633"/>
      <c r="BI452" s="633"/>
      <c r="BJ452" s="633"/>
      <c r="BK452" s="633"/>
      <c r="BL452" s="633"/>
      <c r="BM452" s="401">
        <f t="shared" ref="BM452:BM515" si="264">AG452+AH452+AI452</f>
        <v>3048</v>
      </c>
      <c r="BO452" s="1473"/>
      <c r="BP452" s="1473"/>
    </row>
    <row r="453" s="200" customFormat="1" ht="36" customHeight="1" spans="1:68">
      <c r="A453" s="526">
        <v>45457</v>
      </c>
      <c r="B453" s="1578" t="s">
        <v>1118</v>
      </c>
      <c r="C453" s="1478" t="s">
        <v>1119</v>
      </c>
      <c r="D453" s="1579">
        <v>4500137072</v>
      </c>
      <c r="E453" s="1482">
        <v>300519299</v>
      </c>
      <c r="F453" s="1579" t="s">
        <v>1966</v>
      </c>
      <c r="G453" s="531" t="s">
        <v>877</v>
      </c>
      <c r="H453" s="532" t="s">
        <v>74</v>
      </c>
      <c r="I453" s="1496">
        <v>400</v>
      </c>
      <c r="J453" s="1496">
        <v>0</v>
      </c>
      <c r="K453" s="1496">
        <v>25</v>
      </c>
      <c r="L453" s="1496">
        <f t="shared" si="253"/>
        <v>16</v>
      </c>
      <c r="M453" s="563">
        <v>45495</v>
      </c>
      <c r="N453" s="1495">
        <v>45493</v>
      </c>
      <c r="O453" s="564"/>
      <c r="P453" s="564" t="s">
        <v>1262</v>
      </c>
      <c r="Q453" s="564" t="s">
        <v>1734</v>
      </c>
      <c r="R453" s="1523">
        <v>45457</v>
      </c>
      <c r="S453" s="564" t="s">
        <v>77</v>
      </c>
      <c r="T453" s="1519" t="s">
        <v>1967</v>
      </c>
      <c r="U453" s="530" t="s">
        <v>1968</v>
      </c>
      <c r="V453" s="1515" t="s">
        <v>1124</v>
      </c>
      <c r="W453" s="592">
        <v>1.4405</v>
      </c>
      <c r="X453" s="593">
        <f t="shared" si="261"/>
        <v>576.2</v>
      </c>
      <c r="Y453" s="401" t="s">
        <v>1969</v>
      </c>
      <c r="Z453" s="607" t="s">
        <v>1499</v>
      </c>
      <c r="AA453" s="1453" t="s">
        <v>128</v>
      </c>
      <c r="AB453" s="608"/>
      <c r="AC453" s="608"/>
      <c r="AD453" s="608"/>
      <c r="AE453" s="564" t="s">
        <v>80</v>
      </c>
      <c r="AF453" s="564"/>
      <c r="AG453" s="608"/>
      <c r="AH453" s="608">
        <f>I453</f>
        <v>400</v>
      </c>
      <c r="AI453" s="608"/>
      <c r="AJ453" s="608"/>
      <c r="AK453" s="401"/>
      <c r="AL453" s="401">
        <f>I453</f>
        <v>400</v>
      </c>
      <c r="AM453" s="609"/>
      <c r="AN453" s="609"/>
      <c r="AO453" s="609">
        <f>I453</f>
        <v>400</v>
      </c>
      <c r="AP453" s="609"/>
      <c r="AQ453" s="609"/>
      <c r="AR453" s="609"/>
      <c r="AS453" s="609"/>
      <c r="AT453" s="633"/>
      <c r="AU453" s="633"/>
      <c r="AV453" s="633"/>
      <c r="AW453" s="633"/>
      <c r="AY453" s="633"/>
      <c r="AZ453" s="633"/>
      <c r="BA453" s="633"/>
      <c r="BB453" s="633">
        <f>I453/25</f>
        <v>16</v>
      </c>
      <c r="BC453" s="633"/>
      <c r="BD453" s="633"/>
      <c r="BE453" s="633"/>
      <c r="BF453" s="633"/>
      <c r="BG453" s="633"/>
      <c r="BH453" s="633"/>
      <c r="BI453" s="633"/>
      <c r="BJ453" s="633"/>
      <c r="BK453" s="633"/>
      <c r="BL453" s="633"/>
      <c r="BM453" s="401">
        <f t="shared" si="264"/>
        <v>400</v>
      </c>
      <c r="BO453" s="1473"/>
      <c r="BP453" s="1473"/>
    </row>
    <row r="454" s="200" customFormat="1" ht="36" customHeight="1" spans="1:68">
      <c r="A454" s="526">
        <v>45450</v>
      </c>
      <c r="B454" s="1578" t="s">
        <v>587</v>
      </c>
      <c r="C454" s="1478" t="s">
        <v>117</v>
      </c>
      <c r="D454" s="534">
        <v>4500136069</v>
      </c>
      <c r="E454" s="530">
        <v>6631646302</v>
      </c>
      <c r="F454" s="534" t="s">
        <v>1970</v>
      </c>
      <c r="G454" s="531" t="s">
        <v>832</v>
      </c>
      <c r="H454" s="532" t="s">
        <v>833</v>
      </c>
      <c r="I454" s="401">
        <v>1152</v>
      </c>
      <c r="J454" s="562">
        <v>0</v>
      </c>
      <c r="K454" s="531">
        <v>1152</v>
      </c>
      <c r="L454" s="401">
        <f t="shared" si="253"/>
        <v>1</v>
      </c>
      <c r="M454" s="563">
        <v>45499</v>
      </c>
      <c r="N454" s="1495">
        <v>45499</v>
      </c>
      <c r="O454" s="1474" t="s">
        <v>1971</v>
      </c>
      <c r="P454" s="564" t="s">
        <v>1690</v>
      </c>
      <c r="Q454" s="564" t="s">
        <v>1972</v>
      </c>
      <c r="R454" s="1523" t="s">
        <v>1102</v>
      </c>
      <c r="S454" s="564" t="s">
        <v>123</v>
      </c>
      <c r="T454" s="1519" t="s">
        <v>1653</v>
      </c>
      <c r="U454" s="530" t="s">
        <v>993</v>
      </c>
      <c r="V454" s="564" t="s">
        <v>1006</v>
      </c>
      <c r="W454" s="592">
        <v>1624.9899</v>
      </c>
      <c r="X454" s="593">
        <f t="shared" ref="X454:X464" si="265">W454*L454</f>
        <v>1624.9899</v>
      </c>
      <c r="Y454" s="401" t="s">
        <v>1973</v>
      </c>
      <c r="Z454" s="607" t="s">
        <v>832</v>
      </c>
      <c r="AA454" s="1453" t="s">
        <v>128</v>
      </c>
      <c r="AB454" s="608"/>
      <c r="AC454" s="608"/>
      <c r="AD454" s="608"/>
      <c r="AE454" s="564" t="s">
        <v>80</v>
      </c>
      <c r="AF454" s="564"/>
      <c r="AG454" s="608">
        <f t="shared" si="263"/>
        <v>1152</v>
      </c>
      <c r="AH454" s="608"/>
      <c r="AI454" s="608"/>
      <c r="AJ454" s="608"/>
      <c r="AK454" s="609">
        <f t="shared" ref="AK454:AK463" si="266">I454</f>
        <v>1152</v>
      </c>
      <c r="AL454" s="609"/>
      <c r="AM454" s="609"/>
      <c r="AN454" s="609"/>
      <c r="AO454" s="609"/>
      <c r="AP454" s="609"/>
      <c r="AQ454" s="609">
        <f t="shared" ref="AQ454:AQ463" si="267">I454</f>
        <v>1152</v>
      </c>
      <c r="AR454" s="609"/>
      <c r="AS454" s="609"/>
      <c r="AT454" s="633"/>
      <c r="AU454" s="633"/>
      <c r="AV454" s="633">
        <f t="shared" ref="AV454:AV463" si="268">I454/12</f>
        <v>96</v>
      </c>
      <c r="AW454" s="633"/>
      <c r="AX454" s="633"/>
      <c r="AY454" s="633"/>
      <c r="AZ454" s="633"/>
      <c r="BA454" s="633"/>
      <c r="BB454" s="633"/>
      <c r="BC454" s="633"/>
      <c r="BD454" s="633"/>
      <c r="BE454" s="633"/>
      <c r="BF454" s="633"/>
      <c r="BG454" s="633"/>
      <c r="BH454" s="633"/>
      <c r="BI454" s="633"/>
      <c r="BJ454" s="633"/>
      <c r="BK454" s="633"/>
      <c r="BL454" s="633"/>
      <c r="BM454" s="401">
        <f t="shared" si="264"/>
        <v>1152</v>
      </c>
      <c r="BO454" s="1473"/>
      <c r="BP454" s="1473"/>
    </row>
    <row r="455" s="200" customFormat="1" ht="36" customHeight="1" spans="1:68">
      <c r="A455" s="526">
        <v>45450</v>
      </c>
      <c r="B455" s="1578" t="s">
        <v>587</v>
      </c>
      <c r="C455" s="1478" t="s">
        <v>117</v>
      </c>
      <c r="D455" s="534">
        <v>4500136069</v>
      </c>
      <c r="E455" s="530">
        <v>6631646303</v>
      </c>
      <c r="F455" s="534" t="s">
        <v>1974</v>
      </c>
      <c r="G455" s="531" t="s">
        <v>832</v>
      </c>
      <c r="H455" s="532" t="s">
        <v>833</v>
      </c>
      <c r="I455" s="401">
        <v>2304</v>
      </c>
      <c r="J455" s="562">
        <v>0</v>
      </c>
      <c r="K455" s="531">
        <v>1152</v>
      </c>
      <c r="L455" s="401">
        <f t="shared" si="253"/>
        <v>2</v>
      </c>
      <c r="M455" s="563">
        <v>45499</v>
      </c>
      <c r="N455" s="1495">
        <v>45499</v>
      </c>
      <c r="O455" s="1474" t="s">
        <v>1971</v>
      </c>
      <c r="P455" s="564" t="s">
        <v>1690</v>
      </c>
      <c r="Q455" s="564" t="s">
        <v>1972</v>
      </c>
      <c r="R455" s="1523" t="s">
        <v>1102</v>
      </c>
      <c r="S455" s="564" t="s">
        <v>123</v>
      </c>
      <c r="T455" s="1519" t="s">
        <v>1653</v>
      </c>
      <c r="U455" s="530" t="s">
        <v>993</v>
      </c>
      <c r="V455" s="564" t="s">
        <v>1006</v>
      </c>
      <c r="W455" s="592">
        <v>1624.9899</v>
      </c>
      <c r="X455" s="593">
        <f t="shared" si="265"/>
        <v>3249.9798</v>
      </c>
      <c r="Y455" s="401" t="s">
        <v>1975</v>
      </c>
      <c r="Z455" s="607" t="s">
        <v>832</v>
      </c>
      <c r="AA455" s="1453" t="s">
        <v>128</v>
      </c>
      <c r="AB455" s="608"/>
      <c r="AC455" s="608"/>
      <c r="AD455" s="608"/>
      <c r="AE455" s="564" t="s">
        <v>80</v>
      </c>
      <c r="AF455" s="564"/>
      <c r="AG455" s="608">
        <f t="shared" si="263"/>
        <v>2304</v>
      </c>
      <c r="AH455" s="608"/>
      <c r="AI455" s="608"/>
      <c r="AJ455" s="608"/>
      <c r="AK455" s="609">
        <f t="shared" si="266"/>
        <v>2304</v>
      </c>
      <c r="AL455" s="609"/>
      <c r="AM455" s="609"/>
      <c r="AN455" s="609"/>
      <c r="AO455" s="609"/>
      <c r="AP455" s="609"/>
      <c r="AQ455" s="609">
        <f t="shared" si="267"/>
        <v>2304</v>
      </c>
      <c r="AR455" s="609"/>
      <c r="AS455" s="609"/>
      <c r="AT455" s="633"/>
      <c r="AU455" s="633"/>
      <c r="AV455" s="633">
        <f t="shared" si="268"/>
        <v>192</v>
      </c>
      <c r="AW455" s="633"/>
      <c r="AX455" s="633"/>
      <c r="AY455" s="633"/>
      <c r="AZ455" s="633"/>
      <c r="BA455" s="633"/>
      <c r="BB455" s="633"/>
      <c r="BC455" s="633"/>
      <c r="BD455" s="633"/>
      <c r="BE455" s="633"/>
      <c r="BF455" s="633"/>
      <c r="BG455" s="633"/>
      <c r="BH455" s="633"/>
      <c r="BI455" s="633"/>
      <c r="BJ455" s="633"/>
      <c r="BK455" s="633"/>
      <c r="BL455" s="633"/>
      <c r="BM455" s="401">
        <f t="shared" si="264"/>
        <v>2304</v>
      </c>
      <c r="BO455" s="1473"/>
      <c r="BP455" s="1473"/>
    </row>
    <row r="456" s="200" customFormat="1" ht="36" customHeight="1" spans="1:68">
      <c r="A456" s="526">
        <v>45450</v>
      </c>
      <c r="B456" s="1578" t="s">
        <v>587</v>
      </c>
      <c r="C456" s="1478" t="s">
        <v>117</v>
      </c>
      <c r="D456" s="534">
        <v>4500136069</v>
      </c>
      <c r="E456" s="530" t="s">
        <v>1976</v>
      </c>
      <c r="F456" s="534" t="s">
        <v>1977</v>
      </c>
      <c r="G456" s="531" t="s">
        <v>832</v>
      </c>
      <c r="H456" s="532" t="s">
        <v>833</v>
      </c>
      <c r="I456" s="401">
        <v>1152</v>
      </c>
      <c r="J456" s="562">
        <v>0</v>
      </c>
      <c r="K456" s="531">
        <v>1152</v>
      </c>
      <c r="L456" s="401">
        <f t="shared" si="253"/>
        <v>1</v>
      </c>
      <c r="M456" s="563">
        <v>45499</v>
      </c>
      <c r="N456" s="1495">
        <v>45499</v>
      </c>
      <c r="O456" s="1474" t="s">
        <v>1971</v>
      </c>
      <c r="P456" s="564" t="s">
        <v>1690</v>
      </c>
      <c r="Q456" s="564" t="s">
        <v>1929</v>
      </c>
      <c r="R456" s="1523" t="s">
        <v>1102</v>
      </c>
      <c r="S456" s="564" t="s">
        <v>123</v>
      </c>
      <c r="T456" s="1519" t="s">
        <v>1653</v>
      </c>
      <c r="U456" s="530" t="s">
        <v>993</v>
      </c>
      <c r="V456" s="564" t="s">
        <v>1006</v>
      </c>
      <c r="W456" s="592">
        <v>1624.9899</v>
      </c>
      <c r="X456" s="593">
        <f t="shared" si="265"/>
        <v>1624.9899</v>
      </c>
      <c r="Y456" s="401" t="s">
        <v>1978</v>
      </c>
      <c r="Z456" s="607" t="s">
        <v>832</v>
      </c>
      <c r="AA456" s="1453" t="s">
        <v>128</v>
      </c>
      <c r="AB456" s="608"/>
      <c r="AC456" s="608"/>
      <c r="AD456" s="608"/>
      <c r="AE456" s="564" t="s">
        <v>80</v>
      </c>
      <c r="AF456" s="564"/>
      <c r="AG456" s="608">
        <f t="shared" si="263"/>
        <v>1152</v>
      </c>
      <c r="AH456" s="608"/>
      <c r="AI456" s="608"/>
      <c r="AJ456" s="608"/>
      <c r="AK456" s="609">
        <f t="shared" si="266"/>
        <v>1152</v>
      </c>
      <c r="AL456" s="609"/>
      <c r="AM456" s="609"/>
      <c r="AN456" s="609"/>
      <c r="AO456" s="609"/>
      <c r="AP456" s="609"/>
      <c r="AQ456" s="609">
        <f t="shared" si="267"/>
        <v>1152</v>
      </c>
      <c r="AR456" s="609"/>
      <c r="AS456" s="609"/>
      <c r="AT456" s="633"/>
      <c r="AU456" s="633"/>
      <c r="AV456" s="633">
        <f t="shared" si="268"/>
        <v>96</v>
      </c>
      <c r="AW456" s="633"/>
      <c r="AX456" s="633"/>
      <c r="AY456" s="633"/>
      <c r="AZ456" s="633"/>
      <c r="BA456" s="633"/>
      <c r="BB456" s="633"/>
      <c r="BC456" s="633"/>
      <c r="BD456" s="633"/>
      <c r="BE456" s="633"/>
      <c r="BF456" s="633"/>
      <c r="BG456" s="633"/>
      <c r="BH456" s="633"/>
      <c r="BI456" s="633"/>
      <c r="BJ456" s="633"/>
      <c r="BK456" s="633"/>
      <c r="BL456" s="633"/>
      <c r="BM456" s="401">
        <f t="shared" si="264"/>
        <v>1152</v>
      </c>
      <c r="BO456" s="1473"/>
      <c r="BP456" s="1473"/>
    </row>
    <row r="457" s="200" customFormat="1" ht="36" customHeight="1" spans="1:68">
      <c r="A457" s="526">
        <v>45450</v>
      </c>
      <c r="B457" s="1578" t="s">
        <v>587</v>
      </c>
      <c r="C457" s="1478" t="s">
        <v>117</v>
      </c>
      <c r="D457" s="529">
        <v>4500138373</v>
      </c>
      <c r="E457" s="1479">
        <v>6631646294</v>
      </c>
      <c r="F457" s="529" t="s">
        <v>1979</v>
      </c>
      <c r="G457" s="531" t="s">
        <v>832</v>
      </c>
      <c r="H457" s="532" t="s">
        <v>833</v>
      </c>
      <c r="I457" s="511">
        <v>2304</v>
      </c>
      <c r="J457" s="562">
        <v>0</v>
      </c>
      <c r="K457" s="531">
        <v>1152</v>
      </c>
      <c r="L457" s="401">
        <f t="shared" si="253"/>
        <v>2</v>
      </c>
      <c r="M457" s="563">
        <v>45506</v>
      </c>
      <c r="N457" s="563">
        <v>45502</v>
      </c>
      <c r="O457" s="1474" t="s">
        <v>1980</v>
      </c>
      <c r="P457" s="564" t="s">
        <v>1690</v>
      </c>
      <c r="Q457" s="564" t="s">
        <v>1981</v>
      </c>
      <c r="R457" s="1523" t="s">
        <v>1102</v>
      </c>
      <c r="S457" s="564" t="s">
        <v>123</v>
      </c>
      <c r="T457" s="580" t="s">
        <v>1982</v>
      </c>
      <c r="U457" s="530" t="s">
        <v>993</v>
      </c>
      <c r="V457" s="564" t="s">
        <v>1006</v>
      </c>
      <c r="W457" s="592">
        <v>1602.8918</v>
      </c>
      <c r="X457" s="593">
        <f t="shared" si="265"/>
        <v>3205.7836</v>
      </c>
      <c r="Y457" s="401" t="s">
        <v>1983</v>
      </c>
      <c r="Z457" s="607" t="s">
        <v>832</v>
      </c>
      <c r="AA457" s="1453" t="s">
        <v>128</v>
      </c>
      <c r="AB457" s="608"/>
      <c r="AC457" s="608"/>
      <c r="AD457" s="608"/>
      <c r="AE457" s="564" t="s">
        <v>80</v>
      </c>
      <c r="AF457" s="564"/>
      <c r="AG457" s="608">
        <f t="shared" si="263"/>
        <v>2304</v>
      </c>
      <c r="AH457" s="608"/>
      <c r="AI457" s="608"/>
      <c r="AJ457" s="609"/>
      <c r="AK457" s="609">
        <f t="shared" si="266"/>
        <v>2304</v>
      </c>
      <c r="AL457" s="401"/>
      <c r="AM457" s="609"/>
      <c r="AN457" s="609"/>
      <c r="AO457" s="609"/>
      <c r="AP457" s="609"/>
      <c r="AQ457" s="609">
        <f t="shared" si="267"/>
        <v>2304</v>
      </c>
      <c r="AR457" s="609"/>
      <c r="AS457" s="609"/>
      <c r="AT457" s="633"/>
      <c r="AU457" s="633"/>
      <c r="AV457" s="633">
        <f t="shared" si="268"/>
        <v>192</v>
      </c>
      <c r="AW457" s="633"/>
      <c r="AX457" s="633"/>
      <c r="AY457" s="633"/>
      <c r="AZ457" s="633"/>
      <c r="BA457" s="633"/>
      <c r="BB457" s="633"/>
      <c r="BC457" s="633"/>
      <c r="BD457" s="633"/>
      <c r="BE457" s="633"/>
      <c r="BF457" s="633"/>
      <c r="BG457" s="633"/>
      <c r="BH457" s="633"/>
      <c r="BI457" s="633"/>
      <c r="BJ457" s="633"/>
      <c r="BK457" s="633"/>
      <c r="BL457" s="633"/>
      <c r="BM457" s="401">
        <f t="shared" si="264"/>
        <v>2304</v>
      </c>
      <c r="BO457" s="1473"/>
      <c r="BP457" s="1473"/>
    </row>
    <row r="458" s="200" customFormat="1" ht="36" customHeight="1" spans="1:68">
      <c r="A458" s="526">
        <v>45450</v>
      </c>
      <c r="B458" s="1578" t="s">
        <v>587</v>
      </c>
      <c r="C458" s="1478" t="s">
        <v>117</v>
      </c>
      <c r="D458" s="529">
        <v>4500138373</v>
      </c>
      <c r="E458" s="1479">
        <v>6631646304</v>
      </c>
      <c r="F458" s="529" t="s">
        <v>1984</v>
      </c>
      <c r="G458" s="531" t="s">
        <v>832</v>
      </c>
      <c r="H458" s="532" t="s">
        <v>833</v>
      </c>
      <c r="I458" s="511">
        <v>3456</v>
      </c>
      <c r="J458" s="562">
        <v>0</v>
      </c>
      <c r="K458" s="531">
        <v>1152</v>
      </c>
      <c r="L458" s="401">
        <f t="shared" si="253"/>
        <v>3</v>
      </c>
      <c r="M458" s="563">
        <v>45506</v>
      </c>
      <c r="N458" s="563">
        <v>45502</v>
      </c>
      <c r="O458" s="1474" t="s">
        <v>1980</v>
      </c>
      <c r="P458" s="564" t="s">
        <v>1690</v>
      </c>
      <c r="Q458" s="564" t="s">
        <v>1877</v>
      </c>
      <c r="R458" s="1523" t="s">
        <v>1102</v>
      </c>
      <c r="S458" s="564" t="s">
        <v>123</v>
      </c>
      <c r="T458" s="580" t="s">
        <v>1982</v>
      </c>
      <c r="U458" s="530" t="s">
        <v>993</v>
      </c>
      <c r="V458" s="564" t="s">
        <v>1006</v>
      </c>
      <c r="W458" s="592">
        <v>1602.8918</v>
      </c>
      <c r="X458" s="593">
        <f t="shared" si="265"/>
        <v>4808.6754</v>
      </c>
      <c r="Y458" s="401" t="s">
        <v>1983</v>
      </c>
      <c r="Z458" s="607" t="s">
        <v>832</v>
      </c>
      <c r="AA458" s="1453" t="s">
        <v>128</v>
      </c>
      <c r="AB458" s="608"/>
      <c r="AC458" s="608"/>
      <c r="AD458" s="608"/>
      <c r="AE458" s="564" t="s">
        <v>80</v>
      </c>
      <c r="AF458" s="564"/>
      <c r="AG458" s="608">
        <f t="shared" si="263"/>
        <v>3456</v>
      </c>
      <c r="AH458" s="608"/>
      <c r="AI458" s="608"/>
      <c r="AJ458" s="609"/>
      <c r="AK458" s="609">
        <f t="shared" si="266"/>
        <v>3456</v>
      </c>
      <c r="AL458" s="401"/>
      <c r="AM458" s="609"/>
      <c r="AN458" s="609"/>
      <c r="AO458" s="609"/>
      <c r="AP458" s="609"/>
      <c r="AQ458" s="609">
        <f t="shared" si="267"/>
        <v>3456</v>
      </c>
      <c r="AR458" s="609"/>
      <c r="AS458" s="609"/>
      <c r="AT458" s="633"/>
      <c r="AU458" s="633"/>
      <c r="AV458" s="633">
        <f t="shared" si="268"/>
        <v>288</v>
      </c>
      <c r="AW458" s="633"/>
      <c r="AX458" s="633"/>
      <c r="AY458" s="633"/>
      <c r="AZ458" s="633"/>
      <c r="BA458" s="633"/>
      <c r="BB458" s="633"/>
      <c r="BC458" s="633"/>
      <c r="BD458" s="633"/>
      <c r="BE458" s="633"/>
      <c r="BF458" s="633"/>
      <c r="BG458" s="633"/>
      <c r="BH458" s="633"/>
      <c r="BI458" s="633"/>
      <c r="BJ458" s="633"/>
      <c r="BK458" s="633"/>
      <c r="BL458" s="633"/>
      <c r="BM458" s="401">
        <f t="shared" si="264"/>
        <v>3456</v>
      </c>
      <c r="BO458" s="1473"/>
      <c r="BP458" s="1473"/>
    </row>
    <row r="459" s="200" customFormat="1" ht="36" customHeight="1" spans="1:68">
      <c r="A459" s="526">
        <v>45450</v>
      </c>
      <c r="B459" s="1578" t="s">
        <v>587</v>
      </c>
      <c r="C459" s="1478" t="s">
        <v>117</v>
      </c>
      <c r="D459" s="529">
        <v>4500138373</v>
      </c>
      <c r="E459" s="1479">
        <v>6631646309</v>
      </c>
      <c r="F459" s="529" t="s">
        <v>1985</v>
      </c>
      <c r="G459" s="531" t="s">
        <v>832</v>
      </c>
      <c r="H459" s="532" t="s">
        <v>833</v>
      </c>
      <c r="I459" s="511">
        <v>1152</v>
      </c>
      <c r="J459" s="562">
        <v>0</v>
      </c>
      <c r="K459" s="531">
        <v>1152</v>
      </c>
      <c r="L459" s="401">
        <f t="shared" si="253"/>
        <v>1</v>
      </c>
      <c r="M459" s="563">
        <v>45506</v>
      </c>
      <c r="N459" s="563">
        <v>45502</v>
      </c>
      <c r="O459" s="1474" t="s">
        <v>1980</v>
      </c>
      <c r="P459" s="564" t="s">
        <v>1690</v>
      </c>
      <c r="Q459" s="564" t="s">
        <v>1763</v>
      </c>
      <c r="R459" s="1523" t="s">
        <v>1102</v>
      </c>
      <c r="S459" s="564" t="s">
        <v>123</v>
      </c>
      <c r="T459" s="580" t="s">
        <v>1982</v>
      </c>
      <c r="U459" s="530" t="s">
        <v>993</v>
      </c>
      <c r="V459" s="564" t="s">
        <v>1006</v>
      </c>
      <c r="W459" s="592">
        <v>1602.8918</v>
      </c>
      <c r="X459" s="593">
        <f t="shared" si="265"/>
        <v>1602.8918</v>
      </c>
      <c r="Y459" s="401" t="s">
        <v>1986</v>
      </c>
      <c r="Z459" s="607" t="s">
        <v>832</v>
      </c>
      <c r="AA459" s="1453" t="s">
        <v>128</v>
      </c>
      <c r="AB459" s="608"/>
      <c r="AC459" s="608"/>
      <c r="AD459" s="608"/>
      <c r="AE459" s="564" t="s">
        <v>80</v>
      </c>
      <c r="AF459" s="564"/>
      <c r="AG459" s="608">
        <f t="shared" si="263"/>
        <v>1152</v>
      </c>
      <c r="AH459" s="608"/>
      <c r="AI459" s="608"/>
      <c r="AJ459" s="609"/>
      <c r="AK459" s="609">
        <f t="shared" si="266"/>
        <v>1152</v>
      </c>
      <c r="AL459" s="401"/>
      <c r="AM459" s="609"/>
      <c r="AN459" s="609"/>
      <c r="AO459" s="609"/>
      <c r="AP459" s="609"/>
      <c r="AQ459" s="609">
        <f t="shared" si="267"/>
        <v>1152</v>
      </c>
      <c r="AR459" s="609"/>
      <c r="AS459" s="609"/>
      <c r="AT459" s="633"/>
      <c r="AU459" s="633"/>
      <c r="AV459" s="633">
        <f t="shared" si="268"/>
        <v>96</v>
      </c>
      <c r="AW459" s="633"/>
      <c r="AX459" s="633"/>
      <c r="AY459" s="633"/>
      <c r="AZ459" s="633"/>
      <c r="BA459" s="633"/>
      <c r="BB459" s="633"/>
      <c r="BC459" s="633"/>
      <c r="BD459" s="633"/>
      <c r="BE459" s="633"/>
      <c r="BF459" s="633"/>
      <c r="BG459" s="633"/>
      <c r="BH459" s="633"/>
      <c r="BI459" s="633"/>
      <c r="BJ459" s="633"/>
      <c r="BK459" s="633"/>
      <c r="BL459" s="633"/>
      <c r="BM459" s="401">
        <f t="shared" si="264"/>
        <v>1152</v>
      </c>
      <c r="BO459" s="1473"/>
      <c r="BP459" s="1473"/>
    </row>
    <row r="460" s="200" customFormat="1" ht="36" customHeight="1" spans="1:68">
      <c r="A460" s="526">
        <v>45450</v>
      </c>
      <c r="B460" s="1578" t="s">
        <v>587</v>
      </c>
      <c r="C460" s="1478" t="s">
        <v>117</v>
      </c>
      <c r="D460" s="529">
        <v>4500138373</v>
      </c>
      <c r="E460" s="1479">
        <v>6631646310</v>
      </c>
      <c r="F460" s="529" t="s">
        <v>1987</v>
      </c>
      <c r="G460" s="531" t="s">
        <v>832</v>
      </c>
      <c r="H460" s="532" t="s">
        <v>833</v>
      </c>
      <c r="I460" s="511">
        <v>1152</v>
      </c>
      <c r="J460" s="562">
        <v>0</v>
      </c>
      <c r="K460" s="531">
        <v>1152</v>
      </c>
      <c r="L460" s="401">
        <f t="shared" si="253"/>
        <v>1</v>
      </c>
      <c r="M460" s="563">
        <v>45506</v>
      </c>
      <c r="N460" s="563">
        <v>45502</v>
      </c>
      <c r="O460" s="1474" t="s">
        <v>1980</v>
      </c>
      <c r="P460" s="564" t="s">
        <v>1690</v>
      </c>
      <c r="Q460" s="564" t="s">
        <v>1981</v>
      </c>
      <c r="R460" s="1523" t="s">
        <v>1102</v>
      </c>
      <c r="S460" s="564" t="s">
        <v>123</v>
      </c>
      <c r="T460" s="580" t="s">
        <v>1982</v>
      </c>
      <c r="U460" s="530" t="s">
        <v>993</v>
      </c>
      <c r="V460" s="564" t="s">
        <v>1006</v>
      </c>
      <c r="W460" s="592">
        <v>1602.8918</v>
      </c>
      <c r="X460" s="593">
        <f t="shared" si="265"/>
        <v>1602.8918</v>
      </c>
      <c r="Y460" s="401" t="s">
        <v>1988</v>
      </c>
      <c r="Z460" s="607" t="s">
        <v>832</v>
      </c>
      <c r="AA460" s="1453" t="s">
        <v>128</v>
      </c>
      <c r="AB460" s="608"/>
      <c r="AC460" s="608"/>
      <c r="AD460" s="608"/>
      <c r="AE460" s="564" t="s">
        <v>80</v>
      </c>
      <c r="AF460" s="564"/>
      <c r="AG460" s="608">
        <f t="shared" si="263"/>
        <v>1152</v>
      </c>
      <c r="AH460" s="608"/>
      <c r="AI460" s="608"/>
      <c r="AJ460" s="609"/>
      <c r="AK460" s="609">
        <f t="shared" si="266"/>
        <v>1152</v>
      </c>
      <c r="AL460" s="401"/>
      <c r="AM460" s="609"/>
      <c r="AN460" s="609"/>
      <c r="AO460" s="609"/>
      <c r="AP460" s="609"/>
      <c r="AQ460" s="609">
        <f t="shared" si="267"/>
        <v>1152</v>
      </c>
      <c r="AR460" s="609"/>
      <c r="AS460" s="609"/>
      <c r="AT460" s="633"/>
      <c r="AU460" s="633"/>
      <c r="AV460" s="633">
        <f t="shared" si="268"/>
        <v>96</v>
      </c>
      <c r="AW460" s="633"/>
      <c r="AX460" s="633"/>
      <c r="AY460" s="633"/>
      <c r="AZ460" s="633"/>
      <c r="BA460" s="633"/>
      <c r="BB460" s="633"/>
      <c r="BC460" s="633"/>
      <c r="BD460" s="633"/>
      <c r="BE460" s="633"/>
      <c r="BF460" s="633"/>
      <c r="BG460" s="633"/>
      <c r="BH460" s="633"/>
      <c r="BI460" s="633"/>
      <c r="BJ460" s="633"/>
      <c r="BK460" s="633"/>
      <c r="BL460" s="633"/>
      <c r="BM460" s="401">
        <f t="shared" si="264"/>
        <v>1152</v>
      </c>
      <c r="BO460" s="1473"/>
      <c r="BP460" s="1473"/>
    </row>
    <row r="461" s="200" customFormat="1" ht="36" customHeight="1" spans="1:68">
      <c r="A461" s="526">
        <v>45450</v>
      </c>
      <c r="B461" s="1578" t="s">
        <v>587</v>
      </c>
      <c r="C461" s="1478" t="s">
        <v>117</v>
      </c>
      <c r="D461" s="529">
        <v>4500138373</v>
      </c>
      <c r="E461" s="1479">
        <v>6631646312</v>
      </c>
      <c r="F461" s="529" t="s">
        <v>1989</v>
      </c>
      <c r="G461" s="531" t="s">
        <v>832</v>
      </c>
      <c r="H461" s="532" t="s">
        <v>833</v>
      </c>
      <c r="I461" s="511">
        <v>2304</v>
      </c>
      <c r="J461" s="562">
        <v>0</v>
      </c>
      <c r="K461" s="531">
        <v>1152</v>
      </c>
      <c r="L461" s="401">
        <f t="shared" si="253"/>
        <v>2</v>
      </c>
      <c r="M461" s="563">
        <v>45506</v>
      </c>
      <c r="N461" s="563">
        <v>45502</v>
      </c>
      <c r="O461" s="1474" t="s">
        <v>1980</v>
      </c>
      <c r="P461" s="564" t="s">
        <v>1690</v>
      </c>
      <c r="Q461" s="564" t="s">
        <v>1990</v>
      </c>
      <c r="R461" s="1523" t="s">
        <v>1102</v>
      </c>
      <c r="S461" s="564" t="s">
        <v>123</v>
      </c>
      <c r="T461" s="580" t="s">
        <v>1982</v>
      </c>
      <c r="U461" s="530" t="s">
        <v>993</v>
      </c>
      <c r="V461" s="564" t="s">
        <v>1006</v>
      </c>
      <c r="W461" s="592">
        <v>1602.8918</v>
      </c>
      <c r="X461" s="593">
        <f t="shared" si="265"/>
        <v>3205.7836</v>
      </c>
      <c r="Y461" s="401" t="s">
        <v>1988</v>
      </c>
      <c r="Z461" s="607" t="s">
        <v>832</v>
      </c>
      <c r="AA461" s="1453" t="s">
        <v>128</v>
      </c>
      <c r="AB461" s="608"/>
      <c r="AC461" s="608"/>
      <c r="AD461" s="608"/>
      <c r="AE461" s="564" t="s">
        <v>80</v>
      </c>
      <c r="AF461" s="564"/>
      <c r="AG461" s="608">
        <f t="shared" si="263"/>
        <v>2304</v>
      </c>
      <c r="AH461" s="608"/>
      <c r="AI461" s="608"/>
      <c r="AJ461" s="609"/>
      <c r="AK461" s="609">
        <f t="shared" si="266"/>
        <v>2304</v>
      </c>
      <c r="AL461" s="401"/>
      <c r="AM461" s="609"/>
      <c r="AN461" s="609"/>
      <c r="AO461" s="609"/>
      <c r="AP461" s="609"/>
      <c r="AQ461" s="609">
        <f t="shared" si="267"/>
        <v>2304</v>
      </c>
      <c r="AR461" s="609"/>
      <c r="AS461" s="609"/>
      <c r="AT461" s="633"/>
      <c r="AU461" s="633"/>
      <c r="AV461" s="633">
        <f t="shared" si="268"/>
        <v>192</v>
      </c>
      <c r="AW461" s="633"/>
      <c r="AX461" s="633"/>
      <c r="AY461" s="633"/>
      <c r="AZ461" s="633"/>
      <c r="BA461" s="633"/>
      <c r="BB461" s="633"/>
      <c r="BC461" s="633"/>
      <c r="BD461" s="633"/>
      <c r="BE461" s="633"/>
      <c r="BF461" s="633"/>
      <c r="BG461" s="633"/>
      <c r="BH461" s="633"/>
      <c r="BI461" s="633"/>
      <c r="BJ461" s="633"/>
      <c r="BK461" s="633"/>
      <c r="BL461" s="633"/>
      <c r="BM461" s="401">
        <f t="shared" si="264"/>
        <v>2304</v>
      </c>
      <c r="BO461" s="1473"/>
      <c r="BP461" s="1473"/>
    </row>
    <row r="462" s="200" customFormat="1" ht="36" customHeight="1" spans="1:68">
      <c r="A462" s="526">
        <v>45450</v>
      </c>
      <c r="B462" s="1578" t="s">
        <v>587</v>
      </c>
      <c r="C462" s="1478" t="s">
        <v>117</v>
      </c>
      <c r="D462" s="529">
        <v>4500138373</v>
      </c>
      <c r="E462" s="1479">
        <v>6631646313</v>
      </c>
      <c r="F462" s="529" t="s">
        <v>1991</v>
      </c>
      <c r="G462" s="531" t="s">
        <v>832</v>
      </c>
      <c r="H462" s="532" t="s">
        <v>833</v>
      </c>
      <c r="I462" s="511">
        <v>1152</v>
      </c>
      <c r="J462" s="562">
        <v>0</v>
      </c>
      <c r="K462" s="531">
        <v>1152</v>
      </c>
      <c r="L462" s="401">
        <f t="shared" si="253"/>
        <v>1</v>
      </c>
      <c r="M462" s="563">
        <v>45506</v>
      </c>
      <c r="N462" s="563">
        <v>45502</v>
      </c>
      <c r="O462" s="1474" t="s">
        <v>1980</v>
      </c>
      <c r="P462" s="564" t="s">
        <v>1690</v>
      </c>
      <c r="Q462" s="564" t="s">
        <v>1877</v>
      </c>
      <c r="R462" s="1523" t="s">
        <v>1102</v>
      </c>
      <c r="S462" s="564" t="s">
        <v>123</v>
      </c>
      <c r="T462" s="580" t="s">
        <v>1982</v>
      </c>
      <c r="U462" s="530" t="s">
        <v>993</v>
      </c>
      <c r="V462" s="564" t="s">
        <v>1006</v>
      </c>
      <c r="W462" s="592">
        <v>1602.8918</v>
      </c>
      <c r="X462" s="593">
        <f t="shared" si="265"/>
        <v>1602.8918</v>
      </c>
      <c r="Y462" s="401" t="s">
        <v>1992</v>
      </c>
      <c r="Z462" s="607" t="s">
        <v>832</v>
      </c>
      <c r="AA462" s="1453" t="s">
        <v>128</v>
      </c>
      <c r="AB462" s="608"/>
      <c r="AC462" s="608"/>
      <c r="AD462" s="608"/>
      <c r="AE462" s="564" t="s">
        <v>80</v>
      </c>
      <c r="AF462" s="564"/>
      <c r="AG462" s="608">
        <f t="shared" si="263"/>
        <v>1152</v>
      </c>
      <c r="AH462" s="608"/>
      <c r="AI462" s="608"/>
      <c r="AJ462" s="609"/>
      <c r="AK462" s="609">
        <f t="shared" si="266"/>
        <v>1152</v>
      </c>
      <c r="AL462" s="401"/>
      <c r="AM462" s="609"/>
      <c r="AN462" s="609"/>
      <c r="AO462" s="609"/>
      <c r="AP462" s="609"/>
      <c r="AQ462" s="609">
        <f t="shared" si="267"/>
        <v>1152</v>
      </c>
      <c r="AR462" s="609"/>
      <c r="AS462" s="609"/>
      <c r="AT462" s="633"/>
      <c r="AU462" s="633"/>
      <c r="AV462" s="633">
        <f t="shared" si="268"/>
        <v>96</v>
      </c>
      <c r="AW462" s="633"/>
      <c r="AX462" s="633"/>
      <c r="AY462" s="633"/>
      <c r="AZ462" s="633"/>
      <c r="BA462" s="633"/>
      <c r="BB462" s="633"/>
      <c r="BC462" s="633"/>
      <c r="BD462" s="633"/>
      <c r="BE462" s="633"/>
      <c r="BF462" s="633"/>
      <c r="BG462" s="633"/>
      <c r="BH462" s="633"/>
      <c r="BI462" s="633"/>
      <c r="BJ462" s="633"/>
      <c r="BK462" s="633"/>
      <c r="BL462" s="633"/>
      <c r="BM462" s="401">
        <f t="shared" si="264"/>
        <v>1152</v>
      </c>
      <c r="BO462" s="1473"/>
      <c r="BP462" s="1473"/>
    </row>
    <row r="463" s="200" customFormat="1" ht="36" customHeight="1" spans="1:68">
      <c r="A463" s="526">
        <v>45450</v>
      </c>
      <c r="B463" s="1578" t="s">
        <v>587</v>
      </c>
      <c r="C463" s="1478" t="s">
        <v>117</v>
      </c>
      <c r="D463" s="529">
        <v>4500138373</v>
      </c>
      <c r="E463" s="1479">
        <v>6631646314</v>
      </c>
      <c r="F463" s="529" t="s">
        <v>1993</v>
      </c>
      <c r="G463" s="531" t="s">
        <v>832</v>
      </c>
      <c r="H463" s="532" t="s">
        <v>833</v>
      </c>
      <c r="I463" s="511">
        <v>2304</v>
      </c>
      <c r="J463" s="562">
        <v>0</v>
      </c>
      <c r="K463" s="531">
        <v>1152</v>
      </c>
      <c r="L463" s="401">
        <f t="shared" si="253"/>
        <v>2</v>
      </c>
      <c r="M463" s="563">
        <v>45506</v>
      </c>
      <c r="N463" s="563">
        <v>45502</v>
      </c>
      <c r="O463" s="1474" t="s">
        <v>1980</v>
      </c>
      <c r="P463" s="564" t="s">
        <v>1690</v>
      </c>
      <c r="Q463" s="564" t="s">
        <v>1994</v>
      </c>
      <c r="R463" s="1523" t="s">
        <v>1102</v>
      </c>
      <c r="S463" s="564" t="s">
        <v>123</v>
      </c>
      <c r="T463" s="580" t="s">
        <v>1982</v>
      </c>
      <c r="U463" s="530" t="s">
        <v>993</v>
      </c>
      <c r="V463" s="564" t="s">
        <v>1006</v>
      </c>
      <c r="W463" s="592">
        <v>1602.8918</v>
      </c>
      <c r="X463" s="593">
        <f t="shared" si="265"/>
        <v>3205.7836</v>
      </c>
      <c r="Y463" s="401" t="s">
        <v>1995</v>
      </c>
      <c r="Z463" s="607" t="s">
        <v>832</v>
      </c>
      <c r="AA463" s="1453" t="s">
        <v>128</v>
      </c>
      <c r="AB463" s="608"/>
      <c r="AC463" s="608"/>
      <c r="AD463" s="608"/>
      <c r="AE463" s="564" t="s">
        <v>80</v>
      </c>
      <c r="AF463" s="564"/>
      <c r="AG463" s="608">
        <f t="shared" si="263"/>
        <v>2304</v>
      </c>
      <c r="AH463" s="608"/>
      <c r="AI463" s="608"/>
      <c r="AJ463" s="609"/>
      <c r="AK463" s="609">
        <f t="shared" si="266"/>
        <v>2304</v>
      </c>
      <c r="AL463" s="401"/>
      <c r="AM463" s="609"/>
      <c r="AN463" s="609"/>
      <c r="AO463" s="609"/>
      <c r="AP463" s="609"/>
      <c r="AQ463" s="609">
        <f t="shared" si="267"/>
        <v>2304</v>
      </c>
      <c r="AR463" s="609"/>
      <c r="AS463" s="609"/>
      <c r="AT463" s="633"/>
      <c r="AU463" s="633"/>
      <c r="AV463" s="633">
        <f t="shared" si="268"/>
        <v>192</v>
      </c>
      <c r="AW463" s="633"/>
      <c r="AX463" s="633"/>
      <c r="AY463" s="633"/>
      <c r="AZ463" s="633"/>
      <c r="BA463" s="633"/>
      <c r="BB463" s="633"/>
      <c r="BC463" s="633"/>
      <c r="BD463" s="633"/>
      <c r="BE463" s="633"/>
      <c r="BF463" s="633"/>
      <c r="BG463" s="633"/>
      <c r="BH463" s="633"/>
      <c r="BI463" s="633"/>
      <c r="BJ463" s="633"/>
      <c r="BK463" s="633"/>
      <c r="BL463" s="633"/>
      <c r="BM463" s="401">
        <f t="shared" si="264"/>
        <v>2304</v>
      </c>
      <c r="BO463" s="1473"/>
      <c r="BP463" s="1473"/>
    </row>
    <row r="464" s="200" customFormat="1" ht="36" customHeight="1" spans="1:68">
      <c r="A464" s="533">
        <v>45348</v>
      </c>
      <c r="B464" s="527" t="s">
        <v>924</v>
      </c>
      <c r="C464" s="528" t="s">
        <v>500</v>
      </c>
      <c r="D464" s="529">
        <v>4500139213</v>
      </c>
      <c r="E464" s="1479">
        <v>5200004971</v>
      </c>
      <c r="F464" s="529" t="s">
        <v>1996</v>
      </c>
      <c r="G464" s="531" t="s">
        <v>259</v>
      </c>
      <c r="H464" s="532" t="s">
        <v>74</v>
      </c>
      <c r="I464" s="401">
        <v>828</v>
      </c>
      <c r="J464" s="562">
        <v>0</v>
      </c>
      <c r="K464" s="531">
        <v>12</v>
      </c>
      <c r="L464" s="401">
        <f t="shared" si="253"/>
        <v>69</v>
      </c>
      <c r="M464" s="563">
        <v>45506</v>
      </c>
      <c r="N464" s="563">
        <v>45502</v>
      </c>
      <c r="O464" s="564"/>
      <c r="P464" s="564" t="s">
        <v>1262</v>
      </c>
      <c r="Q464" s="564"/>
      <c r="R464" s="1523">
        <v>45477</v>
      </c>
      <c r="S464" s="1599" t="s">
        <v>77</v>
      </c>
      <c r="T464" s="580" t="s">
        <v>1412</v>
      </c>
      <c r="U464" s="530" t="s">
        <v>1997</v>
      </c>
      <c r="V464" s="596" t="s">
        <v>255</v>
      </c>
      <c r="W464" s="592">
        <v>1.4121</v>
      </c>
      <c r="X464" s="593">
        <f t="shared" si="265"/>
        <v>97.4349</v>
      </c>
      <c r="Y464" s="401" t="s">
        <v>1998</v>
      </c>
      <c r="Z464" s="607" t="s">
        <v>249</v>
      </c>
      <c r="AA464" s="1453" t="s">
        <v>128</v>
      </c>
      <c r="AB464" s="608"/>
      <c r="AC464" s="608"/>
      <c r="AD464" s="608"/>
      <c r="AE464" s="564" t="s">
        <v>80</v>
      </c>
      <c r="AF464" s="564"/>
      <c r="AG464" s="608">
        <f t="shared" si="263"/>
        <v>828</v>
      </c>
      <c r="AH464" s="608"/>
      <c r="AI464" s="608"/>
      <c r="AJ464" s="609"/>
      <c r="AK464" s="609"/>
      <c r="AL464" s="609">
        <f>AG464</f>
        <v>828</v>
      </c>
      <c r="AM464" s="609"/>
      <c r="AN464" s="609"/>
      <c r="AO464" s="609">
        <f t="shared" ref="AO464:AO468" si="269">AG464</f>
        <v>828</v>
      </c>
      <c r="AP464" s="609"/>
      <c r="AQ464" s="609"/>
      <c r="AR464" s="609"/>
      <c r="AS464" s="609"/>
      <c r="AT464" s="633"/>
      <c r="AU464" s="633"/>
      <c r="AV464" s="633"/>
      <c r="AW464" s="633"/>
      <c r="AX464" s="633">
        <f>I464/12</f>
        <v>69</v>
      </c>
      <c r="AY464" s="633"/>
      <c r="AZ464" s="633"/>
      <c r="BA464" s="633"/>
      <c r="BB464" s="633"/>
      <c r="BC464" s="633"/>
      <c r="BD464" s="633"/>
      <c r="BE464" s="633"/>
      <c r="BF464" s="633"/>
      <c r="BG464" s="633"/>
      <c r="BH464" s="633"/>
      <c r="BI464" s="633"/>
      <c r="BJ464" s="633"/>
      <c r="BK464" s="633"/>
      <c r="BL464" s="633"/>
      <c r="BM464" s="401">
        <f t="shared" si="264"/>
        <v>828</v>
      </c>
      <c r="BO464" s="1473"/>
      <c r="BP464" s="1473"/>
    </row>
    <row r="465" s="200" customFormat="1" ht="36" customHeight="1" spans="1:73">
      <c r="A465" s="1545">
        <v>45461</v>
      </c>
      <c r="B465" s="1507" t="s">
        <v>151</v>
      </c>
      <c r="C465" s="1478" t="s">
        <v>117</v>
      </c>
      <c r="D465" s="529">
        <v>4500137269</v>
      </c>
      <c r="E465" s="1479" t="s">
        <v>1999</v>
      </c>
      <c r="F465" s="529" t="s">
        <v>2000</v>
      </c>
      <c r="G465" s="531" t="s">
        <v>628</v>
      </c>
      <c r="H465" s="532" t="s">
        <v>623</v>
      </c>
      <c r="I465" s="401">
        <v>4104</v>
      </c>
      <c r="J465" s="562">
        <v>0</v>
      </c>
      <c r="K465" s="531">
        <v>12</v>
      </c>
      <c r="L465" s="401">
        <f t="shared" si="253"/>
        <v>342</v>
      </c>
      <c r="M465" s="563">
        <v>45505</v>
      </c>
      <c r="N465" s="563">
        <v>45500</v>
      </c>
      <c r="O465" s="564"/>
      <c r="P465" s="564" t="s">
        <v>92</v>
      </c>
      <c r="Q465" s="564" t="s">
        <v>2001</v>
      </c>
      <c r="R465" s="564" t="s">
        <v>2002</v>
      </c>
      <c r="S465" s="1599" t="s">
        <v>123</v>
      </c>
      <c r="T465" s="1552" t="s">
        <v>2003</v>
      </c>
      <c r="U465" s="530" t="s">
        <v>2004</v>
      </c>
      <c r="V465" s="564" t="s">
        <v>156</v>
      </c>
      <c r="W465" s="592">
        <v>3.054</v>
      </c>
      <c r="X465" s="593">
        <f t="shared" ref="X465:X468" si="270">I465*W465</f>
        <v>12533.616</v>
      </c>
      <c r="Y465" s="401" t="s">
        <v>2005</v>
      </c>
      <c r="Z465" s="607" t="s">
        <v>628</v>
      </c>
      <c r="AA465" s="1453" t="s">
        <v>128</v>
      </c>
      <c r="AB465" s="155"/>
      <c r="AC465" s="155"/>
      <c r="AD465" s="155"/>
      <c r="AE465" s="91" t="s">
        <v>80</v>
      </c>
      <c r="AF465" s="91"/>
      <c r="AG465" s="608">
        <f t="shared" ref="AG465:AG467" si="271">I465*2</f>
        <v>8208</v>
      </c>
      <c r="AH465" s="608"/>
      <c r="AI465" s="608"/>
      <c r="AJ465" s="609">
        <f>AG465</f>
        <v>8208</v>
      </c>
      <c r="AK465" s="609"/>
      <c r="AL465" s="609"/>
      <c r="AM465" s="609"/>
      <c r="AN465" s="609"/>
      <c r="AO465" s="615">
        <f t="shared" si="269"/>
        <v>8208</v>
      </c>
      <c r="AP465" s="609"/>
      <c r="AQ465" s="609"/>
      <c r="AR465" s="609"/>
      <c r="AS465" s="609"/>
      <c r="AT465" s="633"/>
      <c r="AU465" s="633"/>
      <c r="AV465" s="633"/>
      <c r="AW465" s="633"/>
      <c r="AX465" s="633"/>
      <c r="AY465" s="633"/>
      <c r="AZ465" s="633"/>
      <c r="BA465" s="633"/>
      <c r="BB465" s="633"/>
      <c r="BC465" s="633"/>
      <c r="BD465" s="633"/>
      <c r="BE465" s="633"/>
      <c r="BF465" s="633"/>
      <c r="BG465" s="633"/>
      <c r="BH465" s="633"/>
      <c r="BI465" s="633"/>
      <c r="BJ465" s="633"/>
      <c r="BK465" s="633">
        <f t="shared" ref="BK465:BK467" si="272">I465</f>
        <v>4104</v>
      </c>
      <c r="BL465" s="633">
        <f t="shared" ref="BL465:BL467" si="273">I465</f>
        <v>4104</v>
      </c>
      <c r="BM465" s="401">
        <f t="shared" si="264"/>
        <v>8208</v>
      </c>
      <c r="BO465" s="1473"/>
      <c r="BP465" s="1473"/>
      <c r="BU465" s="1502" t="s">
        <v>2006</v>
      </c>
    </row>
    <row r="466" s="200" customFormat="1" ht="36" customHeight="1" spans="1:73">
      <c r="A466" s="1545">
        <v>45461</v>
      </c>
      <c r="B466" s="1507" t="s">
        <v>151</v>
      </c>
      <c r="C466" s="1478" t="s">
        <v>117</v>
      </c>
      <c r="D466" s="529">
        <v>4500137299</v>
      </c>
      <c r="E466" s="1479" t="s">
        <v>2007</v>
      </c>
      <c r="F466" s="529" t="s">
        <v>2008</v>
      </c>
      <c r="G466" s="531" t="s">
        <v>628</v>
      </c>
      <c r="H466" s="532" t="s">
        <v>623</v>
      </c>
      <c r="I466" s="401">
        <v>4896</v>
      </c>
      <c r="J466" s="562">
        <v>0</v>
      </c>
      <c r="K466" s="531">
        <v>12</v>
      </c>
      <c r="L466" s="401">
        <f t="shared" si="253"/>
        <v>408</v>
      </c>
      <c r="M466" s="563">
        <v>45505</v>
      </c>
      <c r="N466" s="563">
        <v>45500</v>
      </c>
      <c r="O466" s="564"/>
      <c r="P466" s="564" t="s">
        <v>92</v>
      </c>
      <c r="Q466" s="564" t="s">
        <v>2009</v>
      </c>
      <c r="R466" s="564" t="s">
        <v>2002</v>
      </c>
      <c r="S466" s="1599" t="s">
        <v>123</v>
      </c>
      <c r="T466" s="1552" t="s">
        <v>2003</v>
      </c>
      <c r="U466" s="530" t="s">
        <v>2004</v>
      </c>
      <c r="V466" s="564" t="s">
        <v>156</v>
      </c>
      <c r="W466" s="592">
        <v>3.054</v>
      </c>
      <c r="X466" s="593">
        <f t="shared" si="270"/>
        <v>14952.384</v>
      </c>
      <c r="Y466" s="401" t="s">
        <v>2010</v>
      </c>
      <c r="Z466" s="607" t="s">
        <v>628</v>
      </c>
      <c r="AA466" s="1453" t="s">
        <v>128</v>
      </c>
      <c r="AB466" s="155"/>
      <c r="AC466" s="155"/>
      <c r="AD466" s="155"/>
      <c r="AE466" s="91" t="s">
        <v>80</v>
      </c>
      <c r="AF466" s="91"/>
      <c r="AG466" s="608">
        <f t="shared" si="271"/>
        <v>9792</v>
      </c>
      <c r="AH466" s="608"/>
      <c r="AI466" s="608"/>
      <c r="AJ466" s="609">
        <f>AG466</f>
        <v>9792</v>
      </c>
      <c r="AK466" s="609"/>
      <c r="AL466" s="609"/>
      <c r="AM466" s="609"/>
      <c r="AN466" s="609"/>
      <c r="AO466" s="615">
        <f t="shared" si="269"/>
        <v>9792</v>
      </c>
      <c r="AP466" s="609"/>
      <c r="AQ466" s="609"/>
      <c r="AR466" s="609"/>
      <c r="AS466" s="609"/>
      <c r="AT466" s="633"/>
      <c r="AU466" s="633"/>
      <c r="AV466" s="633"/>
      <c r="AW466" s="633"/>
      <c r="AX466" s="633"/>
      <c r="AY466" s="633"/>
      <c r="AZ466" s="633"/>
      <c r="BA466" s="633"/>
      <c r="BB466" s="633"/>
      <c r="BC466" s="633"/>
      <c r="BD466" s="633"/>
      <c r="BE466" s="633"/>
      <c r="BF466" s="633"/>
      <c r="BG466" s="633"/>
      <c r="BH466" s="633"/>
      <c r="BI466" s="633"/>
      <c r="BJ466" s="633"/>
      <c r="BK466" s="633">
        <f t="shared" si="272"/>
        <v>4896</v>
      </c>
      <c r="BL466" s="633">
        <f t="shared" si="273"/>
        <v>4896</v>
      </c>
      <c r="BM466" s="401">
        <f t="shared" si="264"/>
        <v>9792</v>
      </c>
      <c r="BO466" s="1473"/>
      <c r="BP466" s="1473"/>
      <c r="BU466" s="1502" t="s">
        <v>2006</v>
      </c>
    </row>
    <row r="467" s="200" customFormat="1" ht="36" customHeight="1" spans="1:73">
      <c r="A467" s="1545">
        <v>45462</v>
      </c>
      <c r="B467" s="1507" t="s">
        <v>816</v>
      </c>
      <c r="C467" s="1508" t="s">
        <v>117</v>
      </c>
      <c r="D467" s="529">
        <v>4500137665</v>
      </c>
      <c r="E467" s="1479">
        <v>70043873</v>
      </c>
      <c r="F467" s="529" t="s">
        <v>2011</v>
      </c>
      <c r="G467" s="531" t="s">
        <v>628</v>
      </c>
      <c r="H467" s="532" t="s">
        <v>623</v>
      </c>
      <c r="I467" s="401">
        <v>600</v>
      </c>
      <c r="J467" s="562">
        <v>0</v>
      </c>
      <c r="K467" s="531">
        <v>12</v>
      </c>
      <c r="L467" s="401">
        <f t="shared" si="253"/>
        <v>50</v>
      </c>
      <c r="M467" s="563">
        <v>45513</v>
      </c>
      <c r="N467" s="563">
        <v>45509</v>
      </c>
      <c r="O467" s="564"/>
      <c r="P467" s="564" t="s">
        <v>92</v>
      </c>
      <c r="Q467" s="564" t="s">
        <v>1958</v>
      </c>
      <c r="R467" s="564">
        <v>45463</v>
      </c>
      <c r="S467" s="564" t="s">
        <v>77</v>
      </c>
      <c r="T467" s="580" t="s">
        <v>2012</v>
      </c>
      <c r="U467" s="530" t="s">
        <v>1955</v>
      </c>
      <c r="V467" s="564" t="s">
        <v>163</v>
      </c>
      <c r="W467" s="592">
        <v>3.1012</v>
      </c>
      <c r="X467" s="593">
        <f t="shared" si="270"/>
        <v>1860.72</v>
      </c>
      <c r="Y467" s="401" t="s">
        <v>2013</v>
      </c>
      <c r="Z467" s="607" t="s">
        <v>822</v>
      </c>
      <c r="AA467" s="1453" t="s">
        <v>128</v>
      </c>
      <c r="AB467" s="155"/>
      <c r="AC467" s="155"/>
      <c r="AD467" s="155"/>
      <c r="AE467" s="91" t="s">
        <v>80</v>
      </c>
      <c r="AF467" s="91"/>
      <c r="AG467" s="608">
        <f t="shared" si="271"/>
        <v>1200</v>
      </c>
      <c r="AH467" s="608"/>
      <c r="AI467" s="608"/>
      <c r="AJ467" s="608"/>
      <c r="AK467" s="609">
        <f t="shared" ref="AK467:AK477" si="274">AG467</f>
        <v>1200</v>
      </c>
      <c r="AL467" s="609"/>
      <c r="AM467" s="609"/>
      <c r="AN467" s="609"/>
      <c r="AO467" s="615">
        <f t="shared" si="269"/>
        <v>1200</v>
      </c>
      <c r="AP467" s="609"/>
      <c r="AQ467" s="609"/>
      <c r="AR467" s="609"/>
      <c r="AS467" s="609"/>
      <c r="AT467" s="633"/>
      <c r="AU467" s="633"/>
      <c r="AV467" s="633"/>
      <c r="AW467" s="633"/>
      <c r="AX467" s="633"/>
      <c r="AY467" s="633"/>
      <c r="AZ467" s="633"/>
      <c r="BA467" s="633"/>
      <c r="BB467" s="633"/>
      <c r="BC467" s="633"/>
      <c r="BD467" s="633"/>
      <c r="BE467" s="633"/>
      <c r="BF467" s="633"/>
      <c r="BG467" s="633"/>
      <c r="BH467" s="633"/>
      <c r="BI467" s="633"/>
      <c r="BJ467" s="633"/>
      <c r="BK467" s="633">
        <f t="shared" si="272"/>
        <v>600</v>
      </c>
      <c r="BL467" s="633">
        <f t="shared" si="273"/>
        <v>600</v>
      </c>
      <c r="BM467" s="401">
        <f t="shared" si="264"/>
        <v>1200</v>
      </c>
      <c r="BO467" s="1473"/>
      <c r="BP467" s="1473"/>
      <c r="BU467" s="1502" t="s">
        <v>1343</v>
      </c>
    </row>
    <row r="468" s="200" customFormat="1" ht="36" customHeight="1" spans="1:68">
      <c r="A468" s="1477">
        <v>45462</v>
      </c>
      <c r="B468" s="530" t="s">
        <v>434</v>
      </c>
      <c r="C468" s="1478" t="s">
        <v>435</v>
      </c>
      <c r="D468" s="1532">
        <v>4500137498</v>
      </c>
      <c r="E468" s="1533" t="s">
        <v>2014</v>
      </c>
      <c r="F468" s="1532" t="s">
        <v>2015</v>
      </c>
      <c r="G468" s="531" t="s">
        <v>73</v>
      </c>
      <c r="H468" s="532" t="s">
        <v>74</v>
      </c>
      <c r="I468" s="401">
        <v>504</v>
      </c>
      <c r="J468" s="562">
        <v>0</v>
      </c>
      <c r="K468" s="531">
        <v>24</v>
      </c>
      <c r="L468" s="401">
        <f t="shared" si="253"/>
        <v>21</v>
      </c>
      <c r="M468" s="563">
        <v>45492</v>
      </c>
      <c r="N468" s="1495">
        <v>45495</v>
      </c>
      <c r="O468" s="564"/>
      <c r="P468" s="564" t="s">
        <v>1262</v>
      </c>
      <c r="Q468" s="564" t="s">
        <v>1738</v>
      </c>
      <c r="R468" s="564" t="s">
        <v>2016</v>
      </c>
      <c r="S468" s="564" t="s">
        <v>77</v>
      </c>
      <c r="T468" s="564" t="s">
        <v>2017</v>
      </c>
      <c r="U468" s="1499" t="s">
        <v>2018</v>
      </c>
      <c r="V468" s="1585" t="s">
        <v>389</v>
      </c>
      <c r="W468" s="592">
        <v>1.3645</v>
      </c>
      <c r="X468" s="593">
        <f t="shared" si="270"/>
        <v>687.708</v>
      </c>
      <c r="Y468" s="401" t="s">
        <v>2019</v>
      </c>
      <c r="Z468" s="607" t="s">
        <v>188</v>
      </c>
      <c r="AA468" s="1453" t="s">
        <v>128</v>
      </c>
      <c r="AB468" s="155"/>
      <c r="AC468" s="155"/>
      <c r="AD468" s="155"/>
      <c r="AE468" s="91" t="s">
        <v>80</v>
      </c>
      <c r="AF468" s="91"/>
      <c r="AG468" s="608">
        <f t="shared" ref="AG468:AG483" si="275">I468</f>
        <v>504</v>
      </c>
      <c r="AH468" s="608"/>
      <c r="AI468" s="608"/>
      <c r="AJ468" s="608"/>
      <c r="AK468" s="609"/>
      <c r="AL468" s="401">
        <f>AG468</f>
        <v>504</v>
      </c>
      <c r="AM468" s="609"/>
      <c r="AN468" s="609"/>
      <c r="AO468" s="609">
        <f t="shared" si="269"/>
        <v>504</v>
      </c>
      <c r="AP468" s="609"/>
      <c r="AQ468" s="609"/>
      <c r="AR468" s="609"/>
      <c r="AS468" s="609"/>
      <c r="AT468" s="633"/>
      <c r="AU468" s="633"/>
      <c r="AV468" s="633"/>
      <c r="AW468" s="633"/>
      <c r="AY468" s="633"/>
      <c r="AZ468" s="633"/>
      <c r="BA468" s="633"/>
      <c r="BB468" s="633"/>
      <c r="BC468" s="633"/>
      <c r="BD468" s="633"/>
      <c r="BE468" s="633"/>
      <c r="BF468" s="633"/>
      <c r="BG468" s="633"/>
      <c r="BH468" s="633"/>
      <c r="BI468" s="633"/>
      <c r="BJ468" s="633"/>
      <c r="BK468" s="633"/>
      <c r="BL468" s="633"/>
      <c r="BM468" s="401">
        <f t="shared" si="264"/>
        <v>504</v>
      </c>
      <c r="BO468" s="1473"/>
      <c r="BP468" s="1473"/>
    </row>
    <row r="469" s="200" customFormat="1" ht="36" customHeight="1" spans="1:68">
      <c r="A469" s="526">
        <v>45469</v>
      </c>
      <c r="B469" s="1578" t="s">
        <v>823</v>
      </c>
      <c r="C469" s="1478" t="s">
        <v>117</v>
      </c>
      <c r="D469" s="529">
        <v>4500138462</v>
      </c>
      <c r="E469" s="1683" t="s">
        <v>2020</v>
      </c>
      <c r="F469" s="529" t="s">
        <v>2021</v>
      </c>
      <c r="G469" s="531" t="s">
        <v>107</v>
      </c>
      <c r="H469" s="532" t="s">
        <v>74</v>
      </c>
      <c r="I469" s="511">
        <v>3600</v>
      </c>
      <c r="J469" s="562">
        <v>0</v>
      </c>
      <c r="K469" s="531">
        <v>30</v>
      </c>
      <c r="L469" s="401">
        <f t="shared" si="253"/>
        <v>120</v>
      </c>
      <c r="M469" s="563">
        <v>45507</v>
      </c>
      <c r="N469" s="563">
        <v>45502</v>
      </c>
      <c r="O469" s="564"/>
      <c r="P469" s="564" t="s">
        <v>92</v>
      </c>
      <c r="Q469" s="564" t="s">
        <v>1981</v>
      </c>
      <c r="R469" s="564">
        <v>45469</v>
      </c>
      <c r="S469" s="1599" t="s">
        <v>77</v>
      </c>
      <c r="T469" s="1552" t="s">
        <v>77</v>
      </c>
      <c r="U469" s="530" t="s">
        <v>2022</v>
      </c>
      <c r="V469" s="564" t="s">
        <v>829</v>
      </c>
      <c r="W469" s="592">
        <v>59.39</v>
      </c>
      <c r="X469" s="593">
        <f>W469*L469</f>
        <v>7126.8</v>
      </c>
      <c r="Y469" s="401" t="s">
        <v>2023</v>
      </c>
      <c r="Z469" s="607" t="s">
        <v>107</v>
      </c>
      <c r="AA469" s="1453" t="s">
        <v>128</v>
      </c>
      <c r="AB469" s="155"/>
      <c r="AC469" s="155"/>
      <c r="AD469" s="155"/>
      <c r="AE469" s="91" t="s">
        <v>80</v>
      </c>
      <c r="AF469" s="91"/>
      <c r="AG469" s="608">
        <f t="shared" si="275"/>
        <v>3600</v>
      </c>
      <c r="AH469" s="608"/>
      <c r="AI469" s="608"/>
      <c r="AJ469" s="609"/>
      <c r="AK469" s="609">
        <f>I469</f>
        <v>3600</v>
      </c>
      <c r="AL469" s="401"/>
      <c r="AM469" s="609"/>
      <c r="AN469" s="609"/>
      <c r="AO469" s="609">
        <f>I469</f>
        <v>3600</v>
      </c>
      <c r="AP469" s="609"/>
      <c r="AQ469" s="609"/>
      <c r="AR469" s="609"/>
      <c r="AS469" s="609"/>
      <c r="AT469" s="633"/>
      <c r="AU469" s="633"/>
      <c r="AV469" s="633"/>
      <c r="AW469" s="633"/>
      <c r="AX469" s="633"/>
      <c r="AY469" s="633"/>
      <c r="AZ469" s="633"/>
      <c r="BA469" s="633"/>
      <c r="BB469" s="633"/>
      <c r="BC469" s="633"/>
      <c r="BD469" s="633"/>
      <c r="BE469" s="633"/>
      <c r="BF469" s="633">
        <f>I469/30</f>
        <v>120</v>
      </c>
      <c r="BG469" s="633"/>
      <c r="BH469" s="633">
        <f>BF469</f>
        <v>120</v>
      </c>
      <c r="BI469" s="633"/>
      <c r="BJ469" s="633"/>
      <c r="BK469" s="633"/>
      <c r="BL469" s="633"/>
      <c r="BM469" s="401">
        <f t="shared" si="264"/>
        <v>3600</v>
      </c>
      <c r="BO469" s="1473"/>
      <c r="BP469" s="1473"/>
    </row>
    <row r="470" s="200" customFormat="1" ht="36" customHeight="1" spans="1:68">
      <c r="A470" s="533">
        <v>45469</v>
      </c>
      <c r="B470" s="527" t="s">
        <v>116</v>
      </c>
      <c r="C470" s="1478" t="s">
        <v>117</v>
      </c>
      <c r="D470" s="534">
        <v>4500137539</v>
      </c>
      <c r="E470" s="530" t="s">
        <v>2024</v>
      </c>
      <c r="F470" s="534" t="s">
        <v>2025</v>
      </c>
      <c r="G470" s="531" t="s">
        <v>120</v>
      </c>
      <c r="H470" s="532" t="s">
        <v>74</v>
      </c>
      <c r="I470" s="401">
        <v>16233</v>
      </c>
      <c r="J470" s="562">
        <v>0</v>
      </c>
      <c r="K470" s="531">
        <v>21</v>
      </c>
      <c r="L470" s="401">
        <f t="shared" si="253"/>
        <v>773</v>
      </c>
      <c r="M470" s="563">
        <v>45511</v>
      </c>
      <c r="N470" s="1495">
        <v>45505</v>
      </c>
      <c r="O470" s="564"/>
      <c r="P470" s="564" t="s">
        <v>92</v>
      </c>
      <c r="Q470" s="564" t="s">
        <v>2026</v>
      </c>
      <c r="R470" s="564">
        <v>45476</v>
      </c>
      <c r="S470" s="564" t="s">
        <v>123</v>
      </c>
      <c r="T470" s="1519" t="s">
        <v>2027</v>
      </c>
      <c r="U470" s="530" t="s">
        <v>2028</v>
      </c>
      <c r="V470" s="564" t="s">
        <v>126</v>
      </c>
      <c r="W470" s="592">
        <v>1.4296</v>
      </c>
      <c r="X470" s="593">
        <f>W470*L470</f>
        <v>1105.0808</v>
      </c>
      <c r="Y470" s="401" t="s">
        <v>2029</v>
      </c>
      <c r="Z470" s="607" t="s">
        <v>120</v>
      </c>
      <c r="AA470" s="1453" t="s">
        <v>128</v>
      </c>
      <c r="AB470" s="155"/>
      <c r="AC470" s="155"/>
      <c r="AD470" s="155"/>
      <c r="AE470" s="91" t="s">
        <v>80</v>
      </c>
      <c r="AF470" s="91"/>
      <c r="AG470" s="608">
        <f t="shared" si="275"/>
        <v>16233</v>
      </c>
      <c r="AH470" s="608"/>
      <c r="AI470" s="608"/>
      <c r="AJ470" s="608"/>
      <c r="AK470" s="609">
        <f t="shared" si="274"/>
        <v>16233</v>
      </c>
      <c r="AL470" s="609"/>
      <c r="AM470" s="609"/>
      <c r="AN470" s="609"/>
      <c r="AO470" s="615">
        <f>I470</f>
        <v>16233</v>
      </c>
      <c r="AP470" s="609"/>
      <c r="AQ470" s="609"/>
      <c r="AR470" s="609"/>
      <c r="AS470" s="609">
        <f>I470/21</f>
        <v>773</v>
      </c>
      <c r="AT470" s="633"/>
      <c r="AU470" s="633"/>
      <c r="AV470" s="633"/>
      <c r="AW470" s="633"/>
      <c r="AX470" s="633"/>
      <c r="AY470" s="633"/>
      <c r="AZ470" s="633"/>
      <c r="BA470" s="633"/>
      <c r="BB470" s="633"/>
      <c r="BC470" s="633"/>
      <c r="BD470" s="633"/>
      <c r="BE470" s="633"/>
      <c r="BF470" s="633"/>
      <c r="BG470" s="633"/>
      <c r="BH470" s="633"/>
      <c r="BI470" s="633"/>
      <c r="BJ470" s="633"/>
      <c r="BK470" s="633"/>
      <c r="BL470" s="633"/>
      <c r="BM470" s="401">
        <f t="shared" si="264"/>
        <v>16233</v>
      </c>
      <c r="BO470" s="1473"/>
      <c r="BP470" s="1473"/>
    </row>
    <row r="471" s="200" customFormat="1" ht="36" customHeight="1" spans="1:68">
      <c r="A471" s="533">
        <v>45460</v>
      </c>
      <c r="B471" s="527" t="s">
        <v>587</v>
      </c>
      <c r="C471" s="528" t="s">
        <v>117</v>
      </c>
      <c r="D471" s="534" t="s">
        <v>2030</v>
      </c>
      <c r="E471" s="530"/>
      <c r="F471" s="534"/>
      <c r="G471" s="531" t="s">
        <v>2031</v>
      </c>
      <c r="H471" s="532" t="s">
        <v>2032</v>
      </c>
      <c r="I471" s="401">
        <v>6984</v>
      </c>
      <c r="J471" s="562">
        <v>0</v>
      </c>
      <c r="K471" s="531">
        <v>24</v>
      </c>
      <c r="L471" s="401">
        <f t="shared" si="253"/>
        <v>291</v>
      </c>
      <c r="M471" s="563">
        <v>45509</v>
      </c>
      <c r="N471" s="1495">
        <v>45507</v>
      </c>
      <c r="O471" s="564"/>
      <c r="P471" s="564" t="s">
        <v>92</v>
      </c>
      <c r="Q471" s="564" t="s">
        <v>2033</v>
      </c>
      <c r="R471" s="564" t="s">
        <v>76</v>
      </c>
      <c r="S471" s="564" t="s">
        <v>77</v>
      </c>
      <c r="T471" s="580" t="s">
        <v>2034</v>
      </c>
      <c r="U471" s="530" t="s">
        <v>2035</v>
      </c>
      <c r="V471" s="564" t="s">
        <v>2036</v>
      </c>
      <c r="W471" s="592">
        <v>1.4</v>
      </c>
      <c r="X471" s="593">
        <f t="shared" ref="X471:X477" si="276">W471*I471</f>
        <v>9777.6</v>
      </c>
      <c r="Y471" s="401" t="s">
        <v>2037</v>
      </c>
      <c r="Z471" s="607" t="s">
        <v>2031</v>
      </c>
      <c r="AA471" s="1453" t="s">
        <v>128</v>
      </c>
      <c r="AB471" s="155"/>
      <c r="AC471" s="155"/>
      <c r="AD471" s="155"/>
      <c r="AE471" s="91" t="s">
        <v>80</v>
      </c>
      <c r="AF471" s="91"/>
      <c r="AG471" s="608">
        <f t="shared" si="275"/>
        <v>6984</v>
      </c>
      <c r="AH471" s="608"/>
      <c r="AI471" s="608"/>
      <c r="AJ471" s="608"/>
      <c r="AK471" s="609">
        <f t="shared" si="274"/>
        <v>6984</v>
      </c>
      <c r="AL471" s="609"/>
      <c r="AM471" s="609"/>
      <c r="AN471" s="609"/>
      <c r="AO471" s="609"/>
      <c r="AP471" s="609"/>
      <c r="AQ471" s="609">
        <f t="shared" ref="AQ471:AQ477" si="277">AG471</f>
        <v>6984</v>
      </c>
      <c r="AR471" s="609"/>
      <c r="AS471" s="609"/>
      <c r="AT471" s="633"/>
      <c r="AU471" s="633"/>
      <c r="AV471" s="633"/>
      <c r="AW471" s="633"/>
      <c r="AX471" s="633"/>
      <c r="AY471" s="633"/>
      <c r="AZ471" s="633"/>
      <c r="BA471" s="633"/>
      <c r="BB471" s="633"/>
      <c r="BC471" s="633"/>
      <c r="BD471" s="633"/>
      <c r="BE471" s="633"/>
      <c r="BF471" s="633"/>
      <c r="BG471" s="633"/>
      <c r="BH471" s="633"/>
      <c r="BI471" s="633"/>
      <c r="BJ471" s="633"/>
      <c r="BK471" s="633"/>
      <c r="BL471" s="633"/>
      <c r="BM471" s="401">
        <f t="shared" si="264"/>
        <v>6984</v>
      </c>
      <c r="BO471" s="1473"/>
      <c r="BP471" s="1473"/>
    </row>
    <row r="472" s="200" customFormat="1" ht="36" customHeight="1" spans="1:68">
      <c r="A472" s="533">
        <v>45460</v>
      </c>
      <c r="B472" s="527" t="s">
        <v>587</v>
      </c>
      <c r="C472" s="528" t="s">
        <v>117</v>
      </c>
      <c r="D472" s="534" t="s">
        <v>2030</v>
      </c>
      <c r="E472" s="530"/>
      <c r="F472" s="534"/>
      <c r="G472" s="531" t="s">
        <v>2031</v>
      </c>
      <c r="H472" s="532" t="s">
        <v>2032</v>
      </c>
      <c r="I472" s="401">
        <v>8496</v>
      </c>
      <c r="J472" s="562">
        <v>0</v>
      </c>
      <c r="K472" s="531">
        <v>24</v>
      </c>
      <c r="L472" s="401">
        <f t="shared" si="253"/>
        <v>354</v>
      </c>
      <c r="M472" s="563">
        <v>45510</v>
      </c>
      <c r="N472" s="1495">
        <v>45507</v>
      </c>
      <c r="O472" s="564"/>
      <c r="P472" s="564" t="s">
        <v>92</v>
      </c>
      <c r="Q472" s="564" t="s">
        <v>2033</v>
      </c>
      <c r="R472" s="564" t="s">
        <v>76</v>
      </c>
      <c r="S472" s="564" t="s">
        <v>77</v>
      </c>
      <c r="T472" s="580" t="s">
        <v>2034</v>
      </c>
      <c r="U472" s="530" t="s">
        <v>2035</v>
      </c>
      <c r="V472" s="564" t="s">
        <v>2036</v>
      </c>
      <c r="W472" s="592">
        <v>1.4</v>
      </c>
      <c r="X472" s="593">
        <f t="shared" si="276"/>
        <v>11894.4</v>
      </c>
      <c r="Y472" s="401" t="s">
        <v>2037</v>
      </c>
      <c r="Z472" s="607" t="s">
        <v>2031</v>
      </c>
      <c r="AA472" s="1453" t="s">
        <v>128</v>
      </c>
      <c r="AB472" s="155"/>
      <c r="AC472" s="155"/>
      <c r="AD472" s="155"/>
      <c r="AE472" s="91" t="s">
        <v>80</v>
      </c>
      <c r="AF472" s="91"/>
      <c r="AG472" s="608">
        <f t="shared" si="275"/>
        <v>8496</v>
      </c>
      <c r="AH472" s="608"/>
      <c r="AI472" s="608"/>
      <c r="AJ472" s="608"/>
      <c r="AK472" s="609">
        <f t="shared" si="274"/>
        <v>8496</v>
      </c>
      <c r="AL472" s="609"/>
      <c r="AM472" s="609"/>
      <c r="AN472" s="609"/>
      <c r="AO472" s="609"/>
      <c r="AP472" s="609"/>
      <c r="AQ472" s="609">
        <f t="shared" si="277"/>
        <v>8496</v>
      </c>
      <c r="AR472" s="609"/>
      <c r="AS472" s="609"/>
      <c r="AT472" s="633"/>
      <c r="AU472" s="633"/>
      <c r="AV472" s="633"/>
      <c r="AW472" s="633"/>
      <c r="AX472" s="633"/>
      <c r="AY472" s="633"/>
      <c r="AZ472" s="633"/>
      <c r="BA472" s="633"/>
      <c r="BB472" s="633"/>
      <c r="BC472" s="633"/>
      <c r="BD472" s="633"/>
      <c r="BE472" s="633"/>
      <c r="BF472" s="633"/>
      <c r="BG472" s="633"/>
      <c r="BH472" s="633"/>
      <c r="BI472" s="633"/>
      <c r="BJ472" s="633"/>
      <c r="BK472" s="633"/>
      <c r="BL472" s="633"/>
      <c r="BM472" s="401">
        <f t="shared" si="264"/>
        <v>8496</v>
      </c>
      <c r="BO472" s="1473"/>
      <c r="BP472" s="1473"/>
    </row>
    <row r="473" s="200" customFormat="1" ht="36" customHeight="1" spans="1:68">
      <c r="A473" s="533">
        <v>45460</v>
      </c>
      <c r="B473" s="527" t="s">
        <v>587</v>
      </c>
      <c r="C473" s="528" t="s">
        <v>117</v>
      </c>
      <c r="D473" s="534" t="s">
        <v>2030</v>
      </c>
      <c r="E473" s="530"/>
      <c r="F473" s="534"/>
      <c r="G473" s="531" t="s">
        <v>2031</v>
      </c>
      <c r="H473" s="532" t="s">
        <v>2032</v>
      </c>
      <c r="I473" s="401">
        <v>3768</v>
      </c>
      <c r="J473" s="562">
        <v>0</v>
      </c>
      <c r="K473" s="531">
        <v>24</v>
      </c>
      <c r="L473" s="401">
        <f t="shared" si="253"/>
        <v>157</v>
      </c>
      <c r="M473" s="563">
        <v>45511</v>
      </c>
      <c r="N473" s="563">
        <v>45507</v>
      </c>
      <c r="O473" s="564"/>
      <c r="P473" s="564" t="s">
        <v>92</v>
      </c>
      <c r="Q473" s="564" t="s">
        <v>2033</v>
      </c>
      <c r="R473" s="564" t="s">
        <v>76</v>
      </c>
      <c r="S473" s="564" t="s">
        <v>77</v>
      </c>
      <c r="T473" s="580" t="s">
        <v>2034</v>
      </c>
      <c r="U473" s="530" t="s">
        <v>2035</v>
      </c>
      <c r="V473" s="564" t="s">
        <v>2036</v>
      </c>
      <c r="W473" s="592">
        <v>1.4</v>
      </c>
      <c r="X473" s="593">
        <f t="shared" si="276"/>
        <v>5275.2</v>
      </c>
      <c r="Y473" s="401" t="s">
        <v>2037</v>
      </c>
      <c r="Z473" s="607" t="s">
        <v>2031</v>
      </c>
      <c r="AA473" s="1453" t="s">
        <v>128</v>
      </c>
      <c r="AB473" s="155"/>
      <c r="AC473" s="155"/>
      <c r="AD473" s="155"/>
      <c r="AE473" s="91" t="s">
        <v>80</v>
      </c>
      <c r="AF473" s="91"/>
      <c r="AG473" s="608">
        <f t="shared" si="275"/>
        <v>3768</v>
      </c>
      <c r="AH473" s="608"/>
      <c r="AI473" s="608"/>
      <c r="AJ473" s="608"/>
      <c r="AK473" s="609">
        <f t="shared" si="274"/>
        <v>3768</v>
      </c>
      <c r="AL473" s="609"/>
      <c r="AM473" s="609"/>
      <c r="AN473" s="609"/>
      <c r="AO473" s="609"/>
      <c r="AP473" s="609"/>
      <c r="AQ473" s="609">
        <f t="shared" si="277"/>
        <v>3768</v>
      </c>
      <c r="AR473" s="609"/>
      <c r="AS473" s="609"/>
      <c r="AT473" s="633"/>
      <c r="AU473" s="633"/>
      <c r="AV473" s="633"/>
      <c r="AW473" s="633"/>
      <c r="AX473" s="633"/>
      <c r="AY473" s="633"/>
      <c r="AZ473" s="633"/>
      <c r="BA473" s="633"/>
      <c r="BB473" s="633"/>
      <c r="BC473" s="633"/>
      <c r="BD473" s="633"/>
      <c r="BE473" s="633"/>
      <c r="BF473" s="633"/>
      <c r="BG473" s="633"/>
      <c r="BH473" s="633"/>
      <c r="BI473" s="633"/>
      <c r="BJ473" s="633"/>
      <c r="BK473" s="633"/>
      <c r="BL473" s="633"/>
      <c r="BM473" s="401">
        <f t="shared" si="264"/>
        <v>3768</v>
      </c>
      <c r="BO473" s="1473"/>
      <c r="BP473" s="1473"/>
    </row>
    <row r="474" s="200" customFormat="1" ht="36" customHeight="1" spans="1:68">
      <c r="A474" s="533">
        <v>45460</v>
      </c>
      <c r="B474" s="527" t="s">
        <v>587</v>
      </c>
      <c r="C474" s="528" t="s">
        <v>117</v>
      </c>
      <c r="D474" s="534" t="s">
        <v>2030</v>
      </c>
      <c r="E474" s="530"/>
      <c r="F474" s="534"/>
      <c r="G474" s="531" t="s">
        <v>2031</v>
      </c>
      <c r="H474" s="532" t="s">
        <v>2032</v>
      </c>
      <c r="I474" s="401">
        <v>5064</v>
      </c>
      <c r="J474" s="562">
        <v>0</v>
      </c>
      <c r="K474" s="531">
        <v>24</v>
      </c>
      <c r="L474" s="401">
        <f t="shared" si="253"/>
        <v>211</v>
      </c>
      <c r="M474" s="563">
        <v>45512</v>
      </c>
      <c r="N474" s="563">
        <v>45509</v>
      </c>
      <c r="O474" s="564"/>
      <c r="P474" s="564" t="s">
        <v>92</v>
      </c>
      <c r="Q474" s="564" t="s">
        <v>2033</v>
      </c>
      <c r="R474" s="564" t="s">
        <v>76</v>
      </c>
      <c r="S474" s="564" t="s">
        <v>77</v>
      </c>
      <c r="T474" s="580" t="s">
        <v>2034</v>
      </c>
      <c r="U474" s="530" t="s">
        <v>2035</v>
      </c>
      <c r="V474" s="564" t="s">
        <v>2036</v>
      </c>
      <c r="W474" s="592">
        <v>1.4</v>
      </c>
      <c r="X474" s="593">
        <f t="shared" si="276"/>
        <v>7089.6</v>
      </c>
      <c r="Y474" s="401" t="s">
        <v>2037</v>
      </c>
      <c r="Z474" s="607" t="s">
        <v>2031</v>
      </c>
      <c r="AA474" s="1453" t="s">
        <v>128</v>
      </c>
      <c r="AB474" s="155"/>
      <c r="AC474" s="155"/>
      <c r="AD474" s="155"/>
      <c r="AE474" s="91" t="s">
        <v>80</v>
      </c>
      <c r="AF474" s="91"/>
      <c r="AG474" s="608">
        <f t="shared" si="275"/>
        <v>5064</v>
      </c>
      <c r="AH474" s="608"/>
      <c r="AI474" s="608"/>
      <c r="AJ474" s="608"/>
      <c r="AK474" s="609">
        <f t="shared" si="274"/>
        <v>5064</v>
      </c>
      <c r="AL474" s="609"/>
      <c r="AM474" s="609"/>
      <c r="AN474" s="609"/>
      <c r="AO474" s="609"/>
      <c r="AP474" s="609"/>
      <c r="AQ474" s="609">
        <f t="shared" si="277"/>
        <v>5064</v>
      </c>
      <c r="AR474" s="609"/>
      <c r="AS474" s="609"/>
      <c r="AT474" s="633"/>
      <c r="AU474" s="633"/>
      <c r="AV474" s="633"/>
      <c r="AW474" s="633"/>
      <c r="AX474" s="633"/>
      <c r="AY474" s="633"/>
      <c r="AZ474" s="633"/>
      <c r="BA474" s="633"/>
      <c r="BB474" s="633"/>
      <c r="BC474" s="633"/>
      <c r="BD474" s="633"/>
      <c r="BE474" s="633"/>
      <c r="BF474" s="633"/>
      <c r="BG474" s="633"/>
      <c r="BH474" s="633"/>
      <c r="BI474" s="633"/>
      <c r="BJ474" s="633"/>
      <c r="BK474" s="633"/>
      <c r="BL474" s="633"/>
      <c r="BM474" s="401">
        <f t="shared" si="264"/>
        <v>5064</v>
      </c>
      <c r="BO474" s="1473"/>
      <c r="BP474" s="1473"/>
    </row>
    <row r="475" s="200" customFormat="1" ht="36" customHeight="1" spans="1:68">
      <c r="A475" s="533">
        <v>45460</v>
      </c>
      <c r="B475" s="527" t="s">
        <v>587</v>
      </c>
      <c r="C475" s="528" t="s">
        <v>117</v>
      </c>
      <c r="D475" s="534" t="s">
        <v>2030</v>
      </c>
      <c r="E475" s="530"/>
      <c r="F475" s="534"/>
      <c r="G475" s="531" t="s">
        <v>2031</v>
      </c>
      <c r="H475" s="532" t="s">
        <v>2032</v>
      </c>
      <c r="I475" s="401">
        <v>10224</v>
      </c>
      <c r="J475" s="562">
        <v>0</v>
      </c>
      <c r="K475" s="531">
        <v>24</v>
      </c>
      <c r="L475" s="401">
        <f t="shared" si="253"/>
        <v>426</v>
      </c>
      <c r="M475" s="563">
        <v>45513</v>
      </c>
      <c r="N475" s="563">
        <v>45509</v>
      </c>
      <c r="O475" s="564"/>
      <c r="P475" s="564" t="s">
        <v>92</v>
      </c>
      <c r="Q475" s="564" t="s">
        <v>2038</v>
      </c>
      <c r="R475" s="564" t="s">
        <v>76</v>
      </c>
      <c r="S475" s="564" t="s">
        <v>77</v>
      </c>
      <c r="T475" s="580" t="s">
        <v>2034</v>
      </c>
      <c r="U475" s="530" t="s">
        <v>2035</v>
      </c>
      <c r="V475" s="564" t="s">
        <v>2036</v>
      </c>
      <c r="W475" s="592">
        <v>1.4</v>
      </c>
      <c r="X475" s="593">
        <f t="shared" si="276"/>
        <v>14313.6</v>
      </c>
      <c r="Y475" s="401" t="s">
        <v>2037</v>
      </c>
      <c r="Z475" s="607" t="s">
        <v>2031</v>
      </c>
      <c r="AA475" s="1453" t="s">
        <v>128</v>
      </c>
      <c r="AB475" s="155"/>
      <c r="AC475" s="155"/>
      <c r="AD475" s="155"/>
      <c r="AE475" s="91" t="s">
        <v>80</v>
      </c>
      <c r="AF475" s="91"/>
      <c r="AG475" s="608">
        <f t="shared" si="275"/>
        <v>10224</v>
      </c>
      <c r="AH475" s="608"/>
      <c r="AI475" s="608"/>
      <c r="AJ475" s="608"/>
      <c r="AK475" s="609">
        <f t="shared" si="274"/>
        <v>10224</v>
      </c>
      <c r="AL475" s="609"/>
      <c r="AM475" s="609"/>
      <c r="AN475" s="609"/>
      <c r="AO475" s="609"/>
      <c r="AP475" s="609"/>
      <c r="AQ475" s="609">
        <f t="shared" si="277"/>
        <v>10224</v>
      </c>
      <c r="AR475" s="609"/>
      <c r="AS475" s="609"/>
      <c r="AT475" s="633"/>
      <c r="AU475" s="633"/>
      <c r="AV475" s="633"/>
      <c r="AW475" s="633"/>
      <c r="AX475" s="633"/>
      <c r="AY475" s="633"/>
      <c r="AZ475" s="633"/>
      <c r="BA475" s="633"/>
      <c r="BB475" s="633"/>
      <c r="BC475" s="633"/>
      <c r="BD475" s="633"/>
      <c r="BE475" s="633"/>
      <c r="BF475" s="633"/>
      <c r="BG475" s="633"/>
      <c r="BH475" s="633"/>
      <c r="BI475" s="633"/>
      <c r="BJ475" s="633"/>
      <c r="BK475" s="633"/>
      <c r="BL475" s="633"/>
      <c r="BM475" s="401">
        <f t="shared" si="264"/>
        <v>10224</v>
      </c>
      <c r="BO475" s="1473"/>
      <c r="BP475" s="1473"/>
    </row>
    <row r="476" s="200" customFormat="1" ht="36" customHeight="1" spans="1:68">
      <c r="A476" s="533">
        <v>45460</v>
      </c>
      <c r="B476" s="527" t="s">
        <v>587</v>
      </c>
      <c r="C476" s="528" t="s">
        <v>117</v>
      </c>
      <c r="D476" s="534" t="s">
        <v>2030</v>
      </c>
      <c r="E476" s="530"/>
      <c r="F476" s="534"/>
      <c r="G476" s="531" t="s">
        <v>2031</v>
      </c>
      <c r="H476" s="532" t="s">
        <v>2032</v>
      </c>
      <c r="I476" s="401">
        <v>6144</v>
      </c>
      <c r="J476" s="562">
        <v>0</v>
      </c>
      <c r="K476" s="531">
        <v>24</v>
      </c>
      <c r="L476" s="401">
        <f t="shared" si="253"/>
        <v>256</v>
      </c>
      <c r="M476" s="563">
        <v>45513</v>
      </c>
      <c r="N476" s="563">
        <v>45509</v>
      </c>
      <c r="O476" s="564"/>
      <c r="P476" s="564" t="s">
        <v>92</v>
      </c>
      <c r="Q476" s="564" t="s">
        <v>2038</v>
      </c>
      <c r="R476" s="564" t="s">
        <v>76</v>
      </c>
      <c r="S476" s="564" t="s">
        <v>77</v>
      </c>
      <c r="T476" s="580" t="s">
        <v>2034</v>
      </c>
      <c r="U476" s="530" t="s">
        <v>2035</v>
      </c>
      <c r="V476" s="564" t="s">
        <v>2036</v>
      </c>
      <c r="W476" s="592">
        <v>1.4</v>
      </c>
      <c r="X476" s="593">
        <f t="shared" si="276"/>
        <v>8601.6</v>
      </c>
      <c r="Y476" s="401" t="s">
        <v>2037</v>
      </c>
      <c r="Z476" s="607" t="s">
        <v>2031</v>
      </c>
      <c r="AA476" s="1453" t="s">
        <v>128</v>
      </c>
      <c r="AB476" s="155"/>
      <c r="AC476" s="155"/>
      <c r="AD476" s="155"/>
      <c r="AE476" s="91" t="s">
        <v>80</v>
      </c>
      <c r="AF476" s="91"/>
      <c r="AG476" s="608">
        <f t="shared" si="275"/>
        <v>6144</v>
      </c>
      <c r="AH476" s="608"/>
      <c r="AI476" s="608"/>
      <c r="AJ476" s="608"/>
      <c r="AK476" s="609">
        <f t="shared" si="274"/>
        <v>6144</v>
      </c>
      <c r="AL476" s="609"/>
      <c r="AM476" s="609"/>
      <c r="AN476" s="609"/>
      <c r="AO476" s="609"/>
      <c r="AP476" s="609"/>
      <c r="AQ476" s="609">
        <f t="shared" si="277"/>
        <v>6144</v>
      </c>
      <c r="AR476" s="609"/>
      <c r="AS476" s="609"/>
      <c r="AT476" s="633"/>
      <c r="AU476" s="633"/>
      <c r="AV476" s="633"/>
      <c r="AW476" s="633"/>
      <c r="AX476" s="633"/>
      <c r="AY476" s="633"/>
      <c r="AZ476" s="633"/>
      <c r="BA476" s="633"/>
      <c r="BB476" s="633"/>
      <c r="BC476" s="633"/>
      <c r="BD476" s="633"/>
      <c r="BE476" s="633"/>
      <c r="BF476" s="633"/>
      <c r="BG476" s="633"/>
      <c r="BH476" s="633"/>
      <c r="BI476" s="633"/>
      <c r="BJ476" s="633"/>
      <c r="BK476" s="633"/>
      <c r="BL476" s="633"/>
      <c r="BM476" s="401">
        <f t="shared" si="264"/>
        <v>6144</v>
      </c>
      <c r="BO476" s="1473"/>
      <c r="BP476" s="1473"/>
    </row>
    <row r="477" s="200" customFormat="1" ht="36" customHeight="1" spans="1:68">
      <c r="A477" s="533">
        <v>45460</v>
      </c>
      <c r="B477" s="527" t="s">
        <v>587</v>
      </c>
      <c r="C477" s="528" t="s">
        <v>117</v>
      </c>
      <c r="D477" s="534" t="s">
        <v>2030</v>
      </c>
      <c r="E477" s="530"/>
      <c r="F477" s="534"/>
      <c r="G477" s="531" t="s">
        <v>2031</v>
      </c>
      <c r="H477" s="532" t="s">
        <v>2032</v>
      </c>
      <c r="I477" s="401">
        <v>9720</v>
      </c>
      <c r="J477" s="562">
        <v>0</v>
      </c>
      <c r="K477" s="531">
        <v>24</v>
      </c>
      <c r="L477" s="401">
        <f t="shared" si="253"/>
        <v>405</v>
      </c>
      <c r="M477" s="563">
        <v>45517</v>
      </c>
      <c r="N477" s="563">
        <v>45513</v>
      </c>
      <c r="O477" s="564"/>
      <c r="P477" s="564" t="s">
        <v>92</v>
      </c>
      <c r="Q477" s="564" t="s">
        <v>2038</v>
      </c>
      <c r="R477" s="564" t="s">
        <v>76</v>
      </c>
      <c r="S477" s="564" t="s">
        <v>77</v>
      </c>
      <c r="T477" s="580" t="s">
        <v>2034</v>
      </c>
      <c r="U477" s="530" t="s">
        <v>2035</v>
      </c>
      <c r="V477" s="564" t="s">
        <v>2036</v>
      </c>
      <c r="W477" s="592">
        <v>1.4</v>
      </c>
      <c r="X477" s="593">
        <f t="shared" si="276"/>
        <v>13608</v>
      </c>
      <c r="Y477" s="401" t="s">
        <v>2037</v>
      </c>
      <c r="Z477" s="607" t="s">
        <v>2031</v>
      </c>
      <c r="AA477" s="1453" t="s">
        <v>128</v>
      </c>
      <c r="AB477" s="155"/>
      <c r="AC477" s="155"/>
      <c r="AD477" s="155"/>
      <c r="AE477" s="91" t="s">
        <v>80</v>
      </c>
      <c r="AF477" s="91"/>
      <c r="AG477" s="608">
        <f t="shared" si="275"/>
        <v>9720</v>
      </c>
      <c r="AH477" s="608"/>
      <c r="AI477" s="608"/>
      <c r="AJ477" s="608"/>
      <c r="AK477" s="609">
        <f t="shared" si="274"/>
        <v>9720</v>
      </c>
      <c r="AL477" s="609"/>
      <c r="AM477" s="609"/>
      <c r="AN477" s="609"/>
      <c r="AO477" s="609"/>
      <c r="AP477" s="609"/>
      <c r="AQ477" s="609">
        <f t="shared" si="277"/>
        <v>9720</v>
      </c>
      <c r="AR477" s="609"/>
      <c r="AS477" s="609"/>
      <c r="AT477" s="633"/>
      <c r="AU477" s="633"/>
      <c r="AV477" s="633"/>
      <c r="AW477" s="633"/>
      <c r="AX477" s="633"/>
      <c r="AY477" s="633"/>
      <c r="AZ477" s="633"/>
      <c r="BA477" s="633"/>
      <c r="BB477" s="633"/>
      <c r="BC477" s="633"/>
      <c r="BD477" s="633"/>
      <c r="BE477" s="633"/>
      <c r="BF477" s="633"/>
      <c r="BG477" s="633"/>
      <c r="BH477" s="633"/>
      <c r="BI477" s="633"/>
      <c r="BJ477" s="633"/>
      <c r="BK477" s="633"/>
      <c r="BL477" s="633"/>
      <c r="BM477" s="401">
        <f t="shared" si="264"/>
        <v>9720</v>
      </c>
      <c r="BO477" s="1473"/>
      <c r="BP477" s="1473"/>
    </row>
    <row r="478" s="200" customFormat="1" ht="36" customHeight="1" spans="1:68">
      <c r="A478" s="533">
        <v>45461</v>
      </c>
      <c r="B478" s="527" t="s">
        <v>116</v>
      </c>
      <c r="C478" s="528" t="s">
        <v>117</v>
      </c>
      <c r="D478" s="534">
        <v>4500137416</v>
      </c>
      <c r="E478" s="530" t="s">
        <v>2039</v>
      </c>
      <c r="F478" s="534" t="s">
        <v>2040</v>
      </c>
      <c r="G478" s="531" t="s">
        <v>2041</v>
      </c>
      <c r="H478" s="532" t="s">
        <v>2042</v>
      </c>
      <c r="I478" s="511">
        <v>106740</v>
      </c>
      <c r="J478" s="562">
        <v>0</v>
      </c>
      <c r="K478" s="531">
        <v>60</v>
      </c>
      <c r="L478" s="401">
        <f t="shared" si="253"/>
        <v>1779</v>
      </c>
      <c r="M478" s="563">
        <v>45509</v>
      </c>
      <c r="N478" s="1495">
        <v>45509</v>
      </c>
      <c r="O478" s="1474" t="s">
        <v>2043</v>
      </c>
      <c r="P478" s="564" t="s">
        <v>92</v>
      </c>
      <c r="Q478" s="564" t="s">
        <v>2044</v>
      </c>
      <c r="R478" s="564">
        <v>45471</v>
      </c>
      <c r="S478" s="564" t="s">
        <v>123</v>
      </c>
      <c r="T478" s="1519" t="s">
        <v>2045</v>
      </c>
      <c r="U478" s="530" t="s">
        <v>2046</v>
      </c>
      <c r="V478" s="564" t="s">
        <v>126</v>
      </c>
      <c r="W478" s="592">
        <v>85.6611</v>
      </c>
      <c r="X478" s="593">
        <f t="shared" ref="X478:X481" si="278">W478*L478</f>
        <v>152391.0969</v>
      </c>
      <c r="Y478" s="401" t="s">
        <v>2047</v>
      </c>
      <c r="Z478" s="607" t="s">
        <v>2041</v>
      </c>
      <c r="AA478" s="1453" t="s">
        <v>128</v>
      </c>
      <c r="AB478" s="155"/>
      <c r="AC478" s="155"/>
      <c r="AD478" s="155"/>
      <c r="AE478" s="91" t="s">
        <v>80</v>
      </c>
      <c r="AF478" s="91"/>
      <c r="AG478" s="608">
        <f t="shared" si="275"/>
        <v>106740</v>
      </c>
      <c r="AH478" s="608"/>
      <c r="AI478" s="608"/>
      <c r="AJ478" s="608"/>
      <c r="AK478" s="609">
        <f>I478</f>
        <v>106740</v>
      </c>
      <c r="AL478" s="609"/>
      <c r="AM478" s="609"/>
      <c r="AN478" s="609"/>
      <c r="AO478" s="609">
        <f t="shared" ref="AO478:AO486" si="279">I478</f>
        <v>106740</v>
      </c>
      <c r="AP478" s="609"/>
      <c r="AQ478" s="609"/>
      <c r="AR478" s="609"/>
      <c r="AS478" s="609"/>
      <c r="AT478" s="633"/>
      <c r="AU478" s="633"/>
      <c r="AV478" s="633"/>
      <c r="AW478" s="633"/>
      <c r="AX478" s="633"/>
      <c r="AY478" s="633"/>
      <c r="AZ478" s="633"/>
      <c r="BA478" s="633"/>
      <c r="BB478" s="633"/>
      <c r="BC478" s="633">
        <f>I478/60</f>
        <v>1779</v>
      </c>
      <c r="BD478" s="633"/>
      <c r="BE478" s="633"/>
      <c r="BF478" s="633"/>
      <c r="BG478" s="633"/>
      <c r="BH478" s="633"/>
      <c r="BI478" s="633"/>
      <c r="BJ478" s="633"/>
      <c r="BK478" s="633"/>
      <c r="BL478" s="633"/>
      <c r="BM478" s="401">
        <f t="shared" si="264"/>
        <v>106740</v>
      </c>
      <c r="BO478" s="1473"/>
      <c r="BP478" s="1473"/>
    </row>
    <row r="479" s="200" customFormat="1" ht="36" customHeight="1" spans="1:68">
      <c r="A479" s="1545">
        <v>45468</v>
      </c>
      <c r="B479" s="1507" t="s">
        <v>116</v>
      </c>
      <c r="C479" s="1478" t="s">
        <v>117</v>
      </c>
      <c r="D479" s="529">
        <v>4500138295</v>
      </c>
      <c r="E479" s="1479" t="s">
        <v>2048</v>
      </c>
      <c r="F479" s="529" t="s">
        <v>2049</v>
      </c>
      <c r="G479" s="531" t="s">
        <v>120</v>
      </c>
      <c r="H479" s="532" t="s">
        <v>74</v>
      </c>
      <c r="I479" s="401">
        <v>24990</v>
      </c>
      <c r="J479" s="562">
        <v>0</v>
      </c>
      <c r="K479" s="531">
        <v>21</v>
      </c>
      <c r="L479" s="401">
        <f t="shared" si="253"/>
        <v>1190</v>
      </c>
      <c r="M479" s="563">
        <v>45516</v>
      </c>
      <c r="N479" s="563">
        <v>45512</v>
      </c>
      <c r="O479" s="564"/>
      <c r="P479" s="564" t="s">
        <v>92</v>
      </c>
      <c r="Q479" s="564" t="s">
        <v>2050</v>
      </c>
      <c r="R479" s="564">
        <v>45481</v>
      </c>
      <c r="S479" s="564" t="s">
        <v>123</v>
      </c>
      <c r="T479" s="1519" t="s">
        <v>2027</v>
      </c>
      <c r="U479" s="530" t="s">
        <v>1614</v>
      </c>
      <c r="V479" s="564" t="s">
        <v>126</v>
      </c>
      <c r="W479" s="592">
        <v>1.4212</v>
      </c>
      <c r="X479" s="593">
        <f t="shared" si="278"/>
        <v>1691.228</v>
      </c>
      <c r="Y479" s="401" t="s">
        <v>2051</v>
      </c>
      <c r="Z479" s="607" t="s">
        <v>120</v>
      </c>
      <c r="AA479" s="1453" t="s">
        <v>128</v>
      </c>
      <c r="AB479" s="155"/>
      <c r="AC479" s="155"/>
      <c r="AD479" s="155"/>
      <c r="AE479" s="91" t="s">
        <v>80</v>
      </c>
      <c r="AF479" s="91"/>
      <c r="AG479" s="608">
        <f t="shared" si="275"/>
        <v>24990</v>
      </c>
      <c r="AH479" s="608"/>
      <c r="AI479" s="608"/>
      <c r="AJ479" s="608"/>
      <c r="AK479" s="609">
        <f>AG479</f>
        <v>24990</v>
      </c>
      <c r="AL479" s="609"/>
      <c r="AM479" s="609"/>
      <c r="AN479" s="609"/>
      <c r="AO479" s="615">
        <f t="shared" si="279"/>
        <v>24990</v>
      </c>
      <c r="AP479" s="609"/>
      <c r="AQ479" s="609"/>
      <c r="AR479" s="609"/>
      <c r="AS479" s="609">
        <f>I479/21</f>
        <v>1190</v>
      </c>
      <c r="AT479" s="633"/>
      <c r="AU479" s="633"/>
      <c r="AV479" s="633"/>
      <c r="AW479" s="633"/>
      <c r="AX479" s="633"/>
      <c r="AY479" s="633"/>
      <c r="AZ479" s="633"/>
      <c r="BA479" s="633"/>
      <c r="BB479" s="633"/>
      <c r="BC479" s="633"/>
      <c r="BD479" s="633"/>
      <c r="BE479" s="633"/>
      <c r="BF479" s="633"/>
      <c r="BG479" s="633"/>
      <c r="BH479" s="633"/>
      <c r="BI479" s="633"/>
      <c r="BJ479" s="633"/>
      <c r="BK479" s="633"/>
      <c r="BL479" s="633"/>
      <c r="BM479" s="401">
        <f t="shared" si="264"/>
        <v>24990</v>
      </c>
      <c r="BO479" s="1473"/>
      <c r="BP479" s="1473"/>
    </row>
    <row r="480" s="200" customFormat="1" ht="36" customHeight="1" spans="1:68">
      <c r="A480" s="1545">
        <v>45470</v>
      </c>
      <c r="B480" s="1507" t="s">
        <v>383</v>
      </c>
      <c r="C480" s="1508" t="s">
        <v>384</v>
      </c>
      <c r="D480" s="529">
        <v>4500138543</v>
      </c>
      <c r="E480" s="1479">
        <v>2024041308</v>
      </c>
      <c r="F480" s="529" t="s">
        <v>2052</v>
      </c>
      <c r="G480" s="531" t="s">
        <v>386</v>
      </c>
      <c r="H480" s="532" t="s">
        <v>74</v>
      </c>
      <c r="I480" s="511">
        <v>840</v>
      </c>
      <c r="J480" s="562">
        <v>0</v>
      </c>
      <c r="K480" s="531">
        <v>60</v>
      </c>
      <c r="L480" s="401">
        <f t="shared" si="253"/>
        <v>14</v>
      </c>
      <c r="M480" s="563">
        <v>45506</v>
      </c>
      <c r="N480" s="1495">
        <v>45507</v>
      </c>
      <c r="O480" s="564"/>
      <c r="P480" s="564" t="s">
        <v>1262</v>
      </c>
      <c r="Q480" s="564" t="s">
        <v>2026</v>
      </c>
      <c r="R480" s="564">
        <v>45474</v>
      </c>
      <c r="S480" s="564" t="s">
        <v>77</v>
      </c>
      <c r="T480" s="564" t="s">
        <v>2053</v>
      </c>
      <c r="U480" s="530" t="s">
        <v>2054</v>
      </c>
      <c r="V480" s="564" t="s">
        <v>389</v>
      </c>
      <c r="W480" s="592">
        <v>100.5413</v>
      </c>
      <c r="X480" s="593">
        <f t="shared" si="278"/>
        <v>1407.5782</v>
      </c>
      <c r="Y480" s="401" t="s">
        <v>2055</v>
      </c>
      <c r="Z480" s="607" t="s">
        <v>391</v>
      </c>
      <c r="AA480" s="1453" t="s">
        <v>128</v>
      </c>
      <c r="AB480" s="155"/>
      <c r="AC480" s="155"/>
      <c r="AD480" s="155"/>
      <c r="AE480" s="91" t="s">
        <v>80</v>
      </c>
      <c r="AF480" s="91"/>
      <c r="AG480" s="608">
        <f t="shared" si="275"/>
        <v>840</v>
      </c>
      <c r="AH480" s="608"/>
      <c r="AI480" s="608"/>
      <c r="AJ480" s="609"/>
      <c r="AK480" s="609"/>
      <c r="AL480" s="401">
        <f t="shared" ref="AL480:AL482" si="280">I480</f>
        <v>840</v>
      </c>
      <c r="AM480" s="609"/>
      <c r="AN480" s="609"/>
      <c r="AO480" s="609">
        <f t="shared" si="279"/>
        <v>840</v>
      </c>
      <c r="AP480" s="609"/>
      <c r="AQ480" s="609"/>
      <c r="AR480" s="609"/>
      <c r="AS480" s="609"/>
      <c r="AT480" s="633"/>
      <c r="AU480" s="633"/>
      <c r="AV480" s="633"/>
      <c r="AW480" s="633"/>
      <c r="AX480" s="633"/>
      <c r="AY480" s="633"/>
      <c r="AZ480" s="633"/>
      <c r="BA480" s="633"/>
      <c r="BB480" s="633"/>
      <c r="BC480" s="633"/>
      <c r="BD480" s="633"/>
      <c r="BE480" s="633">
        <f>I480/60</f>
        <v>14</v>
      </c>
      <c r="BF480" s="633"/>
      <c r="BG480" s="633"/>
      <c r="BH480" s="633"/>
      <c r="BI480" s="633"/>
      <c r="BJ480" s="633"/>
      <c r="BK480" s="633"/>
      <c r="BL480" s="633"/>
      <c r="BM480" s="401">
        <f t="shared" si="264"/>
        <v>840</v>
      </c>
      <c r="BO480" s="1473"/>
      <c r="BP480" s="1473"/>
    </row>
    <row r="481" s="200" customFormat="1" ht="36" customHeight="1" spans="1:68">
      <c r="A481" s="533">
        <v>45450</v>
      </c>
      <c r="B481" s="527" t="s">
        <v>1296</v>
      </c>
      <c r="C481" s="528" t="s">
        <v>351</v>
      </c>
      <c r="D481" s="534">
        <v>4500136191</v>
      </c>
      <c r="E481" s="530" t="s">
        <v>2056</v>
      </c>
      <c r="F481" s="534" t="s">
        <v>2057</v>
      </c>
      <c r="G481" s="531" t="s">
        <v>107</v>
      </c>
      <c r="H481" s="532" t="s">
        <v>74</v>
      </c>
      <c r="I481" s="511">
        <v>1200</v>
      </c>
      <c r="J481" s="562">
        <v>0</v>
      </c>
      <c r="K481" s="531">
        <v>30</v>
      </c>
      <c r="L481" s="401">
        <f t="shared" si="253"/>
        <v>40</v>
      </c>
      <c r="M481" s="1495">
        <v>45509</v>
      </c>
      <c r="N481" s="1495">
        <v>45507</v>
      </c>
      <c r="O481" s="564"/>
      <c r="P481" s="564" t="s">
        <v>92</v>
      </c>
      <c r="Q481" s="564" t="s">
        <v>1881</v>
      </c>
      <c r="R481" s="564">
        <v>45471</v>
      </c>
      <c r="S481" s="564" t="s">
        <v>77</v>
      </c>
      <c r="T481" s="1519" t="s">
        <v>2058</v>
      </c>
      <c r="U481" s="530" t="s">
        <v>2059</v>
      </c>
      <c r="V481" s="564" t="s">
        <v>647</v>
      </c>
      <c r="W481" s="592">
        <v>56.8266</v>
      </c>
      <c r="X481" s="593">
        <f t="shared" si="278"/>
        <v>2273.064</v>
      </c>
      <c r="Y481" s="401" t="s">
        <v>2060</v>
      </c>
      <c r="Z481" s="607" t="s">
        <v>423</v>
      </c>
      <c r="AA481" s="1453" t="s">
        <v>128</v>
      </c>
      <c r="AB481" s="155"/>
      <c r="AC481" s="155"/>
      <c r="AD481" s="155"/>
      <c r="AE481" s="91" t="s">
        <v>80</v>
      </c>
      <c r="AF481" s="91"/>
      <c r="AG481" s="608">
        <f t="shared" si="275"/>
        <v>1200</v>
      </c>
      <c r="AH481" s="608"/>
      <c r="AI481" s="608"/>
      <c r="AJ481" s="608"/>
      <c r="AK481" s="609"/>
      <c r="AL481" s="609">
        <f t="shared" si="280"/>
        <v>1200</v>
      </c>
      <c r="AM481" s="609"/>
      <c r="AN481" s="609"/>
      <c r="AO481" s="609">
        <f t="shared" si="279"/>
        <v>1200</v>
      </c>
      <c r="AP481" s="609"/>
      <c r="AQ481" s="609"/>
      <c r="AR481" s="609"/>
      <c r="AS481" s="609"/>
      <c r="AT481" s="633"/>
      <c r="AU481" s="633"/>
      <c r="AV481" s="633"/>
      <c r="AW481" s="633"/>
      <c r="AX481" s="633"/>
      <c r="AY481" s="633"/>
      <c r="AZ481" s="633"/>
      <c r="BA481" s="633"/>
      <c r="BB481" s="633"/>
      <c r="BC481" s="633"/>
      <c r="BD481" s="633"/>
      <c r="BE481" s="633"/>
      <c r="BF481" s="633"/>
      <c r="BG481" s="633">
        <f>I481/30</f>
        <v>40</v>
      </c>
      <c r="BH481" s="633">
        <f>BG481</f>
        <v>40</v>
      </c>
      <c r="BI481" s="633"/>
      <c r="BJ481" s="633"/>
      <c r="BK481" s="633"/>
      <c r="BL481" s="633"/>
      <c r="BM481" s="401">
        <f t="shared" si="264"/>
        <v>1200</v>
      </c>
      <c r="BO481" s="1473"/>
      <c r="BP481" s="1473"/>
    </row>
    <row r="482" s="200" customFormat="1" ht="36" customHeight="1" spans="1:68">
      <c r="A482" s="533">
        <v>45469</v>
      </c>
      <c r="B482" s="527" t="s">
        <v>2061</v>
      </c>
      <c r="C482" s="528" t="s">
        <v>500</v>
      </c>
      <c r="D482" s="534">
        <v>4500138474</v>
      </c>
      <c r="E482" s="530"/>
      <c r="F482" s="534" t="s">
        <v>2062</v>
      </c>
      <c r="G482" s="534" t="s">
        <v>386</v>
      </c>
      <c r="H482" s="532" t="s">
        <v>74</v>
      </c>
      <c r="I482" s="511">
        <v>900</v>
      </c>
      <c r="J482" s="562">
        <v>0</v>
      </c>
      <c r="K482" s="531">
        <v>60</v>
      </c>
      <c r="L482" s="401">
        <f t="shared" si="253"/>
        <v>15</v>
      </c>
      <c r="M482" s="563">
        <v>45512</v>
      </c>
      <c r="N482" s="563">
        <v>45509</v>
      </c>
      <c r="O482" s="564"/>
      <c r="P482" s="564" t="s">
        <v>92</v>
      </c>
      <c r="Q482" s="564" t="s">
        <v>1877</v>
      </c>
      <c r="R482" s="564">
        <v>45483</v>
      </c>
      <c r="S482" s="564" t="s">
        <v>77</v>
      </c>
      <c r="T482" s="580" t="s">
        <v>2063</v>
      </c>
      <c r="U482" s="1499" t="s">
        <v>2064</v>
      </c>
      <c r="V482" s="564" t="s">
        <v>377</v>
      </c>
      <c r="W482" s="592">
        <v>1.4</v>
      </c>
      <c r="X482" s="593">
        <f>W482*I482</f>
        <v>1260</v>
      </c>
      <c r="Y482" s="401" t="s">
        <v>2065</v>
      </c>
      <c r="Z482" s="607" t="s">
        <v>391</v>
      </c>
      <c r="AA482" s="1453" t="s">
        <v>128</v>
      </c>
      <c r="AB482" s="155"/>
      <c r="AC482" s="155"/>
      <c r="AD482" s="155"/>
      <c r="AE482" s="91" t="s">
        <v>80</v>
      </c>
      <c r="AF482" s="91"/>
      <c r="AG482" s="608">
        <f t="shared" si="275"/>
        <v>900</v>
      </c>
      <c r="AH482" s="608"/>
      <c r="AI482" s="608"/>
      <c r="AJ482" s="608"/>
      <c r="AK482" s="609"/>
      <c r="AL482" s="401">
        <f t="shared" si="280"/>
        <v>900</v>
      </c>
      <c r="AM482" s="609"/>
      <c r="AN482" s="609"/>
      <c r="AO482" s="609">
        <f t="shared" si="279"/>
        <v>900</v>
      </c>
      <c r="AP482" s="609"/>
      <c r="AQ482" s="609"/>
      <c r="AR482" s="609"/>
      <c r="AS482" s="609"/>
      <c r="AT482" s="633"/>
      <c r="AU482" s="633"/>
      <c r="AV482" s="633"/>
      <c r="AW482" s="633"/>
      <c r="AX482" s="633"/>
      <c r="AY482" s="633"/>
      <c r="AZ482" s="633"/>
      <c r="BA482" s="633"/>
      <c r="BB482" s="633"/>
      <c r="BC482" s="633"/>
      <c r="BD482" s="633"/>
      <c r="BE482" s="633">
        <f>I482/60</f>
        <v>15</v>
      </c>
      <c r="BF482" s="633"/>
      <c r="BG482" s="633"/>
      <c r="BH482" s="633"/>
      <c r="BI482" s="633"/>
      <c r="BJ482" s="633"/>
      <c r="BK482" s="633"/>
      <c r="BL482" s="633"/>
      <c r="BM482" s="401">
        <f t="shared" si="264"/>
        <v>900</v>
      </c>
      <c r="BO482" s="1473"/>
      <c r="BP482" s="1473"/>
    </row>
    <row r="483" s="200" customFormat="1" ht="36" customHeight="1" spans="1:68">
      <c r="A483" s="533">
        <v>45369</v>
      </c>
      <c r="B483" s="527" t="s">
        <v>523</v>
      </c>
      <c r="C483" s="528" t="s">
        <v>351</v>
      </c>
      <c r="D483" s="534">
        <v>4500127150</v>
      </c>
      <c r="E483" s="530">
        <v>2300875209</v>
      </c>
      <c r="F483" s="534" t="s">
        <v>2066</v>
      </c>
      <c r="G483" s="531" t="s">
        <v>826</v>
      </c>
      <c r="H483" s="532" t="s">
        <v>74</v>
      </c>
      <c r="I483" s="1496">
        <v>5200</v>
      </c>
      <c r="J483" s="1496">
        <v>0</v>
      </c>
      <c r="K483" s="1496">
        <v>25</v>
      </c>
      <c r="L483" s="1496">
        <f t="shared" si="253"/>
        <v>208</v>
      </c>
      <c r="M483" s="563">
        <v>45511</v>
      </c>
      <c r="N483" s="1495">
        <v>45510</v>
      </c>
      <c r="O483" s="1474" t="s">
        <v>2067</v>
      </c>
      <c r="P483" s="564" t="s">
        <v>1690</v>
      </c>
      <c r="Q483" s="564" t="s">
        <v>2068</v>
      </c>
      <c r="R483" s="564">
        <v>45471</v>
      </c>
      <c r="S483" s="564" t="s">
        <v>77</v>
      </c>
      <c r="T483" s="564" t="s">
        <v>77</v>
      </c>
      <c r="U483" s="530" t="s">
        <v>2069</v>
      </c>
      <c r="V483" s="564" t="s">
        <v>529</v>
      </c>
      <c r="W483" s="592">
        <v>1.4294</v>
      </c>
      <c r="X483" s="593">
        <f t="shared" ref="X483:X485" si="281">I483*W483</f>
        <v>7432.88</v>
      </c>
      <c r="Y483" s="401" t="s">
        <v>2070</v>
      </c>
      <c r="Z483" s="607" t="s">
        <v>945</v>
      </c>
      <c r="AA483" s="1453" t="s">
        <v>128</v>
      </c>
      <c r="AB483" s="155"/>
      <c r="AC483" s="155"/>
      <c r="AD483" s="155"/>
      <c r="AE483" s="91" t="s">
        <v>80</v>
      </c>
      <c r="AF483" s="91"/>
      <c r="AG483" s="608">
        <f t="shared" si="275"/>
        <v>5200</v>
      </c>
      <c r="AH483" s="608"/>
      <c r="AI483" s="608"/>
      <c r="AJ483" s="608"/>
      <c r="AK483" s="609"/>
      <c r="AL483" s="609"/>
      <c r="AM483" s="609"/>
      <c r="AN483" s="609">
        <f>I483</f>
        <v>5200</v>
      </c>
      <c r="AO483" s="609">
        <f t="shared" si="279"/>
        <v>5200</v>
      </c>
      <c r="AP483" s="609"/>
      <c r="AQ483" s="609"/>
      <c r="AR483" s="609"/>
      <c r="AS483" s="609"/>
      <c r="AT483" s="633"/>
      <c r="AU483" s="633"/>
      <c r="AV483" s="633"/>
      <c r="AW483" s="633"/>
      <c r="AX483" s="633"/>
      <c r="AY483" s="633"/>
      <c r="AZ483" s="633"/>
      <c r="BA483" s="633"/>
      <c r="BB483" s="633">
        <f>I483/25</f>
        <v>208</v>
      </c>
      <c r="BC483" s="633"/>
      <c r="BD483" s="633"/>
      <c r="BE483" s="633"/>
      <c r="BF483" s="633"/>
      <c r="BG483" s="633"/>
      <c r="BH483" s="633"/>
      <c r="BI483" s="633"/>
      <c r="BJ483" s="633"/>
      <c r="BK483" s="633"/>
      <c r="BL483" s="633"/>
      <c r="BM483" s="401">
        <f t="shared" si="264"/>
        <v>5200</v>
      </c>
      <c r="BO483" s="1473"/>
      <c r="BP483" s="1473"/>
    </row>
    <row r="484" s="200" customFormat="1" ht="36" customHeight="1" spans="1:68">
      <c r="A484" s="1592">
        <v>45463</v>
      </c>
      <c r="B484" s="1593" t="s">
        <v>1528</v>
      </c>
      <c r="C484" s="1594" t="s">
        <v>373</v>
      </c>
      <c r="D484" s="1595">
        <v>4500137894</v>
      </c>
      <c r="E484" s="1596" t="s">
        <v>2071</v>
      </c>
      <c r="F484" s="1595" t="s">
        <v>2072</v>
      </c>
      <c r="G484" s="531" t="s">
        <v>1196</v>
      </c>
      <c r="H484" s="532" t="s">
        <v>74</v>
      </c>
      <c r="I484" s="401">
        <v>252</v>
      </c>
      <c r="J484" s="562">
        <v>0</v>
      </c>
      <c r="K484" s="531">
        <v>42</v>
      </c>
      <c r="L484" s="401">
        <f t="shared" si="253"/>
        <v>6</v>
      </c>
      <c r="M484" s="1495">
        <v>45516</v>
      </c>
      <c r="N484" s="1495">
        <v>45512</v>
      </c>
      <c r="O484" s="564"/>
      <c r="P484" s="564" t="s">
        <v>1262</v>
      </c>
      <c r="Q484" s="564" t="s">
        <v>2068</v>
      </c>
      <c r="R484" s="564" t="s">
        <v>2073</v>
      </c>
      <c r="S484" s="564" t="s">
        <v>77</v>
      </c>
      <c r="T484" s="1519">
        <v>45484</v>
      </c>
      <c r="U484" s="1499" t="s">
        <v>2074</v>
      </c>
      <c r="V484" s="564" t="s">
        <v>881</v>
      </c>
      <c r="W484" s="592">
        <v>1.4595</v>
      </c>
      <c r="X484" s="593">
        <f t="shared" si="281"/>
        <v>367.794</v>
      </c>
      <c r="Y484" s="401" t="s">
        <v>2075</v>
      </c>
      <c r="Z484" s="607" t="s">
        <v>697</v>
      </c>
      <c r="AA484" s="1453" t="s">
        <v>128</v>
      </c>
      <c r="AB484" s="155"/>
      <c r="AC484" s="155"/>
      <c r="AD484" s="155"/>
      <c r="AE484" s="91" t="s">
        <v>80</v>
      </c>
      <c r="AF484" s="91"/>
      <c r="AG484" s="608"/>
      <c r="AH484" s="608">
        <f>I484</f>
        <v>252</v>
      </c>
      <c r="AI484" s="608"/>
      <c r="AJ484" s="608"/>
      <c r="AK484" s="609"/>
      <c r="AL484" s="609">
        <f>I484</f>
        <v>252</v>
      </c>
      <c r="AM484" s="609"/>
      <c r="AN484" s="609"/>
      <c r="AO484" s="609">
        <f t="shared" si="279"/>
        <v>252</v>
      </c>
      <c r="AP484" s="609"/>
      <c r="AQ484" s="609"/>
      <c r="AR484" s="609"/>
      <c r="AS484" s="609"/>
      <c r="AT484" s="609">
        <f>I484/21</f>
        <v>12</v>
      </c>
      <c r="AU484" s="609"/>
      <c r="AV484" s="633"/>
      <c r="AW484" s="633"/>
      <c r="AX484" s="633"/>
      <c r="AY484" s="633"/>
      <c r="AZ484" s="633"/>
      <c r="BA484" s="633"/>
      <c r="BB484" s="633"/>
      <c r="BC484" s="633"/>
      <c r="BD484" s="633"/>
      <c r="BE484" s="633"/>
      <c r="BF484" s="633"/>
      <c r="BG484" s="633"/>
      <c r="BH484" s="633"/>
      <c r="BI484" s="633"/>
      <c r="BJ484" s="633"/>
      <c r="BK484" s="633"/>
      <c r="BL484" s="633"/>
      <c r="BM484" s="401">
        <f t="shared" si="264"/>
        <v>252</v>
      </c>
      <c r="BO484" s="1473"/>
      <c r="BP484" s="1473"/>
    </row>
    <row r="485" s="200" customFormat="1" ht="36" customHeight="1" spans="1:68">
      <c r="A485" s="533">
        <v>45393</v>
      </c>
      <c r="B485" s="527" t="s">
        <v>769</v>
      </c>
      <c r="C485" s="528" t="s">
        <v>213</v>
      </c>
      <c r="D485" s="534">
        <v>4500129565</v>
      </c>
      <c r="E485" s="530">
        <v>13986072</v>
      </c>
      <c r="F485" s="534" t="s">
        <v>2076</v>
      </c>
      <c r="G485" s="531" t="s">
        <v>772</v>
      </c>
      <c r="H485" s="532" t="s">
        <v>74</v>
      </c>
      <c r="I485" s="401">
        <v>520</v>
      </c>
      <c r="J485" s="562">
        <v>13</v>
      </c>
      <c r="K485" s="531">
        <v>52</v>
      </c>
      <c r="L485" s="401">
        <f t="shared" si="253"/>
        <v>10</v>
      </c>
      <c r="M485" s="563">
        <v>45519</v>
      </c>
      <c r="N485" s="563">
        <v>45513</v>
      </c>
      <c r="O485" s="564"/>
      <c r="P485" s="564" t="s">
        <v>1262</v>
      </c>
      <c r="Q485" s="564" t="s">
        <v>2077</v>
      </c>
      <c r="R485" s="564">
        <v>45483</v>
      </c>
      <c r="S485" s="564" t="s">
        <v>123</v>
      </c>
      <c r="T485" s="564" t="s">
        <v>2078</v>
      </c>
      <c r="U485" s="530" t="s">
        <v>1890</v>
      </c>
      <c r="V485" s="564" t="s">
        <v>218</v>
      </c>
      <c r="W485" s="592">
        <v>1.65</v>
      </c>
      <c r="X485" s="593">
        <f t="shared" si="281"/>
        <v>858</v>
      </c>
      <c r="Y485" s="401" t="s">
        <v>2079</v>
      </c>
      <c r="Z485" s="531" t="s">
        <v>777</v>
      </c>
      <c r="AA485" s="1453" t="s">
        <v>128</v>
      </c>
      <c r="AB485" s="155"/>
      <c r="AC485" s="155"/>
      <c r="AD485" s="155"/>
      <c r="AE485" s="91" t="s">
        <v>80</v>
      </c>
      <c r="AF485" s="91"/>
      <c r="AG485" s="608">
        <f t="shared" ref="AG485:AG488" si="282">I485</f>
        <v>520</v>
      </c>
      <c r="AH485" s="608"/>
      <c r="AI485" s="608"/>
      <c r="AJ485" s="608"/>
      <c r="AK485" s="609">
        <f>I485</f>
        <v>520</v>
      </c>
      <c r="AL485" s="609"/>
      <c r="AM485" s="609"/>
      <c r="AN485" s="609"/>
      <c r="AO485" s="609">
        <f t="shared" si="279"/>
        <v>520</v>
      </c>
      <c r="AP485" s="609"/>
      <c r="AQ485" s="609"/>
      <c r="AR485" s="609"/>
      <c r="AS485" s="609"/>
      <c r="AT485" s="633"/>
      <c r="AU485" s="633"/>
      <c r="AV485" s="633"/>
      <c r="AW485" s="633"/>
      <c r="AX485" s="633"/>
      <c r="AY485" s="633">
        <f>I485/13</f>
        <v>40</v>
      </c>
      <c r="AZ485" s="633"/>
      <c r="BA485" s="633"/>
      <c r="BB485" s="633"/>
      <c r="BC485" s="633"/>
      <c r="BD485" s="633"/>
      <c r="BE485" s="633"/>
      <c r="BF485" s="633"/>
      <c r="BG485" s="633"/>
      <c r="BH485" s="633"/>
      <c r="BI485" s="633"/>
      <c r="BJ485" s="633"/>
      <c r="BK485" s="633"/>
      <c r="BL485" s="633"/>
      <c r="BM485" s="401">
        <f t="shared" si="264"/>
        <v>520</v>
      </c>
      <c r="BO485" s="1473"/>
      <c r="BP485" s="1473"/>
    </row>
    <row r="486" s="200" customFormat="1" ht="36" customHeight="1" spans="1:68">
      <c r="A486" s="526">
        <v>45461</v>
      </c>
      <c r="B486" s="1507" t="s">
        <v>70</v>
      </c>
      <c r="C486" s="1561" t="s">
        <v>71</v>
      </c>
      <c r="D486" s="529" t="s">
        <v>2080</v>
      </c>
      <c r="E486" s="1509"/>
      <c r="F486" s="529"/>
      <c r="G486" s="531" t="s">
        <v>107</v>
      </c>
      <c r="H486" s="532" t="s">
        <v>74</v>
      </c>
      <c r="I486" s="511">
        <v>240</v>
      </c>
      <c r="J486" s="562">
        <v>0</v>
      </c>
      <c r="K486" s="531">
        <v>30</v>
      </c>
      <c r="L486" s="401">
        <f t="shared" si="253"/>
        <v>8</v>
      </c>
      <c r="M486" s="563">
        <v>45478</v>
      </c>
      <c r="N486" s="1495">
        <v>45495</v>
      </c>
      <c r="O486" s="564"/>
      <c r="P486" s="564" t="s">
        <v>1262</v>
      </c>
      <c r="Q486" s="564"/>
      <c r="R486" s="1523">
        <v>45461</v>
      </c>
      <c r="S486" s="564" t="s">
        <v>77</v>
      </c>
      <c r="T486" s="564" t="s">
        <v>77</v>
      </c>
      <c r="U486" s="530" t="s">
        <v>2081</v>
      </c>
      <c r="V486" s="564"/>
      <c r="W486" s="592"/>
      <c r="X486" s="593"/>
      <c r="Y486" s="401" t="s">
        <v>2082</v>
      </c>
      <c r="Z486" s="607" t="s">
        <v>107</v>
      </c>
      <c r="AA486" s="1453" t="s">
        <v>128</v>
      </c>
      <c r="AB486" s="155"/>
      <c r="AC486" s="155"/>
      <c r="AD486" s="155"/>
      <c r="AE486" s="91" t="s">
        <v>80</v>
      </c>
      <c r="AF486" s="91"/>
      <c r="AG486" s="608">
        <f t="shared" si="282"/>
        <v>240</v>
      </c>
      <c r="AH486" s="608"/>
      <c r="AI486" s="608"/>
      <c r="AJ486" s="608"/>
      <c r="AK486" s="609">
        <f>I486</f>
        <v>240</v>
      </c>
      <c r="AL486" s="609"/>
      <c r="AM486" s="609"/>
      <c r="AN486" s="609"/>
      <c r="AO486" s="609">
        <f t="shared" si="279"/>
        <v>240</v>
      </c>
      <c r="AP486" s="615"/>
      <c r="AQ486" s="609"/>
      <c r="AR486" s="609"/>
      <c r="AS486" s="609"/>
      <c r="AT486" s="633"/>
      <c r="AU486" s="633"/>
      <c r="AV486" s="633"/>
      <c r="AW486" s="633"/>
      <c r="AX486" s="633"/>
      <c r="AY486" s="633"/>
      <c r="AZ486" s="633"/>
      <c r="BA486" s="633"/>
      <c r="BB486" s="633"/>
      <c r="BC486" s="633"/>
      <c r="BD486" s="633"/>
      <c r="BE486" s="633"/>
      <c r="BF486" s="633">
        <f>I486/30</f>
        <v>8</v>
      </c>
      <c r="BG486" s="633"/>
      <c r="BH486" s="633">
        <f>BF486</f>
        <v>8</v>
      </c>
      <c r="BI486" s="633"/>
      <c r="BJ486" s="633"/>
      <c r="BK486" s="633"/>
      <c r="BL486" s="633"/>
      <c r="BM486" s="401">
        <f t="shared" si="264"/>
        <v>240</v>
      </c>
      <c r="BO486" s="1473"/>
      <c r="BP486" s="1473"/>
    </row>
    <row r="487" s="3" customFormat="1" ht="36" customHeight="1" spans="1:71">
      <c r="A487" s="645">
        <v>45491</v>
      </c>
      <c r="B487" s="19"/>
      <c r="C487" s="20"/>
      <c r="D487" s="21" t="s">
        <v>2083</v>
      </c>
      <c r="E487" s="646"/>
      <c r="F487" s="21"/>
      <c r="G487" s="23" t="s">
        <v>73</v>
      </c>
      <c r="H487" s="24" t="s">
        <v>74</v>
      </c>
      <c r="I487" s="88" t="s">
        <v>2084</v>
      </c>
      <c r="J487" s="89">
        <v>0</v>
      </c>
      <c r="K487" s="23">
        <v>24</v>
      </c>
      <c r="L487" s="88" t="e">
        <f t="shared" si="253"/>
        <v>#VALUE!</v>
      </c>
      <c r="M487" s="90">
        <v>45514</v>
      </c>
      <c r="N487" s="90">
        <v>45510</v>
      </c>
      <c r="O487" s="91"/>
      <c r="P487" s="91"/>
      <c r="Q487" s="91"/>
      <c r="R487" s="91">
        <v>45491</v>
      </c>
      <c r="S487" s="91" t="s">
        <v>77</v>
      </c>
      <c r="T487" s="91" t="s">
        <v>77</v>
      </c>
      <c r="U487" s="114" t="s">
        <v>885</v>
      </c>
      <c r="V487" s="91"/>
      <c r="W487" s="116"/>
      <c r="X487" s="117"/>
      <c r="Y487" s="88"/>
      <c r="Z487" s="470" t="s">
        <v>443</v>
      </c>
      <c r="AA487" s="154"/>
      <c r="AB487" s="155">
        <v>80</v>
      </c>
      <c r="AC487" s="155">
        <v>0</v>
      </c>
      <c r="AD487" s="155"/>
      <c r="AE487" s="91" t="s">
        <v>80</v>
      </c>
      <c r="AF487" s="91" t="s">
        <v>659</v>
      </c>
      <c r="AG487" s="155"/>
      <c r="AH487" s="155"/>
      <c r="AI487" s="155"/>
      <c r="AJ487" s="155"/>
      <c r="AK487" s="175"/>
      <c r="AL487" s="175"/>
      <c r="AM487" s="175"/>
      <c r="AN487" s="175"/>
      <c r="AO487" s="628"/>
      <c r="AP487" s="175"/>
      <c r="AQ487" s="175"/>
      <c r="AR487" s="175"/>
      <c r="AS487" s="175"/>
      <c r="AT487" s="181"/>
      <c r="AU487" s="181"/>
      <c r="AV487" s="181"/>
      <c r="AW487" s="181"/>
      <c r="AX487" s="181"/>
      <c r="AY487" s="181"/>
      <c r="AZ487" s="181"/>
      <c r="BA487" s="181"/>
      <c r="BB487" s="181"/>
      <c r="BC487" s="181"/>
      <c r="BD487" s="181"/>
      <c r="BE487" s="181"/>
      <c r="BF487" s="181"/>
      <c r="BG487" s="181"/>
      <c r="BH487" s="181"/>
      <c r="BI487" s="181"/>
      <c r="BJ487" s="181"/>
      <c r="BK487" s="181"/>
      <c r="BL487" s="181"/>
      <c r="BM487" s="401">
        <f t="shared" si="264"/>
        <v>0</v>
      </c>
      <c r="BN487" s="200">
        <f>BN486+BM487</f>
        <v>0</v>
      </c>
      <c r="BO487" s="1473"/>
      <c r="BP487" s="1473">
        <f>$BO$3+$BP$3-BN487</f>
        <v>0</v>
      </c>
      <c r="BQ487" s="200">
        <f>AS487+AT487+BA487+BB487</f>
        <v>0</v>
      </c>
      <c r="BR487" s="200">
        <f>BR486+BQ487</f>
        <v>0</v>
      </c>
      <c r="BS487" s="200">
        <f>$BS$3-BR487</f>
        <v>0</v>
      </c>
    </row>
    <row r="488" s="200" customFormat="1" ht="36" customHeight="1" spans="1:68">
      <c r="A488" s="1545">
        <v>45481</v>
      </c>
      <c r="B488" s="1507" t="s">
        <v>449</v>
      </c>
      <c r="C488" s="1578" t="s">
        <v>213</v>
      </c>
      <c r="D488" s="529">
        <v>4500139238</v>
      </c>
      <c r="E488" s="1488" t="s">
        <v>2085</v>
      </c>
      <c r="F488" s="529" t="s">
        <v>2086</v>
      </c>
      <c r="G488" s="531" t="s">
        <v>73</v>
      </c>
      <c r="H488" s="532" t="s">
        <v>74</v>
      </c>
      <c r="I488" s="401">
        <v>2448</v>
      </c>
      <c r="J488" s="562">
        <v>0</v>
      </c>
      <c r="K488" s="531">
        <v>24</v>
      </c>
      <c r="L488" s="401">
        <f t="shared" si="253"/>
        <v>102</v>
      </c>
      <c r="M488" s="563">
        <v>45520</v>
      </c>
      <c r="N488" s="563">
        <v>45513</v>
      </c>
      <c r="O488" s="564"/>
      <c r="P488" s="564" t="s">
        <v>92</v>
      </c>
      <c r="Q488" s="564" t="s">
        <v>2087</v>
      </c>
      <c r="R488" s="564" t="s">
        <v>1910</v>
      </c>
      <c r="S488" s="1599" t="s">
        <v>123</v>
      </c>
      <c r="T488" s="1552" t="s">
        <v>2088</v>
      </c>
      <c r="U488" s="530" t="s">
        <v>2089</v>
      </c>
      <c r="V488" s="564" t="s">
        <v>186</v>
      </c>
      <c r="W488" s="592">
        <v>1.3595</v>
      </c>
      <c r="X488" s="593">
        <f>I488*W488</f>
        <v>3328.056</v>
      </c>
      <c r="Y488" s="401" t="s">
        <v>2090</v>
      </c>
      <c r="Z488" s="607" t="s">
        <v>188</v>
      </c>
      <c r="AA488" s="1453" t="s">
        <v>128</v>
      </c>
      <c r="AB488" s="155"/>
      <c r="AC488" s="155"/>
      <c r="AD488" s="155"/>
      <c r="AE488" s="91" t="s">
        <v>80</v>
      </c>
      <c r="AF488" s="91"/>
      <c r="AG488" s="608">
        <f t="shared" si="282"/>
        <v>2448</v>
      </c>
      <c r="AH488" s="608"/>
      <c r="AI488" s="608"/>
      <c r="AJ488" s="608"/>
      <c r="AK488" s="609"/>
      <c r="AL488" s="401">
        <f>AG488</f>
        <v>2448</v>
      </c>
      <c r="AM488" s="609"/>
      <c r="AN488" s="609"/>
      <c r="AO488" s="609">
        <f t="shared" ref="AO488:AO492" si="283">AG488</f>
        <v>2448</v>
      </c>
      <c r="AP488" s="609"/>
      <c r="AQ488" s="609"/>
      <c r="AR488" s="609"/>
      <c r="AS488" s="609"/>
      <c r="AT488" s="633"/>
      <c r="AU488" s="633"/>
      <c r="AV488" s="633"/>
      <c r="AW488" s="633"/>
      <c r="AX488" s="633"/>
      <c r="AY488" s="633"/>
      <c r="AZ488" s="633"/>
      <c r="BA488" s="633"/>
      <c r="BB488" s="633"/>
      <c r="BC488" s="633"/>
      <c r="BD488" s="633"/>
      <c r="BE488" s="633"/>
      <c r="BF488" s="633"/>
      <c r="BG488" s="633"/>
      <c r="BH488" s="633"/>
      <c r="BI488" s="633"/>
      <c r="BJ488" s="633"/>
      <c r="BK488" s="633"/>
      <c r="BL488" s="633"/>
      <c r="BM488" s="401">
        <f t="shared" si="264"/>
        <v>2448</v>
      </c>
      <c r="BO488" s="1473"/>
      <c r="BP488" s="1473"/>
    </row>
    <row r="489" s="200" customFormat="1" ht="36" customHeight="1" spans="1:73">
      <c r="A489" s="1545">
        <v>45477</v>
      </c>
      <c r="B489" s="1507" t="s">
        <v>1372</v>
      </c>
      <c r="C489" s="1478" t="s">
        <v>351</v>
      </c>
      <c r="D489" s="529">
        <v>4500139220</v>
      </c>
      <c r="E489" s="1479" t="s">
        <v>2091</v>
      </c>
      <c r="F489" s="529" t="s">
        <v>2092</v>
      </c>
      <c r="G489" s="531" t="s">
        <v>628</v>
      </c>
      <c r="H489" s="532" t="s">
        <v>623</v>
      </c>
      <c r="I489" s="1514">
        <v>60</v>
      </c>
      <c r="J489" s="562">
        <v>0</v>
      </c>
      <c r="K489" s="531">
        <v>12</v>
      </c>
      <c r="L489" s="503">
        <f t="shared" si="253"/>
        <v>5</v>
      </c>
      <c r="M489" s="563">
        <v>45516</v>
      </c>
      <c r="N489" s="563">
        <v>45513</v>
      </c>
      <c r="O489" s="564"/>
      <c r="P489" s="564" t="s">
        <v>92</v>
      </c>
      <c r="Q489" s="564" t="s">
        <v>1763</v>
      </c>
      <c r="R489" s="564">
        <v>45477</v>
      </c>
      <c r="S489" s="564" t="s">
        <v>123</v>
      </c>
      <c r="T489" s="580" t="s">
        <v>2093</v>
      </c>
      <c r="U489" s="530" t="s">
        <v>2094</v>
      </c>
      <c r="V489" s="564" t="s">
        <v>156</v>
      </c>
      <c r="W489" s="592">
        <v>3.1012</v>
      </c>
      <c r="X489" s="593">
        <f t="shared" ref="X489:X492" si="284">W489*I489</f>
        <v>186.072</v>
      </c>
      <c r="Y489" s="401" t="s">
        <v>2095</v>
      </c>
      <c r="Z489" s="607" t="s">
        <v>628</v>
      </c>
      <c r="AA489" s="1453" t="s">
        <v>128</v>
      </c>
      <c r="AB489" s="155"/>
      <c r="AC489" s="155"/>
      <c r="AD489" s="155"/>
      <c r="AE489" s="91" t="s">
        <v>80</v>
      </c>
      <c r="AF489" s="91"/>
      <c r="AG489" s="608">
        <f t="shared" ref="AG489:AG492" si="285">I489*2</f>
        <v>120</v>
      </c>
      <c r="AH489" s="608"/>
      <c r="AI489" s="608"/>
      <c r="AJ489" s="609">
        <f t="shared" ref="AJ489:AJ492" si="286">AG489</f>
        <v>120</v>
      </c>
      <c r="AK489" s="609"/>
      <c r="AM489" s="609"/>
      <c r="AN489" s="609"/>
      <c r="AO489" s="615">
        <f t="shared" si="283"/>
        <v>120</v>
      </c>
      <c r="AP489" s="609"/>
      <c r="AQ489" s="609"/>
      <c r="AR489" s="609"/>
      <c r="AS489" s="609"/>
      <c r="AT489" s="633"/>
      <c r="AU489" s="633"/>
      <c r="AV489" s="633"/>
      <c r="AW489" s="633"/>
      <c r="AX489" s="633"/>
      <c r="AY489" s="633"/>
      <c r="AZ489" s="633"/>
      <c r="BA489" s="633"/>
      <c r="BB489" s="633"/>
      <c r="BC489" s="633"/>
      <c r="BD489" s="633"/>
      <c r="BE489" s="633"/>
      <c r="BF489" s="633"/>
      <c r="BG489" s="633"/>
      <c r="BH489" s="633"/>
      <c r="BI489" s="633"/>
      <c r="BJ489" s="633"/>
      <c r="BK489" s="633">
        <f t="shared" ref="BK489:BK492" si="287">I489</f>
        <v>60</v>
      </c>
      <c r="BL489" s="633">
        <f t="shared" ref="BL489:BL492" si="288">I489</f>
        <v>60</v>
      </c>
      <c r="BM489" s="401">
        <f t="shared" si="264"/>
        <v>120</v>
      </c>
      <c r="BO489" s="1473"/>
      <c r="BP489" s="1473"/>
      <c r="BU489" s="200" t="s">
        <v>2096</v>
      </c>
    </row>
    <row r="490" s="200" customFormat="1" ht="36" customHeight="1" spans="1:73">
      <c r="A490" s="1545">
        <v>45477</v>
      </c>
      <c r="B490" s="1507" t="s">
        <v>1372</v>
      </c>
      <c r="C490" s="1478" t="s">
        <v>351</v>
      </c>
      <c r="D490" s="529" t="s">
        <v>2097</v>
      </c>
      <c r="E490" s="1479" t="s">
        <v>2098</v>
      </c>
      <c r="F490" s="529" t="s">
        <v>2099</v>
      </c>
      <c r="G490" s="531" t="s">
        <v>628</v>
      </c>
      <c r="H490" s="532" t="s">
        <v>623</v>
      </c>
      <c r="I490" s="1514">
        <v>12</v>
      </c>
      <c r="J490" s="562">
        <v>0</v>
      </c>
      <c r="K490" s="531">
        <v>12</v>
      </c>
      <c r="L490" s="401">
        <f t="shared" si="253"/>
        <v>1</v>
      </c>
      <c r="M490" s="563">
        <v>45516</v>
      </c>
      <c r="N490" s="563">
        <v>45513</v>
      </c>
      <c r="O490" s="564"/>
      <c r="P490" s="564" t="s">
        <v>92</v>
      </c>
      <c r="Q490" s="564" t="s">
        <v>1763</v>
      </c>
      <c r="R490" s="564">
        <v>45477</v>
      </c>
      <c r="S490" s="564" t="s">
        <v>123</v>
      </c>
      <c r="T490" s="580" t="s">
        <v>2093</v>
      </c>
      <c r="U490" s="530" t="s">
        <v>2094</v>
      </c>
      <c r="V490" s="564" t="s">
        <v>156</v>
      </c>
      <c r="W490" s="592">
        <v>3.1012</v>
      </c>
      <c r="X490" s="593">
        <f t="shared" si="284"/>
        <v>37.2144</v>
      </c>
      <c r="Y490" s="401" t="s">
        <v>2095</v>
      </c>
      <c r="Z490" s="607" t="s">
        <v>628</v>
      </c>
      <c r="AA490" s="1453" t="s">
        <v>128</v>
      </c>
      <c r="AB490" s="155"/>
      <c r="AC490" s="155"/>
      <c r="AD490" s="155"/>
      <c r="AE490" s="91" t="s">
        <v>80</v>
      </c>
      <c r="AF490" s="91"/>
      <c r="AG490" s="608">
        <f t="shared" si="285"/>
        <v>24</v>
      </c>
      <c r="AH490" s="608"/>
      <c r="AI490" s="608"/>
      <c r="AJ490" s="609">
        <f t="shared" si="286"/>
        <v>24</v>
      </c>
      <c r="AK490" s="609"/>
      <c r="AL490" s="609"/>
      <c r="AM490" s="609"/>
      <c r="AN490" s="609"/>
      <c r="AO490" s="615">
        <f t="shared" si="283"/>
        <v>24</v>
      </c>
      <c r="AP490" s="609"/>
      <c r="AQ490" s="609"/>
      <c r="AR490" s="609"/>
      <c r="AS490" s="609"/>
      <c r="AT490" s="633"/>
      <c r="AU490" s="633"/>
      <c r="AV490" s="633"/>
      <c r="AW490" s="633"/>
      <c r="AX490" s="633"/>
      <c r="AY490" s="633"/>
      <c r="AZ490" s="633"/>
      <c r="BA490" s="633"/>
      <c r="BB490" s="633"/>
      <c r="BC490" s="633"/>
      <c r="BD490" s="633"/>
      <c r="BE490" s="633"/>
      <c r="BF490" s="633"/>
      <c r="BG490" s="633"/>
      <c r="BH490" s="633"/>
      <c r="BI490" s="633"/>
      <c r="BJ490" s="633"/>
      <c r="BK490" s="633">
        <f t="shared" si="287"/>
        <v>12</v>
      </c>
      <c r="BL490" s="633">
        <f t="shared" si="288"/>
        <v>12</v>
      </c>
      <c r="BM490" s="401">
        <f t="shared" si="264"/>
        <v>24</v>
      </c>
      <c r="BO490" s="1473"/>
      <c r="BP490" s="1473"/>
      <c r="BU490" s="200" t="s">
        <v>2096</v>
      </c>
    </row>
    <row r="491" s="200" customFormat="1" ht="36" customHeight="1" spans="1:73">
      <c r="A491" s="1545">
        <v>45477</v>
      </c>
      <c r="B491" s="1507" t="s">
        <v>1372</v>
      </c>
      <c r="C491" s="1478" t="s">
        <v>351</v>
      </c>
      <c r="D491" s="529" t="s">
        <v>2100</v>
      </c>
      <c r="E491" s="1479" t="s">
        <v>2101</v>
      </c>
      <c r="F491" s="529" t="s">
        <v>2102</v>
      </c>
      <c r="G491" s="531" t="s">
        <v>628</v>
      </c>
      <c r="H491" s="532" t="s">
        <v>623</v>
      </c>
      <c r="I491" s="1514">
        <v>36</v>
      </c>
      <c r="J491" s="562">
        <v>0</v>
      </c>
      <c r="K491" s="531">
        <v>12</v>
      </c>
      <c r="L491" s="401">
        <f t="shared" si="253"/>
        <v>3</v>
      </c>
      <c r="M491" s="563">
        <v>45516</v>
      </c>
      <c r="N491" s="563">
        <v>45513</v>
      </c>
      <c r="O491" s="564"/>
      <c r="P491" s="564" t="s">
        <v>92</v>
      </c>
      <c r="Q491" s="564" t="s">
        <v>1763</v>
      </c>
      <c r="R491" s="564">
        <v>45477</v>
      </c>
      <c r="S491" s="564" t="s">
        <v>123</v>
      </c>
      <c r="T491" s="580" t="s">
        <v>2093</v>
      </c>
      <c r="U491" s="530" t="s">
        <v>2103</v>
      </c>
      <c r="V491" s="564" t="s">
        <v>156</v>
      </c>
      <c r="W491" s="592">
        <v>3.1012</v>
      </c>
      <c r="X491" s="593">
        <f t="shared" si="284"/>
        <v>111.6432</v>
      </c>
      <c r="Y491" s="401" t="s">
        <v>2104</v>
      </c>
      <c r="Z491" s="607" t="s">
        <v>628</v>
      </c>
      <c r="AA491" s="1453" t="s">
        <v>128</v>
      </c>
      <c r="AB491" s="155"/>
      <c r="AC491" s="155"/>
      <c r="AD491" s="155"/>
      <c r="AE491" s="91" t="s">
        <v>80</v>
      </c>
      <c r="AF491" s="91"/>
      <c r="AG491" s="608">
        <f t="shared" si="285"/>
        <v>72</v>
      </c>
      <c r="AH491" s="608"/>
      <c r="AI491" s="608"/>
      <c r="AJ491" s="609">
        <f t="shared" si="286"/>
        <v>72</v>
      </c>
      <c r="AK491" s="609"/>
      <c r="AL491" s="609"/>
      <c r="AM491" s="609"/>
      <c r="AN491" s="609"/>
      <c r="AO491" s="615">
        <f t="shared" si="283"/>
        <v>72</v>
      </c>
      <c r="AP491" s="609"/>
      <c r="AQ491" s="609"/>
      <c r="AR491" s="609"/>
      <c r="AS491" s="609"/>
      <c r="AT491" s="633"/>
      <c r="AU491" s="633"/>
      <c r="AV491" s="633"/>
      <c r="AW491" s="633"/>
      <c r="AX491" s="633"/>
      <c r="AY491" s="633"/>
      <c r="AZ491" s="633"/>
      <c r="BA491" s="633"/>
      <c r="BB491" s="633"/>
      <c r="BC491" s="633"/>
      <c r="BD491" s="633"/>
      <c r="BE491" s="633"/>
      <c r="BF491" s="633"/>
      <c r="BG491" s="633"/>
      <c r="BH491" s="633"/>
      <c r="BI491" s="633"/>
      <c r="BJ491" s="633"/>
      <c r="BK491" s="633">
        <f t="shared" si="287"/>
        <v>36</v>
      </c>
      <c r="BL491" s="633">
        <f t="shared" si="288"/>
        <v>36</v>
      </c>
      <c r="BM491" s="401">
        <f t="shared" si="264"/>
        <v>72</v>
      </c>
      <c r="BO491" s="1473"/>
      <c r="BP491" s="1473"/>
      <c r="BU491" s="200" t="s">
        <v>2096</v>
      </c>
    </row>
    <row r="492" s="200" customFormat="1" ht="36" customHeight="1" spans="1:73">
      <c r="A492" s="1545">
        <v>45477</v>
      </c>
      <c r="B492" s="1507" t="s">
        <v>1372</v>
      </c>
      <c r="C492" s="1478" t="s">
        <v>351</v>
      </c>
      <c r="D492" s="529" t="s">
        <v>2100</v>
      </c>
      <c r="E492" s="1479" t="s">
        <v>2105</v>
      </c>
      <c r="F492" s="529" t="s">
        <v>2106</v>
      </c>
      <c r="G492" s="531" t="s">
        <v>628</v>
      </c>
      <c r="H492" s="532" t="s">
        <v>623</v>
      </c>
      <c r="I492" s="1514">
        <v>12</v>
      </c>
      <c r="J492" s="562">
        <v>0</v>
      </c>
      <c r="K492" s="531">
        <v>12</v>
      </c>
      <c r="L492" s="401">
        <f t="shared" si="253"/>
        <v>1</v>
      </c>
      <c r="M492" s="563">
        <v>45516</v>
      </c>
      <c r="N492" s="563">
        <v>45513</v>
      </c>
      <c r="O492" s="564"/>
      <c r="P492" s="564" t="s">
        <v>92</v>
      </c>
      <c r="Q492" s="564" t="s">
        <v>1763</v>
      </c>
      <c r="R492" s="564">
        <v>45477</v>
      </c>
      <c r="S492" s="564" t="s">
        <v>123</v>
      </c>
      <c r="T492" s="580" t="s">
        <v>2093</v>
      </c>
      <c r="U492" s="530" t="s">
        <v>2103</v>
      </c>
      <c r="V492" s="564" t="s">
        <v>156</v>
      </c>
      <c r="W492" s="592">
        <v>3.1012</v>
      </c>
      <c r="X492" s="593">
        <f t="shared" si="284"/>
        <v>37.2144</v>
      </c>
      <c r="Y492" s="401" t="s">
        <v>2104</v>
      </c>
      <c r="Z492" s="607" t="s">
        <v>628</v>
      </c>
      <c r="AA492" s="1453" t="s">
        <v>128</v>
      </c>
      <c r="AB492" s="155"/>
      <c r="AC492" s="155"/>
      <c r="AD492" s="155"/>
      <c r="AE492" s="91" t="s">
        <v>80</v>
      </c>
      <c r="AF492" s="91"/>
      <c r="AG492" s="608">
        <f t="shared" si="285"/>
        <v>24</v>
      </c>
      <c r="AH492" s="608"/>
      <c r="AI492" s="608"/>
      <c r="AJ492" s="609">
        <f t="shared" si="286"/>
        <v>24</v>
      </c>
      <c r="AK492" s="609"/>
      <c r="AL492" s="609"/>
      <c r="AM492" s="609"/>
      <c r="AN492" s="609"/>
      <c r="AO492" s="615">
        <f t="shared" si="283"/>
        <v>24</v>
      </c>
      <c r="AP492" s="609"/>
      <c r="AQ492" s="609"/>
      <c r="AR492" s="609"/>
      <c r="AS492" s="609"/>
      <c r="AT492" s="633"/>
      <c r="AU492" s="633"/>
      <c r="AV492" s="633"/>
      <c r="AW492" s="633"/>
      <c r="AX492" s="633"/>
      <c r="AY492" s="633"/>
      <c r="AZ492" s="633"/>
      <c r="BA492" s="633"/>
      <c r="BB492" s="633"/>
      <c r="BC492" s="633"/>
      <c r="BD492" s="633"/>
      <c r="BE492" s="633"/>
      <c r="BF492" s="633"/>
      <c r="BG492" s="633"/>
      <c r="BH492" s="633"/>
      <c r="BI492" s="633"/>
      <c r="BJ492" s="633"/>
      <c r="BK492" s="633">
        <f t="shared" si="287"/>
        <v>12</v>
      </c>
      <c r="BL492" s="633">
        <f t="shared" si="288"/>
        <v>12</v>
      </c>
      <c r="BM492" s="401">
        <f t="shared" si="264"/>
        <v>24</v>
      </c>
      <c r="BO492" s="1473"/>
      <c r="BP492" s="1473"/>
      <c r="BU492" s="200" t="s">
        <v>2096</v>
      </c>
    </row>
    <row r="493" s="200" customFormat="1" ht="36" customHeight="1" spans="1:68">
      <c r="A493" s="1545">
        <v>45476</v>
      </c>
      <c r="B493" s="1507" t="s">
        <v>2107</v>
      </c>
      <c r="C493" s="1508" t="s">
        <v>613</v>
      </c>
      <c r="D493" s="529">
        <v>4500139058</v>
      </c>
      <c r="E493" s="1547"/>
      <c r="F493" s="529" t="s">
        <v>2108</v>
      </c>
      <c r="G493" s="531" t="s">
        <v>96</v>
      </c>
      <c r="H493" s="532" t="s">
        <v>74</v>
      </c>
      <c r="I493" s="401">
        <v>1000</v>
      </c>
      <c r="J493" s="562">
        <v>0</v>
      </c>
      <c r="K493" s="531">
        <v>50</v>
      </c>
      <c r="L493" s="401">
        <f t="shared" si="253"/>
        <v>20</v>
      </c>
      <c r="M493" s="563">
        <v>45523</v>
      </c>
      <c r="N493" s="563">
        <v>45513</v>
      </c>
      <c r="O493" s="564"/>
      <c r="P493" s="564" t="s">
        <v>92</v>
      </c>
      <c r="Q493" s="564" t="s">
        <v>2077</v>
      </c>
      <c r="R493" s="564">
        <v>45482</v>
      </c>
      <c r="S493" s="564" t="s">
        <v>77</v>
      </c>
      <c r="T493" s="580" t="s">
        <v>77</v>
      </c>
      <c r="U493" s="530" t="s">
        <v>2109</v>
      </c>
      <c r="V493" s="564" t="s">
        <v>618</v>
      </c>
      <c r="W493" s="592">
        <v>1.4344</v>
      </c>
      <c r="X493" s="593">
        <f t="shared" ref="X493:X503" si="289">I493*W493</f>
        <v>1434.4</v>
      </c>
      <c r="Y493" s="401" t="s">
        <v>2110</v>
      </c>
      <c r="Z493" s="607" t="s">
        <v>96</v>
      </c>
      <c r="AA493" s="1453" t="s">
        <v>128</v>
      </c>
      <c r="AB493" s="155"/>
      <c r="AC493" s="155"/>
      <c r="AD493" s="155"/>
      <c r="AE493" s="91" t="s">
        <v>80</v>
      </c>
      <c r="AF493" s="91"/>
      <c r="AG493" s="608">
        <f t="shared" ref="AG493:AG500" si="290">I493</f>
        <v>1000</v>
      </c>
      <c r="AH493" s="608"/>
      <c r="AI493" s="608"/>
      <c r="AJ493" s="608"/>
      <c r="AK493" s="609">
        <f t="shared" ref="AK493:AK495" si="291">I493</f>
        <v>1000</v>
      </c>
      <c r="AL493" s="609"/>
      <c r="AM493" s="609"/>
      <c r="AN493" s="609"/>
      <c r="AO493" s="609">
        <f t="shared" ref="AO493:AO495" si="292">I493</f>
        <v>1000</v>
      </c>
      <c r="AP493" s="609"/>
      <c r="AQ493" s="609"/>
      <c r="AR493" s="609"/>
      <c r="AS493" s="609"/>
      <c r="AT493" s="633"/>
      <c r="AU493" s="633"/>
      <c r="AV493" s="633"/>
      <c r="AW493" s="633"/>
      <c r="AX493" s="633"/>
      <c r="AY493" s="633"/>
      <c r="AZ493" s="633"/>
      <c r="BA493" s="633">
        <f>I493/25</f>
        <v>40</v>
      </c>
      <c r="BB493" s="633"/>
      <c r="BC493" s="633"/>
      <c r="BD493" s="633"/>
      <c r="BE493" s="633"/>
      <c r="BF493" s="633"/>
      <c r="BG493" s="633"/>
      <c r="BH493" s="633"/>
      <c r="BI493" s="633"/>
      <c r="BJ493" s="633"/>
      <c r="BK493" s="633"/>
      <c r="BL493" s="633"/>
      <c r="BM493" s="401">
        <f t="shared" si="264"/>
        <v>1000</v>
      </c>
      <c r="BO493" s="1473"/>
      <c r="BP493" s="1473"/>
    </row>
    <row r="494" s="200" customFormat="1" ht="36" customHeight="1" spans="1:68">
      <c r="A494" s="1545">
        <v>45477</v>
      </c>
      <c r="B494" s="1507" t="s">
        <v>158</v>
      </c>
      <c r="C494" s="1508" t="s">
        <v>117</v>
      </c>
      <c r="D494" s="529">
        <v>4500139283</v>
      </c>
      <c r="E494" s="1547" t="s">
        <v>2111</v>
      </c>
      <c r="F494" s="529" t="s">
        <v>2112</v>
      </c>
      <c r="G494" s="531" t="s">
        <v>160</v>
      </c>
      <c r="H494" s="532" t="s">
        <v>74</v>
      </c>
      <c r="I494" s="401">
        <v>6500</v>
      </c>
      <c r="J494" s="562">
        <v>0</v>
      </c>
      <c r="K494" s="531">
        <v>13</v>
      </c>
      <c r="L494" s="401">
        <f t="shared" si="253"/>
        <v>500</v>
      </c>
      <c r="M494" s="563">
        <v>45523</v>
      </c>
      <c r="N494" s="563">
        <v>45513</v>
      </c>
      <c r="O494" s="564"/>
      <c r="P494" s="564" t="s">
        <v>92</v>
      </c>
      <c r="Q494" s="564" t="s">
        <v>2113</v>
      </c>
      <c r="R494" s="564">
        <v>45482</v>
      </c>
      <c r="S494" s="564" t="s">
        <v>77</v>
      </c>
      <c r="T494" s="580" t="s">
        <v>77</v>
      </c>
      <c r="U494" s="530" t="s">
        <v>2114</v>
      </c>
      <c r="V494" s="564" t="s">
        <v>163</v>
      </c>
      <c r="W494" s="592">
        <v>1.4381</v>
      </c>
      <c r="X494" s="593">
        <f t="shared" si="289"/>
        <v>9347.65</v>
      </c>
      <c r="Y494" s="401" t="s">
        <v>2115</v>
      </c>
      <c r="Z494" s="607" t="s">
        <v>160</v>
      </c>
      <c r="AA494" s="1453" t="s">
        <v>128</v>
      </c>
      <c r="AB494" s="155"/>
      <c r="AC494" s="155"/>
      <c r="AD494" s="155"/>
      <c r="AE494" s="91" t="s">
        <v>80</v>
      </c>
      <c r="AF494" s="91"/>
      <c r="AG494" s="608">
        <f t="shared" si="290"/>
        <v>6500</v>
      </c>
      <c r="AH494" s="608"/>
      <c r="AI494" s="608"/>
      <c r="AJ494" s="608"/>
      <c r="AK494" s="609">
        <f t="shared" si="291"/>
        <v>6500</v>
      </c>
      <c r="AL494" s="609"/>
      <c r="AM494" s="609"/>
      <c r="AN494" s="609"/>
      <c r="AO494" s="609">
        <f t="shared" si="292"/>
        <v>6500</v>
      </c>
      <c r="AP494" s="609"/>
      <c r="AQ494" s="609"/>
      <c r="AR494" s="609"/>
      <c r="AS494" s="609"/>
      <c r="AT494" s="633"/>
      <c r="AU494" s="633"/>
      <c r="AV494" s="633"/>
      <c r="AW494" s="633"/>
      <c r="AX494" s="633"/>
      <c r="AY494" s="633">
        <f>I494/13</f>
        <v>500</v>
      </c>
      <c r="AZ494" s="633"/>
      <c r="BA494" s="633"/>
      <c r="BB494" s="633"/>
      <c r="BC494" s="633"/>
      <c r="BD494" s="633"/>
      <c r="BE494" s="633"/>
      <c r="BF494" s="633"/>
      <c r="BG494" s="633"/>
      <c r="BH494" s="633"/>
      <c r="BI494" s="633"/>
      <c r="BJ494" s="633"/>
      <c r="BK494" s="633"/>
      <c r="BL494" s="633"/>
      <c r="BM494" s="401">
        <f t="shared" si="264"/>
        <v>6500</v>
      </c>
      <c r="BO494" s="1473"/>
      <c r="BP494" s="1473"/>
    </row>
    <row r="495" s="200" customFormat="1" ht="36" customHeight="1" spans="1:68">
      <c r="A495" s="1545">
        <v>45477</v>
      </c>
      <c r="B495" s="1507" t="s">
        <v>158</v>
      </c>
      <c r="C495" s="1508" t="s">
        <v>117</v>
      </c>
      <c r="D495" s="529">
        <v>4500139284</v>
      </c>
      <c r="E495" s="1547" t="s">
        <v>2116</v>
      </c>
      <c r="F495" s="529" t="s">
        <v>2117</v>
      </c>
      <c r="G495" s="531" t="s">
        <v>160</v>
      </c>
      <c r="H495" s="532" t="s">
        <v>74</v>
      </c>
      <c r="I495" s="401">
        <v>3510</v>
      </c>
      <c r="J495" s="562">
        <v>0</v>
      </c>
      <c r="K495" s="531">
        <v>13</v>
      </c>
      <c r="L495" s="401">
        <f t="shared" si="253"/>
        <v>270</v>
      </c>
      <c r="M495" s="563">
        <v>45523</v>
      </c>
      <c r="N495" s="563">
        <v>45513</v>
      </c>
      <c r="O495" s="564"/>
      <c r="P495" s="564" t="s">
        <v>92</v>
      </c>
      <c r="Q495" s="564" t="s">
        <v>2118</v>
      </c>
      <c r="R495" s="564">
        <v>45482</v>
      </c>
      <c r="S495" s="564" t="s">
        <v>77</v>
      </c>
      <c r="T495" s="580" t="s">
        <v>77</v>
      </c>
      <c r="U495" s="530" t="s">
        <v>2114</v>
      </c>
      <c r="V495" s="564" t="s">
        <v>163</v>
      </c>
      <c r="W495" s="592">
        <v>1.4432</v>
      </c>
      <c r="X495" s="593">
        <f t="shared" si="289"/>
        <v>5065.632</v>
      </c>
      <c r="Y495" s="401" t="s">
        <v>2119</v>
      </c>
      <c r="Z495" s="607" t="s">
        <v>160</v>
      </c>
      <c r="AA495" s="1453" t="s">
        <v>128</v>
      </c>
      <c r="AB495" s="155"/>
      <c r="AC495" s="155"/>
      <c r="AD495" s="155"/>
      <c r="AE495" s="91" t="s">
        <v>80</v>
      </c>
      <c r="AF495" s="91"/>
      <c r="AG495" s="608">
        <f t="shared" si="290"/>
        <v>3510</v>
      </c>
      <c r="AH495" s="608"/>
      <c r="AI495" s="608"/>
      <c r="AJ495" s="608"/>
      <c r="AK495" s="609">
        <f t="shared" si="291"/>
        <v>3510</v>
      </c>
      <c r="AL495" s="609"/>
      <c r="AM495" s="609"/>
      <c r="AN495" s="609"/>
      <c r="AO495" s="609">
        <f t="shared" si="292"/>
        <v>3510</v>
      </c>
      <c r="AP495" s="609"/>
      <c r="AQ495" s="609"/>
      <c r="AR495" s="609"/>
      <c r="AS495" s="609"/>
      <c r="AT495" s="633"/>
      <c r="AU495" s="633"/>
      <c r="AV495" s="633"/>
      <c r="AW495" s="633"/>
      <c r="AX495" s="633"/>
      <c r="AY495" s="633">
        <f>I495/13</f>
        <v>270</v>
      </c>
      <c r="AZ495" s="633"/>
      <c r="BA495" s="633"/>
      <c r="BB495" s="633"/>
      <c r="BC495" s="633"/>
      <c r="BD495" s="633"/>
      <c r="BE495" s="633"/>
      <c r="BF495" s="633"/>
      <c r="BG495" s="633"/>
      <c r="BH495" s="633"/>
      <c r="BI495" s="633"/>
      <c r="BJ495" s="633"/>
      <c r="BK495" s="633"/>
      <c r="BL495" s="633"/>
      <c r="BM495" s="401">
        <f t="shared" si="264"/>
        <v>3510</v>
      </c>
      <c r="BO495" s="1473"/>
      <c r="BP495" s="1473"/>
    </row>
    <row r="496" s="200" customFormat="1" ht="36" customHeight="1" spans="1:68">
      <c r="A496" s="1545">
        <v>45471</v>
      </c>
      <c r="B496" s="1507" t="s">
        <v>151</v>
      </c>
      <c r="C496" s="1508" t="s">
        <v>117</v>
      </c>
      <c r="D496" s="529">
        <v>4500138712</v>
      </c>
      <c r="E496" s="1479" t="s">
        <v>2120</v>
      </c>
      <c r="F496" s="1595" t="s">
        <v>2121</v>
      </c>
      <c r="G496" s="531" t="s">
        <v>73</v>
      </c>
      <c r="H496" s="532" t="s">
        <v>74</v>
      </c>
      <c r="I496" s="401">
        <v>6576</v>
      </c>
      <c r="J496" s="562">
        <v>0</v>
      </c>
      <c r="K496" s="531">
        <v>24</v>
      </c>
      <c r="L496" s="401">
        <f t="shared" si="253"/>
        <v>274</v>
      </c>
      <c r="M496" s="563">
        <v>45520</v>
      </c>
      <c r="N496" s="563">
        <v>45516</v>
      </c>
      <c r="O496" s="564"/>
      <c r="P496" s="564" t="s">
        <v>92</v>
      </c>
      <c r="Q496" s="564" t="s">
        <v>2122</v>
      </c>
      <c r="R496" s="564">
        <v>45471</v>
      </c>
      <c r="S496" s="564" t="s">
        <v>123</v>
      </c>
      <c r="T496" s="580" t="s">
        <v>2123</v>
      </c>
      <c r="U496" s="530" t="s">
        <v>2124</v>
      </c>
      <c r="V496" s="564" t="s">
        <v>156</v>
      </c>
      <c r="W496" s="592">
        <v>1.3544</v>
      </c>
      <c r="X496" s="593">
        <f t="shared" si="289"/>
        <v>8906.5344</v>
      </c>
      <c r="Y496" s="401" t="s">
        <v>2125</v>
      </c>
      <c r="Z496" s="607" t="s">
        <v>73</v>
      </c>
      <c r="AA496" s="1453" t="s">
        <v>128</v>
      </c>
      <c r="AB496" s="155"/>
      <c r="AC496" s="155"/>
      <c r="AD496" s="155"/>
      <c r="AE496" s="91" t="s">
        <v>80</v>
      </c>
      <c r="AF496" s="91"/>
      <c r="AG496" s="608">
        <f t="shared" si="290"/>
        <v>6576</v>
      </c>
      <c r="AH496" s="608"/>
      <c r="AI496" s="608"/>
      <c r="AJ496" s="608"/>
      <c r="AK496" s="609">
        <f t="shared" ref="AK496:AK500" si="293">AG496</f>
        <v>6576</v>
      </c>
      <c r="AL496" s="609"/>
      <c r="AM496" s="609"/>
      <c r="AN496" s="609"/>
      <c r="AO496" s="609">
        <f t="shared" ref="AO496:AO500" si="294">AG496</f>
        <v>6576</v>
      </c>
      <c r="AP496" s="609"/>
      <c r="AQ496" s="609"/>
      <c r="AR496" s="609"/>
      <c r="AS496" s="609"/>
      <c r="AT496" s="633"/>
      <c r="AU496" s="633"/>
      <c r="AV496" s="633"/>
      <c r="AW496" s="633"/>
      <c r="AX496" s="633"/>
      <c r="AY496" s="633"/>
      <c r="AZ496" s="633"/>
      <c r="BA496" s="633"/>
      <c r="BB496" s="633"/>
      <c r="BC496" s="633"/>
      <c r="BD496" s="633"/>
      <c r="BE496" s="633"/>
      <c r="BF496" s="633"/>
      <c r="BG496" s="633"/>
      <c r="BH496" s="633"/>
      <c r="BI496" s="633"/>
      <c r="BJ496" s="633"/>
      <c r="BK496" s="633"/>
      <c r="BL496" s="633"/>
      <c r="BM496" s="401">
        <f t="shared" si="264"/>
        <v>6576</v>
      </c>
      <c r="BO496" s="1473"/>
      <c r="BP496" s="1473"/>
    </row>
    <row r="497" s="200" customFormat="1" ht="36" customHeight="1" spans="1:68">
      <c r="A497" s="1545">
        <v>45471</v>
      </c>
      <c r="B497" s="1507" t="s">
        <v>151</v>
      </c>
      <c r="C497" s="1508" t="s">
        <v>117</v>
      </c>
      <c r="D497" s="529">
        <v>4500138723</v>
      </c>
      <c r="E497" s="1479" t="s">
        <v>2126</v>
      </c>
      <c r="F497" s="1595" t="s">
        <v>2127</v>
      </c>
      <c r="G497" s="531" t="s">
        <v>73</v>
      </c>
      <c r="H497" s="532" t="s">
        <v>74</v>
      </c>
      <c r="I497" s="401">
        <v>7944</v>
      </c>
      <c r="J497" s="562">
        <v>0</v>
      </c>
      <c r="K497" s="531">
        <v>24</v>
      </c>
      <c r="L497" s="401">
        <f t="shared" si="253"/>
        <v>331</v>
      </c>
      <c r="M497" s="563">
        <v>45520</v>
      </c>
      <c r="N497" s="563">
        <v>45516</v>
      </c>
      <c r="O497" s="564"/>
      <c r="P497" s="564" t="s">
        <v>92</v>
      </c>
      <c r="Q497" s="564" t="s">
        <v>2128</v>
      </c>
      <c r="R497" s="564">
        <v>45471</v>
      </c>
      <c r="S497" s="564" t="s">
        <v>123</v>
      </c>
      <c r="T497" s="580" t="s">
        <v>2123</v>
      </c>
      <c r="U497" s="530" t="s">
        <v>2124</v>
      </c>
      <c r="V497" s="564" t="s">
        <v>156</v>
      </c>
      <c r="W497" s="592">
        <v>1.3406</v>
      </c>
      <c r="X497" s="593">
        <f t="shared" si="289"/>
        <v>10649.7264</v>
      </c>
      <c r="Y497" s="401" t="s">
        <v>2129</v>
      </c>
      <c r="Z497" s="607" t="s">
        <v>73</v>
      </c>
      <c r="AA497" s="1453" t="s">
        <v>128</v>
      </c>
      <c r="AB497" s="155"/>
      <c r="AC497" s="155"/>
      <c r="AD497" s="155"/>
      <c r="AE497" s="91" t="s">
        <v>80</v>
      </c>
      <c r="AF497" s="91"/>
      <c r="AG497" s="608">
        <f t="shared" si="290"/>
        <v>7944</v>
      </c>
      <c r="AH497" s="608"/>
      <c r="AI497" s="608"/>
      <c r="AJ497" s="608"/>
      <c r="AK497" s="609">
        <f t="shared" si="293"/>
        <v>7944</v>
      </c>
      <c r="AL497" s="609"/>
      <c r="AM497" s="609"/>
      <c r="AN497" s="609"/>
      <c r="AO497" s="609">
        <f t="shared" si="294"/>
        <v>7944</v>
      </c>
      <c r="AP497" s="609"/>
      <c r="AQ497" s="609"/>
      <c r="AR497" s="609"/>
      <c r="AS497" s="609"/>
      <c r="AT497" s="633"/>
      <c r="AU497" s="633"/>
      <c r="AV497" s="633"/>
      <c r="AW497" s="633"/>
      <c r="AX497" s="633"/>
      <c r="AY497" s="633"/>
      <c r="AZ497" s="633"/>
      <c r="BA497" s="633"/>
      <c r="BB497" s="633"/>
      <c r="BC497" s="633"/>
      <c r="BD497" s="633"/>
      <c r="BE497" s="633"/>
      <c r="BF497" s="633"/>
      <c r="BG497" s="633"/>
      <c r="BH497" s="633"/>
      <c r="BI497" s="633"/>
      <c r="BJ497" s="633"/>
      <c r="BK497" s="633"/>
      <c r="BL497" s="633"/>
      <c r="BM497" s="401">
        <f t="shared" si="264"/>
        <v>7944</v>
      </c>
      <c r="BO497" s="1473"/>
      <c r="BP497" s="1473"/>
    </row>
    <row r="498" s="200" customFormat="1" ht="36" customHeight="1" spans="1:68">
      <c r="A498" s="533">
        <v>45468</v>
      </c>
      <c r="B498" s="527" t="s">
        <v>449</v>
      </c>
      <c r="C498" s="528" t="s">
        <v>117</v>
      </c>
      <c r="D498" s="534">
        <v>4500138236</v>
      </c>
      <c r="E498" s="530" t="s">
        <v>2130</v>
      </c>
      <c r="F498" s="534" t="s">
        <v>2131</v>
      </c>
      <c r="G498" s="531" t="s">
        <v>73</v>
      </c>
      <c r="H498" s="532" t="s">
        <v>74</v>
      </c>
      <c r="I498" s="401">
        <v>504</v>
      </c>
      <c r="J498" s="562">
        <v>0</v>
      </c>
      <c r="K498" s="531">
        <v>24</v>
      </c>
      <c r="L498" s="401">
        <f t="shared" ref="L498:L561" si="295">I498/K498</f>
        <v>21</v>
      </c>
      <c r="M498" s="563">
        <v>45524</v>
      </c>
      <c r="N498" s="563">
        <v>45520</v>
      </c>
      <c r="O498" s="564"/>
      <c r="P498" s="564" t="s">
        <v>1262</v>
      </c>
      <c r="Q498" s="564" t="s">
        <v>2132</v>
      </c>
      <c r="R498" s="564" t="s">
        <v>1910</v>
      </c>
      <c r="S498" s="564" t="s">
        <v>123</v>
      </c>
      <c r="T498" s="1519" t="s">
        <v>2133</v>
      </c>
      <c r="U498" s="1522" t="s">
        <v>2134</v>
      </c>
      <c r="V498" s="564" t="s">
        <v>186</v>
      </c>
      <c r="W498" s="592">
        <v>1.3645</v>
      </c>
      <c r="X498" s="593">
        <f t="shared" si="289"/>
        <v>687.708</v>
      </c>
      <c r="Y498" s="401" t="s">
        <v>2135</v>
      </c>
      <c r="Z498" s="607" t="s">
        <v>188</v>
      </c>
      <c r="AA498" s="1453" t="s">
        <v>128</v>
      </c>
      <c r="AB498" s="155"/>
      <c r="AC498" s="155"/>
      <c r="AD498" s="155"/>
      <c r="AE498" s="91" t="s">
        <v>80</v>
      </c>
      <c r="AF498" s="91"/>
      <c r="AG498" s="608">
        <f t="shared" si="290"/>
        <v>504</v>
      </c>
      <c r="AH498" s="608"/>
      <c r="AI498" s="608"/>
      <c r="AJ498" s="608"/>
      <c r="AK498" s="609"/>
      <c r="AL498" s="401">
        <f>AG498</f>
        <v>504</v>
      </c>
      <c r="AM498" s="609"/>
      <c r="AN498" s="609"/>
      <c r="AO498" s="609">
        <f t="shared" si="294"/>
        <v>504</v>
      </c>
      <c r="AP498" s="609"/>
      <c r="AQ498" s="609"/>
      <c r="AR498" s="609"/>
      <c r="AS498" s="609"/>
      <c r="AT498" s="633"/>
      <c r="AU498" s="633"/>
      <c r="AV498" s="633"/>
      <c r="AW498" s="633"/>
      <c r="AX498" s="633"/>
      <c r="AY498" s="633"/>
      <c r="AZ498" s="633"/>
      <c r="BA498" s="633"/>
      <c r="BB498" s="633"/>
      <c r="BC498" s="633"/>
      <c r="BD498" s="633"/>
      <c r="BE498" s="633"/>
      <c r="BF498" s="633"/>
      <c r="BG498" s="633"/>
      <c r="BH498" s="633"/>
      <c r="BI498" s="633"/>
      <c r="BJ498" s="633"/>
      <c r="BK498" s="633"/>
      <c r="BL498" s="633"/>
      <c r="BM498" s="401">
        <f t="shared" si="264"/>
        <v>504</v>
      </c>
      <c r="BO498" s="1473"/>
      <c r="BP498" s="1473"/>
    </row>
    <row r="499" s="200" customFormat="1" ht="36" customHeight="1" spans="1:68">
      <c r="A499" s="533">
        <v>45476</v>
      </c>
      <c r="B499" s="1507" t="s">
        <v>151</v>
      </c>
      <c r="C499" s="1573" t="s">
        <v>117</v>
      </c>
      <c r="D499" s="529">
        <v>4500139201</v>
      </c>
      <c r="E499" s="1509" t="s">
        <v>2136</v>
      </c>
      <c r="F499" s="529" t="s">
        <v>2137</v>
      </c>
      <c r="G499" s="531" t="s">
        <v>73</v>
      </c>
      <c r="H499" s="532" t="s">
        <v>74</v>
      </c>
      <c r="I499" s="401">
        <v>4272</v>
      </c>
      <c r="J499" s="562">
        <v>0</v>
      </c>
      <c r="K499" s="531">
        <v>24</v>
      </c>
      <c r="L499" s="401">
        <f t="shared" si="295"/>
        <v>178</v>
      </c>
      <c r="M499" s="563">
        <v>45525</v>
      </c>
      <c r="N499" s="563">
        <v>45521</v>
      </c>
      <c r="O499" s="564"/>
      <c r="P499" s="564" t="s">
        <v>92</v>
      </c>
      <c r="Q499" s="564" t="s">
        <v>2118</v>
      </c>
      <c r="R499" s="564">
        <v>45476</v>
      </c>
      <c r="S499" s="1599" t="s">
        <v>123</v>
      </c>
      <c r="T499" s="1552" t="s">
        <v>2138</v>
      </c>
      <c r="U499" s="530" t="s">
        <v>2139</v>
      </c>
      <c r="V499" s="564" t="s">
        <v>156</v>
      </c>
      <c r="W499" s="592">
        <v>1.3595</v>
      </c>
      <c r="X499" s="593">
        <f t="shared" si="289"/>
        <v>5807.784</v>
      </c>
      <c r="Y499" s="401" t="s">
        <v>2140</v>
      </c>
      <c r="Z499" s="607" t="s">
        <v>73</v>
      </c>
      <c r="AA499" s="1453" t="s">
        <v>128</v>
      </c>
      <c r="AB499" s="155"/>
      <c r="AC499" s="155"/>
      <c r="AD499" s="155"/>
      <c r="AE499" s="91" t="s">
        <v>80</v>
      </c>
      <c r="AF499" s="91"/>
      <c r="AG499" s="608">
        <f t="shared" si="290"/>
        <v>4272</v>
      </c>
      <c r="AH499" s="608"/>
      <c r="AI499" s="608"/>
      <c r="AJ499" s="609"/>
      <c r="AK499" s="609">
        <f t="shared" si="293"/>
        <v>4272</v>
      </c>
      <c r="AL499" s="609"/>
      <c r="AM499" s="609"/>
      <c r="AN499" s="609"/>
      <c r="AO499" s="609">
        <f t="shared" si="294"/>
        <v>4272</v>
      </c>
      <c r="AP499" s="609"/>
      <c r="AQ499" s="609"/>
      <c r="AR499" s="609"/>
      <c r="AS499" s="609"/>
      <c r="AT499" s="633"/>
      <c r="AU499" s="633"/>
      <c r="AV499" s="633"/>
      <c r="AW499" s="633"/>
      <c r="AX499" s="633"/>
      <c r="AY499" s="633"/>
      <c r="AZ499" s="633"/>
      <c r="BA499" s="633"/>
      <c r="BB499" s="633"/>
      <c r="BC499" s="633"/>
      <c r="BD499" s="633"/>
      <c r="BE499" s="633"/>
      <c r="BF499" s="633"/>
      <c r="BG499" s="633"/>
      <c r="BH499" s="633"/>
      <c r="BI499" s="633"/>
      <c r="BJ499" s="633"/>
      <c r="BK499" s="633"/>
      <c r="BL499" s="633"/>
      <c r="BM499" s="401">
        <f t="shared" si="264"/>
        <v>4272</v>
      </c>
      <c r="BO499" s="1473"/>
      <c r="BP499" s="1473"/>
    </row>
    <row r="500" s="200" customFormat="1" ht="36" customHeight="1" spans="1:68">
      <c r="A500" s="533">
        <v>45476</v>
      </c>
      <c r="B500" s="1507" t="s">
        <v>151</v>
      </c>
      <c r="C500" s="1573" t="s">
        <v>117</v>
      </c>
      <c r="D500" s="529">
        <v>4500139201</v>
      </c>
      <c r="E500" s="1509" t="s">
        <v>2141</v>
      </c>
      <c r="F500" s="529" t="s">
        <v>2142</v>
      </c>
      <c r="G500" s="531" t="s">
        <v>73</v>
      </c>
      <c r="H500" s="532" t="s">
        <v>74</v>
      </c>
      <c r="I500" s="401">
        <v>696</v>
      </c>
      <c r="J500" s="562">
        <v>0</v>
      </c>
      <c r="K500" s="531">
        <v>24</v>
      </c>
      <c r="L500" s="401">
        <f t="shared" si="295"/>
        <v>29</v>
      </c>
      <c r="M500" s="563">
        <v>45525</v>
      </c>
      <c r="N500" s="563">
        <v>45521</v>
      </c>
      <c r="O500" s="564"/>
      <c r="P500" s="564" t="s">
        <v>92</v>
      </c>
      <c r="Q500" s="564" t="s">
        <v>2118</v>
      </c>
      <c r="R500" s="564">
        <v>45476</v>
      </c>
      <c r="S500" s="1599" t="s">
        <v>123</v>
      </c>
      <c r="T500" s="1552" t="s">
        <v>2138</v>
      </c>
      <c r="U500" s="530" t="s">
        <v>2139</v>
      </c>
      <c r="V500" s="564" t="s">
        <v>156</v>
      </c>
      <c r="W500" s="592">
        <v>1.3456</v>
      </c>
      <c r="X500" s="593">
        <f t="shared" si="289"/>
        <v>936.5376</v>
      </c>
      <c r="Y500" s="401" t="s">
        <v>2140</v>
      </c>
      <c r="Z500" s="607" t="s">
        <v>73</v>
      </c>
      <c r="AA500" s="1453" t="s">
        <v>128</v>
      </c>
      <c r="AB500" s="155"/>
      <c r="AC500" s="155"/>
      <c r="AD500" s="155"/>
      <c r="AE500" s="91" t="s">
        <v>80</v>
      </c>
      <c r="AF500" s="91"/>
      <c r="AG500" s="608">
        <f t="shared" si="290"/>
        <v>696</v>
      </c>
      <c r="AH500" s="608"/>
      <c r="AI500" s="608"/>
      <c r="AJ500" s="609"/>
      <c r="AK500" s="609">
        <f t="shared" si="293"/>
        <v>696</v>
      </c>
      <c r="AL500" s="609"/>
      <c r="AM500" s="609"/>
      <c r="AN500" s="609"/>
      <c r="AO500" s="609">
        <f t="shared" si="294"/>
        <v>696</v>
      </c>
      <c r="AP500" s="609"/>
      <c r="AQ500" s="609"/>
      <c r="AR500" s="609"/>
      <c r="AS500" s="609"/>
      <c r="AT500" s="633"/>
      <c r="AU500" s="633"/>
      <c r="AV500" s="633"/>
      <c r="AW500" s="633"/>
      <c r="AX500" s="633"/>
      <c r="AY500" s="633"/>
      <c r="AZ500" s="633"/>
      <c r="BA500" s="633"/>
      <c r="BB500" s="633"/>
      <c r="BC500" s="633"/>
      <c r="BD500" s="633"/>
      <c r="BE500" s="633"/>
      <c r="BF500" s="633"/>
      <c r="BG500" s="633"/>
      <c r="BH500" s="633"/>
      <c r="BI500" s="633"/>
      <c r="BJ500" s="633"/>
      <c r="BK500" s="633"/>
      <c r="BL500" s="633"/>
      <c r="BM500" s="401">
        <f t="shared" si="264"/>
        <v>696</v>
      </c>
      <c r="BO500" s="1473"/>
      <c r="BP500" s="1473"/>
    </row>
    <row r="501" s="200" customFormat="1" ht="36" customHeight="1" spans="1:68">
      <c r="A501" s="533">
        <v>45481</v>
      </c>
      <c r="B501" s="1507" t="s">
        <v>1118</v>
      </c>
      <c r="C501" s="1597" t="s">
        <v>1119</v>
      </c>
      <c r="D501" s="529">
        <v>4500139480</v>
      </c>
      <c r="E501" s="1509">
        <v>300519304</v>
      </c>
      <c r="F501" s="529" t="s">
        <v>2143</v>
      </c>
      <c r="G501" s="531" t="s">
        <v>877</v>
      </c>
      <c r="H501" s="532" t="s">
        <v>74</v>
      </c>
      <c r="I501" s="1496">
        <v>400</v>
      </c>
      <c r="J501" s="1496">
        <v>0</v>
      </c>
      <c r="K501" s="1496">
        <v>25</v>
      </c>
      <c r="L501" s="1496">
        <f t="shared" si="295"/>
        <v>16</v>
      </c>
      <c r="M501" s="563">
        <v>45526</v>
      </c>
      <c r="N501" s="563">
        <v>45523</v>
      </c>
      <c r="O501" s="564"/>
      <c r="P501" s="564" t="s">
        <v>1262</v>
      </c>
      <c r="Q501" s="564" t="s">
        <v>2077</v>
      </c>
      <c r="R501" s="564">
        <v>45481</v>
      </c>
      <c r="S501" s="1599" t="s">
        <v>77</v>
      </c>
      <c r="T501" s="1600" t="s">
        <v>1122</v>
      </c>
      <c r="U501" s="530" t="s">
        <v>2144</v>
      </c>
      <c r="V501" s="564" t="s">
        <v>194</v>
      </c>
      <c r="W501" s="592">
        <v>1.4405</v>
      </c>
      <c r="X501" s="593">
        <f t="shared" si="289"/>
        <v>576.2</v>
      </c>
      <c r="Y501" s="401" t="s">
        <v>2145</v>
      </c>
      <c r="Z501" s="607" t="s">
        <v>1499</v>
      </c>
      <c r="AA501" s="1453" t="s">
        <v>128</v>
      </c>
      <c r="AB501" s="155"/>
      <c r="AC501" s="155"/>
      <c r="AD501" s="155"/>
      <c r="AE501" s="91" t="s">
        <v>80</v>
      </c>
      <c r="AF501" s="91"/>
      <c r="AG501" s="608"/>
      <c r="AH501" s="608">
        <f>I501</f>
        <v>400</v>
      </c>
      <c r="AI501" s="608"/>
      <c r="AJ501" s="609"/>
      <c r="AK501" s="609"/>
      <c r="AL501" s="401">
        <f>I501</f>
        <v>400</v>
      </c>
      <c r="AM501" s="609"/>
      <c r="AN501" s="609"/>
      <c r="AO501" s="609">
        <f>I501</f>
        <v>400</v>
      </c>
      <c r="AP501" s="609"/>
      <c r="AQ501" s="609"/>
      <c r="AR501" s="609"/>
      <c r="AS501" s="609"/>
      <c r="AT501" s="633"/>
      <c r="AU501" s="633"/>
      <c r="AV501" s="633"/>
      <c r="AW501" s="633"/>
      <c r="AX501" s="633"/>
      <c r="AY501" s="633"/>
      <c r="AZ501" s="633"/>
      <c r="BA501" s="633"/>
      <c r="BB501" s="633">
        <f>I501/25</f>
        <v>16</v>
      </c>
      <c r="BC501" s="633"/>
      <c r="BD501" s="633"/>
      <c r="BE501" s="633"/>
      <c r="BF501" s="633"/>
      <c r="BG501" s="633"/>
      <c r="BH501" s="633"/>
      <c r="BI501" s="633"/>
      <c r="BJ501" s="633"/>
      <c r="BK501" s="633"/>
      <c r="BL501" s="633"/>
      <c r="BM501" s="401">
        <f t="shared" si="264"/>
        <v>400</v>
      </c>
      <c r="BO501" s="1473"/>
      <c r="BP501" s="1473"/>
    </row>
    <row r="502" s="200" customFormat="1" ht="36" customHeight="1" spans="1:68">
      <c r="A502" s="1477">
        <v>45474</v>
      </c>
      <c r="B502" s="1598" t="s">
        <v>1266</v>
      </c>
      <c r="C502" s="614" t="s">
        <v>117</v>
      </c>
      <c r="D502" s="529">
        <v>4500138737</v>
      </c>
      <c r="E502" s="1547" t="s">
        <v>2146</v>
      </c>
      <c r="F502" s="529" t="s">
        <v>2147</v>
      </c>
      <c r="G502" s="531" t="s">
        <v>403</v>
      </c>
      <c r="H502" s="532" t="s">
        <v>74</v>
      </c>
      <c r="I502" s="401">
        <v>24700</v>
      </c>
      <c r="J502" s="562">
        <v>0</v>
      </c>
      <c r="K502" s="531">
        <v>52</v>
      </c>
      <c r="L502" s="401">
        <f t="shared" si="295"/>
        <v>475</v>
      </c>
      <c r="M502" s="563">
        <v>45527</v>
      </c>
      <c r="N502" s="563">
        <v>45523</v>
      </c>
      <c r="O502" s="564"/>
      <c r="P502" s="564" t="s">
        <v>92</v>
      </c>
      <c r="Q502" s="564" t="s">
        <v>2118</v>
      </c>
      <c r="R502" s="564">
        <v>45473</v>
      </c>
      <c r="S502" s="564" t="s">
        <v>77</v>
      </c>
      <c r="T502" s="580" t="s">
        <v>2148</v>
      </c>
      <c r="U502" s="530" t="s">
        <v>1270</v>
      </c>
      <c r="V502" s="564" t="s">
        <v>396</v>
      </c>
      <c r="W502" s="592">
        <v>1.3649</v>
      </c>
      <c r="X502" s="593">
        <f t="shared" si="289"/>
        <v>33713.03</v>
      </c>
      <c r="Y502" s="401" t="s">
        <v>2149</v>
      </c>
      <c r="Z502" s="607" t="s">
        <v>403</v>
      </c>
      <c r="AA502" s="1453" t="s">
        <v>128</v>
      </c>
      <c r="AB502" s="155"/>
      <c r="AC502" s="155"/>
      <c r="AD502" s="155"/>
      <c r="AE502" s="91" t="s">
        <v>80</v>
      </c>
      <c r="AF502" s="91"/>
      <c r="AG502" s="608">
        <f t="shared" ref="AG502:AG514" si="296">I502</f>
        <v>24700</v>
      </c>
      <c r="AH502" s="608"/>
      <c r="AI502" s="608"/>
      <c r="AJ502" s="609"/>
      <c r="AK502" s="609">
        <f>AG502</f>
        <v>24700</v>
      </c>
      <c r="AL502" s="609"/>
      <c r="AM502" s="609"/>
      <c r="AN502" s="609"/>
      <c r="AO502" s="609">
        <f t="shared" ref="AO502:AO505" si="297">AG502</f>
        <v>24700</v>
      </c>
      <c r="AP502" s="609"/>
      <c r="AQ502" s="609"/>
      <c r="AR502" s="609"/>
      <c r="AS502" s="609"/>
      <c r="AT502" s="633"/>
      <c r="AU502" s="633"/>
      <c r="AV502" s="633"/>
      <c r="AW502" s="633"/>
      <c r="AX502" s="633"/>
      <c r="AY502" s="633">
        <f>AG502/13</f>
        <v>1900</v>
      </c>
      <c r="AZ502" s="633"/>
      <c r="BA502" s="633"/>
      <c r="BB502" s="633"/>
      <c r="BC502" s="633"/>
      <c r="BD502" s="633"/>
      <c r="BE502" s="633"/>
      <c r="BF502" s="633"/>
      <c r="BG502" s="633"/>
      <c r="BH502" s="633"/>
      <c r="BI502" s="633"/>
      <c r="BJ502" s="633"/>
      <c r="BK502" s="633"/>
      <c r="BL502" s="633"/>
      <c r="BM502" s="401">
        <f t="shared" si="264"/>
        <v>24700</v>
      </c>
      <c r="BO502" s="1473"/>
      <c r="BP502" s="1473"/>
    </row>
    <row r="503" s="200" customFormat="1" ht="36" customHeight="1" spans="1:68">
      <c r="A503" s="1545">
        <v>45482</v>
      </c>
      <c r="B503" s="1507" t="s">
        <v>507</v>
      </c>
      <c r="C503" s="1508" t="s">
        <v>213</v>
      </c>
      <c r="D503" s="529">
        <v>4500139849</v>
      </c>
      <c r="E503" s="1488">
        <v>2660927</v>
      </c>
      <c r="F503" s="529" t="s">
        <v>2150</v>
      </c>
      <c r="G503" s="531" t="s">
        <v>160</v>
      </c>
      <c r="H503" s="532" t="s">
        <v>74</v>
      </c>
      <c r="I503" s="401">
        <v>299</v>
      </c>
      <c r="J503" s="562">
        <v>0</v>
      </c>
      <c r="K503" s="531">
        <v>13</v>
      </c>
      <c r="L503" s="401">
        <f t="shared" si="295"/>
        <v>23</v>
      </c>
      <c r="M503" s="563">
        <v>45520</v>
      </c>
      <c r="N503" s="563">
        <v>45516</v>
      </c>
      <c r="O503" s="564"/>
      <c r="P503" s="564" t="s">
        <v>1262</v>
      </c>
      <c r="Q503" s="564" t="s">
        <v>1752</v>
      </c>
      <c r="R503" s="564" t="s">
        <v>2151</v>
      </c>
      <c r="S503" s="564" t="s">
        <v>77</v>
      </c>
      <c r="T503" s="580" t="s">
        <v>77</v>
      </c>
      <c r="U503" s="530" t="s">
        <v>2152</v>
      </c>
      <c r="V503" s="564" t="s">
        <v>230</v>
      </c>
      <c r="W503" s="592">
        <v>1.4122</v>
      </c>
      <c r="X503" s="593">
        <f t="shared" si="289"/>
        <v>422.2478</v>
      </c>
      <c r="Y503" s="401" t="s">
        <v>2153</v>
      </c>
      <c r="Z503" s="607" t="s">
        <v>160</v>
      </c>
      <c r="AA503" s="1453" t="s">
        <v>128</v>
      </c>
      <c r="AB503" s="608"/>
      <c r="AC503" s="608"/>
      <c r="AD503" s="608"/>
      <c r="AE503" s="564" t="s">
        <v>80</v>
      </c>
      <c r="AF503" s="564"/>
      <c r="AG503" s="608">
        <f t="shared" si="296"/>
        <v>299</v>
      </c>
      <c r="AH503" s="608"/>
      <c r="AI503" s="608"/>
      <c r="AJ503" s="608"/>
      <c r="AK503" s="609">
        <f t="shared" ref="AK503:AK514" si="298">I503</f>
        <v>299</v>
      </c>
      <c r="AL503" s="609"/>
      <c r="AM503" s="609"/>
      <c r="AN503" s="609"/>
      <c r="AO503" s="609">
        <f>I503</f>
        <v>299</v>
      </c>
      <c r="AP503" s="609"/>
      <c r="AQ503" s="609"/>
      <c r="AR503" s="609"/>
      <c r="AS503" s="609"/>
      <c r="AT503" s="633"/>
      <c r="AU503" s="633"/>
      <c r="AV503" s="633"/>
      <c r="AW503" s="633"/>
      <c r="AX503" s="633"/>
      <c r="AY503" s="633">
        <f>I503/13</f>
        <v>23</v>
      </c>
      <c r="AZ503" s="633"/>
      <c r="BA503" s="633"/>
      <c r="BB503" s="633"/>
      <c r="BC503" s="633"/>
      <c r="BD503" s="633"/>
      <c r="BE503" s="633"/>
      <c r="BF503" s="633"/>
      <c r="BG503" s="633"/>
      <c r="BH503" s="633"/>
      <c r="BI503" s="633"/>
      <c r="BJ503" s="633"/>
      <c r="BK503" s="633"/>
      <c r="BL503" s="633"/>
      <c r="BM503" s="401">
        <f t="shared" si="264"/>
        <v>299</v>
      </c>
      <c r="BO503" s="1473"/>
      <c r="BP503" s="1473"/>
    </row>
    <row r="504" s="200" customFormat="1" ht="36" customHeight="1" spans="1:68">
      <c r="A504" s="1545">
        <v>45477</v>
      </c>
      <c r="B504" s="1507" t="s">
        <v>1372</v>
      </c>
      <c r="C504" s="1478" t="s">
        <v>351</v>
      </c>
      <c r="D504" s="529" t="s">
        <v>2097</v>
      </c>
      <c r="E504" s="1479" t="s">
        <v>2154</v>
      </c>
      <c r="F504" s="529" t="s">
        <v>2155</v>
      </c>
      <c r="G504" s="531" t="s">
        <v>73</v>
      </c>
      <c r="H504" s="532" t="s">
        <v>74</v>
      </c>
      <c r="I504" s="401">
        <v>48</v>
      </c>
      <c r="J504" s="562">
        <v>0</v>
      </c>
      <c r="K504" s="531">
        <v>24</v>
      </c>
      <c r="L504" s="401">
        <f t="shared" si="295"/>
        <v>2</v>
      </c>
      <c r="M504" s="563">
        <v>45516</v>
      </c>
      <c r="N504" s="1495">
        <v>45516</v>
      </c>
      <c r="O504" s="564"/>
      <c r="P504" s="564" t="s">
        <v>1262</v>
      </c>
      <c r="Q504" s="564" t="s">
        <v>1763</v>
      </c>
      <c r="R504" s="564">
        <v>45477</v>
      </c>
      <c r="S504" s="564" t="s">
        <v>123</v>
      </c>
      <c r="T504" s="580" t="s">
        <v>2093</v>
      </c>
      <c r="U504" s="530" t="s">
        <v>2156</v>
      </c>
      <c r="V504" s="564" t="s">
        <v>156</v>
      </c>
      <c r="W504" s="592">
        <v>1.3645</v>
      </c>
      <c r="X504" s="593">
        <f>W504*I504</f>
        <v>65.496</v>
      </c>
      <c r="Y504" s="401" t="s">
        <v>2095</v>
      </c>
      <c r="Z504" s="607" t="s">
        <v>188</v>
      </c>
      <c r="AA504" s="1453" t="s">
        <v>128</v>
      </c>
      <c r="AB504" s="155"/>
      <c r="AC504" s="155"/>
      <c r="AD504" s="155"/>
      <c r="AE504" s="91" t="s">
        <v>80</v>
      </c>
      <c r="AF504" s="91"/>
      <c r="AG504" s="608">
        <f t="shared" si="296"/>
        <v>48</v>
      </c>
      <c r="AH504" s="608"/>
      <c r="AI504" s="608"/>
      <c r="AJ504" s="608"/>
      <c r="AK504" s="609"/>
      <c r="AL504" s="401">
        <f>AG504</f>
        <v>48</v>
      </c>
      <c r="AM504" s="609"/>
      <c r="AN504" s="609"/>
      <c r="AO504" s="609">
        <f t="shared" si="297"/>
        <v>48</v>
      </c>
      <c r="AP504" s="609"/>
      <c r="AQ504" s="609"/>
      <c r="AR504" s="609"/>
      <c r="AS504" s="609"/>
      <c r="AT504" s="633"/>
      <c r="AU504" s="633"/>
      <c r="AV504" s="633"/>
      <c r="AW504" s="633"/>
      <c r="AX504" s="633"/>
      <c r="AY504" s="633"/>
      <c r="AZ504" s="633"/>
      <c r="BA504" s="633"/>
      <c r="BB504" s="633"/>
      <c r="BC504" s="633"/>
      <c r="BD504" s="633"/>
      <c r="BE504" s="633"/>
      <c r="BF504" s="633"/>
      <c r="BG504" s="633"/>
      <c r="BH504" s="633"/>
      <c r="BI504" s="633"/>
      <c r="BJ504" s="633"/>
      <c r="BK504" s="633"/>
      <c r="BL504" s="633"/>
      <c r="BM504" s="401">
        <f t="shared" si="264"/>
        <v>48</v>
      </c>
      <c r="BO504" s="1473"/>
      <c r="BP504" s="1473"/>
    </row>
    <row r="505" s="200" customFormat="1" ht="36" customHeight="1" spans="1:68">
      <c r="A505" s="1545">
        <v>45477</v>
      </c>
      <c r="B505" s="1507" t="s">
        <v>1372</v>
      </c>
      <c r="C505" s="1478" t="s">
        <v>351</v>
      </c>
      <c r="D505" s="529">
        <v>4500139232</v>
      </c>
      <c r="E505" s="1479" t="s">
        <v>2157</v>
      </c>
      <c r="F505" s="529" t="s">
        <v>2158</v>
      </c>
      <c r="G505" s="531" t="s">
        <v>73</v>
      </c>
      <c r="H505" s="532" t="s">
        <v>74</v>
      </c>
      <c r="I505" s="401">
        <v>240</v>
      </c>
      <c r="J505" s="562">
        <v>0</v>
      </c>
      <c r="K505" s="531">
        <v>24</v>
      </c>
      <c r="L505" s="401">
        <f t="shared" si="295"/>
        <v>10</v>
      </c>
      <c r="M505" s="563">
        <v>45516</v>
      </c>
      <c r="N505" s="1495">
        <v>45516</v>
      </c>
      <c r="O505" s="564"/>
      <c r="P505" s="564" t="s">
        <v>1262</v>
      </c>
      <c r="Q505" s="564" t="s">
        <v>1763</v>
      </c>
      <c r="R505" s="564">
        <v>45477</v>
      </c>
      <c r="S505" s="564" t="s">
        <v>123</v>
      </c>
      <c r="T505" s="580" t="s">
        <v>2093</v>
      </c>
      <c r="U505" s="530" t="s">
        <v>2103</v>
      </c>
      <c r="V505" s="564" t="s">
        <v>156</v>
      </c>
      <c r="W505" s="592">
        <v>1.3645</v>
      </c>
      <c r="X505" s="593">
        <f>W505*I505</f>
        <v>327.48</v>
      </c>
      <c r="Y505" s="401" t="s">
        <v>2104</v>
      </c>
      <c r="Z505" s="607" t="s">
        <v>188</v>
      </c>
      <c r="AA505" s="1453" t="s">
        <v>128</v>
      </c>
      <c r="AB505" s="155"/>
      <c r="AC505" s="155"/>
      <c r="AD505" s="155"/>
      <c r="AE505" s="91" t="s">
        <v>80</v>
      </c>
      <c r="AF505" s="91"/>
      <c r="AG505" s="608">
        <f t="shared" si="296"/>
        <v>240</v>
      </c>
      <c r="AH505" s="608"/>
      <c r="AI505" s="608"/>
      <c r="AJ505" s="608"/>
      <c r="AK505" s="609"/>
      <c r="AL505" s="401">
        <f>AG505</f>
        <v>240</v>
      </c>
      <c r="AM505" s="609"/>
      <c r="AN505" s="609"/>
      <c r="AO505" s="609">
        <f t="shared" si="297"/>
        <v>240</v>
      </c>
      <c r="AP505" s="609"/>
      <c r="AQ505" s="609"/>
      <c r="AR505" s="609"/>
      <c r="AS505" s="609"/>
      <c r="AT505" s="633"/>
      <c r="AU505" s="633"/>
      <c r="AV505" s="633"/>
      <c r="AW505" s="633"/>
      <c r="AX505" s="633"/>
      <c r="AY505" s="633"/>
      <c r="AZ505" s="633"/>
      <c r="BA505" s="633"/>
      <c r="BB505" s="633"/>
      <c r="BC505" s="633"/>
      <c r="BD505" s="633"/>
      <c r="BE505" s="633"/>
      <c r="BF505" s="633"/>
      <c r="BG505" s="633"/>
      <c r="BH505" s="633"/>
      <c r="BI505" s="633"/>
      <c r="BJ505" s="633"/>
      <c r="BK505" s="633"/>
      <c r="BL505" s="633"/>
      <c r="BM505" s="401">
        <f t="shared" si="264"/>
        <v>240</v>
      </c>
      <c r="BO505" s="1473"/>
      <c r="BP505" s="1473"/>
    </row>
    <row r="506" s="200" customFormat="1" ht="36" customHeight="1" spans="1:68">
      <c r="A506" s="526">
        <v>45450</v>
      </c>
      <c r="B506" s="1578" t="s">
        <v>587</v>
      </c>
      <c r="C506" s="1478" t="s">
        <v>117</v>
      </c>
      <c r="D506" s="534">
        <v>4500138385</v>
      </c>
      <c r="E506" s="530">
        <v>6631646301</v>
      </c>
      <c r="F506" s="534" t="s">
        <v>2159</v>
      </c>
      <c r="G506" s="531" t="s">
        <v>832</v>
      </c>
      <c r="H506" s="532" t="s">
        <v>833</v>
      </c>
      <c r="I506" s="401">
        <v>1152</v>
      </c>
      <c r="J506" s="562">
        <v>0</v>
      </c>
      <c r="K506" s="531">
        <v>1152</v>
      </c>
      <c r="L506" s="401">
        <f t="shared" si="295"/>
        <v>1</v>
      </c>
      <c r="M506" s="563">
        <v>45520</v>
      </c>
      <c r="N506" s="1495">
        <v>45518</v>
      </c>
      <c r="O506" s="1474" t="s">
        <v>2160</v>
      </c>
      <c r="P506" s="564" t="s">
        <v>92</v>
      </c>
      <c r="Q506" s="564" t="s">
        <v>2161</v>
      </c>
      <c r="R506" s="1523" t="s">
        <v>1102</v>
      </c>
      <c r="S506" s="564" t="s">
        <v>123</v>
      </c>
      <c r="T506" s="580" t="s">
        <v>2162</v>
      </c>
      <c r="U506" s="530" t="s">
        <v>993</v>
      </c>
      <c r="V506" s="564" t="s">
        <v>1006</v>
      </c>
      <c r="W506" s="592">
        <v>1624.9899</v>
      </c>
      <c r="X506" s="593">
        <f t="shared" ref="X506:X514" si="299">W506*L506</f>
        <v>1624.9899</v>
      </c>
      <c r="Y506" s="401" t="s">
        <v>2163</v>
      </c>
      <c r="Z506" s="607" t="s">
        <v>832</v>
      </c>
      <c r="AA506" s="1453" t="s">
        <v>128</v>
      </c>
      <c r="AB506" s="155"/>
      <c r="AC506" s="155"/>
      <c r="AD506" s="155"/>
      <c r="AE506" s="91" t="s">
        <v>80</v>
      </c>
      <c r="AF506" s="91"/>
      <c r="AG506" s="608">
        <f t="shared" si="296"/>
        <v>1152</v>
      </c>
      <c r="AH506" s="608"/>
      <c r="AI506" s="608"/>
      <c r="AJ506" s="608"/>
      <c r="AK506" s="609">
        <f t="shared" si="298"/>
        <v>1152</v>
      </c>
      <c r="AL506" s="609"/>
      <c r="AM506" s="609"/>
      <c r="AN506" s="609"/>
      <c r="AO506" s="615"/>
      <c r="AP506" s="609"/>
      <c r="AQ506" s="609">
        <f t="shared" ref="AQ506:AQ514" si="300">I506</f>
        <v>1152</v>
      </c>
      <c r="AR506" s="609"/>
      <c r="AS506" s="609"/>
      <c r="AT506" s="633"/>
      <c r="AU506" s="633"/>
      <c r="AV506" s="633">
        <f t="shared" ref="AV506:AV514" si="301">I506/12</f>
        <v>96</v>
      </c>
      <c r="AW506" s="633"/>
      <c r="AX506" s="633"/>
      <c r="AY506" s="633"/>
      <c r="AZ506" s="633"/>
      <c r="BA506" s="633"/>
      <c r="BB506" s="633"/>
      <c r="BC506" s="633"/>
      <c r="BD506" s="633"/>
      <c r="BE506" s="633"/>
      <c r="BF506" s="633"/>
      <c r="BG506" s="633"/>
      <c r="BH506" s="633"/>
      <c r="BI506" s="633"/>
      <c r="BJ506" s="633"/>
      <c r="BK506" s="633"/>
      <c r="BL506" s="633"/>
      <c r="BM506" s="401">
        <f t="shared" si="264"/>
        <v>1152</v>
      </c>
      <c r="BO506" s="1473"/>
      <c r="BP506" s="1473"/>
    </row>
    <row r="507" s="200" customFormat="1" ht="36" customHeight="1" spans="1:68">
      <c r="A507" s="526">
        <v>45450</v>
      </c>
      <c r="B507" s="1578" t="s">
        <v>587</v>
      </c>
      <c r="C507" s="1478" t="s">
        <v>117</v>
      </c>
      <c r="D507" s="534">
        <v>4500138385</v>
      </c>
      <c r="E507" s="530">
        <v>6631646308</v>
      </c>
      <c r="F507" s="534" t="s">
        <v>2164</v>
      </c>
      <c r="G507" s="531" t="s">
        <v>832</v>
      </c>
      <c r="H507" s="532" t="s">
        <v>833</v>
      </c>
      <c r="I507" s="401">
        <v>2304</v>
      </c>
      <c r="J507" s="562">
        <v>0</v>
      </c>
      <c r="K507" s="531">
        <v>1152</v>
      </c>
      <c r="L507" s="401">
        <f t="shared" si="295"/>
        <v>2</v>
      </c>
      <c r="M507" s="563">
        <v>45520</v>
      </c>
      <c r="N507" s="1495">
        <v>45518</v>
      </c>
      <c r="O507" s="1474" t="s">
        <v>2160</v>
      </c>
      <c r="P507" s="564" t="s">
        <v>92</v>
      </c>
      <c r="Q507" s="564" t="s">
        <v>2165</v>
      </c>
      <c r="R507" s="1523" t="s">
        <v>1102</v>
      </c>
      <c r="S507" s="564" t="s">
        <v>123</v>
      </c>
      <c r="T507" s="580" t="s">
        <v>2162</v>
      </c>
      <c r="U507" s="530" t="s">
        <v>993</v>
      </c>
      <c r="V507" s="564" t="s">
        <v>1006</v>
      </c>
      <c r="W507" s="592">
        <v>1624.9899</v>
      </c>
      <c r="X507" s="593">
        <f t="shared" si="299"/>
        <v>3249.9798</v>
      </c>
      <c r="Y507" s="401" t="s">
        <v>2166</v>
      </c>
      <c r="Z507" s="607" t="s">
        <v>832</v>
      </c>
      <c r="AA507" s="1453" t="s">
        <v>128</v>
      </c>
      <c r="AB507" s="155"/>
      <c r="AC507" s="155"/>
      <c r="AD507" s="155"/>
      <c r="AE507" s="91" t="s">
        <v>80</v>
      </c>
      <c r="AF507" s="91"/>
      <c r="AG507" s="608">
        <f t="shared" si="296"/>
        <v>2304</v>
      </c>
      <c r="AH507" s="608"/>
      <c r="AI507" s="608"/>
      <c r="AJ507" s="608"/>
      <c r="AK507" s="609">
        <f t="shared" si="298"/>
        <v>2304</v>
      </c>
      <c r="AL507" s="609"/>
      <c r="AM507" s="609"/>
      <c r="AN507" s="609"/>
      <c r="AO507" s="615"/>
      <c r="AP507" s="609"/>
      <c r="AQ507" s="609">
        <f t="shared" si="300"/>
        <v>2304</v>
      </c>
      <c r="AR507" s="609"/>
      <c r="AS507" s="609"/>
      <c r="AT507" s="633"/>
      <c r="AU507" s="633"/>
      <c r="AV507" s="633">
        <f t="shared" si="301"/>
        <v>192</v>
      </c>
      <c r="AW507" s="633"/>
      <c r="AX507" s="633"/>
      <c r="AY507" s="633"/>
      <c r="AZ507" s="633"/>
      <c r="BA507" s="633"/>
      <c r="BB507" s="633"/>
      <c r="BC507" s="633"/>
      <c r="BD507" s="633"/>
      <c r="BE507" s="633"/>
      <c r="BF507" s="633"/>
      <c r="BG507" s="633"/>
      <c r="BH507" s="633"/>
      <c r="BI507" s="633"/>
      <c r="BJ507" s="633"/>
      <c r="BK507" s="633"/>
      <c r="BL507" s="633"/>
      <c r="BM507" s="401">
        <f t="shared" si="264"/>
        <v>2304</v>
      </c>
      <c r="BO507" s="1473"/>
      <c r="BP507" s="1473"/>
    </row>
    <row r="508" s="200" customFormat="1" ht="36" customHeight="1" spans="1:68">
      <c r="A508" s="526">
        <v>45450</v>
      </c>
      <c r="B508" s="1578" t="s">
        <v>587</v>
      </c>
      <c r="C508" s="1478" t="s">
        <v>117</v>
      </c>
      <c r="D508" s="534">
        <v>4500138385</v>
      </c>
      <c r="E508" s="530">
        <v>6631646311</v>
      </c>
      <c r="F508" s="534" t="s">
        <v>2167</v>
      </c>
      <c r="G508" s="531" t="s">
        <v>832</v>
      </c>
      <c r="H508" s="532" t="s">
        <v>833</v>
      </c>
      <c r="I508" s="401">
        <v>1152</v>
      </c>
      <c r="J508" s="562">
        <v>0</v>
      </c>
      <c r="K508" s="531">
        <v>1152</v>
      </c>
      <c r="L508" s="401">
        <f t="shared" si="295"/>
        <v>1</v>
      </c>
      <c r="M508" s="563">
        <v>45520</v>
      </c>
      <c r="N508" s="1495">
        <v>45518</v>
      </c>
      <c r="O508" s="1474" t="s">
        <v>2160</v>
      </c>
      <c r="P508" s="564" t="s">
        <v>92</v>
      </c>
      <c r="Q508" s="564" t="s">
        <v>2168</v>
      </c>
      <c r="R508" s="1523" t="s">
        <v>1102</v>
      </c>
      <c r="S508" s="564" t="s">
        <v>123</v>
      </c>
      <c r="T508" s="580" t="s">
        <v>2162</v>
      </c>
      <c r="U508" s="530" t="s">
        <v>993</v>
      </c>
      <c r="V508" s="564" t="s">
        <v>1006</v>
      </c>
      <c r="W508" s="592">
        <v>1624.9899</v>
      </c>
      <c r="X508" s="593">
        <f t="shared" si="299"/>
        <v>1624.9899</v>
      </c>
      <c r="Y508" s="401" t="s">
        <v>2169</v>
      </c>
      <c r="Z508" s="607" t="s">
        <v>832</v>
      </c>
      <c r="AA508" s="1453" t="s">
        <v>128</v>
      </c>
      <c r="AB508" s="155"/>
      <c r="AC508" s="155"/>
      <c r="AD508" s="155"/>
      <c r="AE508" s="91" t="s">
        <v>80</v>
      </c>
      <c r="AF508" s="91"/>
      <c r="AG508" s="608">
        <f t="shared" si="296"/>
        <v>1152</v>
      </c>
      <c r="AH508" s="608"/>
      <c r="AI508" s="608"/>
      <c r="AJ508" s="608"/>
      <c r="AK508" s="609">
        <f t="shared" si="298"/>
        <v>1152</v>
      </c>
      <c r="AL508" s="609"/>
      <c r="AM508" s="609"/>
      <c r="AN508" s="609"/>
      <c r="AO508" s="615"/>
      <c r="AP508" s="609"/>
      <c r="AQ508" s="609">
        <f t="shared" si="300"/>
        <v>1152</v>
      </c>
      <c r="AR508" s="609"/>
      <c r="AS508" s="609"/>
      <c r="AT508" s="633"/>
      <c r="AU508" s="633"/>
      <c r="AV508" s="633">
        <f t="shared" si="301"/>
        <v>96</v>
      </c>
      <c r="AW508" s="633"/>
      <c r="AX508" s="633"/>
      <c r="AY508" s="633"/>
      <c r="AZ508" s="633"/>
      <c r="BA508" s="633"/>
      <c r="BB508" s="633"/>
      <c r="BC508" s="633"/>
      <c r="BD508" s="633"/>
      <c r="BE508" s="633"/>
      <c r="BF508" s="633"/>
      <c r="BG508" s="633"/>
      <c r="BH508" s="633"/>
      <c r="BI508" s="633"/>
      <c r="BJ508" s="633"/>
      <c r="BK508" s="633"/>
      <c r="BL508" s="633"/>
      <c r="BM508" s="401">
        <f t="shared" si="264"/>
        <v>1152</v>
      </c>
      <c r="BO508" s="1473"/>
      <c r="BP508" s="1473"/>
    </row>
    <row r="509" s="200" customFormat="1" ht="36" customHeight="1" spans="1:68">
      <c r="A509" s="526">
        <v>45450</v>
      </c>
      <c r="B509" s="1578" t="s">
        <v>587</v>
      </c>
      <c r="C509" s="1478" t="s">
        <v>117</v>
      </c>
      <c r="D509" s="534">
        <v>4500138385</v>
      </c>
      <c r="E509" s="530">
        <v>6631646315</v>
      </c>
      <c r="F509" s="534" t="s">
        <v>2170</v>
      </c>
      <c r="G509" s="531" t="s">
        <v>832</v>
      </c>
      <c r="H509" s="532" t="s">
        <v>833</v>
      </c>
      <c r="I509" s="401">
        <v>1152</v>
      </c>
      <c r="J509" s="562">
        <v>0</v>
      </c>
      <c r="K509" s="531">
        <v>1152</v>
      </c>
      <c r="L509" s="401">
        <f t="shared" si="295"/>
        <v>1</v>
      </c>
      <c r="M509" s="563">
        <v>45520</v>
      </c>
      <c r="N509" s="1495">
        <v>45518</v>
      </c>
      <c r="O509" s="1474" t="s">
        <v>2160</v>
      </c>
      <c r="P509" s="564" t="s">
        <v>92</v>
      </c>
      <c r="Q509" s="564" t="s">
        <v>2171</v>
      </c>
      <c r="R509" s="1523" t="s">
        <v>1102</v>
      </c>
      <c r="S509" s="564" t="s">
        <v>123</v>
      </c>
      <c r="T509" s="580" t="s">
        <v>2162</v>
      </c>
      <c r="U509" s="530" t="s">
        <v>993</v>
      </c>
      <c r="V509" s="564" t="s">
        <v>1006</v>
      </c>
      <c r="W509" s="592">
        <v>1624.9899</v>
      </c>
      <c r="X509" s="593">
        <f t="shared" si="299"/>
        <v>1624.9899</v>
      </c>
      <c r="Y509" s="401" t="s">
        <v>2169</v>
      </c>
      <c r="Z509" s="607" t="s">
        <v>832</v>
      </c>
      <c r="AA509" s="1453" t="s">
        <v>128</v>
      </c>
      <c r="AB509" s="155"/>
      <c r="AC509" s="155"/>
      <c r="AD509" s="155"/>
      <c r="AE509" s="91" t="s">
        <v>80</v>
      </c>
      <c r="AF509" s="91"/>
      <c r="AG509" s="608">
        <f t="shared" si="296"/>
        <v>1152</v>
      </c>
      <c r="AH509" s="608"/>
      <c r="AI509" s="608"/>
      <c r="AJ509" s="608"/>
      <c r="AK509" s="609">
        <f t="shared" si="298"/>
        <v>1152</v>
      </c>
      <c r="AL509" s="609"/>
      <c r="AM509" s="609"/>
      <c r="AN509" s="609"/>
      <c r="AO509" s="615"/>
      <c r="AP509" s="609"/>
      <c r="AQ509" s="609">
        <f t="shared" si="300"/>
        <v>1152</v>
      </c>
      <c r="AR509" s="609"/>
      <c r="AS509" s="609"/>
      <c r="AT509" s="633"/>
      <c r="AU509" s="633"/>
      <c r="AV509" s="633">
        <f t="shared" si="301"/>
        <v>96</v>
      </c>
      <c r="AW509" s="633"/>
      <c r="AX509" s="633"/>
      <c r="AY509" s="633"/>
      <c r="AZ509" s="633"/>
      <c r="BA509" s="633"/>
      <c r="BB509" s="633"/>
      <c r="BC509" s="633"/>
      <c r="BD509" s="633"/>
      <c r="BE509" s="633"/>
      <c r="BF509" s="633"/>
      <c r="BG509" s="633"/>
      <c r="BH509" s="633"/>
      <c r="BI509" s="633"/>
      <c r="BJ509" s="633"/>
      <c r="BK509" s="633"/>
      <c r="BL509" s="633"/>
      <c r="BM509" s="401">
        <f t="shared" si="264"/>
        <v>1152</v>
      </c>
      <c r="BO509" s="1473"/>
      <c r="BP509" s="1473"/>
    </row>
    <row r="510" s="200" customFormat="1" ht="36" customHeight="1" spans="1:68">
      <c r="A510" s="526">
        <v>45450</v>
      </c>
      <c r="B510" s="1578" t="s">
        <v>587</v>
      </c>
      <c r="C510" s="1478" t="s">
        <v>117</v>
      </c>
      <c r="D510" s="534">
        <v>4500138385</v>
      </c>
      <c r="E510" s="530">
        <v>6631646316</v>
      </c>
      <c r="F510" s="534" t="s">
        <v>2172</v>
      </c>
      <c r="G510" s="531" t="s">
        <v>832</v>
      </c>
      <c r="H510" s="532" t="s">
        <v>833</v>
      </c>
      <c r="I510" s="401">
        <v>1152</v>
      </c>
      <c r="J510" s="562">
        <v>0</v>
      </c>
      <c r="K510" s="531">
        <v>1152</v>
      </c>
      <c r="L510" s="401">
        <f t="shared" si="295"/>
        <v>1</v>
      </c>
      <c r="M510" s="563">
        <v>45520</v>
      </c>
      <c r="N510" s="1495">
        <v>45518</v>
      </c>
      <c r="O510" s="1474" t="s">
        <v>2160</v>
      </c>
      <c r="P510" s="564" t="s">
        <v>92</v>
      </c>
      <c r="Q510" s="564" t="s">
        <v>2173</v>
      </c>
      <c r="R510" s="1523" t="s">
        <v>1102</v>
      </c>
      <c r="S510" s="564" t="s">
        <v>123</v>
      </c>
      <c r="T510" s="580" t="s">
        <v>2162</v>
      </c>
      <c r="U510" s="530" t="s">
        <v>993</v>
      </c>
      <c r="V510" s="564" t="s">
        <v>1006</v>
      </c>
      <c r="W510" s="592">
        <v>1624.9899</v>
      </c>
      <c r="X510" s="593">
        <f t="shared" si="299"/>
        <v>1624.9899</v>
      </c>
      <c r="Y510" s="401" t="s">
        <v>2174</v>
      </c>
      <c r="Z510" s="607" t="s">
        <v>832</v>
      </c>
      <c r="AA510" s="1453" t="s">
        <v>128</v>
      </c>
      <c r="AB510" s="155"/>
      <c r="AC510" s="155"/>
      <c r="AD510" s="155"/>
      <c r="AE510" s="91" t="s">
        <v>80</v>
      </c>
      <c r="AF510" s="91"/>
      <c r="AG510" s="608">
        <f t="shared" si="296"/>
        <v>1152</v>
      </c>
      <c r="AH510" s="608"/>
      <c r="AI510" s="608"/>
      <c r="AJ510" s="608"/>
      <c r="AK510" s="609">
        <f t="shared" si="298"/>
        <v>1152</v>
      </c>
      <c r="AL510" s="609"/>
      <c r="AM510" s="609"/>
      <c r="AN510" s="609"/>
      <c r="AO510" s="615"/>
      <c r="AP510" s="609"/>
      <c r="AQ510" s="609">
        <f t="shared" si="300"/>
        <v>1152</v>
      </c>
      <c r="AR510" s="609"/>
      <c r="AS510" s="609"/>
      <c r="AT510" s="633"/>
      <c r="AU510" s="633"/>
      <c r="AV510" s="633">
        <f t="shared" si="301"/>
        <v>96</v>
      </c>
      <c r="AW510" s="633"/>
      <c r="AX510" s="633"/>
      <c r="AY510" s="633"/>
      <c r="AZ510" s="633"/>
      <c r="BA510" s="633"/>
      <c r="BB510" s="633"/>
      <c r="BC510" s="633"/>
      <c r="BD510" s="633"/>
      <c r="BE510" s="633"/>
      <c r="BF510" s="633"/>
      <c r="BG510" s="633"/>
      <c r="BH510" s="633"/>
      <c r="BI510" s="633"/>
      <c r="BJ510" s="633"/>
      <c r="BK510" s="633"/>
      <c r="BL510" s="633"/>
      <c r="BM510" s="401">
        <f t="shared" si="264"/>
        <v>1152</v>
      </c>
      <c r="BO510" s="1473"/>
      <c r="BP510" s="1473"/>
    </row>
    <row r="511" s="200" customFormat="1" ht="36" customHeight="1" spans="1:68">
      <c r="A511" s="526">
        <v>45450</v>
      </c>
      <c r="B511" s="1578" t="s">
        <v>587</v>
      </c>
      <c r="C511" s="1478" t="s">
        <v>117</v>
      </c>
      <c r="D511" s="534">
        <v>4500138385</v>
      </c>
      <c r="E511" s="530">
        <v>6631646317</v>
      </c>
      <c r="F511" s="534" t="s">
        <v>2175</v>
      </c>
      <c r="G511" s="531" t="s">
        <v>832</v>
      </c>
      <c r="H511" s="532" t="s">
        <v>833</v>
      </c>
      <c r="I511" s="401">
        <v>1152</v>
      </c>
      <c r="J511" s="562">
        <v>0</v>
      </c>
      <c r="K511" s="531">
        <v>1152</v>
      </c>
      <c r="L511" s="401">
        <f t="shared" si="295"/>
        <v>1</v>
      </c>
      <c r="M511" s="563">
        <v>45520</v>
      </c>
      <c r="N511" s="1495">
        <v>45518</v>
      </c>
      <c r="O511" s="1474" t="s">
        <v>2160</v>
      </c>
      <c r="P511" s="564" t="s">
        <v>92</v>
      </c>
      <c r="Q511" s="564" t="s">
        <v>1752</v>
      </c>
      <c r="R511" s="1523" t="s">
        <v>1102</v>
      </c>
      <c r="S511" s="564" t="s">
        <v>123</v>
      </c>
      <c r="T511" s="580" t="s">
        <v>2162</v>
      </c>
      <c r="U511" s="530" t="s">
        <v>993</v>
      </c>
      <c r="V511" s="564" t="s">
        <v>1006</v>
      </c>
      <c r="W511" s="592">
        <v>1624.9899</v>
      </c>
      <c r="X511" s="593">
        <f t="shared" si="299"/>
        <v>1624.9899</v>
      </c>
      <c r="Y511" s="401" t="s">
        <v>2176</v>
      </c>
      <c r="Z511" s="607" t="s">
        <v>832</v>
      </c>
      <c r="AA511" s="1453" t="s">
        <v>128</v>
      </c>
      <c r="AB511" s="155"/>
      <c r="AC511" s="155"/>
      <c r="AD511" s="155"/>
      <c r="AE511" s="91" t="s">
        <v>80</v>
      </c>
      <c r="AF511" s="91"/>
      <c r="AG511" s="608">
        <f t="shared" si="296"/>
        <v>1152</v>
      </c>
      <c r="AH511" s="608"/>
      <c r="AI511" s="608"/>
      <c r="AJ511" s="608"/>
      <c r="AK511" s="609">
        <f t="shared" si="298"/>
        <v>1152</v>
      </c>
      <c r="AL511" s="609"/>
      <c r="AM511" s="609"/>
      <c r="AN511" s="609"/>
      <c r="AO511" s="615"/>
      <c r="AP511" s="609"/>
      <c r="AQ511" s="609">
        <f t="shared" si="300"/>
        <v>1152</v>
      </c>
      <c r="AR511" s="609"/>
      <c r="AS511" s="609"/>
      <c r="AT511" s="633"/>
      <c r="AU511" s="633"/>
      <c r="AV511" s="633">
        <f t="shared" si="301"/>
        <v>96</v>
      </c>
      <c r="AW511" s="633"/>
      <c r="AX511" s="633"/>
      <c r="AY511" s="633"/>
      <c r="AZ511" s="633"/>
      <c r="BA511" s="633"/>
      <c r="BB511" s="633"/>
      <c r="BC511" s="633"/>
      <c r="BD511" s="633"/>
      <c r="BE511" s="633"/>
      <c r="BF511" s="633"/>
      <c r="BG511" s="633"/>
      <c r="BH511" s="633"/>
      <c r="BI511" s="633"/>
      <c r="BJ511" s="633"/>
      <c r="BK511" s="633"/>
      <c r="BL511" s="633"/>
      <c r="BM511" s="401">
        <f t="shared" si="264"/>
        <v>1152</v>
      </c>
      <c r="BO511" s="1473"/>
      <c r="BP511" s="1473"/>
    </row>
    <row r="512" s="200" customFormat="1" ht="36" customHeight="1" spans="1:68">
      <c r="A512" s="526">
        <v>45450</v>
      </c>
      <c r="B512" s="1578" t="s">
        <v>587</v>
      </c>
      <c r="C512" s="1478" t="s">
        <v>117</v>
      </c>
      <c r="D512" s="534">
        <v>4500138385</v>
      </c>
      <c r="E512" s="530">
        <v>6631646318</v>
      </c>
      <c r="F512" s="534" t="s">
        <v>2177</v>
      </c>
      <c r="G512" s="531" t="s">
        <v>832</v>
      </c>
      <c r="H512" s="532" t="s">
        <v>833</v>
      </c>
      <c r="I512" s="401">
        <v>1152</v>
      </c>
      <c r="J512" s="562">
        <v>0</v>
      </c>
      <c r="K512" s="531">
        <v>1152</v>
      </c>
      <c r="L512" s="401">
        <f t="shared" si="295"/>
        <v>1</v>
      </c>
      <c r="M512" s="563">
        <v>45520</v>
      </c>
      <c r="N512" s="1495">
        <v>45518</v>
      </c>
      <c r="O512" s="1474" t="s">
        <v>2160</v>
      </c>
      <c r="P512" s="564" t="s">
        <v>92</v>
      </c>
      <c r="Q512" s="564" t="s">
        <v>2178</v>
      </c>
      <c r="R512" s="1523" t="s">
        <v>1102</v>
      </c>
      <c r="S512" s="564" t="s">
        <v>123</v>
      </c>
      <c r="T512" s="580" t="s">
        <v>2162</v>
      </c>
      <c r="U512" s="530" t="s">
        <v>993</v>
      </c>
      <c r="V512" s="564" t="s">
        <v>1006</v>
      </c>
      <c r="W512" s="592">
        <v>1624.9899</v>
      </c>
      <c r="X512" s="593">
        <f t="shared" si="299"/>
        <v>1624.9899</v>
      </c>
      <c r="Y512" s="401" t="s">
        <v>2179</v>
      </c>
      <c r="Z512" s="607" t="s">
        <v>832</v>
      </c>
      <c r="AA512" s="1453" t="s">
        <v>128</v>
      </c>
      <c r="AB512" s="155"/>
      <c r="AC512" s="155"/>
      <c r="AD512" s="155"/>
      <c r="AE512" s="91" t="s">
        <v>80</v>
      </c>
      <c r="AF512" s="91"/>
      <c r="AG512" s="608">
        <f t="shared" si="296"/>
        <v>1152</v>
      </c>
      <c r="AH512" s="608"/>
      <c r="AI512" s="608"/>
      <c r="AJ512" s="608"/>
      <c r="AK512" s="609">
        <f t="shared" si="298"/>
        <v>1152</v>
      </c>
      <c r="AL512" s="609"/>
      <c r="AM512" s="609"/>
      <c r="AN512" s="609"/>
      <c r="AO512" s="615"/>
      <c r="AP512" s="609"/>
      <c r="AQ512" s="609">
        <f t="shared" si="300"/>
        <v>1152</v>
      </c>
      <c r="AR512" s="609"/>
      <c r="AS512" s="609"/>
      <c r="AT512" s="633"/>
      <c r="AU512" s="633"/>
      <c r="AV512" s="633">
        <f t="shared" si="301"/>
        <v>96</v>
      </c>
      <c r="AW512" s="633"/>
      <c r="AX512" s="633"/>
      <c r="AY512" s="633"/>
      <c r="AZ512" s="633"/>
      <c r="BA512" s="633"/>
      <c r="BB512" s="633"/>
      <c r="BC512" s="633"/>
      <c r="BD512" s="633"/>
      <c r="BE512" s="633"/>
      <c r="BF512" s="633"/>
      <c r="BG512" s="633"/>
      <c r="BH512" s="633"/>
      <c r="BI512" s="633"/>
      <c r="BJ512" s="633"/>
      <c r="BK512" s="633"/>
      <c r="BL512" s="633"/>
      <c r="BM512" s="401">
        <f t="shared" si="264"/>
        <v>1152</v>
      </c>
      <c r="BO512" s="1473"/>
      <c r="BP512" s="1473"/>
    </row>
    <row r="513" s="200" customFormat="1" ht="36" customHeight="1" spans="1:68">
      <c r="A513" s="526">
        <v>45450</v>
      </c>
      <c r="B513" s="1578" t="s">
        <v>587</v>
      </c>
      <c r="C513" s="1478" t="s">
        <v>117</v>
      </c>
      <c r="D513" s="534">
        <v>4500138385</v>
      </c>
      <c r="E513" s="530">
        <v>6631646319</v>
      </c>
      <c r="F513" s="534" t="s">
        <v>2180</v>
      </c>
      <c r="G513" s="531" t="s">
        <v>832</v>
      </c>
      <c r="H513" s="532" t="s">
        <v>833</v>
      </c>
      <c r="I513" s="401">
        <v>1152</v>
      </c>
      <c r="J513" s="562">
        <v>0</v>
      </c>
      <c r="K513" s="531">
        <v>1152</v>
      </c>
      <c r="L513" s="401">
        <f t="shared" si="295"/>
        <v>1</v>
      </c>
      <c r="M513" s="563">
        <v>45520</v>
      </c>
      <c r="N513" s="1495">
        <v>45518</v>
      </c>
      <c r="O513" s="1474" t="s">
        <v>2160</v>
      </c>
      <c r="P513" s="564" t="s">
        <v>92</v>
      </c>
      <c r="Q513" s="564" t="s">
        <v>2181</v>
      </c>
      <c r="R513" s="1523" t="s">
        <v>1102</v>
      </c>
      <c r="S513" s="564" t="s">
        <v>123</v>
      </c>
      <c r="T513" s="580" t="s">
        <v>2162</v>
      </c>
      <c r="U513" s="530" t="s">
        <v>993</v>
      </c>
      <c r="V513" s="564" t="s">
        <v>1006</v>
      </c>
      <c r="W513" s="592">
        <v>1624.9899</v>
      </c>
      <c r="X513" s="593">
        <f t="shared" si="299"/>
        <v>1624.9899</v>
      </c>
      <c r="Y513" s="401" t="s">
        <v>2182</v>
      </c>
      <c r="Z513" s="607" t="s">
        <v>832</v>
      </c>
      <c r="AA513" s="1453" t="s">
        <v>128</v>
      </c>
      <c r="AB513" s="155"/>
      <c r="AC513" s="155"/>
      <c r="AD513" s="155"/>
      <c r="AE513" s="91" t="s">
        <v>80</v>
      </c>
      <c r="AF513" s="91"/>
      <c r="AG513" s="608">
        <f t="shared" si="296"/>
        <v>1152</v>
      </c>
      <c r="AH513" s="608"/>
      <c r="AI513" s="608"/>
      <c r="AJ513" s="608"/>
      <c r="AK513" s="609">
        <f t="shared" si="298"/>
        <v>1152</v>
      </c>
      <c r="AL513" s="609"/>
      <c r="AM513" s="609"/>
      <c r="AN513" s="609"/>
      <c r="AO513" s="615"/>
      <c r="AP513" s="609"/>
      <c r="AQ513" s="609">
        <f t="shared" si="300"/>
        <v>1152</v>
      </c>
      <c r="AR513" s="609"/>
      <c r="AS513" s="609"/>
      <c r="AT513" s="633"/>
      <c r="AU513" s="633"/>
      <c r="AV513" s="633">
        <f t="shared" si="301"/>
        <v>96</v>
      </c>
      <c r="AW513" s="633"/>
      <c r="AX513" s="633"/>
      <c r="AY513" s="633"/>
      <c r="AZ513" s="633"/>
      <c r="BA513" s="633"/>
      <c r="BB513" s="633"/>
      <c r="BC513" s="633"/>
      <c r="BD513" s="633"/>
      <c r="BE513" s="633"/>
      <c r="BF513" s="633"/>
      <c r="BG513" s="633"/>
      <c r="BH513" s="633"/>
      <c r="BI513" s="633"/>
      <c r="BJ513" s="633"/>
      <c r="BK513" s="633"/>
      <c r="BL513" s="633"/>
      <c r="BM513" s="401">
        <f t="shared" si="264"/>
        <v>1152</v>
      </c>
      <c r="BO513" s="1473"/>
      <c r="BP513" s="1473"/>
    </row>
    <row r="514" s="200" customFormat="1" ht="36" customHeight="1" spans="1:68">
      <c r="A514" s="526">
        <v>45450</v>
      </c>
      <c r="B514" s="1578" t="s">
        <v>587</v>
      </c>
      <c r="C514" s="1478" t="s">
        <v>117</v>
      </c>
      <c r="D514" s="534">
        <v>4500138385</v>
      </c>
      <c r="E514" s="530">
        <v>6631646320</v>
      </c>
      <c r="F514" s="534" t="s">
        <v>2183</v>
      </c>
      <c r="G514" s="531" t="s">
        <v>832</v>
      </c>
      <c r="H514" s="532" t="s">
        <v>833</v>
      </c>
      <c r="I514" s="401">
        <v>1152</v>
      </c>
      <c r="J514" s="562">
        <v>0</v>
      </c>
      <c r="K514" s="531">
        <v>1152</v>
      </c>
      <c r="L514" s="401">
        <f t="shared" si="295"/>
        <v>1</v>
      </c>
      <c r="M514" s="563">
        <v>45520</v>
      </c>
      <c r="N514" s="1495">
        <v>45518</v>
      </c>
      <c r="O514" s="1474" t="s">
        <v>2160</v>
      </c>
      <c r="P514" s="564" t="s">
        <v>92</v>
      </c>
      <c r="Q514" s="564" t="s">
        <v>2173</v>
      </c>
      <c r="R514" s="1523" t="s">
        <v>1102</v>
      </c>
      <c r="S514" s="564" t="s">
        <v>123</v>
      </c>
      <c r="T514" s="580" t="s">
        <v>2162</v>
      </c>
      <c r="U514" s="530" t="s">
        <v>993</v>
      </c>
      <c r="V514" s="564" t="s">
        <v>1006</v>
      </c>
      <c r="W514" s="592">
        <v>1624.9899</v>
      </c>
      <c r="X514" s="593">
        <f t="shared" si="299"/>
        <v>1624.9899</v>
      </c>
      <c r="Y514" s="401" t="s">
        <v>2184</v>
      </c>
      <c r="Z514" s="607" t="s">
        <v>832</v>
      </c>
      <c r="AA514" s="1453" t="s">
        <v>128</v>
      </c>
      <c r="AB514" s="155"/>
      <c r="AC514" s="155"/>
      <c r="AD514" s="155"/>
      <c r="AE514" s="91" t="s">
        <v>80</v>
      </c>
      <c r="AF514" s="91"/>
      <c r="AG514" s="608">
        <f t="shared" si="296"/>
        <v>1152</v>
      </c>
      <c r="AH514" s="608"/>
      <c r="AI514" s="608"/>
      <c r="AJ514" s="608"/>
      <c r="AK514" s="609">
        <f t="shared" si="298"/>
        <v>1152</v>
      </c>
      <c r="AL514" s="609"/>
      <c r="AM514" s="609"/>
      <c r="AN514" s="609"/>
      <c r="AO514" s="615"/>
      <c r="AP514" s="609"/>
      <c r="AQ514" s="609">
        <f t="shared" si="300"/>
        <v>1152</v>
      </c>
      <c r="AR514" s="609"/>
      <c r="AS514" s="609"/>
      <c r="AT514" s="633"/>
      <c r="AU514" s="633"/>
      <c r="AV514" s="633">
        <f t="shared" si="301"/>
        <v>96</v>
      </c>
      <c r="AW514" s="633"/>
      <c r="AX514" s="633"/>
      <c r="AY514" s="633"/>
      <c r="AZ514" s="633"/>
      <c r="BA514" s="633"/>
      <c r="BB514" s="633"/>
      <c r="BC514" s="633"/>
      <c r="BD514" s="633"/>
      <c r="BE514" s="633"/>
      <c r="BF514" s="633"/>
      <c r="BG514" s="633"/>
      <c r="BH514" s="633"/>
      <c r="BI514" s="633"/>
      <c r="BJ514" s="633"/>
      <c r="BK514" s="633"/>
      <c r="BL514" s="633"/>
      <c r="BM514" s="401">
        <f t="shared" si="264"/>
        <v>1152</v>
      </c>
      <c r="BO514" s="1473"/>
      <c r="BP514" s="1473"/>
    </row>
    <row r="515" s="200" customFormat="1" ht="36" customHeight="1" spans="1:73">
      <c r="A515" s="533">
        <v>45448</v>
      </c>
      <c r="B515" s="527" t="s">
        <v>2185</v>
      </c>
      <c r="C515" s="528" t="s">
        <v>351</v>
      </c>
      <c r="D515" s="534">
        <v>4500135825</v>
      </c>
      <c r="E515" s="530" t="s">
        <v>2186</v>
      </c>
      <c r="F515" s="534" t="s">
        <v>2187</v>
      </c>
      <c r="G515" s="531" t="s">
        <v>628</v>
      </c>
      <c r="H515" s="532" t="s">
        <v>623</v>
      </c>
      <c r="I515" s="401">
        <v>636</v>
      </c>
      <c r="J515" s="562">
        <v>0</v>
      </c>
      <c r="K515" s="531">
        <v>12</v>
      </c>
      <c r="L515" s="401">
        <f t="shared" si="295"/>
        <v>53</v>
      </c>
      <c r="M515" s="563">
        <v>45524</v>
      </c>
      <c r="N515" s="563">
        <v>45520</v>
      </c>
      <c r="O515" s="564"/>
      <c r="P515" s="564" t="s">
        <v>92</v>
      </c>
      <c r="Q515" s="564" t="s">
        <v>2171</v>
      </c>
      <c r="R515" s="564">
        <v>45478</v>
      </c>
      <c r="S515" s="564" t="s">
        <v>77</v>
      </c>
      <c r="T515" s="1519" t="s">
        <v>2188</v>
      </c>
      <c r="U515" s="530" t="s">
        <v>2189</v>
      </c>
      <c r="V515" s="564" t="s">
        <v>647</v>
      </c>
      <c r="W515" s="592">
        <v>3.1012</v>
      </c>
      <c r="X515" s="593">
        <f t="shared" ref="X515:X530" si="302">I515*W515</f>
        <v>1972.3632</v>
      </c>
      <c r="Y515" s="401" t="s">
        <v>2190</v>
      </c>
      <c r="Z515" s="531" t="s">
        <v>729</v>
      </c>
      <c r="AA515" s="1453" t="s">
        <v>128</v>
      </c>
      <c r="AB515" s="155"/>
      <c r="AC515" s="155"/>
      <c r="AD515" s="155"/>
      <c r="AE515" s="91" t="s">
        <v>80</v>
      </c>
      <c r="AF515" s="91"/>
      <c r="AG515" s="608">
        <f t="shared" ref="AG515:AG518" si="303">I515*2</f>
        <v>1272</v>
      </c>
      <c r="AH515" s="608"/>
      <c r="AI515" s="608"/>
      <c r="AJ515" s="608"/>
      <c r="AK515" s="609"/>
      <c r="AL515" s="609">
        <f t="shared" ref="AL515:AL518" si="304">AG515</f>
        <v>1272</v>
      </c>
      <c r="AM515" s="609"/>
      <c r="AN515" s="609"/>
      <c r="AO515" s="615">
        <f t="shared" ref="AO515:AO518" si="305">AG515</f>
        <v>1272</v>
      </c>
      <c r="AP515" s="609"/>
      <c r="AQ515" s="609"/>
      <c r="AR515" s="609"/>
      <c r="AS515" s="609"/>
      <c r="AT515" s="633"/>
      <c r="AU515" s="633"/>
      <c r="AV515" s="633"/>
      <c r="AW515" s="633"/>
      <c r="AX515" s="633"/>
      <c r="AY515" s="633"/>
      <c r="AZ515" s="633"/>
      <c r="BA515" s="633"/>
      <c r="BB515" s="633"/>
      <c r="BC515" s="633"/>
      <c r="BD515" s="633"/>
      <c r="BE515" s="633"/>
      <c r="BF515" s="633"/>
      <c r="BG515" s="633"/>
      <c r="BH515" s="633"/>
      <c r="BI515" s="633"/>
      <c r="BJ515" s="633"/>
      <c r="BK515" s="633">
        <f t="shared" ref="BK515:BK518" si="306">I515</f>
        <v>636</v>
      </c>
      <c r="BL515" s="633">
        <f t="shared" ref="BL515:BL518" si="307">I515</f>
        <v>636</v>
      </c>
      <c r="BM515" s="401">
        <f t="shared" si="264"/>
        <v>1272</v>
      </c>
      <c r="BO515" s="1473"/>
      <c r="BP515" s="1473"/>
      <c r="BU515" s="1502" t="s">
        <v>1343</v>
      </c>
    </row>
    <row r="516" s="200" customFormat="1" ht="36" customHeight="1" spans="1:73">
      <c r="A516" s="533">
        <v>45448</v>
      </c>
      <c r="B516" s="527" t="s">
        <v>2185</v>
      </c>
      <c r="C516" s="528" t="s">
        <v>351</v>
      </c>
      <c r="D516" s="534">
        <v>4500135825</v>
      </c>
      <c r="E516" s="530" t="s">
        <v>2191</v>
      </c>
      <c r="F516" s="534" t="s">
        <v>2192</v>
      </c>
      <c r="G516" s="531" t="s">
        <v>628</v>
      </c>
      <c r="H516" s="532" t="s">
        <v>623</v>
      </c>
      <c r="I516" s="401">
        <v>168</v>
      </c>
      <c r="J516" s="562">
        <v>0</v>
      </c>
      <c r="K516" s="531">
        <v>12</v>
      </c>
      <c r="L516" s="401">
        <f t="shared" si="295"/>
        <v>14</v>
      </c>
      <c r="M516" s="563">
        <v>45524</v>
      </c>
      <c r="N516" s="563">
        <v>45520</v>
      </c>
      <c r="O516" s="564"/>
      <c r="P516" s="564" t="s">
        <v>92</v>
      </c>
      <c r="Q516" s="564" t="s">
        <v>2171</v>
      </c>
      <c r="R516" s="564">
        <v>45478</v>
      </c>
      <c r="S516" s="564" t="s">
        <v>77</v>
      </c>
      <c r="T516" s="1519" t="s">
        <v>2188</v>
      </c>
      <c r="U516" s="530" t="s">
        <v>2189</v>
      </c>
      <c r="V516" s="564" t="s">
        <v>647</v>
      </c>
      <c r="W516" s="592">
        <v>3.0641</v>
      </c>
      <c r="X516" s="593">
        <f t="shared" si="302"/>
        <v>514.7688</v>
      </c>
      <c r="Y516" s="401" t="s">
        <v>2190</v>
      </c>
      <c r="Z516" s="531" t="s">
        <v>729</v>
      </c>
      <c r="AA516" s="1453" t="s">
        <v>128</v>
      </c>
      <c r="AB516" s="155"/>
      <c r="AC516" s="155"/>
      <c r="AD516" s="155"/>
      <c r="AE516" s="91" t="s">
        <v>80</v>
      </c>
      <c r="AF516" s="91"/>
      <c r="AG516" s="608">
        <f t="shared" si="303"/>
        <v>336</v>
      </c>
      <c r="AH516" s="608"/>
      <c r="AI516" s="608"/>
      <c r="AJ516" s="608"/>
      <c r="AK516" s="609"/>
      <c r="AL516" s="609">
        <f t="shared" si="304"/>
        <v>336</v>
      </c>
      <c r="AM516" s="609"/>
      <c r="AN516" s="609"/>
      <c r="AO516" s="615">
        <f t="shared" si="305"/>
        <v>336</v>
      </c>
      <c r="AP516" s="609"/>
      <c r="AQ516" s="609"/>
      <c r="AR516" s="609"/>
      <c r="AS516" s="609"/>
      <c r="AT516" s="633"/>
      <c r="AU516" s="633"/>
      <c r="AV516" s="633"/>
      <c r="AW516" s="633"/>
      <c r="AX516" s="633"/>
      <c r="AY516" s="633"/>
      <c r="AZ516" s="633"/>
      <c r="BA516" s="633"/>
      <c r="BB516" s="633"/>
      <c r="BC516" s="633"/>
      <c r="BD516" s="633"/>
      <c r="BE516" s="633"/>
      <c r="BF516" s="633"/>
      <c r="BG516" s="633"/>
      <c r="BH516" s="633"/>
      <c r="BI516" s="633"/>
      <c r="BJ516" s="633"/>
      <c r="BK516" s="633">
        <f t="shared" si="306"/>
        <v>168</v>
      </c>
      <c r="BL516" s="633">
        <f t="shared" si="307"/>
        <v>168</v>
      </c>
      <c r="BM516" s="401">
        <f t="shared" ref="BM516:BM579" si="308">AG516+AH516+AI516</f>
        <v>336</v>
      </c>
      <c r="BO516" s="1473"/>
      <c r="BP516" s="1473"/>
      <c r="BU516" s="1502" t="s">
        <v>1343</v>
      </c>
    </row>
    <row r="517" s="200" customFormat="1" ht="36" customHeight="1" spans="1:73">
      <c r="A517" s="533">
        <v>45448</v>
      </c>
      <c r="B517" s="527" t="s">
        <v>2185</v>
      </c>
      <c r="C517" s="528" t="s">
        <v>351</v>
      </c>
      <c r="D517" s="534">
        <v>4500135825</v>
      </c>
      <c r="E517" s="530" t="s">
        <v>2193</v>
      </c>
      <c r="F517" s="534" t="s">
        <v>2194</v>
      </c>
      <c r="G517" s="531" t="s">
        <v>628</v>
      </c>
      <c r="H517" s="532" t="s">
        <v>623</v>
      </c>
      <c r="I517" s="401">
        <v>636</v>
      </c>
      <c r="J517" s="562">
        <v>0</v>
      </c>
      <c r="K517" s="531">
        <v>12</v>
      </c>
      <c r="L517" s="401">
        <f t="shared" si="295"/>
        <v>53</v>
      </c>
      <c r="M517" s="563">
        <v>45524</v>
      </c>
      <c r="N517" s="563">
        <v>45520</v>
      </c>
      <c r="O517" s="564"/>
      <c r="P517" s="564" t="s">
        <v>92</v>
      </c>
      <c r="Q517" s="564" t="s">
        <v>2171</v>
      </c>
      <c r="R517" s="564">
        <v>45478</v>
      </c>
      <c r="S517" s="564" t="s">
        <v>77</v>
      </c>
      <c r="T517" s="1519" t="s">
        <v>2188</v>
      </c>
      <c r="U517" s="530" t="s">
        <v>2189</v>
      </c>
      <c r="V517" s="564" t="s">
        <v>647</v>
      </c>
      <c r="W517" s="592">
        <v>3.0641</v>
      </c>
      <c r="X517" s="593">
        <f t="shared" si="302"/>
        <v>1948.7676</v>
      </c>
      <c r="Y517" s="401" t="s">
        <v>2190</v>
      </c>
      <c r="Z517" s="531" t="s">
        <v>729</v>
      </c>
      <c r="AA517" s="1453" t="s">
        <v>128</v>
      </c>
      <c r="AB517" s="155"/>
      <c r="AC517" s="155"/>
      <c r="AD517" s="155"/>
      <c r="AE517" s="91" t="s">
        <v>80</v>
      </c>
      <c r="AF517" s="91"/>
      <c r="AG517" s="608">
        <f t="shared" si="303"/>
        <v>1272</v>
      </c>
      <c r="AH517" s="608"/>
      <c r="AI517" s="608"/>
      <c r="AJ517" s="608"/>
      <c r="AK517" s="609"/>
      <c r="AL517" s="609">
        <f t="shared" si="304"/>
        <v>1272</v>
      </c>
      <c r="AM517" s="609"/>
      <c r="AN517" s="609"/>
      <c r="AO517" s="615">
        <f t="shared" si="305"/>
        <v>1272</v>
      </c>
      <c r="AP517" s="609"/>
      <c r="AQ517" s="609"/>
      <c r="AR517" s="609"/>
      <c r="AS517" s="609"/>
      <c r="AT517" s="633"/>
      <c r="AU517" s="633"/>
      <c r="AV517" s="633"/>
      <c r="AW517" s="633"/>
      <c r="AX517" s="633"/>
      <c r="AY517" s="633"/>
      <c r="AZ517" s="633"/>
      <c r="BA517" s="633"/>
      <c r="BB517" s="633"/>
      <c r="BC517" s="633"/>
      <c r="BD517" s="633"/>
      <c r="BE517" s="633"/>
      <c r="BF517" s="633"/>
      <c r="BG517" s="633"/>
      <c r="BH517" s="633"/>
      <c r="BI517" s="633"/>
      <c r="BJ517" s="633"/>
      <c r="BK517" s="633">
        <f t="shared" si="306"/>
        <v>636</v>
      </c>
      <c r="BL517" s="633">
        <f t="shared" si="307"/>
        <v>636</v>
      </c>
      <c r="BM517" s="401">
        <f t="shared" si="308"/>
        <v>1272</v>
      </c>
      <c r="BO517" s="1473"/>
      <c r="BP517" s="1473"/>
      <c r="BU517" s="1502" t="s">
        <v>1343</v>
      </c>
    </row>
    <row r="518" s="200" customFormat="1" ht="36" customHeight="1" spans="1:73">
      <c r="A518" s="533">
        <v>45448</v>
      </c>
      <c r="B518" s="527" t="s">
        <v>2185</v>
      </c>
      <c r="C518" s="528" t="s">
        <v>351</v>
      </c>
      <c r="D518" s="534">
        <v>4500135825</v>
      </c>
      <c r="E518" s="530" t="s">
        <v>2195</v>
      </c>
      <c r="F518" s="534" t="s">
        <v>2196</v>
      </c>
      <c r="G518" s="531" t="s">
        <v>628</v>
      </c>
      <c r="H518" s="532" t="s">
        <v>623</v>
      </c>
      <c r="I518" s="401">
        <v>168</v>
      </c>
      <c r="J518" s="562">
        <v>0</v>
      </c>
      <c r="K518" s="531">
        <v>12</v>
      </c>
      <c r="L518" s="401">
        <f t="shared" si="295"/>
        <v>14</v>
      </c>
      <c r="M518" s="563">
        <v>45524</v>
      </c>
      <c r="N518" s="563">
        <v>45520</v>
      </c>
      <c r="O518" s="564"/>
      <c r="P518" s="564" t="s">
        <v>92</v>
      </c>
      <c r="Q518" s="564" t="s">
        <v>2171</v>
      </c>
      <c r="R518" s="564">
        <v>45478</v>
      </c>
      <c r="S518" s="564" t="s">
        <v>77</v>
      </c>
      <c r="T518" s="1519" t="s">
        <v>2188</v>
      </c>
      <c r="U518" s="530" t="s">
        <v>2189</v>
      </c>
      <c r="V518" s="564" t="s">
        <v>647</v>
      </c>
      <c r="W518" s="592">
        <v>3.0641</v>
      </c>
      <c r="X518" s="593">
        <f t="shared" si="302"/>
        <v>514.7688</v>
      </c>
      <c r="Y518" s="401" t="s">
        <v>2190</v>
      </c>
      <c r="Z518" s="531" t="s">
        <v>729</v>
      </c>
      <c r="AA518" s="1453" t="s">
        <v>128</v>
      </c>
      <c r="AB518" s="155"/>
      <c r="AC518" s="155"/>
      <c r="AD518" s="155"/>
      <c r="AE518" s="91" t="s">
        <v>80</v>
      </c>
      <c r="AF518" s="91"/>
      <c r="AG518" s="608">
        <f t="shared" si="303"/>
        <v>336</v>
      </c>
      <c r="AH518" s="608"/>
      <c r="AI518" s="608"/>
      <c r="AJ518" s="608"/>
      <c r="AK518" s="609"/>
      <c r="AL518" s="609">
        <f t="shared" si="304"/>
        <v>336</v>
      </c>
      <c r="AM518" s="609"/>
      <c r="AN518" s="609"/>
      <c r="AO518" s="615">
        <f t="shared" si="305"/>
        <v>336</v>
      </c>
      <c r="AP518" s="609"/>
      <c r="AQ518" s="609"/>
      <c r="AR518" s="609"/>
      <c r="AS518" s="609"/>
      <c r="AT518" s="633"/>
      <c r="AU518" s="633"/>
      <c r="AV518" s="633"/>
      <c r="AW518" s="633"/>
      <c r="AX518" s="633"/>
      <c r="AY518" s="633"/>
      <c r="AZ518" s="633"/>
      <c r="BA518" s="633"/>
      <c r="BB518" s="633"/>
      <c r="BC518" s="633"/>
      <c r="BD518" s="633"/>
      <c r="BE518" s="633"/>
      <c r="BF518" s="633"/>
      <c r="BG518" s="633"/>
      <c r="BH518" s="633"/>
      <c r="BI518" s="633"/>
      <c r="BJ518" s="633"/>
      <c r="BK518" s="633">
        <f t="shared" si="306"/>
        <v>168</v>
      </c>
      <c r="BL518" s="633">
        <f t="shared" si="307"/>
        <v>168</v>
      </c>
      <c r="BM518" s="401">
        <f t="shared" si="308"/>
        <v>336</v>
      </c>
      <c r="BO518" s="1473"/>
      <c r="BP518" s="1473"/>
      <c r="BU518" s="1502" t="s">
        <v>1343</v>
      </c>
    </row>
    <row r="519" s="200" customFormat="1" ht="36" customHeight="1" spans="1:68">
      <c r="A519" s="1545">
        <v>45456</v>
      </c>
      <c r="B519" s="1507" t="s">
        <v>285</v>
      </c>
      <c r="C519" s="1508" t="s">
        <v>286</v>
      </c>
      <c r="D519" s="529">
        <v>4500137056</v>
      </c>
      <c r="E519" s="1479">
        <v>61856943</v>
      </c>
      <c r="F519" s="529" t="s">
        <v>2197</v>
      </c>
      <c r="G519" s="531" t="s">
        <v>96</v>
      </c>
      <c r="H519" s="532" t="s">
        <v>74</v>
      </c>
      <c r="I519" s="401">
        <v>5000</v>
      </c>
      <c r="J519" s="562">
        <v>0</v>
      </c>
      <c r="K519" s="531">
        <v>50</v>
      </c>
      <c r="L519" s="401">
        <f t="shared" si="295"/>
        <v>100</v>
      </c>
      <c r="M519" s="1495">
        <v>45512</v>
      </c>
      <c r="N519" s="1495">
        <v>45520</v>
      </c>
      <c r="O519" s="564" t="s">
        <v>2198</v>
      </c>
      <c r="P519" s="564" t="s">
        <v>92</v>
      </c>
      <c r="Q519" s="564" t="s">
        <v>2199</v>
      </c>
      <c r="R519" s="564">
        <v>45478</v>
      </c>
      <c r="S519" s="564" t="s">
        <v>77</v>
      </c>
      <c r="T519" s="564" t="s">
        <v>2200</v>
      </c>
      <c r="U519" s="530" t="s">
        <v>2201</v>
      </c>
      <c r="V519" s="564" t="s">
        <v>290</v>
      </c>
      <c r="W519" s="592">
        <v>1.4294</v>
      </c>
      <c r="X519" s="593">
        <f t="shared" si="302"/>
        <v>7147</v>
      </c>
      <c r="Y519" s="401" t="s">
        <v>2202</v>
      </c>
      <c r="Z519" s="607" t="s">
        <v>220</v>
      </c>
      <c r="AA519" s="1453" t="s">
        <v>128</v>
      </c>
      <c r="AB519" s="608"/>
      <c r="AC519" s="608"/>
      <c r="AD519" s="608"/>
      <c r="AE519" s="564" t="s">
        <v>80</v>
      </c>
      <c r="AF519" s="564"/>
      <c r="AG519" s="608">
        <f t="shared" ref="AG519:AG539" si="309">I519</f>
        <v>5000</v>
      </c>
      <c r="AH519" s="608"/>
      <c r="AI519" s="608"/>
      <c r="AJ519" s="608"/>
      <c r="AK519" s="609"/>
      <c r="AL519" s="609">
        <f>I519</f>
        <v>5000</v>
      </c>
      <c r="AM519" s="609"/>
      <c r="AN519" s="609"/>
      <c r="AO519" s="609">
        <f>I519</f>
        <v>5000</v>
      </c>
      <c r="AP519" s="609"/>
      <c r="AQ519" s="609"/>
      <c r="AR519" s="609"/>
      <c r="AS519" s="609"/>
      <c r="AT519" s="633"/>
      <c r="AU519" s="633"/>
      <c r="AV519" s="633"/>
      <c r="AW519" s="633"/>
      <c r="AX519" s="633"/>
      <c r="AY519" s="633"/>
      <c r="AZ519" s="633"/>
      <c r="BA519" s="633"/>
      <c r="BB519" s="633">
        <f>I519/25</f>
        <v>200</v>
      </c>
      <c r="BC519" s="633"/>
      <c r="BD519" s="633"/>
      <c r="BE519" s="633"/>
      <c r="BF519" s="633"/>
      <c r="BG519" s="633"/>
      <c r="BH519" s="633"/>
      <c r="BI519" s="633"/>
      <c r="BJ519" s="633"/>
      <c r="BK519" s="633"/>
      <c r="BL519" s="633"/>
      <c r="BM519" s="401">
        <f t="shared" si="308"/>
        <v>5000</v>
      </c>
      <c r="BO519" s="1473"/>
      <c r="BP519" s="1473"/>
    </row>
    <row r="520" s="200" customFormat="1" ht="36" customHeight="1" spans="1:68">
      <c r="A520" s="1545">
        <v>45476</v>
      </c>
      <c r="B520" s="1507" t="s">
        <v>285</v>
      </c>
      <c r="C520" s="1508" t="s">
        <v>286</v>
      </c>
      <c r="D520" s="529">
        <v>4500139217</v>
      </c>
      <c r="E520" s="1479" t="s">
        <v>2203</v>
      </c>
      <c r="F520" s="529" t="s">
        <v>2204</v>
      </c>
      <c r="G520" s="534" t="s">
        <v>96</v>
      </c>
      <c r="H520" s="532" t="s">
        <v>74</v>
      </c>
      <c r="I520" s="401">
        <v>1200</v>
      </c>
      <c r="J520" s="562">
        <v>0</v>
      </c>
      <c r="K520" s="531">
        <v>50</v>
      </c>
      <c r="L520" s="401">
        <f t="shared" si="295"/>
        <v>24</v>
      </c>
      <c r="M520" s="563">
        <v>45512</v>
      </c>
      <c r="N520" s="1495">
        <v>45520</v>
      </c>
      <c r="O520" s="564" t="s">
        <v>2198</v>
      </c>
      <c r="P520" s="564" t="s">
        <v>92</v>
      </c>
      <c r="Q520" s="564" t="s">
        <v>2199</v>
      </c>
      <c r="R520" s="564">
        <v>45484</v>
      </c>
      <c r="S520" s="564" t="s">
        <v>77</v>
      </c>
      <c r="T520" s="564" t="s">
        <v>2205</v>
      </c>
      <c r="U520" s="1499" t="s">
        <v>2206</v>
      </c>
      <c r="V520" s="564" t="s">
        <v>290</v>
      </c>
      <c r="W520" s="592">
        <v>1.4344</v>
      </c>
      <c r="X520" s="593">
        <f t="shared" si="302"/>
        <v>1721.28</v>
      </c>
      <c r="Y520" s="401" t="s">
        <v>2207</v>
      </c>
      <c r="Z520" s="607" t="s">
        <v>220</v>
      </c>
      <c r="AA520" s="1453" t="s">
        <v>128</v>
      </c>
      <c r="AB520" s="608"/>
      <c r="AC520" s="608"/>
      <c r="AD520" s="608"/>
      <c r="AE520" s="564" t="s">
        <v>80</v>
      </c>
      <c r="AF520" s="564"/>
      <c r="AG520" s="608">
        <f t="shared" si="309"/>
        <v>1200</v>
      </c>
      <c r="AH520" s="608"/>
      <c r="AI520" s="608"/>
      <c r="AJ520" s="608"/>
      <c r="AK520" s="609"/>
      <c r="AL520" s="609">
        <f>I520</f>
        <v>1200</v>
      </c>
      <c r="AM520" s="609"/>
      <c r="AN520" s="609"/>
      <c r="AO520" s="609">
        <f>I520</f>
        <v>1200</v>
      </c>
      <c r="AP520" s="609"/>
      <c r="AQ520" s="609"/>
      <c r="AR520" s="609"/>
      <c r="AS520" s="609"/>
      <c r="AT520" s="633"/>
      <c r="AU520" s="633"/>
      <c r="AV520" s="633"/>
      <c r="AW520" s="633"/>
      <c r="AX520" s="633"/>
      <c r="AY520" s="633"/>
      <c r="AZ520" s="633"/>
      <c r="BA520" s="633"/>
      <c r="BB520" s="633">
        <f>I520/25</f>
        <v>48</v>
      </c>
      <c r="BC520" s="633"/>
      <c r="BD520" s="633"/>
      <c r="BE520" s="633"/>
      <c r="BF520" s="633"/>
      <c r="BG520" s="633"/>
      <c r="BH520" s="633"/>
      <c r="BI520" s="633"/>
      <c r="BJ520" s="633"/>
      <c r="BK520" s="633"/>
      <c r="BL520" s="633"/>
      <c r="BM520" s="401">
        <f t="shared" si="308"/>
        <v>1200</v>
      </c>
      <c r="BO520" s="1473"/>
      <c r="BP520" s="1473"/>
    </row>
    <row r="521" s="200" customFormat="1" ht="36" customHeight="1" spans="1:73">
      <c r="A521" s="533">
        <v>45463</v>
      </c>
      <c r="B521" s="527" t="s">
        <v>151</v>
      </c>
      <c r="C521" s="1573" t="s">
        <v>117</v>
      </c>
      <c r="D521" s="534">
        <v>4500137817</v>
      </c>
      <c r="E521" s="530" t="s">
        <v>2208</v>
      </c>
      <c r="F521" s="534" t="s">
        <v>2209</v>
      </c>
      <c r="G521" s="531" t="s">
        <v>628</v>
      </c>
      <c r="H521" s="532" t="s">
        <v>623</v>
      </c>
      <c r="I521" s="401">
        <v>6000</v>
      </c>
      <c r="J521" s="562">
        <v>0</v>
      </c>
      <c r="K521" s="531">
        <v>12</v>
      </c>
      <c r="L521" s="401">
        <f t="shared" si="295"/>
        <v>500</v>
      </c>
      <c r="M521" s="563">
        <v>45525</v>
      </c>
      <c r="N521" s="563">
        <v>45521</v>
      </c>
      <c r="O521" s="564"/>
      <c r="P521" s="564" t="s">
        <v>92</v>
      </c>
      <c r="Q521" s="564" t="s">
        <v>2118</v>
      </c>
      <c r="R521" s="564">
        <v>45463</v>
      </c>
      <c r="S521" s="1599" t="s">
        <v>123</v>
      </c>
      <c r="T521" s="1552" t="s">
        <v>2138</v>
      </c>
      <c r="U521" s="530" t="s">
        <v>2004</v>
      </c>
      <c r="V521" s="564" t="s">
        <v>156</v>
      </c>
      <c r="W521" s="592">
        <v>3.0438</v>
      </c>
      <c r="X521" s="593">
        <f t="shared" si="302"/>
        <v>18262.8</v>
      </c>
      <c r="Y521" s="401" t="s">
        <v>2210</v>
      </c>
      <c r="Z521" s="607" t="s">
        <v>628</v>
      </c>
      <c r="AA521" s="1453" t="s">
        <v>128</v>
      </c>
      <c r="AB521" s="155"/>
      <c r="AC521" s="155"/>
      <c r="AD521" s="155"/>
      <c r="AE521" s="91" t="s">
        <v>80</v>
      </c>
      <c r="AF521" s="91"/>
      <c r="AG521" s="608">
        <f t="shared" ref="AG521:AG523" si="310">I521*2</f>
        <v>12000</v>
      </c>
      <c r="AH521" s="608"/>
      <c r="AI521" s="608"/>
      <c r="AJ521" s="609">
        <f>AG521</f>
        <v>12000</v>
      </c>
      <c r="AK521" s="609"/>
      <c r="AL521" s="609"/>
      <c r="AM521" s="609"/>
      <c r="AN521" s="609"/>
      <c r="AO521" s="615">
        <f t="shared" ref="AO521:AO528" si="311">AG521</f>
        <v>12000</v>
      </c>
      <c r="AP521" s="609"/>
      <c r="AQ521" s="609"/>
      <c r="AR521" s="609"/>
      <c r="AS521" s="609"/>
      <c r="AT521" s="633"/>
      <c r="AU521" s="633"/>
      <c r="AV521" s="633"/>
      <c r="AW521" s="633"/>
      <c r="AX521" s="633"/>
      <c r="AY521" s="633"/>
      <c r="AZ521" s="633"/>
      <c r="BA521" s="633"/>
      <c r="BB521" s="633"/>
      <c r="BC521" s="633"/>
      <c r="BD521" s="633"/>
      <c r="BE521" s="633"/>
      <c r="BF521" s="633"/>
      <c r="BG521" s="633"/>
      <c r="BH521" s="633"/>
      <c r="BI521" s="633"/>
      <c r="BJ521" s="633"/>
      <c r="BK521" s="633">
        <f t="shared" ref="BK521:BK523" si="312">I521</f>
        <v>6000</v>
      </c>
      <c r="BL521" s="633">
        <f t="shared" ref="BL521:BL523" si="313">I521</f>
        <v>6000</v>
      </c>
      <c r="BM521" s="401">
        <f t="shared" si="308"/>
        <v>12000</v>
      </c>
      <c r="BO521" s="1473"/>
      <c r="BP521" s="1473"/>
      <c r="BU521" s="1502" t="s">
        <v>2211</v>
      </c>
    </row>
    <row r="522" s="200" customFormat="1" ht="36" customHeight="1" spans="1:73">
      <c r="A522" s="533">
        <v>45476</v>
      </c>
      <c r="B522" s="1507" t="s">
        <v>151</v>
      </c>
      <c r="C522" s="1573" t="s">
        <v>117</v>
      </c>
      <c r="D522" s="529">
        <v>4500139201</v>
      </c>
      <c r="E522" s="1509" t="s">
        <v>2212</v>
      </c>
      <c r="F522" s="529" t="s">
        <v>2213</v>
      </c>
      <c r="G522" s="531" t="s">
        <v>628</v>
      </c>
      <c r="H522" s="532" t="s">
        <v>623</v>
      </c>
      <c r="I522" s="401">
        <v>1320</v>
      </c>
      <c r="J522" s="562">
        <v>0</v>
      </c>
      <c r="K522" s="531">
        <v>12</v>
      </c>
      <c r="L522" s="401">
        <f t="shared" si="295"/>
        <v>110</v>
      </c>
      <c r="M522" s="563">
        <v>45525</v>
      </c>
      <c r="N522" s="563">
        <v>45521</v>
      </c>
      <c r="O522" s="564"/>
      <c r="P522" s="564" t="s">
        <v>92</v>
      </c>
      <c r="Q522" s="564" t="s">
        <v>2118</v>
      </c>
      <c r="R522" s="564">
        <v>45476</v>
      </c>
      <c r="S522" s="1599" t="s">
        <v>123</v>
      </c>
      <c r="T522" s="1552" t="s">
        <v>2138</v>
      </c>
      <c r="U522" s="530" t="s">
        <v>2214</v>
      </c>
      <c r="V522" s="564" t="s">
        <v>156</v>
      </c>
      <c r="W522" s="592">
        <v>3.0641</v>
      </c>
      <c r="X522" s="593">
        <f t="shared" si="302"/>
        <v>4044.612</v>
      </c>
      <c r="Y522" s="401" t="s">
        <v>2140</v>
      </c>
      <c r="Z522" s="607" t="s">
        <v>628</v>
      </c>
      <c r="AA522" s="1453" t="s">
        <v>128</v>
      </c>
      <c r="AB522" s="155"/>
      <c r="AC522" s="155"/>
      <c r="AD522" s="155"/>
      <c r="AE522" s="91" t="s">
        <v>80</v>
      </c>
      <c r="AF522" s="91"/>
      <c r="AG522" s="608">
        <f t="shared" si="310"/>
        <v>2640</v>
      </c>
      <c r="AH522" s="608"/>
      <c r="AI522" s="608"/>
      <c r="AJ522" s="609">
        <f>AG522</f>
        <v>2640</v>
      </c>
      <c r="AK522" s="609"/>
      <c r="AL522" s="609"/>
      <c r="AM522" s="609"/>
      <c r="AN522" s="609"/>
      <c r="AO522" s="615">
        <f t="shared" si="311"/>
        <v>2640</v>
      </c>
      <c r="AP522" s="609"/>
      <c r="AQ522" s="609"/>
      <c r="AR522" s="609"/>
      <c r="AS522" s="609"/>
      <c r="AT522" s="633"/>
      <c r="AU522" s="633"/>
      <c r="AV522" s="633"/>
      <c r="AW522" s="633"/>
      <c r="AX522" s="633"/>
      <c r="AY522" s="633"/>
      <c r="AZ522" s="633"/>
      <c r="BA522" s="633"/>
      <c r="BB522" s="633"/>
      <c r="BC522" s="633"/>
      <c r="BD522" s="633"/>
      <c r="BE522" s="633"/>
      <c r="BF522" s="633"/>
      <c r="BG522" s="633"/>
      <c r="BH522" s="633"/>
      <c r="BI522" s="633"/>
      <c r="BJ522" s="633"/>
      <c r="BK522" s="633">
        <f t="shared" si="312"/>
        <v>1320</v>
      </c>
      <c r="BL522" s="633">
        <f t="shared" si="313"/>
        <v>1320</v>
      </c>
      <c r="BM522" s="401">
        <f t="shared" si="308"/>
        <v>2640</v>
      </c>
      <c r="BO522" s="1473"/>
      <c r="BP522" s="1473"/>
      <c r="BU522" s="200" t="s">
        <v>2096</v>
      </c>
    </row>
    <row r="523" s="200" customFormat="1" ht="36" customHeight="1" spans="1:73">
      <c r="A523" s="1477">
        <v>45474</v>
      </c>
      <c r="B523" s="1598" t="s">
        <v>816</v>
      </c>
      <c r="C523" s="1573" t="s">
        <v>117</v>
      </c>
      <c r="D523" s="529">
        <v>4500138871</v>
      </c>
      <c r="E523" s="1547" t="s">
        <v>2215</v>
      </c>
      <c r="F523" s="529" t="s">
        <v>2216</v>
      </c>
      <c r="G523" s="531" t="s">
        <v>628</v>
      </c>
      <c r="H523" s="532" t="s">
        <v>623</v>
      </c>
      <c r="I523" s="401">
        <v>600</v>
      </c>
      <c r="J523" s="562">
        <v>0</v>
      </c>
      <c r="K523" s="531">
        <v>12</v>
      </c>
      <c r="L523" s="401">
        <f t="shared" si="295"/>
        <v>50</v>
      </c>
      <c r="M523" s="563">
        <v>45527</v>
      </c>
      <c r="N523" s="563">
        <v>45523</v>
      </c>
      <c r="O523" s="564"/>
      <c r="P523" s="564" t="s">
        <v>1262</v>
      </c>
      <c r="Q523" s="564" t="s">
        <v>2217</v>
      </c>
      <c r="R523" s="564">
        <v>45483</v>
      </c>
      <c r="S523" s="564" t="s">
        <v>77</v>
      </c>
      <c r="T523" s="580" t="s">
        <v>2218</v>
      </c>
      <c r="U523" s="530" t="s">
        <v>2219</v>
      </c>
      <c r="V523" s="564" t="s">
        <v>163</v>
      </c>
      <c r="W523" s="592">
        <v>3.1012</v>
      </c>
      <c r="X523" s="593">
        <f t="shared" si="302"/>
        <v>1860.72</v>
      </c>
      <c r="Y523" s="401" t="s">
        <v>2220</v>
      </c>
      <c r="Z523" s="607" t="s">
        <v>822</v>
      </c>
      <c r="AA523" s="1453" t="s">
        <v>128</v>
      </c>
      <c r="AB523" s="155"/>
      <c r="AC523" s="155"/>
      <c r="AD523" s="155"/>
      <c r="AE523" s="91" t="s">
        <v>80</v>
      </c>
      <c r="AF523" s="91"/>
      <c r="AG523" s="608">
        <f t="shared" si="310"/>
        <v>1200</v>
      </c>
      <c r="AH523" s="608"/>
      <c r="AI523" s="1557"/>
      <c r="AK523" s="609">
        <f>AG523</f>
        <v>1200</v>
      </c>
      <c r="AL523" s="609"/>
      <c r="AM523" s="609"/>
      <c r="AN523" s="609"/>
      <c r="AO523" s="615">
        <f t="shared" si="311"/>
        <v>1200</v>
      </c>
      <c r="AP523" s="609"/>
      <c r="AQ523" s="609"/>
      <c r="AR523" s="609"/>
      <c r="AS523" s="609"/>
      <c r="AT523" s="633"/>
      <c r="AU523" s="633"/>
      <c r="AV523" s="633"/>
      <c r="AW523" s="633"/>
      <c r="AX523" s="633"/>
      <c r="AY523" s="633"/>
      <c r="AZ523" s="633"/>
      <c r="BA523" s="633"/>
      <c r="BB523" s="633"/>
      <c r="BC523" s="633"/>
      <c r="BD523" s="633"/>
      <c r="BE523" s="633"/>
      <c r="BF523" s="633"/>
      <c r="BG523" s="633"/>
      <c r="BH523" s="633"/>
      <c r="BI523" s="633"/>
      <c r="BJ523" s="633"/>
      <c r="BK523" s="633">
        <f t="shared" si="312"/>
        <v>600</v>
      </c>
      <c r="BL523" s="633">
        <f t="shared" si="313"/>
        <v>600</v>
      </c>
      <c r="BM523" s="401">
        <f t="shared" si="308"/>
        <v>1200</v>
      </c>
      <c r="BO523" s="1473"/>
      <c r="BP523" s="1473"/>
      <c r="BU523" s="200" t="s">
        <v>2221</v>
      </c>
    </row>
    <row r="524" s="200" customFormat="1" ht="36" customHeight="1" spans="1:68">
      <c r="A524" s="1601">
        <v>45477</v>
      </c>
      <c r="B524" s="1593" t="s">
        <v>2222</v>
      </c>
      <c r="C524" s="1578" t="s">
        <v>2223</v>
      </c>
      <c r="D524" s="1595">
        <v>4500139266</v>
      </c>
      <c r="E524" s="1602" t="s">
        <v>2224</v>
      </c>
      <c r="F524" s="1595" t="s">
        <v>2225</v>
      </c>
      <c r="G524" s="531" t="s">
        <v>403</v>
      </c>
      <c r="H524" s="532" t="s">
        <v>74</v>
      </c>
      <c r="I524" s="401">
        <v>780</v>
      </c>
      <c r="J524" s="562">
        <v>0</v>
      </c>
      <c r="K524" s="531">
        <v>52</v>
      </c>
      <c r="L524" s="401">
        <f t="shared" si="295"/>
        <v>15</v>
      </c>
      <c r="M524" s="563">
        <v>45527</v>
      </c>
      <c r="N524" s="563">
        <v>45523</v>
      </c>
      <c r="O524" s="564"/>
      <c r="P524" s="564" t="s">
        <v>1262</v>
      </c>
      <c r="Q524" s="564" t="s">
        <v>2226</v>
      </c>
      <c r="R524" s="564" t="s">
        <v>2227</v>
      </c>
      <c r="S524" s="564" t="s">
        <v>77</v>
      </c>
      <c r="T524" s="564" t="s">
        <v>77</v>
      </c>
      <c r="U524" s="530" t="s">
        <v>2228</v>
      </c>
      <c r="V524" s="564" t="s">
        <v>1140</v>
      </c>
      <c r="W524" s="592">
        <v>1.4096</v>
      </c>
      <c r="X524" s="593">
        <f t="shared" si="302"/>
        <v>1099.488</v>
      </c>
      <c r="Y524" s="401" t="s">
        <v>2229</v>
      </c>
      <c r="Z524" s="607" t="s">
        <v>403</v>
      </c>
      <c r="AA524" s="1453" t="s">
        <v>128</v>
      </c>
      <c r="AB524" s="608"/>
      <c r="AC524" s="608"/>
      <c r="AD524" s="608"/>
      <c r="AE524" s="564" t="s">
        <v>80</v>
      </c>
      <c r="AF524" s="564"/>
      <c r="AG524" s="608">
        <f t="shared" si="309"/>
        <v>780</v>
      </c>
      <c r="AH524" s="608"/>
      <c r="AI524" s="608"/>
      <c r="AJ524" s="609"/>
      <c r="AK524" s="609">
        <f>AG524</f>
        <v>780</v>
      </c>
      <c r="AL524" s="609"/>
      <c r="AM524" s="609"/>
      <c r="AN524" s="609"/>
      <c r="AO524" s="609">
        <f t="shared" si="311"/>
        <v>780</v>
      </c>
      <c r="AP524" s="609"/>
      <c r="AQ524" s="609"/>
      <c r="AR524" s="609"/>
      <c r="AS524" s="609"/>
      <c r="AT524" s="633"/>
      <c r="AU524" s="633"/>
      <c r="AV524" s="633"/>
      <c r="AW524" s="633"/>
      <c r="AX524" s="633"/>
      <c r="AY524" s="633">
        <f>AG524/13</f>
        <v>60</v>
      </c>
      <c r="AZ524" s="633"/>
      <c r="BA524" s="633"/>
      <c r="BB524" s="633"/>
      <c r="BC524" s="633"/>
      <c r="BD524" s="633"/>
      <c r="BE524" s="633"/>
      <c r="BF524" s="633"/>
      <c r="BG524" s="633"/>
      <c r="BH524" s="633"/>
      <c r="BI524" s="633"/>
      <c r="BJ524" s="633"/>
      <c r="BK524" s="633"/>
      <c r="BL524" s="633"/>
      <c r="BM524" s="401">
        <f t="shared" si="308"/>
        <v>780</v>
      </c>
      <c r="BO524" s="1473"/>
      <c r="BP524" s="1473"/>
    </row>
    <row r="525" s="200" customFormat="1" ht="36" customHeight="1" spans="1:68">
      <c r="A525" s="1601">
        <v>45477</v>
      </c>
      <c r="B525" s="1593" t="s">
        <v>315</v>
      </c>
      <c r="C525" s="1578" t="s">
        <v>477</v>
      </c>
      <c r="D525" s="1595">
        <v>4500139313</v>
      </c>
      <c r="E525" s="1602" t="s">
        <v>2230</v>
      </c>
      <c r="F525" s="1595" t="s">
        <v>2231</v>
      </c>
      <c r="G525" s="531" t="s">
        <v>73</v>
      </c>
      <c r="H525" s="532" t="s">
        <v>74</v>
      </c>
      <c r="I525" s="401">
        <v>3024</v>
      </c>
      <c r="J525" s="562">
        <v>0</v>
      </c>
      <c r="K525" s="531">
        <v>24</v>
      </c>
      <c r="L525" s="401">
        <f t="shared" si="295"/>
        <v>126</v>
      </c>
      <c r="M525" s="563">
        <v>45527</v>
      </c>
      <c r="N525" s="563">
        <v>45523</v>
      </c>
      <c r="O525" s="564" t="s">
        <v>2232</v>
      </c>
      <c r="P525" s="564" t="s">
        <v>92</v>
      </c>
      <c r="Q525" s="564" t="s">
        <v>2233</v>
      </c>
      <c r="R525" s="564" t="s">
        <v>1910</v>
      </c>
      <c r="S525" s="564" t="s">
        <v>123</v>
      </c>
      <c r="T525" s="1567" t="s">
        <v>2234</v>
      </c>
      <c r="U525" s="1499" t="s">
        <v>2235</v>
      </c>
      <c r="V525" s="564" t="s">
        <v>186</v>
      </c>
      <c r="W525" s="592">
        <v>1.3595</v>
      </c>
      <c r="X525" s="593">
        <f t="shared" si="302"/>
        <v>4111.128</v>
      </c>
      <c r="Y525" s="401" t="s">
        <v>2232</v>
      </c>
      <c r="Z525" s="607" t="s">
        <v>188</v>
      </c>
      <c r="AA525" s="1453" t="s">
        <v>128</v>
      </c>
      <c r="AB525" s="608"/>
      <c r="AC525" s="608"/>
      <c r="AD525" s="608"/>
      <c r="AE525" s="564" t="s">
        <v>80</v>
      </c>
      <c r="AF525" s="564"/>
      <c r="AG525" s="608">
        <f t="shared" si="309"/>
        <v>3024</v>
      </c>
      <c r="AH525" s="608"/>
      <c r="AI525" s="608"/>
      <c r="AJ525" s="609"/>
      <c r="AK525" s="609"/>
      <c r="AL525" s="401">
        <f t="shared" ref="AL525:AL528" si="314">AG525</f>
        <v>3024</v>
      </c>
      <c r="AM525" s="609"/>
      <c r="AN525" s="609"/>
      <c r="AO525" s="609">
        <f t="shared" si="311"/>
        <v>3024</v>
      </c>
      <c r="AP525" s="609"/>
      <c r="AQ525" s="609"/>
      <c r="AR525" s="609"/>
      <c r="AS525" s="609"/>
      <c r="AT525" s="633"/>
      <c r="AU525" s="633"/>
      <c r="AV525" s="633"/>
      <c r="AW525" s="633"/>
      <c r="AX525" s="633"/>
      <c r="AY525" s="633"/>
      <c r="AZ525" s="633"/>
      <c r="BA525" s="633"/>
      <c r="BB525" s="633"/>
      <c r="BC525" s="633"/>
      <c r="BD525" s="633"/>
      <c r="BE525" s="633"/>
      <c r="BF525" s="633"/>
      <c r="BG525" s="633"/>
      <c r="BH525" s="633"/>
      <c r="BI525" s="633"/>
      <c r="BJ525" s="633"/>
      <c r="BK525" s="633"/>
      <c r="BL525" s="633"/>
      <c r="BM525" s="401">
        <f t="shared" si="308"/>
        <v>3024</v>
      </c>
      <c r="BO525" s="1473"/>
      <c r="BP525" s="1473"/>
    </row>
    <row r="526" s="200" customFormat="1" ht="36" customHeight="1" spans="1:68">
      <c r="A526" s="1601">
        <v>45477</v>
      </c>
      <c r="B526" s="1593" t="s">
        <v>315</v>
      </c>
      <c r="C526" s="1578" t="s">
        <v>477</v>
      </c>
      <c r="D526" s="1595">
        <v>4500139313</v>
      </c>
      <c r="E526" s="1602" t="s">
        <v>2236</v>
      </c>
      <c r="F526" s="1595" t="s">
        <v>2237</v>
      </c>
      <c r="G526" s="531" t="s">
        <v>73</v>
      </c>
      <c r="H526" s="532" t="s">
        <v>74</v>
      </c>
      <c r="I526" s="401">
        <v>504</v>
      </c>
      <c r="J526" s="562">
        <v>0</v>
      </c>
      <c r="K526" s="531">
        <v>24</v>
      </c>
      <c r="L526" s="401">
        <f t="shared" si="295"/>
        <v>21</v>
      </c>
      <c r="M526" s="563">
        <v>45527</v>
      </c>
      <c r="N526" s="563">
        <v>45523</v>
      </c>
      <c r="O526" s="564"/>
      <c r="P526" s="564" t="s">
        <v>92</v>
      </c>
      <c r="Q526" s="564" t="s">
        <v>2238</v>
      </c>
      <c r="R526" s="564" t="s">
        <v>1910</v>
      </c>
      <c r="S526" s="564" t="s">
        <v>123</v>
      </c>
      <c r="T526" s="1567" t="s">
        <v>2234</v>
      </c>
      <c r="U526" s="1499" t="s">
        <v>2235</v>
      </c>
      <c r="V526" s="564" t="s">
        <v>186</v>
      </c>
      <c r="W526" s="592">
        <v>1.3595</v>
      </c>
      <c r="X526" s="593">
        <f t="shared" si="302"/>
        <v>685.188</v>
      </c>
      <c r="Y526" s="401" t="s">
        <v>2239</v>
      </c>
      <c r="Z526" s="607" t="s">
        <v>188</v>
      </c>
      <c r="AA526" s="1453" t="s">
        <v>128</v>
      </c>
      <c r="AB526" s="608"/>
      <c r="AC526" s="608"/>
      <c r="AD526" s="608"/>
      <c r="AE526" s="564" t="s">
        <v>80</v>
      </c>
      <c r="AF526" s="564"/>
      <c r="AG526" s="608">
        <f t="shared" si="309"/>
        <v>504</v>
      </c>
      <c r="AH526" s="608"/>
      <c r="AI526" s="608"/>
      <c r="AJ526" s="609"/>
      <c r="AK526" s="609"/>
      <c r="AL526" s="401">
        <f t="shared" si="314"/>
        <v>504</v>
      </c>
      <c r="AM526" s="609"/>
      <c r="AN526" s="609"/>
      <c r="AO526" s="609">
        <f t="shared" si="311"/>
        <v>504</v>
      </c>
      <c r="AP526" s="609"/>
      <c r="AQ526" s="609"/>
      <c r="AR526" s="609"/>
      <c r="AS526" s="609"/>
      <c r="AT526" s="633"/>
      <c r="AU526" s="633"/>
      <c r="AV526" s="633"/>
      <c r="AW526" s="633"/>
      <c r="AX526" s="633"/>
      <c r="AY526" s="633"/>
      <c r="AZ526" s="633"/>
      <c r="BA526" s="633"/>
      <c r="BB526" s="633"/>
      <c r="BC526" s="633"/>
      <c r="BD526" s="633"/>
      <c r="BE526" s="633"/>
      <c r="BF526" s="633"/>
      <c r="BG526" s="633"/>
      <c r="BH526" s="633"/>
      <c r="BI526" s="633"/>
      <c r="BJ526" s="633"/>
      <c r="BK526" s="633"/>
      <c r="BL526" s="633"/>
      <c r="BM526" s="401">
        <f t="shared" si="308"/>
        <v>504</v>
      </c>
      <c r="BO526" s="1473"/>
      <c r="BP526" s="1473"/>
    </row>
    <row r="527" s="200" customFormat="1" ht="36" customHeight="1" spans="1:68">
      <c r="A527" s="1601">
        <v>45481</v>
      </c>
      <c r="B527" s="1593" t="s">
        <v>449</v>
      </c>
      <c r="C527" s="1578" t="s">
        <v>213</v>
      </c>
      <c r="D527" s="1595">
        <v>4500139573</v>
      </c>
      <c r="E527" s="1602" t="s">
        <v>2240</v>
      </c>
      <c r="F527" s="1595" t="s">
        <v>2241</v>
      </c>
      <c r="G527" s="531" t="s">
        <v>73</v>
      </c>
      <c r="H527" s="532" t="s">
        <v>74</v>
      </c>
      <c r="I527" s="401">
        <v>504</v>
      </c>
      <c r="J527" s="562">
        <v>0</v>
      </c>
      <c r="K527" s="531">
        <v>24</v>
      </c>
      <c r="L527" s="401">
        <f t="shared" si="295"/>
        <v>21</v>
      </c>
      <c r="M527" s="563">
        <v>45527</v>
      </c>
      <c r="N527" s="563">
        <v>45523</v>
      </c>
      <c r="O527" s="564"/>
      <c r="P527" s="564" t="s">
        <v>92</v>
      </c>
      <c r="Q527" s="564" t="s">
        <v>2242</v>
      </c>
      <c r="R527" s="564" t="s">
        <v>1910</v>
      </c>
      <c r="S527" s="564" t="s">
        <v>123</v>
      </c>
      <c r="T527" s="1567" t="s">
        <v>2234</v>
      </c>
      <c r="U527" s="530" t="s">
        <v>2243</v>
      </c>
      <c r="V527" s="564" t="s">
        <v>186</v>
      </c>
      <c r="W527" s="592">
        <v>1.3645</v>
      </c>
      <c r="X527" s="593">
        <f t="shared" si="302"/>
        <v>687.708</v>
      </c>
      <c r="Y527" s="401" t="s">
        <v>2244</v>
      </c>
      <c r="Z527" s="607" t="s">
        <v>188</v>
      </c>
      <c r="AA527" s="1453" t="s">
        <v>128</v>
      </c>
      <c r="AB527" s="608"/>
      <c r="AC527" s="608"/>
      <c r="AD527" s="608"/>
      <c r="AE527" s="564" t="s">
        <v>80</v>
      </c>
      <c r="AF527" s="564"/>
      <c r="AG527" s="608">
        <f t="shared" si="309"/>
        <v>504</v>
      </c>
      <c r="AH527" s="608"/>
      <c r="AI527" s="608"/>
      <c r="AJ527" s="609"/>
      <c r="AK527" s="609"/>
      <c r="AL527" s="401">
        <f t="shared" si="314"/>
        <v>504</v>
      </c>
      <c r="AM527" s="609"/>
      <c r="AN527" s="609"/>
      <c r="AO527" s="609">
        <f t="shared" si="311"/>
        <v>504</v>
      </c>
      <c r="AP527" s="609"/>
      <c r="AQ527" s="609"/>
      <c r="AR527" s="609"/>
      <c r="AS527" s="609"/>
      <c r="AT527" s="633"/>
      <c r="AU527" s="633"/>
      <c r="AV527" s="633"/>
      <c r="AW527" s="633"/>
      <c r="AX527" s="633"/>
      <c r="AY527" s="633"/>
      <c r="AZ527" s="633"/>
      <c r="BA527" s="633"/>
      <c r="BB527" s="633"/>
      <c r="BC527" s="633"/>
      <c r="BD527" s="633"/>
      <c r="BE527" s="633"/>
      <c r="BF527" s="633"/>
      <c r="BG527" s="633"/>
      <c r="BH527" s="633"/>
      <c r="BI527" s="633"/>
      <c r="BJ527" s="633"/>
      <c r="BK527" s="633"/>
      <c r="BL527" s="633"/>
      <c r="BM527" s="401">
        <f t="shared" si="308"/>
        <v>504</v>
      </c>
      <c r="BO527" s="1473"/>
      <c r="BP527" s="1473"/>
    </row>
    <row r="528" s="200" customFormat="1" ht="36" customHeight="1" spans="1:68">
      <c r="A528" s="1601">
        <v>45481</v>
      </c>
      <c r="B528" s="1593" t="s">
        <v>179</v>
      </c>
      <c r="C528" s="1578" t="s">
        <v>180</v>
      </c>
      <c r="D528" s="1595">
        <v>4500139373</v>
      </c>
      <c r="E528" s="1602" t="s">
        <v>2245</v>
      </c>
      <c r="F528" s="1595" t="s">
        <v>2246</v>
      </c>
      <c r="G528" s="531" t="s">
        <v>73</v>
      </c>
      <c r="H528" s="532" t="s">
        <v>74</v>
      </c>
      <c r="I528" s="401">
        <v>1392</v>
      </c>
      <c r="J528" s="562">
        <v>0</v>
      </c>
      <c r="K528" s="531">
        <v>24</v>
      </c>
      <c r="L528" s="401">
        <f t="shared" si="295"/>
        <v>58</v>
      </c>
      <c r="M528" s="563">
        <v>45527</v>
      </c>
      <c r="N528" s="563">
        <v>45523</v>
      </c>
      <c r="O528" s="564"/>
      <c r="P528" s="564" t="s">
        <v>92</v>
      </c>
      <c r="Q528" s="564" t="s">
        <v>2226</v>
      </c>
      <c r="R528" s="564" t="s">
        <v>1910</v>
      </c>
      <c r="S528" s="564" t="s">
        <v>123</v>
      </c>
      <c r="T528" s="1567" t="s">
        <v>2234</v>
      </c>
      <c r="U528" s="530" t="s">
        <v>2247</v>
      </c>
      <c r="V528" s="564" t="s">
        <v>186</v>
      </c>
      <c r="W528" s="592">
        <v>1.3595</v>
      </c>
      <c r="X528" s="593">
        <f t="shared" si="302"/>
        <v>1892.424</v>
      </c>
      <c r="Y528" s="401" t="s">
        <v>2248</v>
      </c>
      <c r="Z528" s="607" t="s">
        <v>188</v>
      </c>
      <c r="AA528" s="1453" t="s">
        <v>128</v>
      </c>
      <c r="AB528" s="608"/>
      <c r="AC528" s="608"/>
      <c r="AD528" s="608"/>
      <c r="AE528" s="564" t="s">
        <v>80</v>
      </c>
      <c r="AF528" s="564"/>
      <c r="AG528" s="608">
        <f t="shared" si="309"/>
        <v>1392</v>
      </c>
      <c r="AH528" s="608"/>
      <c r="AI528" s="608"/>
      <c r="AJ528" s="609"/>
      <c r="AK528" s="609"/>
      <c r="AL528" s="401">
        <f t="shared" si="314"/>
        <v>1392</v>
      </c>
      <c r="AM528" s="609"/>
      <c r="AN528" s="609"/>
      <c r="AO528" s="609">
        <f t="shared" si="311"/>
        <v>1392</v>
      </c>
      <c r="AP528" s="609"/>
      <c r="AQ528" s="609"/>
      <c r="AR528" s="609"/>
      <c r="AS528" s="609"/>
      <c r="AT528" s="633"/>
      <c r="AU528" s="633"/>
      <c r="AV528" s="633"/>
      <c r="AW528" s="633"/>
      <c r="AX528" s="633"/>
      <c r="AY528" s="633"/>
      <c r="AZ528" s="633"/>
      <c r="BA528" s="633"/>
      <c r="BB528" s="633"/>
      <c r="BC528" s="633"/>
      <c r="BD528" s="633"/>
      <c r="BE528" s="633"/>
      <c r="BF528" s="633"/>
      <c r="BG528" s="633"/>
      <c r="BH528" s="633"/>
      <c r="BI528" s="633"/>
      <c r="BJ528" s="633"/>
      <c r="BK528" s="633"/>
      <c r="BL528" s="633"/>
      <c r="BM528" s="401">
        <f t="shared" si="308"/>
        <v>1392</v>
      </c>
      <c r="BO528" s="1473"/>
      <c r="BP528" s="1473"/>
    </row>
    <row r="529" s="200" customFormat="1" ht="36" customHeight="1" spans="1:68">
      <c r="A529" s="1601">
        <v>45481</v>
      </c>
      <c r="B529" s="1593" t="s">
        <v>1113</v>
      </c>
      <c r="C529" s="1578" t="s">
        <v>477</v>
      </c>
      <c r="D529" s="1595">
        <v>4500139599</v>
      </c>
      <c r="E529" s="1602" t="s">
        <v>2249</v>
      </c>
      <c r="F529" s="1595" t="s">
        <v>2250</v>
      </c>
      <c r="G529" s="531" t="s">
        <v>96</v>
      </c>
      <c r="H529" s="532" t="s">
        <v>74</v>
      </c>
      <c r="I529" s="401">
        <v>5000</v>
      </c>
      <c r="J529" s="562">
        <v>0</v>
      </c>
      <c r="K529" s="531">
        <v>50</v>
      </c>
      <c r="L529" s="401">
        <f t="shared" si="295"/>
        <v>100</v>
      </c>
      <c r="M529" s="563">
        <v>45527</v>
      </c>
      <c r="N529" s="563">
        <v>45523</v>
      </c>
      <c r="O529" s="564" t="s">
        <v>2251</v>
      </c>
      <c r="P529" s="200" t="s">
        <v>92</v>
      </c>
      <c r="Q529" s="564" t="s">
        <v>2252</v>
      </c>
      <c r="R529" s="564">
        <v>45481</v>
      </c>
      <c r="S529" s="564" t="s">
        <v>77</v>
      </c>
      <c r="T529" s="1567" t="s">
        <v>2253</v>
      </c>
      <c r="U529" s="530" t="s">
        <v>2254</v>
      </c>
      <c r="V529" s="564" t="s">
        <v>1707</v>
      </c>
      <c r="W529" s="592">
        <v>1.4294</v>
      </c>
      <c r="X529" s="593">
        <f t="shared" si="302"/>
        <v>7147</v>
      </c>
      <c r="Y529" s="401" t="s">
        <v>2255</v>
      </c>
      <c r="Z529" s="607" t="s">
        <v>220</v>
      </c>
      <c r="AA529" s="1453" t="s">
        <v>128</v>
      </c>
      <c r="AB529" s="155"/>
      <c r="AC529" s="155"/>
      <c r="AD529" s="155"/>
      <c r="AE529" s="91" t="s">
        <v>80</v>
      </c>
      <c r="AF529" s="91"/>
      <c r="AG529" s="608">
        <f t="shared" si="309"/>
        <v>5000</v>
      </c>
      <c r="AH529" s="608"/>
      <c r="AI529" s="608"/>
      <c r="AJ529" s="609"/>
      <c r="AK529" s="609"/>
      <c r="AL529" s="609">
        <f>I529</f>
        <v>5000</v>
      </c>
      <c r="AM529" s="609"/>
      <c r="AN529" s="609"/>
      <c r="AO529" s="609">
        <f t="shared" ref="AO529:AO537" si="315">I529</f>
        <v>5000</v>
      </c>
      <c r="AP529" s="609"/>
      <c r="AQ529" s="609"/>
      <c r="AR529" s="609"/>
      <c r="AS529" s="609"/>
      <c r="AT529" s="633"/>
      <c r="AU529" s="633"/>
      <c r="AV529" s="633"/>
      <c r="AW529" s="633"/>
      <c r="AX529" s="633"/>
      <c r="AY529" s="633"/>
      <c r="AZ529" s="633"/>
      <c r="BA529" s="633"/>
      <c r="BB529" s="633">
        <f>I529/25</f>
        <v>200</v>
      </c>
      <c r="BC529" s="633"/>
      <c r="BD529" s="633"/>
      <c r="BE529" s="633"/>
      <c r="BF529" s="633"/>
      <c r="BG529" s="633"/>
      <c r="BH529" s="633"/>
      <c r="BI529" s="633"/>
      <c r="BJ529" s="633"/>
      <c r="BK529" s="633"/>
      <c r="BL529" s="633"/>
      <c r="BM529" s="401">
        <f t="shared" si="308"/>
        <v>5000</v>
      </c>
      <c r="BO529" s="1473"/>
      <c r="BP529" s="1473"/>
    </row>
    <row r="530" s="200" customFormat="1" ht="36" customHeight="1" spans="1:68">
      <c r="A530" s="1601">
        <v>45481</v>
      </c>
      <c r="B530" s="1593" t="s">
        <v>580</v>
      </c>
      <c r="C530" s="1578" t="s">
        <v>581</v>
      </c>
      <c r="D530" s="1595">
        <v>4500139765</v>
      </c>
      <c r="E530" s="1602" t="s">
        <v>2256</v>
      </c>
      <c r="F530" s="1595" t="s">
        <v>2257</v>
      </c>
      <c r="G530" s="531" t="s">
        <v>207</v>
      </c>
      <c r="H530" s="532" t="s">
        <v>74</v>
      </c>
      <c r="I530" s="401">
        <v>960</v>
      </c>
      <c r="J530" s="562">
        <v>0</v>
      </c>
      <c r="K530" s="531">
        <v>48</v>
      </c>
      <c r="L530" s="401">
        <f t="shared" si="295"/>
        <v>20</v>
      </c>
      <c r="M530" s="563">
        <v>45527</v>
      </c>
      <c r="N530" s="563">
        <v>45523</v>
      </c>
      <c r="O530" s="564"/>
      <c r="P530" s="564" t="s">
        <v>1262</v>
      </c>
      <c r="Q530" s="564" t="s">
        <v>2113</v>
      </c>
      <c r="R530" s="564">
        <v>45481</v>
      </c>
      <c r="S530" s="564" t="s">
        <v>77</v>
      </c>
      <c r="T530" s="1567" t="s">
        <v>2258</v>
      </c>
      <c r="U530" s="530" t="s">
        <v>2259</v>
      </c>
      <c r="V530" s="564" t="s">
        <v>585</v>
      </c>
      <c r="W530" s="592">
        <v>1.3917</v>
      </c>
      <c r="X530" s="593">
        <f t="shared" si="302"/>
        <v>1336.032</v>
      </c>
      <c r="Y530" s="401" t="s">
        <v>2260</v>
      </c>
      <c r="Z530" s="595" t="s">
        <v>207</v>
      </c>
      <c r="AA530" s="1453" t="s">
        <v>128</v>
      </c>
      <c r="AB530" s="608"/>
      <c r="AC530" s="608"/>
      <c r="AD530" s="608"/>
      <c r="AE530" s="564" t="s">
        <v>80</v>
      </c>
      <c r="AF530" s="564"/>
      <c r="AG530" s="608">
        <f t="shared" si="309"/>
        <v>960</v>
      </c>
      <c r="AH530" s="608"/>
      <c r="AI530" s="608"/>
      <c r="AJ530" s="609"/>
      <c r="AK530" s="401">
        <f t="shared" ref="AK530:AK537" si="316">I530</f>
        <v>960</v>
      </c>
      <c r="AL530" s="609"/>
      <c r="AM530" s="609"/>
      <c r="AN530" s="609"/>
      <c r="AO530" s="609">
        <f>AG530</f>
        <v>960</v>
      </c>
      <c r="AP530" s="609"/>
      <c r="AQ530" s="609"/>
      <c r="AR530" s="609"/>
      <c r="AS530" s="609"/>
      <c r="AT530" s="633"/>
      <c r="AU530" s="633"/>
      <c r="AV530" s="633"/>
      <c r="AW530" s="633">
        <f>I530/12</f>
        <v>80</v>
      </c>
      <c r="AX530" s="633"/>
      <c r="AY530" s="633"/>
      <c r="AZ530" s="633"/>
      <c r="BA530" s="633"/>
      <c r="BB530" s="633"/>
      <c r="BC530" s="633"/>
      <c r="BD530" s="633"/>
      <c r="BE530" s="633"/>
      <c r="BF530" s="633"/>
      <c r="BG530" s="633"/>
      <c r="BH530" s="633"/>
      <c r="BI530" s="633"/>
      <c r="BJ530" s="633"/>
      <c r="BK530" s="633"/>
      <c r="BL530" s="633"/>
      <c r="BM530" s="401">
        <f t="shared" si="308"/>
        <v>960</v>
      </c>
      <c r="BO530" s="1473"/>
      <c r="BP530" s="1473"/>
    </row>
    <row r="531" s="200" customFormat="1" ht="36" customHeight="1" spans="1:68">
      <c r="A531" s="1601">
        <v>45489</v>
      </c>
      <c r="B531" s="1593" t="s">
        <v>116</v>
      </c>
      <c r="C531" s="1478" t="s">
        <v>117</v>
      </c>
      <c r="D531" s="1595">
        <v>4500140171</v>
      </c>
      <c r="E531" s="1602" t="s">
        <v>2261</v>
      </c>
      <c r="F531" s="1595" t="s">
        <v>2262</v>
      </c>
      <c r="G531" s="531" t="s">
        <v>120</v>
      </c>
      <c r="H531" s="532" t="s">
        <v>74</v>
      </c>
      <c r="I531" s="401">
        <v>11340</v>
      </c>
      <c r="J531" s="562">
        <v>0</v>
      </c>
      <c r="K531" s="531">
        <v>21</v>
      </c>
      <c r="L531" s="401">
        <f t="shared" si="295"/>
        <v>540</v>
      </c>
      <c r="M531" s="563">
        <v>45530</v>
      </c>
      <c r="N531" s="563">
        <v>45526</v>
      </c>
      <c r="O531" s="564"/>
      <c r="P531" s="564" t="s">
        <v>92</v>
      </c>
      <c r="Q531" s="564" t="s">
        <v>2263</v>
      </c>
      <c r="R531" s="564">
        <v>45497</v>
      </c>
      <c r="S531" s="564" t="s">
        <v>123</v>
      </c>
      <c r="T531" s="1519" t="s">
        <v>2264</v>
      </c>
      <c r="U531" s="530" t="s">
        <v>1423</v>
      </c>
      <c r="V531" s="564" t="s">
        <v>126</v>
      </c>
      <c r="W531" s="592">
        <v>1.4296</v>
      </c>
      <c r="X531" s="593">
        <f>W531*L531</f>
        <v>771.984</v>
      </c>
      <c r="Y531" s="401" t="s">
        <v>2265</v>
      </c>
      <c r="Z531" s="607" t="s">
        <v>120</v>
      </c>
      <c r="AA531" s="1453" t="s">
        <v>128</v>
      </c>
      <c r="AB531" s="155"/>
      <c r="AC531" s="155"/>
      <c r="AD531" s="155"/>
      <c r="AE531" s="91" t="s">
        <v>80</v>
      </c>
      <c r="AF531" s="91"/>
      <c r="AG531" s="608">
        <f t="shared" si="309"/>
        <v>11340</v>
      </c>
      <c r="AH531" s="608"/>
      <c r="AI531" s="1557"/>
      <c r="AK531" s="609">
        <f>AG531</f>
        <v>11340</v>
      </c>
      <c r="AL531" s="401"/>
      <c r="AM531" s="609"/>
      <c r="AN531" s="609"/>
      <c r="AO531" s="615">
        <f t="shared" si="315"/>
        <v>11340</v>
      </c>
      <c r="AP531" s="609"/>
      <c r="AQ531" s="609"/>
      <c r="AR531" s="609"/>
      <c r="AS531" s="609">
        <f>I531/21</f>
        <v>540</v>
      </c>
      <c r="AT531" s="633"/>
      <c r="AU531" s="633"/>
      <c r="AV531" s="633"/>
      <c r="AW531" s="633"/>
      <c r="AX531" s="633"/>
      <c r="AY531" s="633"/>
      <c r="AZ531" s="633"/>
      <c r="BA531" s="633"/>
      <c r="BB531" s="633"/>
      <c r="BC531" s="633"/>
      <c r="BD531" s="633"/>
      <c r="BE531" s="633"/>
      <c r="BF531" s="633"/>
      <c r="BG531" s="633"/>
      <c r="BH531" s="633"/>
      <c r="BI531" s="633"/>
      <c r="BJ531" s="633"/>
      <c r="BK531" s="633"/>
      <c r="BL531" s="633"/>
      <c r="BM531" s="401">
        <f t="shared" si="308"/>
        <v>11340</v>
      </c>
      <c r="BO531" s="1473"/>
      <c r="BP531" s="1473"/>
    </row>
    <row r="532" s="200" customFormat="1" ht="36" customHeight="1" spans="1:68">
      <c r="A532" s="533">
        <v>45369</v>
      </c>
      <c r="B532" s="527" t="s">
        <v>523</v>
      </c>
      <c r="C532" s="528" t="s">
        <v>351</v>
      </c>
      <c r="D532" s="534">
        <v>4500127150</v>
      </c>
      <c r="E532" s="530">
        <v>2300875210</v>
      </c>
      <c r="F532" s="534" t="s">
        <v>2266</v>
      </c>
      <c r="G532" s="531" t="s">
        <v>826</v>
      </c>
      <c r="H532" s="532" t="s">
        <v>74</v>
      </c>
      <c r="I532" s="1496">
        <v>2775</v>
      </c>
      <c r="J532" s="1496">
        <v>0</v>
      </c>
      <c r="K532" s="1496">
        <v>25</v>
      </c>
      <c r="L532" s="1496">
        <f t="shared" si="295"/>
        <v>111</v>
      </c>
      <c r="M532" s="563">
        <v>45532</v>
      </c>
      <c r="N532" s="563">
        <v>45528</v>
      </c>
      <c r="O532" s="1474" t="s">
        <v>2267</v>
      </c>
      <c r="P532" s="564" t="s">
        <v>92</v>
      </c>
      <c r="Q532" s="564" t="s">
        <v>2268</v>
      </c>
      <c r="R532" s="564">
        <v>45484</v>
      </c>
      <c r="S532" s="564" t="s">
        <v>77</v>
      </c>
      <c r="T532" s="564" t="s">
        <v>77</v>
      </c>
      <c r="U532" s="530" t="s">
        <v>2069</v>
      </c>
      <c r="V532" s="564" t="s">
        <v>529</v>
      </c>
      <c r="W532" s="592">
        <v>1.4344</v>
      </c>
      <c r="X532" s="593">
        <f t="shared" ref="X532:X540" si="317">I532*W532</f>
        <v>3980.46</v>
      </c>
      <c r="Y532" s="401" t="s">
        <v>2269</v>
      </c>
      <c r="Z532" s="607" t="s">
        <v>945</v>
      </c>
      <c r="AA532" s="1453" t="s">
        <v>128</v>
      </c>
      <c r="AB532" s="608"/>
      <c r="AC532" s="608"/>
      <c r="AD532" s="608"/>
      <c r="AE532" s="564" t="s">
        <v>80</v>
      </c>
      <c r="AF532" s="564"/>
      <c r="AG532" s="608">
        <f t="shared" si="309"/>
        <v>2775</v>
      </c>
      <c r="AH532" s="608"/>
      <c r="AI532" s="608"/>
      <c r="AJ532" s="608"/>
      <c r="AK532" s="609"/>
      <c r="AL532" s="609"/>
      <c r="AM532" s="609"/>
      <c r="AN532" s="609">
        <f>I532</f>
        <v>2775</v>
      </c>
      <c r="AO532" s="609">
        <f t="shared" si="315"/>
        <v>2775</v>
      </c>
      <c r="AP532" s="609"/>
      <c r="AQ532" s="609"/>
      <c r="AR532" s="609"/>
      <c r="AS532" s="609"/>
      <c r="AT532" s="633"/>
      <c r="AU532" s="633"/>
      <c r="AV532" s="633"/>
      <c r="AW532" s="633"/>
      <c r="AX532" s="633"/>
      <c r="AY532" s="633"/>
      <c r="AZ532" s="633"/>
      <c r="BA532" s="633"/>
      <c r="BB532" s="633">
        <f>I532/25</f>
        <v>111</v>
      </c>
      <c r="BC532" s="633"/>
      <c r="BD532" s="633"/>
      <c r="BE532" s="633"/>
      <c r="BF532" s="633"/>
      <c r="BG532" s="633"/>
      <c r="BH532" s="633"/>
      <c r="BI532" s="633"/>
      <c r="BJ532" s="633"/>
      <c r="BK532" s="633"/>
      <c r="BL532" s="633"/>
      <c r="BM532" s="401">
        <f t="shared" si="308"/>
        <v>2775</v>
      </c>
      <c r="BO532" s="1473"/>
      <c r="BP532" s="1473"/>
    </row>
    <row r="533" s="200" customFormat="1" ht="36" customHeight="1" spans="1:68">
      <c r="A533" s="1601">
        <v>45491</v>
      </c>
      <c r="B533" s="1593" t="s">
        <v>485</v>
      </c>
      <c r="C533" s="1561" t="s">
        <v>233</v>
      </c>
      <c r="D533" s="1595">
        <v>4500140727</v>
      </c>
      <c r="E533" s="1602" t="s">
        <v>2270</v>
      </c>
      <c r="F533" s="1595" t="s">
        <v>2271</v>
      </c>
      <c r="G533" s="531" t="s">
        <v>386</v>
      </c>
      <c r="H533" s="532" t="s">
        <v>74</v>
      </c>
      <c r="I533" s="511">
        <v>4500</v>
      </c>
      <c r="J533" s="562">
        <v>0</v>
      </c>
      <c r="K533" s="531">
        <v>60</v>
      </c>
      <c r="L533" s="401">
        <f t="shared" si="295"/>
        <v>75</v>
      </c>
      <c r="M533" s="563">
        <v>45530</v>
      </c>
      <c r="N533" s="563">
        <v>45526</v>
      </c>
      <c r="O533" s="564"/>
      <c r="P533" s="564" t="s">
        <v>92</v>
      </c>
      <c r="Q533" s="564" t="s">
        <v>2272</v>
      </c>
      <c r="R533" s="564">
        <v>45491</v>
      </c>
      <c r="S533" s="564" t="s">
        <v>77</v>
      </c>
      <c r="T533" s="1567" t="s">
        <v>2273</v>
      </c>
      <c r="U533" s="530" t="s">
        <v>2274</v>
      </c>
      <c r="V533" s="564" t="s">
        <v>491</v>
      </c>
      <c r="W533" s="592">
        <v>100.2353</v>
      </c>
      <c r="X533" s="593">
        <f>W533*I533</f>
        <v>451058.85</v>
      </c>
      <c r="Y533" s="401" t="s">
        <v>2275</v>
      </c>
      <c r="Z533" s="607" t="s">
        <v>1570</v>
      </c>
      <c r="AA533" s="1453" t="s">
        <v>128</v>
      </c>
      <c r="AB533" s="608"/>
      <c r="AC533" s="608"/>
      <c r="AD533" s="608"/>
      <c r="AE533" s="564" t="s">
        <v>80</v>
      </c>
      <c r="AF533" s="564"/>
      <c r="AG533" s="608">
        <f t="shared" si="309"/>
        <v>4500</v>
      </c>
      <c r="AH533" s="608"/>
      <c r="AI533" s="1557"/>
      <c r="AK533" s="401">
        <f t="shared" si="316"/>
        <v>4500</v>
      </c>
      <c r="AL533" s="401"/>
      <c r="AM533" s="609"/>
      <c r="AN533" s="609"/>
      <c r="AO533" s="609">
        <f t="shared" si="315"/>
        <v>4500</v>
      </c>
      <c r="AP533" s="609"/>
      <c r="AQ533" s="609"/>
      <c r="AR533" s="609"/>
      <c r="AS533" s="609"/>
      <c r="AT533" s="633"/>
      <c r="AU533" s="633"/>
      <c r="AV533" s="633"/>
      <c r="AW533" s="633"/>
      <c r="AX533" s="633"/>
      <c r="AY533" s="633"/>
      <c r="AZ533" s="633"/>
      <c r="BA533" s="633"/>
      <c r="BB533" s="633"/>
      <c r="BC533" s="633"/>
      <c r="BD533" s="401"/>
      <c r="BE533" s="186">
        <f>I533/60</f>
        <v>75</v>
      </c>
      <c r="BF533" s="633"/>
      <c r="BG533" s="633"/>
      <c r="BH533" s="633"/>
      <c r="BI533" s="633"/>
      <c r="BJ533" s="633"/>
      <c r="BK533" s="633"/>
      <c r="BL533" s="633"/>
      <c r="BM533" s="401">
        <f t="shared" si="308"/>
        <v>4500</v>
      </c>
      <c r="BO533" s="1473"/>
      <c r="BP533" s="1473"/>
    </row>
    <row r="534" s="200" customFormat="1" ht="36" customHeight="1" spans="1:68">
      <c r="A534" s="1601">
        <v>45491</v>
      </c>
      <c r="B534" s="1593" t="s">
        <v>485</v>
      </c>
      <c r="C534" s="1561" t="s">
        <v>233</v>
      </c>
      <c r="D534" s="1595">
        <v>4500140728</v>
      </c>
      <c r="E534" s="1602" t="s">
        <v>2276</v>
      </c>
      <c r="F534" s="1595" t="s">
        <v>2277</v>
      </c>
      <c r="G534" s="531" t="s">
        <v>386</v>
      </c>
      <c r="H534" s="532" t="s">
        <v>74</v>
      </c>
      <c r="I534" s="511">
        <v>1500</v>
      </c>
      <c r="J534" s="562">
        <v>0</v>
      </c>
      <c r="K534" s="531">
        <v>60</v>
      </c>
      <c r="L534" s="401">
        <f t="shared" si="295"/>
        <v>25</v>
      </c>
      <c r="M534" s="563">
        <v>45530</v>
      </c>
      <c r="N534" s="563">
        <v>45526</v>
      </c>
      <c r="O534" s="564"/>
      <c r="P534" s="564" t="s">
        <v>92</v>
      </c>
      <c r="Q534" s="564" t="s">
        <v>2278</v>
      </c>
      <c r="R534" s="564">
        <v>45491</v>
      </c>
      <c r="S534" s="564" t="s">
        <v>77</v>
      </c>
      <c r="T534" s="1567" t="s">
        <v>2273</v>
      </c>
      <c r="U534" s="530" t="s">
        <v>2279</v>
      </c>
      <c r="V534" s="564" t="s">
        <v>491</v>
      </c>
      <c r="W534" s="592">
        <v>100.2353</v>
      </c>
      <c r="X534" s="593">
        <f>W534*I534</f>
        <v>150352.95</v>
      </c>
      <c r="Y534" s="401" t="s">
        <v>2280</v>
      </c>
      <c r="Z534" s="607" t="s">
        <v>1570</v>
      </c>
      <c r="AA534" s="1453" t="s">
        <v>128</v>
      </c>
      <c r="AB534" s="608"/>
      <c r="AC534" s="608"/>
      <c r="AD534" s="608"/>
      <c r="AE534" s="564" t="s">
        <v>80</v>
      </c>
      <c r="AF534" s="564"/>
      <c r="AG534" s="608">
        <f t="shared" si="309"/>
        <v>1500</v>
      </c>
      <c r="AH534" s="608"/>
      <c r="AI534" s="1557"/>
      <c r="AK534" s="401">
        <f t="shared" si="316"/>
        <v>1500</v>
      </c>
      <c r="AL534" s="401"/>
      <c r="AM534" s="609"/>
      <c r="AN534" s="609"/>
      <c r="AO534" s="609">
        <f t="shared" si="315"/>
        <v>1500</v>
      </c>
      <c r="AP534" s="609"/>
      <c r="AQ534" s="609"/>
      <c r="AR534" s="609"/>
      <c r="AS534" s="609"/>
      <c r="AT534" s="633"/>
      <c r="AU534" s="633"/>
      <c r="AV534" s="633"/>
      <c r="AW534" s="633"/>
      <c r="AX534" s="633"/>
      <c r="AY534" s="633"/>
      <c r="AZ534" s="633"/>
      <c r="BA534" s="633"/>
      <c r="BB534" s="633"/>
      <c r="BC534" s="633"/>
      <c r="BD534" s="401"/>
      <c r="BE534" s="186">
        <f>I534/60</f>
        <v>25</v>
      </c>
      <c r="BF534" s="633"/>
      <c r="BG534" s="633"/>
      <c r="BH534" s="633"/>
      <c r="BI534" s="633"/>
      <c r="BJ534" s="633"/>
      <c r="BK534" s="633"/>
      <c r="BL534" s="633"/>
      <c r="BM534" s="401">
        <f t="shared" si="308"/>
        <v>1500</v>
      </c>
      <c r="BO534" s="1473"/>
      <c r="BP534" s="1473"/>
    </row>
    <row r="535" s="200" customFormat="1" ht="36" customHeight="1" spans="1:68">
      <c r="A535" s="1601">
        <v>45481</v>
      </c>
      <c r="B535" s="1593" t="s">
        <v>225</v>
      </c>
      <c r="C535" s="1578" t="s">
        <v>213</v>
      </c>
      <c r="D535" s="1595">
        <v>4500139632</v>
      </c>
      <c r="E535" s="1602"/>
      <c r="F535" s="1595" t="s">
        <v>2281</v>
      </c>
      <c r="G535" s="531" t="s">
        <v>2282</v>
      </c>
      <c r="H535" s="532" t="s">
        <v>2283</v>
      </c>
      <c r="I535" s="401">
        <v>10400</v>
      </c>
      <c r="J535" s="562">
        <v>0</v>
      </c>
      <c r="K535" s="531">
        <v>26</v>
      </c>
      <c r="L535" s="401">
        <f t="shared" si="295"/>
        <v>400</v>
      </c>
      <c r="M535" s="563">
        <v>45531</v>
      </c>
      <c r="N535" s="563">
        <v>45527</v>
      </c>
      <c r="O535" s="564"/>
      <c r="P535" s="564" t="s">
        <v>1262</v>
      </c>
      <c r="Q535" s="564"/>
      <c r="R535" s="564" t="s">
        <v>76</v>
      </c>
      <c r="S535" s="564" t="s">
        <v>77</v>
      </c>
      <c r="T535" s="580" t="s">
        <v>2284</v>
      </c>
      <c r="U535" s="1499" t="s">
        <v>2285</v>
      </c>
      <c r="V535" s="564" t="s">
        <v>230</v>
      </c>
      <c r="W535" s="592">
        <v>311.2361</v>
      </c>
      <c r="X535" s="593">
        <f>W535*L535</f>
        <v>124494.44</v>
      </c>
      <c r="Y535" s="401" t="s">
        <v>2286</v>
      </c>
      <c r="Z535" s="531" t="s">
        <v>2282</v>
      </c>
      <c r="AA535" s="1453" t="s">
        <v>128</v>
      </c>
      <c r="AB535" s="608"/>
      <c r="AC535" s="608"/>
      <c r="AD535" s="608"/>
      <c r="AE535" s="564" t="s">
        <v>80</v>
      </c>
      <c r="AF535" s="564"/>
      <c r="AG535" s="608">
        <f t="shared" si="309"/>
        <v>10400</v>
      </c>
      <c r="AH535" s="608"/>
      <c r="AI535" s="608"/>
      <c r="AJ535" s="609"/>
      <c r="AK535" s="609">
        <f t="shared" si="316"/>
        <v>10400</v>
      </c>
      <c r="AL535" s="401"/>
      <c r="AM535" s="609"/>
      <c r="AN535" s="609"/>
      <c r="AO535" s="609">
        <f t="shared" si="315"/>
        <v>10400</v>
      </c>
      <c r="AP535" s="609"/>
      <c r="AQ535" s="609"/>
      <c r="AR535" s="609"/>
      <c r="AS535" s="609"/>
      <c r="AT535" s="633"/>
      <c r="AU535" s="633"/>
      <c r="AV535" s="633"/>
      <c r="AW535" s="633"/>
      <c r="AX535" s="633"/>
      <c r="AY535" s="633">
        <f t="shared" ref="AY535:AY537" si="318">I535/13</f>
        <v>800</v>
      </c>
      <c r="AZ535" s="633"/>
      <c r="BA535" s="633"/>
      <c r="BB535" s="633"/>
      <c r="BC535" s="633"/>
      <c r="BD535" s="633"/>
      <c r="BE535" s="633"/>
      <c r="BF535" s="633"/>
      <c r="BG535" s="633"/>
      <c r="BH535" s="633"/>
      <c r="BI535" s="633"/>
      <c r="BJ535" s="633"/>
      <c r="BK535" s="633"/>
      <c r="BL535" s="633"/>
      <c r="BM535" s="401">
        <f t="shared" si="308"/>
        <v>10400</v>
      </c>
      <c r="BO535" s="1473"/>
      <c r="BP535" s="1473"/>
    </row>
    <row r="536" s="200" customFormat="1" ht="36" customHeight="1" spans="1:68">
      <c r="A536" s="1601">
        <v>45484</v>
      </c>
      <c r="B536" s="1593" t="s">
        <v>561</v>
      </c>
      <c r="C536" s="1578" t="s">
        <v>190</v>
      </c>
      <c r="D536" s="1595">
        <v>4500140056</v>
      </c>
      <c r="E536" s="1602">
        <v>2343109</v>
      </c>
      <c r="F536" s="1595" t="s">
        <v>2287</v>
      </c>
      <c r="G536" s="531" t="s">
        <v>160</v>
      </c>
      <c r="H536" s="532" t="s">
        <v>74</v>
      </c>
      <c r="I536" s="401">
        <v>1612</v>
      </c>
      <c r="J536" s="562">
        <v>0</v>
      </c>
      <c r="K536" s="531">
        <v>13</v>
      </c>
      <c r="L536" s="401">
        <f t="shared" si="295"/>
        <v>124</v>
      </c>
      <c r="M536" s="563">
        <v>45530</v>
      </c>
      <c r="N536" s="563">
        <v>45526</v>
      </c>
      <c r="O536" s="564" t="s">
        <v>563</v>
      </c>
      <c r="P536" s="564" t="s">
        <v>1690</v>
      </c>
      <c r="Q536" s="564" t="s">
        <v>2288</v>
      </c>
      <c r="R536" s="564">
        <v>45484</v>
      </c>
      <c r="S536" s="564" t="s">
        <v>123</v>
      </c>
      <c r="T536" s="1567" t="s">
        <v>2289</v>
      </c>
      <c r="U536" s="530" t="s">
        <v>2290</v>
      </c>
      <c r="V536" s="564" t="s">
        <v>1140</v>
      </c>
      <c r="W536" s="592">
        <v>1.4432</v>
      </c>
      <c r="X536" s="593">
        <f t="shared" si="317"/>
        <v>2326.4384</v>
      </c>
      <c r="Y536" s="401" t="s">
        <v>2291</v>
      </c>
      <c r="Z536" s="607" t="s">
        <v>160</v>
      </c>
      <c r="AA536" s="1453" t="s">
        <v>128</v>
      </c>
      <c r="AB536" s="608"/>
      <c r="AC536" s="608"/>
      <c r="AD536" s="608"/>
      <c r="AE536" s="564" t="s">
        <v>80</v>
      </c>
      <c r="AF536" s="564"/>
      <c r="AG536" s="608">
        <f t="shared" si="309"/>
        <v>1612</v>
      </c>
      <c r="AH536" s="608"/>
      <c r="AI536" s="608"/>
      <c r="AJ536" s="609"/>
      <c r="AK536" s="609">
        <f t="shared" si="316"/>
        <v>1612</v>
      </c>
      <c r="AL536" s="401"/>
      <c r="AM536" s="609"/>
      <c r="AN536" s="609"/>
      <c r="AO536" s="609">
        <f t="shared" si="315"/>
        <v>1612</v>
      </c>
      <c r="AP536" s="609"/>
      <c r="AQ536" s="609"/>
      <c r="AR536" s="609"/>
      <c r="AS536" s="609"/>
      <c r="AT536" s="633"/>
      <c r="AU536" s="633"/>
      <c r="AV536" s="633"/>
      <c r="AW536" s="633"/>
      <c r="AX536" s="633"/>
      <c r="AY536" s="633">
        <f t="shared" si="318"/>
        <v>124</v>
      </c>
      <c r="AZ536" s="633"/>
      <c r="BA536" s="633"/>
      <c r="BB536" s="633"/>
      <c r="BC536" s="633"/>
      <c r="BD536" s="633"/>
      <c r="BE536" s="633"/>
      <c r="BF536" s="633"/>
      <c r="BG536" s="633"/>
      <c r="BH536" s="633"/>
      <c r="BI536" s="633"/>
      <c r="BJ536" s="633"/>
      <c r="BK536" s="633"/>
      <c r="BL536" s="633"/>
      <c r="BM536" s="401">
        <f t="shared" si="308"/>
        <v>1612</v>
      </c>
      <c r="BO536" s="1473"/>
      <c r="BP536" s="1473"/>
    </row>
    <row r="537" s="200" customFormat="1" ht="36" customHeight="1" spans="1:68">
      <c r="A537" s="1601">
        <v>45488</v>
      </c>
      <c r="B537" s="1593" t="s">
        <v>232</v>
      </c>
      <c r="C537" s="1597" t="s">
        <v>233</v>
      </c>
      <c r="D537" s="1595">
        <v>4500140283</v>
      </c>
      <c r="E537" s="1602" t="s">
        <v>2292</v>
      </c>
      <c r="F537" s="1595" t="s">
        <v>2293</v>
      </c>
      <c r="G537" s="531" t="s">
        <v>160</v>
      </c>
      <c r="H537" s="532" t="s">
        <v>74</v>
      </c>
      <c r="I537" s="401">
        <v>1508</v>
      </c>
      <c r="J537" s="562">
        <v>0</v>
      </c>
      <c r="K537" s="531">
        <v>13</v>
      </c>
      <c r="L537" s="401">
        <f t="shared" si="295"/>
        <v>116</v>
      </c>
      <c r="M537" s="563">
        <v>45530</v>
      </c>
      <c r="N537" s="563">
        <v>45526</v>
      </c>
      <c r="O537" s="564"/>
      <c r="P537" s="564" t="s">
        <v>1690</v>
      </c>
      <c r="Q537" s="564" t="s">
        <v>2181</v>
      </c>
      <c r="R537" s="564">
        <v>45491</v>
      </c>
      <c r="S537" s="564" t="s">
        <v>123</v>
      </c>
      <c r="T537" s="1519" t="s">
        <v>2294</v>
      </c>
      <c r="U537" s="530" t="s">
        <v>2295</v>
      </c>
      <c r="V537" s="564" t="s">
        <v>194</v>
      </c>
      <c r="W537" s="592">
        <v>1.4432</v>
      </c>
      <c r="X537" s="593">
        <f t="shared" si="317"/>
        <v>2176.3456</v>
      </c>
      <c r="Y537" s="401" t="s">
        <v>2296</v>
      </c>
      <c r="Z537" s="607" t="s">
        <v>160</v>
      </c>
      <c r="AA537" s="1453" t="s">
        <v>128</v>
      </c>
      <c r="AB537" s="608"/>
      <c r="AC537" s="608"/>
      <c r="AD537" s="608"/>
      <c r="AE537" s="564" t="s">
        <v>80</v>
      </c>
      <c r="AF537" s="564"/>
      <c r="AG537" s="608">
        <f t="shared" si="309"/>
        <v>1508</v>
      </c>
      <c r="AH537" s="608"/>
      <c r="AI537" s="1557"/>
      <c r="AK537" s="609">
        <f t="shared" si="316"/>
        <v>1508</v>
      </c>
      <c r="AL537" s="401"/>
      <c r="AM537" s="609"/>
      <c r="AN537" s="609"/>
      <c r="AO537" s="609">
        <f t="shared" si="315"/>
        <v>1508</v>
      </c>
      <c r="AP537" s="609"/>
      <c r="AQ537" s="609"/>
      <c r="AR537" s="609"/>
      <c r="AS537" s="609"/>
      <c r="AT537" s="633"/>
      <c r="AU537" s="633"/>
      <c r="AV537" s="633"/>
      <c r="AW537" s="633"/>
      <c r="AX537" s="633"/>
      <c r="AY537" s="633">
        <f t="shared" si="318"/>
        <v>116</v>
      </c>
      <c r="AZ537" s="633"/>
      <c r="BA537" s="633"/>
      <c r="BB537" s="633"/>
      <c r="BC537" s="633"/>
      <c r="BD537" s="633"/>
      <c r="BE537" s="633"/>
      <c r="BF537" s="633"/>
      <c r="BG537" s="633"/>
      <c r="BH537" s="633"/>
      <c r="BI537" s="633"/>
      <c r="BJ537" s="633"/>
      <c r="BK537" s="633"/>
      <c r="BL537" s="633"/>
      <c r="BM537" s="401">
        <f t="shared" si="308"/>
        <v>1508</v>
      </c>
      <c r="BO537" s="1473"/>
      <c r="BP537" s="1473"/>
    </row>
    <row r="538" s="200" customFormat="1" ht="36" customHeight="1" spans="1:68">
      <c r="A538" s="533">
        <v>45474</v>
      </c>
      <c r="B538" s="527" t="s">
        <v>151</v>
      </c>
      <c r="C538" s="1573" t="s">
        <v>117</v>
      </c>
      <c r="D538" s="534">
        <v>4500138945</v>
      </c>
      <c r="E538" s="530" t="s">
        <v>2297</v>
      </c>
      <c r="F538" s="534" t="s">
        <v>2298</v>
      </c>
      <c r="G538" s="531" t="s">
        <v>73</v>
      </c>
      <c r="H538" s="532" t="s">
        <v>74</v>
      </c>
      <c r="I538" s="1496">
        <v>3936</v>
      </c>
      <c r="J538" s="562">
        <v>0</v>
      </c>
      <c r="K538" s="531">
        <v>24</v>
      </c>
      <c r="L538" s="401">
        <f t="shared" si="295"/>
        <v>164</v>
      </c>
      <c r="M538" s="563">
        <v>45532</v>
      </c>
      <c r="N538" s="563">
        <v>45528</v>
      </c>
      <c r="O538" s="564"/>
      <c r="P538" s="564" t="s">
        <v>1690</v>
      </c>
      <c r="Q538" s="564" t="s">
        <v>2118</v>
      </c>
      <c r="R538" s="564">
        <v>45474</v>
      </c>
      <c r="S538" s="564" t="s">
        <v>123</v>
      </c>
      <c r="T538" s="1567" t="s">
        <v>2299</v>
      </c>
      <c r="U538" s="530" t="s">
        <v>2300</v>
      </c>
      <c r="V538" s="564" t="s">
        <v>156</v>
      </c>
      <c r="W538" s="592">
        <v>1.3554</v>
      </c>
      <c r="X538" s="593">
        <f t="shared" si="317"/>
        <v>5334.8544</v>
      </c>
      <c r="Y538" s="401" t="s">
        <v>2301</v>
      </c>
      <c r="Z538" s="607" t="s">
        <v>73</v>
      </c>
      <c r="AA538" s="1453" t="s">
        <v>128</v>
      </c>
      <c r="AB538" s="608"/>
      <c r="AC538" s="608"/>
      <c r="AD538" s="608"/>
      <c r="AE538" s="564" t="s">
        <v>80</v>
      </c>
      <c r="AF538" s="564"/>
      <c r="AG538" s="608">
        <f t="shared" si="309"/>
        <v>3936</v>
      </c>
      <c r="AH538" s="608"/>
      <c r="AI538" s="608"/>
      <c r="AJ538" s="608"/>
      <c r="AK538" s="609">
        <f t="shared" ref="AK538:AK541" si="319">AG538</f>
        <v>3936</v>
      </c>
      <c r="AL538" s="609"/>
      <c r="AM538" s="609"/>
      <c r="AN538" s="609"/>
      <c r="AO538" s="609">
        <f t="shared" ref="AO538:AO540" si="320">AG538</f>
        <v>3936</v>
      </c>
      <c r="AP538" s="609"/>
      <c r="AQ538" s="609"/>
      <c r="AR538" s="609"/>
      <c r="AS538" s="609"/>
      <c r="AT538" s="633"/>
      <c r="AU538" s="633"/>
      <c r="AV538" s="633"/>
      <c r="AW538" s="633"/>
      <c r="AX538" s="633"/>
      <c r="AY538" s="633"/>
      <c r="AZ538" s="633"/>
      <c r="BA538" s="633"/>
      <c r="BB538" s="633"/>
      <c r="BC538" s="633"/>
      <c r="BD538" s="633"/>
      <c r="BE538" s="633"/>
      <c r="BF538" s="633"/>
      <c r="BG538" s="633"/>
      <c r="BH538" s="633"/>
      <c r="BI538" s="633"/>
      <c r="BJ538" s="633"/>
      <c r="BK538" s="633"/>
      <c r="BL538" s="633"/>
      <c r="BM538" s="401">
        <f t="shared" si="308"/>
        <v>3936</v>
      </c>
      <c r="BO538" s="1473"/>
      <c r="BP538" s="1473"/>
    </row>
    <row r="539" s="200" customFormat="1" ht="36" customHeight="1" spans="1:68">
      <c r="A539" s="533">
        <v>45474</v>
      </c>
      <c r="B539" s="527" t="s">
        <v>151</v>
      </c>
      <c r="C539" s="1573" t="s">
        <v>117</v>
      </c>
      <c r="D539" s="534">
        <v>4500138945</v>
      </c>
      <c r="E539" s="530" t="s">
        <v>2302</v>
      </c>
      <c r="F539" s="534" t="s">
        <v>2303</v>
      </c>
      <c r="G539" s="531" t="s">
        <v>73</v>
      </c>
      <c r="H539" s="532" t="s">
        <v>74</v>
      </c>
      <c r="I539" s="1496">
        <v>5952</v>
      </c>
      <c r="J539" s="562">
        <v>0</v>
      </c>
      <c r="K539" s="531">
        <v>24</v>
      </c>
      <c r="L539" s="401">
        <f t="shared" si="295"/>
        <v>248</v>
      </c>
      <c r="M539" s="563">
        <v>45532</v>
      </c>
      <c r="N539" s="563">
        <v>45528</v>
      </c>
      <c r="O539" s="564"/>
      <c r="P539" s="564" t="s">
        <v>1690</v>
      </c>
      <c r="Q539" s="564" t="s">
        <v>2118</v>
      </c>
      <c r="R539" s="564">
        <v>45474</v>
      </c>
      <c r="S539" s="564" t="s">
        <v>123</v>
      </c>
      <c r="T539" s="1567" t="s">
        <v>2299</v>
      </c>
      <c r="U539" s="530" t="s">
        <v>2300</v>
      </c>
      <c r="V539" s="564" t="s">
        <v>156</v>
      </c>
      <c r="W539" s="592">
        <v>1.3406</v>
      </c>
      <c r="X539" s="593">
        <f t="shared" si="317"/>
        <v>7979.2512</v>
      </c>
      <c r="Y539" s="401" t="s">
        <v>2301</v>
      </c>
      <c r="Z539" s="607" t="s">
        <v>73</v>
      </c>
      <c r="AA539" s="1453" t="s">
        <v>128</v>
      </c>
      <c r="AB539" s="608"/>
      <c r="AC539" s="608"/>
      <c r="AD539" s="608"/>
      <c r="AE539" s="564" t="s">
        <v>80</v>
      </c>
      <c r="AF539" s="564"/>
      <c r="AG539" s="608">
        <f t="shared" si="309"/>
        <v>5952</v>
      </c>
      <c r="AH539" s="608"/>
      <c r="AI539" s="608"/>
      <c r="AJ539" s="608"/>
      <c r="AK539" s="609">
        <f t="shared" si="319"/>
        <v>5952</v>
      </c>
      <c r="AL539" s="609"/>
      <c r="AM539" s="609"/>
      <c r="AN539" s="609"/>
      <c r="AO539" s="609">
        <f t="shared" si="320"/>
        <v>5952</v>
      </c>
      <c r="AP539" s="609"/>
      <c r="AQ539" s="609"/>
      <c r="AR539" s="609"/>
      <c r="AS539" s="609"/>
      <c r="AT539" s="633"/>
      <c r="AU539" s="633"/>
      <c r="AV539" s="633"/>
      <c r="AW539" s="633"/>
      <c r="AX539" s="633"/>
      <c r="AY539" s="633"/>
      <c r="AZ539" s="633"/>
      <c r="BA539" s="633"/>
      <c r="BB539" s="633"/>
      <c r="BC539" s="633"/>
      <c r="BD539" s="633"/>
      <c r="BE539" s="633"/>
      <c r="BF539" s="633"/>
      <c r="BG539" s="633"/>
      <c r="BH539" s="633"/>
      <c r="BI539" s="633"/>
      <c r="BJ539" s="633"/>
      <c r="BK539" s="633"/>
      <c r="BL539" s="633"/>
      <c r="BM539" s="401">
        <f t="shared" si="308"/>
        <v>5952</v>
      </c>
      <c r="BO539" s="1473"/>
      <c r="BP539" s="1473"/>
    </row>
    <row r="540" s="200" customFormat="1" ht="36" customHeight="1" spans="1:73">
      <c r="A540" s="533">
        <v>45474</v>
      </c>
      <c r="B540" s="527" t="s">
        <v>151</v>
      </c>
      <c r="C540" s="1573" t="s">
        <v>117</v>
      </c>
      <c r="D540" s="534">
        <v>4500138945</v>
      </c>
      <c r="E540" s="530" t="s">
        <v>2304</v>
      </c>
      <c r="F540" s="534" t="s">
        <v>2305</v>
      </c>
      <c r="G540" s="531" t="s">
        <v>628</v>
      </c>
      <c r="H540" s="532" t="s">
        <v>623</v>
      </c>
      <c r="I540" s="1496">
        <v>2616</v>
      </c>
      <c r="J540" s="562">
        <v>0</v>
      </c>
      <c r="K540" s="531">
        <v>12</v>
      </c>
      <c r="L540" s="401">
        <f t="shared" si="295"/>
        <v>218</v>
      </c>
      <c r="M540" s="563">
        <v>45532</v>
      </c>
      <c r="N540" s="563">
        <v>45528</v>
      </c>
      <c r="O540" s="564"/>
      <c r="P540" s="564" t="s">
        <v>1690</v>
      </c>
      <c r="Q540" s="564" t="s">
        <v>2118</v>
      </c>
      <c r="R540" s="564">
        <v>45474</v>
      </c>
      <c r="S540" s="564" t="s">
        <v>123</v>
      </c>
      <c r="T540" s="1567" t="s">
        <v>2299</v>
      </c>
      <c r="U540" s="530" t="s">
        <v>2306</v>
      </c>
      <c r="V540" s="564" t="s">
        <v>156</v>
      </c>
      <c r="W540" s="592">
        <v>3.0641</v>
      </c>
      <c r="X540" s="593">
        <f t="shared" si="317"/>
        <v>8015.6856</v>
      </c>
      <c r="Y540" s="401" t="s">
        <v>2301</v>
      </c>
      <c r="Z540" s="607" t="s">
        <v>628</v>
      </c>
      <c r="AA540" s="1453" t="s">
        <v>128</v>
      </c>
      <c r="AB540" s="608"/>
      <c r="AC540" s="608"/>
      <c r="AD540" s="608"/>
      <c r="AE540" s="564" t="s">
        <v>80</v>
      </c>
      <c r="AF540" s="564"/>
      <c r="AG540" s="608">
        <f>I540*2</f>
        <v>5232</v>
      </c>
      <c r="AH540" s="608"/>
      <c r="AI540" s="608"/>
      <c r="AJ540" s="609">
        <f>AG540</f>
        <v>5232</v>
      </c>
      <c r="AK540" s="609"/>
      <c r="AL540" s="609"/>
      <c r="AM540" s="609"/>
      <c r="AN540" s="609"/>
      <c r="AO540" s="615">
        <f t="shared" si="320"/>
        <v>5232</v>
      </c>
      <c r="AP540" s="609"/>
      <c r="AQ540" s="609"/>
      <c r="AR540" s="609"/>
      <c r="AS540" s="609"/>
      <c r="AT540" s="633"/>
      <c r="AU540" s="633"/>
      <c r="AV540" s="633"/>
      <c r="AW540" s="633"/>
      <c r="AX540" s="633"/>
      <c r="AY540" s="633"/>
      <c r="AZ540" s="633"/>
      <c r="BA540" s="633"/>
      <c r="BB540" s="633"/>
      <c r="BC540" s="633"/>
      <c r="BD540" s="633"/>
      <c r="BE540" s="633"/>
      <c r="BF540" s="633"/>
      <c r="BG540" s="633"/>
      <c r="BH540" s="633"/>
      <c r="BI540" s="633"/>
      <c r="BJ540" s="633"/>
      <c r="BK540" s="633">
        <f>I540</f>
        <v>2616</v>
      </c>
      <c r="BL540" s="633">
        <f>I540</f>
        <v>2616</v>
      </c>
      <c r="BM540" s="401">
        <f t="shared" si="308"/>
        <v>5232</v>
      </c>
      <c r="BO540" s="1473"/>
      <c r="BP540" s="1473"/>
      <c r="BU540" s="200" t="s">
        <v>2096</v>
      </c>
    </row>
    <row r="541" s="200" customFormat="1" ht="36" customHeight="1" spans="1:68">
      <c r="A541" s="1601">
        <v>45489</v>
      </c>
      <c r="B541" s="1593" t="s">
        <v>116</v>
      </c>
      <c r="C541" s="1478" t="s">
        <v>117</v>
      </c>
      <c r="D541" s="534">
        <v>4500140174</v>
      </c>
      <c r="E541" s="530">
        <v>2097257</v>
      </c>
      <c r="F541" s="534" t="s">
        <v>2307</v>
      </c>
      <c r="G541" s="531" t="s">
        <v>120</v>
      </c>
      <c r="H541" s="532" t="s">
        <v>74</v>
      </c>
      <c r="I541" s="401">
        <v>23772</v>
      </c>
      <c r="J541" s="562">
        <v>0</v>
      </c>
      <c r="K541" s="531">
        <v>21</v>
      </c>
      <c r="L541" s="401">
        <f t="shared" si="295"/>
        <v>1132</v>
      </c>
      <c r="M541" s="563">
        <v>45532</v>
      </c>
      <c r="N541" s="563">
        <v>45528</v>
      </c>
      <c r="O541" s="564"/>
      <c r="P541" s="564" t="s">
        <v>1690</v>
      </c>
      <c r="Q541" s="564" t="s">
        <v>2308</v>
      </c>
      <c r="R541" s="564">
        <v>45497</v>
      </c>
      <c r="S541" s="564" t="s">
        <v>123</v>
      </c>
      <c r="T541" s="1519" t="s">
        <v>2309</v>
      </c>
      <c r="U541" s="530" t="s">
        <v>2310</v>
      </c>
      <c r="V541" s="564" t="s">
        <v>126</v>
      </c>
      <c r="W541" s="592">
        <v>1.4212</v>
      </c>
      <c r="X541" s="593">
        <f>W541*L541</f>
        <v>1608.7984</v>
      </c>
      <c r="Y541" s="401" t="s">
        <v>2311</v>
      </c>
      <c r="Z541" s="607" t="s">
        <v>120</v>
      </c>
      <c r="AA541" s="1453" t="s">
        <v>128</v>
      </c>
      <c r="AB541" s="608"/>
      <c r="AC541" s="608"/>
      <c r="AD541" s="608"/>
      <c r="AE541" s="564" t="s">
        <v>80</v>
      </c>
      <c r="AF541" s="564"/>
      <c r="AG541" s="608">
        <f t="shared" ref="AG541:AG544" si="321">I541</f>
        <v>23772</v>
      </c>
      <c r="AH541" s="608"/>
      <c r="AI541" s="608"/>
      <c r="AJ541" s="609"/>
      <c r="AK541" s="609">
        <f t="shared" si="319"/>
        <v>23772</v>
      </c>
      <c r="AL541" s="609"/>
      <c r="AM541" s="609"/>
      <c r="AN541" s="609"/>
      <c r="AO541" s="615">
        <f t="shared" ref="AO541:AO544" si="322">I541</f>
        <v>23772</v>
      </c>
      <c r="AP541" s="609"/>
      <c r="AQ541" s="609"/>
      <c r="AR541" s="609"/>
      <c r="AS541" s="609">
        <f>I541/21</f>
        <v>1132</v>
      </c>
      <c r="AT541" s="633"/>
      <c r="AU541" s="633"/>
      <c r="AV541" s="633"/>
      <c r="AW541" s="633"/>
      <c r="AX541" s="633"/>
      <c r="AY541" s="633"/>
      <c r="AZ541" s="633"/>
      <c r="BA541" s="633"/>
      <c r="BB541" s="633"/>
      <c r="BC541" s="633"/>
      <c r="BD541" s="633"/>
      <c r="BE541" s="633"/>
      <c r="BF541" s="633"/>
      <c r="BG541" s="633"/>
      <c r="BH541" s="633"/>
      <c r="BI541" s="633"/>
      <c r="BJ541" s="633"/>
      <c r="BK541" s="633"/>
      <c r="BL541" s="633"/>
      <c r="BM541" s="401">
        <f t="shared" si="308"/>
        <v>23772</v>
      </c>
      <c r="BO541" s="1473"/>
      <c r="BP541" s="1473"/>
    </row>
    <row r="542" s="200" customFormat="1" ht="36" customHeight="1" spans="1:68">
      <c r="A542" s="533">
        <v>45474</v>
      </c>
      <c r="B542" s="527" t="s">
        <v>2312</v>
      </c>
      <c r="C542" s="528" t="s">
        <v>2313</v>
      </c>
      <c r="D542" s="534">
        <v>4500138892</v>
      </c>
      <c r="E542" s="530"/>
      <c r="F542" s="534" t="s">
        <v>2314</v>
      </c>
      <c r="G542" s="531" t="s">
        <v>403</v>
      </c>
      <c r="H542" s="532" t="s">
        <v>74</v>
      </c>
      <c r="I542" s="401">
        <v>1924</v>
      </c>
      <c r="J542" s="562">
        <v>0</v>
      </c>
      <c r="K542" s="531">
        <v>52</v>
      </c>
      <c r="L542" s="401">
        <f t="shared" si="295"/>
        <v>37</v>
      </c>
      <c r="M542" s="1495">
        <v>45533</v>
      </c>
      <c r="N542" s="1495">
        <v>45530</v>
      </c>
      <c r="O542" s="564" t="s">
        <v>2315</v>
      </c>
      <c r="P542" s="564" t="s">
        <v>1690</v>
      </c>
      <c r="Q542" s="564" t="s">
        <v>2316</v>
      </c>
      <c r="R542" s="564">
        <v>45490</v>
      </c>
      <c r="S542" s="564" t="s">
        <v>77</v>
      </c>
      <c r="T542" s="564" t="s">
        <v>2317</v>
      </c>
      <c r="U542" s="530" t="s">
        <v>2318</v>
      </c>
      <c r="V542" s="564" t="s">
        <v>2319</v>
      </c>
      <c r="W542" s="592">
        <v>1.4046</v>
      </c>
      <c r="X542" s="593">
        <f t="shared" ref="X542:X552" si="323">I542*W542</f>
        <v>2702.4504</v>
      </c>
      <c r="Y542" s="401" t="s">
        <v>2320</v>
      </c>
      <c r="Z542" s="607" t="s">
        <v>2321</v>
      </c>
      <c r="AA542" s="1453" t="s">
        <v>128</v>
      </c>
      <c r="AB542" s="608"/>
      <c r="AC542" s="608"/>
      <c r="AD542" s="608"/>
      <c r="AE542" s="564" t="s">
        <v>80</v>
      </c>
      <c r="AF542" s="564"/>
      <c r="AG542" s="608">
        <f t="shared" si="321"/>
        <v>1924</v>
      </c>
      <c r="AH542" s="608"/>
      <c r="AI542" s="608"/>
      <c r="AJ542" s="608"/>
      <c r="AK542" s="609"/>
      <c r="AL542" s="609">
        <f t="shared" ref="AL542:AL544" si="324">I542</f>
        <v>1924</v>
      </c>
      <c r="AM542" s="609"/>
      <c r="AN542" s="609"/>
      <c r="AO542" s="609">
        <f t="shared" ref="AO542:AO546" si="325">AG542</f>
        <v>1924</v>
      </c>
      <c r="AP542" s="609"/>
      <c r="AQ542" s="609"/>
      <c r="AR542" s="609"/>
      <c r="AS542" s="609"/>
      <c r="AT542" s="633"/>
      <c r="AU542" s="633"/>
      <c r="AV542" s="633"/>
      <c r="AW542" s="633"/>
      <c r="AX542" s="633"/>
      <c r="AY542" s="633"/>
      <c r="AZ542" s="633">
        <f>I542/13</f>
        <v>148</v>
      </c>
      <c r="BA542" s="633"/>
      <c r="BB542" s="633"/>
      <c r="BC542" s="633"/>
      <c r="BD542" s="633"/>
      <c r="BE542" s="633"/>
      <c r="BF542" s="633"/>
      <c r="BG542" s="633"/>
      <c r="BH542" s="633"/>
      <c r="BI542" s="633"/>
      <c r="BJ542" s="633"/>
      <c r="BK542" s="633"/>
      <c r="BL542" s="633"/>
      <c r="BM542" s="401">
        <f t="shared" si="308"/>
        <v>1924</v>
      </c>
      <c r="BO542" s="1473"/>
      <c r="BP542" s="1473"/>
    </row>
    <row r="543" s="200" customFormat="1" ht="36" customHeight="1" spans="1:68">
      <c r="A543" s="533">
        <v>45474</v>
      </c>
      <c r="B543" s="527" t="s">
        <v>2312</v>
      </c>
      <c r="C543" s="528" t="s">
        <v>2313</v>
      </c>
      <c r="D543" s="534">
        <v>4500138892</v>
      </c>
      <c r="E543" s="530"/>
      <c r="F543" s="534" t="s">
        <v>2322</v>
      </c>
      <c r="G543" s="531" t="s">
        <v>386</v>
      </c>
      <c r="H543" s="532" t="s">
        <v>74</v>
      </c>
      <c r="I543" s="511">
        <v>1800</v>
      </c>
      <c r="J543" s="562">
        <v>0</v>
      </c>
      <c r="K543" s="531">
        <v>60</v>
      </c>
      <c r="L543" s="401">
        <f t="shared" si="295"/>
        <v>30</v>
      </c>
      <c r="M543" s="1495">
        <v>45533</v>
      </c>
      <c r="N543" s="1495">
        <v>45530</v>
      </c>
      <c r="O543" s="564" t="s">
        <v>2315</v>
      </c>
      <c r="P543" s="564" t="s">
        <v>1690</v>
      </c>
      <c r="Q543" s="564" t="s">
        <v>2316</v>
      </c>
      <c r="R543" s="564">
        <v>45490</v>
      </c>
      <c r="S543" s="564" t="s">
        <v>77</v>
      </c>
      <c r="T543" s="564" t="s">
        <v>2317</v>
      </c>
      <c r="U543" s="530" t="s">
        <v>2323</v>
      </c>
      <c r="V543" s="564" t="s">
        <v>2319</v>
      </c>
      <c r="W543" s="592">
        <v>100.2353</v>
      </c>
      <c r="X543" s="593">
        <f>W543*I543</f>
        <v>180423.54</v>
      </c>
      <c r="Y543" s="401" t="s">
        <v>2320</v>
      </c>
      <c r="Z543" s="607" t="s">
        <v>391</v>
      </c>
      <c r="AA543" s="1453" t="s">
        <v>128</v>
      </c>
      <c r="AB543" s="608"/>
      <c r="AC543" s="608"/>
      <c r="AD543" s="608"/>
      <c r="AE543" s="564" t="s">
        <v>80</v>
      </c>
      <c r="AF543" s="564"/>
      <c r="AG543" s="608">
        <f t="shared" si="321"/>
        <v>1800</v>
      </c>
      <c r="AH543" s="608"/>
      <c r="AI543" s="608"/>
      <c r="AJ543" s="608"/>
      <c r="AK543" s="609"/>
      <c r="AL543" s="401">
        <f t="shared" si="324"/>
        <v>1800</v>
      </c>
      <c r="AM543" s="609"/>
      <c r="AN543" s="609"/>
      <c r="AO543" s="609">
        <f t="shared" si="322"/>
        <v>1800</v>
      </c>
      <c r="AP543" s="609"/>
      <c r="AQ543" s="609"/>
      <c r="AR543" s="609"/>
      <c r="AS543" s="609"/>
      <c r="AT543" s="633"/>
      <c r="AU543" s="633"/>
      <c r="AV543" s="633"/>
      <c r="AW543" s="633"/>
      <c r="AX543" s="633"/>
      <c r="AY543" s="633"/>
      <c r="AZ543" s="633"/>
      <c r="BA543" s="633"/>
      <c r="BB543" s="633"/>
      <c r="BC543" s="633"/>
      <c r="BD543" s="633"/>
      <c r="BE543" s="633">
        <f>I543/60</f>
        <v>30</v>
      </c>
      <c r="BF543" s="633"/>
      <c r="BG543" s="633"/>
      <c r="BH543" s="633"/>
      <c r="BI543" s="633"/>
      <c r="BJ543" s="633"/>
      <c r="BK543" s="633"/>
      <c r="BL543" s="633"/>
      <c r="BM543" s="401">
        <f t="shared" si="308"/>
        <v>1800</v>
      </c>
      <c r="BO543" s="1473"/>
      <c r="BP543" s="1473"/>
    </row>
    <row r="544" s="200" customFormat="1" ht="36" customHeight="1" spans="1:68">
      <c r="A544" s="533">
        <v>45474</v>
      </c>
      <c r="B544" s="527" t="s">
        <v>2312</v>
      </c>
      <c r="C544" s="528" t="s">
        <v>2313</v>
      </c>
      <c r="D544" s="534">
        <v>4500138892</v>
      </c>
      <c r="E544" s="530"/>
      <c r="F544" s="534" t="s">
        <v>2324</v>
      </c>
      <c r="G544" s="531" t="s">
        <v>386</v>
      </c>
      <c r="H544" s="532" t="s">
        <v>74</v>
      </c>
      <c r="I544" s="511">
        <v>1500</v>
      </c>
      <c r="J544" s="562">
        <v>0</v>
      </c>
      <c r="K544" s="531">
        <v>60</v>
      </c>
      <c r="L544" s="401">
        <f t="shared" si="295"/>
        <v>25</v>
      </c>
      <c r="M544" s="1495">
        <v>45533</v>
      </c>
      <c r="N544" s="1495">
        <v>45530</v>
      </c>
      <c r="O544" s="564" t="s">
        <v>2315</v>
      </c>
      <c r="P544" s="564" t="s">
        <v>1690</v>
      </c>
      <c r="Q544" s="564" t="s">
        <v>2316</v>
      </c>
      <c r="R544" s="564">
        <v>45490</v>
      </c>
      <c r="S544" s="564" t="s">
        <v>77</v>
      </c>
      <c r="T544" s="564" t="s">
        <v>2317</v>
      </c>
      <c r="U544" s="530" t="s">
        <v>2323</v>
      </c>
      <c r="V544" s="564" t="s">
        <v>2319</v>
      </c>
      <c r="W544" s="592">
        <v>100.2353</v>
      </c>
      <c r="X544" s="593">
        <f>W544*I544</f>
        <v>150352.95</v>
      </c>
      <c r="Y544" s="401" t="s">
        <v>2320</v>
      </c>
      <c r="Z544" s="607" t="s">
        <v>391</v>
      </c>
      <c r="AA544" s="1453" t="s">
        <v>128</v>
      </c>
      <c r="AB544" s="608"/>
      <c r="AC544" s="608"/>
      <c r="AD544" s="608"/>
      <c r="AE544" s="564" t="s">
        <v>80</v>
      </c>
      <c r="AF544" s="564"/>
      <c r="AG544" s="608">
        <f t="shared" si="321"/>
        <v>1500</v>
      </c>
      <c r="AH544" s="608"/>
      <c r="AI544" s="608"/>
      <c r="AJ544" s="608"/>
      <c r="AK544" s="609"/>
      <c r="AL544" s="401">
        <f t="shared" si="324"/>
        <v>1500</v>
      </c>
      <c r="AM544" s="609"/>
      <c r="AN544" s="609"/>
      <c r="AO544" s="609">
        <f t="shared" si="322"/>
        <v>1500</v>
      </c>
      <c r="AP544" s="609"/>
      <c r="AQ544" s="609"/>
      <c r="AR544" s="609"/>
      <c r="AS544" s="609"/>
      <c r="AT544" s="633"/>
      <c r="AU544" s="633"/>
      <c r="AV544" s="633"/>
      <c r="AW544" s="633"/>
      <c r="AX544" s="633"/>
      <c r="AY544" s="633"/>
      <c r="AZ544" s="633"/>
      <c r="BA544" s="633"/>
      <c r="BB544" s="633"/>
      <c r="BC544" s="633"/>
      <c r="BD544" s="633"/>
      <c r="BE544" s="633">
        <f>I544/60</f>
        <v>25</v>
      </c>
      <c r="BF544" s="633"/>
      <c r="BG544" s="633"/>
      <c r="BH544" s="633"/>
      <c r="BI544" s="633"/>
      <c r="BJ544" s="633"/>
      <c r="BK544" s="633"/>
      <c r="BL544" s="633"/>
      <c r="BM544" s="401">
        <f t="shared" si="308"/>
        <v>1500</v>
      </c>
      <c r="BO544" s="1473"/>
      <c r="BP544" s="1473"/>
    </row>
    <row r="545" s="200" customFormat="1" ht="36" customHeight="1" spans="1:73">
      <c r="A545" s="533">
        <v>45482</v>
      </c>
      <c r="B545" s="527" t="s">
        <v>151</v>
      </c>
      <c r="C545" s="1573" t="s">
        <v>117</v>
      </c>
      <c r="D545" s="534">
        <v>4500139533</v>
      </c>
      <c r="E545" s="530" t="s">
        <v>2325</v>
      </c>
      <c r="F545" s="534" t="s">
        <v>2326</v>
      </c>
      <c r="G545" s="531" t="s">
        <v>628</v>
      </c>
      <c r="H545" s="532" t="s">
        <v>623</v>
      </c>
      <c r="I545" s="1496">
        <v>9600</v>
      </c>
      <c r="J545" s="562">
        <v>0</v>
      </c>
      <c r="K545" s="531">
        <v>12</v>
      </c>
      <c r="L545" s="401">
        <f t="shared" si="295"/>
        <v>800</v>
      </c>
      <c r="M545" s="563">
        <v>45533</v>
      </c>
      <c r="N545" s="563">
        <v>45530</v>
      </c>
      <c r="O545" s="564"/>
      <c r="P545" s="564" t="s">
        <v>1690</v>
      </c>
      <c r="Q545" s="564" t="s">
        <v>2327</v>
      </c>
      <c r="R545" s="564">
        <v>45478</v>
      </c>
      <c r="S545" s="564" t="s">
        <v>123</v>
      </c>
      <c r="T545" s="1552" t="s">
        <v>2328</v>
      </c>
      <c r="U545" s="530" t="s">
        <v>2329</v>
      </c>
      <c r="V545" s="564" t="s">
        <v>156</v>
      </c>
      <c r="W545" s="592">
        <v>3.0438</v>
      </c>
      <c r="X545" s="593">
        <f t="shared" si="323"/>
        <v>29220.48</v>
      </c>
      <c r="Y545" s="401" t="s">
        <v>2330</v>
      </c>
      <c r="Z545" s="607" t="s">
        <v>628</v>
      </c>
      <c r="AA545" s="1453" t="s">
        <v>128</v>
      </c>
      <c r="AB545" s="608"/>
      <c r="AC545" s="608"/>
      <c r="AD545" s="608"/>
      <c r="AE545" s="564" t="s">
        <v>80</v>
      </c>
      <c r="AF545" s="564"/>
      <c r="AG545" s="608">
        <f>I545*2</f>
        <v>19200</v>
      </c>
      <c r="AH545" s="608"/>
      <c r="AI545" s="608"/>
      <c r="AJ545" s="609">
        <f>AG545</f>
        <v>19200</v>
      </c>
      <c r="AK545" s="609"/>
      <c r="AL545" s="401"/>
      <c r="AM545" s="609"/>
      <c r="AN545" s="609"/>
      <c r="AO545" s="615">
        <f t="shared" si="325"/>
        <v>19200</v>
      </c>
      <c r="AP545" s="609"/>
      <c r="AQ545" s="609"/>
      <c r="AR545" s="609"/>
      <c r="AS545" s="609"/>
      <c r="AT545" s="633"/>
      <c r="AU545" s="633"/>
      <c r="AV545" s="633"/>
      <c r="AW545" s="633"/>
      <c r="AX545" s="633"/>
      <c r="AY545" s="633"/>
      <c r="AZ545" s="633"/>
      <c r="BA545" s="633"/>
      <c r="BB545" s="633"/>
      <c r="BC545" s="633"/>
      <c r="BD545" s="633"/>
      <c r="BE545" s="633"/>
      <c r="BF545" s="633"/>
      <c r="BG545" s="633"/>
      <c r="BH545" s="633"/>
      <c r="BI545" s="633"/>
      <c r="BJ545" s="633"/>
      <c r="BK545" s="633">
        <f>I545</f>
        <v>9600</v>
      </c>
      <c r="BL545" s="633">
        <f>I545</f>
        <v>9600</v>
      </c>
      <c r="BM545" s="401">
        <f t="shared" si="308"/>
        <v>19200</v>
      </c>
      <c r="BO545" s="1473"/>
      <c r="BP545" s="1473"/>
      <c r="BU545" s="1502" t="s">
        <v>1343</v>
      </c>
    </row>
    <row r="546" s="200" customFormat="1" ht="36" customHeight="1" spans="1:73">
      <c r="A546" s="533">
        <v>45482</v>
      </c>
      <c r="B546" s="527" t="s">
        <v>151</v>
      </c>
      <c r="C546" s="1573" t="s">
        <v>117</v>
      </c>
      <c r="D546" s="534">
        <v>4500139582</v>
      </c>
      <c r="E546" s="530" t="s">
        <v>2331</v>
      </c>
      <c r="F546" s="534" t="s">
        <v>2332</v>
      </c>
      <c r="G546" s="531" t="s">
        <v>628</v>
      </c>
      <c r="H546" s="532" t="s">
        <v>623</v>
      </c>
      <c r="I546" s="1496">
        <v>900</v>
      </c>
      <c r="J546" s="562">
        <v>0</v>
      </c>
      <c r="K546" s="531">
        <v>12</v>
      </c>
      <c r="L546" s="401">
        <f t="shared" si="295"/>
        <v>75</v>
      </c>
      <c r="M546" s="563">
        <v>45533</v>
      </c>
      <c r="N546" s="563">
        <v>45530</v>
      </c>
      <c r="O546" s="564"/>
      <c r="P546" s="564" t="s">
        <v>92</v>
      </c>
      <c r="Q546" s="564" t="s">
        <v>2333</v>
      </c>
      <c r="R546" s="564">
        <v>45478</v>
      </c>
      <c r="S546" s="564" t="s">
        <v>123</v>
      </c>
      <c r="T546" s="1552" t="s">
        <v>2328</v>
      </c>
      <c r="U546" s="530" t="s">
        <v>2334</v>
      </c>
      <c r="V546" s="564" t="s">
        <v>156</v>
      </c>
      <c r="W546" s="592">
        <v>3.0641</v>
      </c>
      <c r="X546" s="593">
        <f t="shared" si="323"/>
        <v>2757.69</v>
      </c>
      <c r="Y546" s="401" t="s">
        <v>2335</v>
      </c>
      <c r="Z546" s="607" t="s">
        <v>628</v>
      </c>
      <c r="AA546" s="1453" t="s">
        <v>128</v>
      </c>
      <c r="AB546" s="608"/>
      <c r="AC546" s="608"/>
      <c r="AD546" s="608"/>
      <c r="AE546" s="564" t="s">
        <v>80</v>
      </c>
      <c r="AF546" s="564"/>
      <c r="AG546" s="608">
        <f>I546*2</f>
        <v>1800</v>
      </c>
      <c r="AH546" s="608"/>
      <c r="AI546" s="608"/>
      <c r="AJ546" s="609">
        <f>AG546</f>
        <v>1800</v>
      </c>
      <c r="AK546" s="609"/>
      <c r="AL546" s="401"/>
      <c r="AM546" s="609"/>
      <c r="AN546" s="609"/>
      <c r="AO546" s="615">
        <f t="shared" si="325"/>
        <v>1800</v>
      </c>
      <c r="AP546" s="609"/>
      <c r="AQ546" s="609"/>
      <c r="AR546" s="609"/>
      <c r="AS546" s="609"/>
      <c r="AT546" s="633"/>
      <c r="AU546" s="633"/>
      <c r="AV546" s="633"/>
      <c r="AW546" s="633"/>
      <c r="AX546" s="633"/>
      <c r="AY546" s="633"/>
      <c r="AZ546" s="633"/>
      <c r="BA546" s="633"/>
      <c r="BB546" s="633"/>
      <c r="BC546" s="633"/>
      <c r="BD546" s="633"/>
      <c r="BE546" s="633"/>
      <c r="BF546" s="633"/>
      <c r="BG546" s="633"/>
      <c r="BH546" s="633"/>
      <c r="BI546" s="633"/>
      <c r="BJ546" s="633"/>
      <c r="BK546" s="633">
        <f>I546</f>
        <v>900</v>
      </c>
      <c r="BL546" s="633">
        <f>I546</f>
        <v>900</v>
      </c>
      <c r="BM546" s="401">
        <f t="shared" si="308"/>
        <v>1800</v>
      </c>
      <c r="BO546" s="1473"/>
      <c r="BP546" s="1473"/>
      <c r="BU546" s="1502" t="s">
        <v>1343</v>
      </c>
    </row>
    <row r="547" s="200" customFormat="1" ht="36" customHeight="1" spans="1:68">
      <c r="A547" s="533">
        <v>45484</v>
      </c>
      <c r="B547" s="527" t="s">
        <v>2336</v>
      </c>
      <c r="C547" s="528" t="s">
        <v>351</v>
      </c>
      <c r="D547" s="534">
        <v>4500139993</v>
      </c>
      <c r="E547" s="530" t="s">
        <v>2337</v>
      </c>
      <c r="F547" s="534" t="s">
        <v>2338</v>
      </c>
      <c r="G547" s="531" t="s">
        <v>826</v>
      </c>
      <c r="H547" s="532" t="s">
        <v>74</v>
      </c>
      <c r="I547" s="1496">
        <v>2600</v>
      </c>
      <c r="J547" s="1496">
        <v>0</v>
      </c>
      <c r="K547" s="1496">
        <v>25</v>
      </c>
      <c r="L547" s="1496">
        <f t="shared" si="295"/>
        <v>104</v>
      </c>
      <c r="M547" s="563">
        <v>45538</v>
      </c>
      <c r="N547" s="563">
        <v>45533</v>
      </c>
      <c r="O547" s="564" t="s">
        <v>863</v>
      </c>
      <c r="P547" s="200" t="s">
        <v>1690</v>
      </c>
      <c r="Q547" s="564" t="s">
        <v>2339</v>
      </c>
      <c r="R547" s="564">
        <v>45503</v>
      </c>
      <c r="S547" s="564" t="s">
        <v>77</v>
      </c>
      <c r="T547" s="564" t="s">
        <v>2340</v>
      </c>
      <c r="U547" s="530" t="s">
        <v>2341</v>
      </c>
      <c r="V547" s="564" t="s">
        <v>647</v>
      </c>
      <c r="W547" s="592">
        <v>1.435</v>
      </c>
      <c r="X547" s="593">
        <f t="shared" si="323"/>
        <v>3731</v>
      </c>
      <c r="Y547" s="401" t="s">
        <v>2342</v>
      </c>
      <c r="Z547" s="607" t="s">
        <v>2343</v>
      </c>
      <c r="AA547" s="1604" t="s">
        <v>128</v>
      </c>
      <c r="AB547" s="608"/>
      <c r="AC547" s="608"/>
      <c r="AD547" s="608"/>
      <c r="AE547" s="564" t="s">
        <v>80</v>
      </c>
      <c r="AF547" s="564"/>
      <c r="AG547" s="608">
        <f t="shared" ref="AG547:AG559" si="326">I547</f>
        <v>2600</v>
      </c>
      <c r="AH547" s="608"/>
      <c r="AI547" s="608"/>
      <c r="AJ547" s="609"/>
      <c r="AK547" s="609"/>
      <c r="AL547" s="401">
        <f>I547</f>
        <v>2600</v>
      </c>
      <c r="AM547" s="401"/>
      <c r="AN547" s="609"/>
      <c r="AO547" s="609">
        <f t="shared" ref="AO547:AO553" si="327">I547</f>
        <v>2600</v>
      </c>
      <c r="AP547" s="609"/>
      <c r="AQ547" s="609"/>
      <c r="AR547" s="609"/>
      <c r="AS547" s="609"/>
      <c r="AT547" s="633"/>
      <c r="AU547" s="633"/>
      <c r="AV547" s="633"/>
      <c r="AW547" s="633"/>
      <c r="AX547" s="633"/>
      <c r="AY547" s="633"/>
      <c r="AZ547" s="633"/>
      <c r="BA547" s="633"/>
      <c r="BB547" s="633">
        <f>I547/25</f>
        <v>104</v>
      </c>
      <c r="BC547" s="633"/>
      <c r="BD547" s="633"/>
      <c r="BE547" s="633"/>
      <c r="BF547" s="633"/>
      <c r="BG547" s="633"/>
      <c r="BH547" s="633"/>
      <c r="BI547" s="633"/>
      <c r="BJ547" s="633"/>
      <c r="BK547" s="633"/>
      <c r="BL547" s="633"/>
      <c r="BM547" s="401">
        <f t="shared" si="308"/>
        <v>2600</v>
      </c>
      <c r="BO547" s="1473"/>
      <c r="BP547" s="1473"/>
    </row>
    <row r="548" s="200" customFormat="1" ht="36" customHeight="1" spans="1:68">
      <c r="A548" s="533">
        <v>45491</v>
      </c>
      <c r="B548" s="527" t="s">
        <v>561</v>
      </c>
      <c r="C548" s="528" t="s">
        <v>190</v>
      </c>
      <c r="D548" s="534">
        <v>4500140635</v>
      </c>
      <c r="E548" s="530">
        <v>2343113</v>
      </c>
      <c r="F548" s="534" t="s">
        <v>2344</v>
      </c>
      <c r="G548" s="531" t="s">
        <v>160</v>
      </c>
      <c r="H548" s="532" t="s">
        <v>74</v>
      </c>
      <c r="I548" s="401">
        <v>2210</v>
      </c>
      <c r="J548" s="562">
        <v>0</v>
      </c>
      <c r="K548" s="531">
        <v>13</v>
      </c>
      <c r="L548" s="401">
        <f t="shared" si="295"/>
        <v>170</v>
      </c>
      <c r="M548" s="563">
        <v>45540</v>
      </c>
      <c r="N548" s="563">
        <v>45537</v>
      </c>
      <c r="O548" s="564"/>
      <c r="P548" s="564" t="s">
        <v>1690</v>
      </c>
      <c r="Q548" s="564" t="s">
        <v>2345</v>
      </c>
      <c r="R548" s="564">
        <v>45491</v>
      </c>
      <c r="S548" s="564" t="s">
        <v>123</v>
      </c>
      <c r="T548" s="1567" t="s">
        <v>2346</v>
      </c>
      <c r="U548" s="530" t="s">
        <v>2347</v>
      </c>
      <c r="V548" s="564" t="s">
        <v>194</v>
      </c>
      <c r="W548" s="592">
        <v>1.4432</v>
      </c>
      <c r="X548" s="593">
        <f t="shared" si="323"/>
        <v>3189.472</v>
      </c>
      <c r="Y548" s="401" t="s">
        <v>2348</v>
      </c>
      <c r="Z548" s="607" t="s">
        <v>160</v>
      </c>
      <c r="AA548" s="1453" t="s">
        <v>128</v>
      </c>
      <c r="AB548" s="608"/>
      <c r="AC548" s="608"/>
      <c r="AD548" s="608"/>
      <c r="AE548" s="564" t="s">
        <v>80</v>
      </c>
      <c r="AF548" s="564"/>
      <c r="AG548" s="608">
        <f t="shared" si="326"/>
        <v>2210</v>
      </c>
      <c r="AH548" s="608"/>
      <c r="AI548" s="608"/>
      <c r="AJ548" s="609"/>
      <c r="AK548" s="609">
        <f t="shared" ref="AK548:AK553" si="328">I548</f>
        <v>2210</v>
      </c>
      <c r="AL548" s="401"/>
      <c r="AM548" s="401"/>
      <c r="AN548" s="609"/>
      <c r="AO548" s="609">
        <f t="shared" si="327"/>
        <v>2210</v>
      </c>
      <c r="AP548" s="609"/>
      <c r="AQ548" s="609"/>
      <c r="AR548" s="609"/>
      <c r="AS548" s="609"/>
      <c r="AT548" s="633"/>
      <c r="AU548" s="633"/>
      <c r="AV548" s="633"/>
      <c r="AW548" s="633"/>
      <c r="AX548" s="633"/>
      <c r="AY548" s="633">
        <f>I548/13</f>
        <v>170</v>
      </c>
      <c r="AZ548" s="633"/>
      <c r="BA548" s="633"/>
      <c r="BB548" s="633"/>
      <c r="BC548" s="633"/>
      <c r="BD548" s="633"/>
      <c r="BE548" s="633"/>
      <c r="BF548" s="633"/>
      <c r="BG548" s="633"/>
      <c r="BH548" s="633"/>
      <c r="BI548" s="633"/>
      <c r="BJ548" s="633"/>
      <c r="BK548" s="633"/>
      <c r="BL548" s="633"/>
      <c r="BM548" s="401">
        <f t="shared" si="308"/>
        <v>2210</v>
      </c>
      <c r="BO548" s="1473"/>
      <c r="BP548" s="1473"/>
    </row>
    <row r="549" s="200" customFormat="1" ht="36" customHeight="1" spans="1:68">
      <c r="A549" s="533">
        <v>45496</v>
      </c>
      <c r="B549" s="527" t="s">
        <v>784</v>
      </c>
      <c r="C549" s="528" t="s">
        <v>785</v>
      </c>
      <c r="D549" s="534">
        <v>4500141124</v>
      </c>
      <c r="E549" s="530"/>
      <c r="F549" s="534" t="s">
        <v>2349</v>
      </c>
      <c r="G549" s="531" t="s">
        <v>96</v>
      </c>
      <c r="H549" s="532" t="s">
        <v>74</v>
      </c>
      <c r="I549" s="1514">
        <v>600</v>
      </c>
      <c r="J549" s="562">
        <v>0</v>
      </c>
      <c r="K549" s="531">
        <v>50</v>
      </c>
      <c r="L549" s="401">
        <f t="shared" si="295"/>
        <v>12</v>
      </c>
      <c r="M549" s="563">
        <v>45540</v>
      </c>
      <c r="N549" s="563">
        <v>45537</v>
      </c>
      <c r="O549" s="564"/>
      <c r="P549" s="564" t="s">
        <v>1262</v>
      </c>
      <c r="Q549" s="564" t="s">
        <v>2268</v>
      </c>
      <c r="R549" s="564">
        <v>45513</v>
      </c>
      <c r="S549" s="564" t="s">
        <v>77</v>
      </c>
      <c r="T549" s="1552" t="s">
        <v>2350</v>
      </c>
      <c r="U549" s="530" t="s">
        <v>2351</v>
      </c>
      <c r="V549" s="564" t="s">
        <v>618</v>
      </c>
      <c r="W549" s="592">
        <v>1.4344</v>
      </c>
      <c r="X549" s="593">
        <f t="shared" si="323"/>
        <v>860.64</v>
      </c>
      <c r="Y549" s="401" t="s">
        <v>2352</v>
      </c>
      <c r="Z549" s="607" t="s">
        <v>96</v>
      </c>
      <c r="AA549" s="1453" t="s">
        <v>128</v>
      </c>
      <c r="AB549" s="608"/>
      <c r="AC549" s="608"/>
      <c r="AD549" s="608"/>
      <c r="AE549" s="564" t="s">
        <v>80</v>
      </c>
      <c r="AF549" s="564"/>
      <c r="AG549" s="608">
        <f t="shared" si="326"/>
        <v>600</v>
      </c>
      <c r="AH549" s="608"/>
      <c r="AI549" s="608"/>
      <c r="AJ549" s="609"/>
      <c r="AK549" s="609">
        <f t="shared" si="328"/>
        <v>600</v>
      </c>
      <c r="AL549" s="401"/>
      <c r="AM549" s="401"/>
      <c r="AN549" s="609"/>
      <c r="AO549" s="609">
        <f t="shared" si="327"/>
        <v>600</v>
      </c>
      <c r="AP549" s="609"/>
      <c r="AQ549" s="609"/>
      <c r="AR549" s="609"/>
      <c r="AS549" s="609"/>
      <c r="AT549" s="633"/>
      <c r="AU549" s="633"/>
      <c r="AV549" s="633"/>
      <c r="AW549" s="633"/>
      <c r="AX549" s="633"/>
      <c r="AY549" s="633"/>
      <c r="AZ549" s="633"/>
      <c r="BA549" s="633">
        <f t="shared" ref="BA549:BA552" si="329">I549/25</f>
        <v>24</v>
      </c>
      <c r="BB549" s="633"/>
      <c r="BC549" s="633"/>
      <c r="BD549" s="633"/>
      <c r="BE549" s="633"/>
      <c r="BF549" s="633"/>
      <c r="BG549" s="633"/>
      <c r="BH549" s="633"/>
      <c r="BI549" s="633"/>
      <c r="BJ549" s="633"/>
      <c r="BK549" s="633"/>
      <c r="BL549" s="633"/>
      <c r="BM549" s="401">
        <f t="shared" si="308"/>
        <v>600</v>
      </c>
      <c r="BO549" s="1473"/>
      <c r="BP549" s="1473"/>
    </row>
    <row r="550" s="200" customFormat="1" ht="36" customHeight="1" spans="1:68">
      <c r="A550" s="1477">
        <v>45502</v>
      </c>
      <c r="B550" s="1598" t="s">
        <v>2353</v>
      </c>
      <c r="C550" s="614" t="s">
        <v>117</v>
      </c>
      <c r="D550" s="529">
        <v>4500141573</v>
      </c>
      <c r="E550" s="1547" t="s">
        <v>2354</v>
      </c>
      <c r="F550" s="529" t="s">
        <v>2355</v>
      </c>
      <c r="G550" s="531" t="s">
        <v>826</v>
      </c>
      <c r="H550" s="532" t="s">
        <v>74</v>
      </c>
      <c r="I550" s="1496">
        <v>1500</v>
      </c>
      <c r="J550" s="1496">
        <v>0</v>
      </c>
      <c r="K550" s="1496">
        <v>25</v>
      </c>
      <c r="L550" s="1496">
        <f t="shared" si="295"/>
        <v>60</v>
      </c>
      <c r="M550" s="563">
        <v>45540</v>
      </c>
      <c r="N550" s="563">
        <v>45537</v>
      </c>
      <c r="O550" s="564"/>
      <c r="P550" s="564" t="s">
        <v>1690</v>
      </c>
      <c r="Q550" s="564" t="s">
        <v>2356</v>
      </c>
      <c r="R550" s="564">
        <v>45502</v>
      </c>
      <c r="S550" s="564" t="s">
        <v>77</v>
      </c>
      <c r="T550" s="1552" t="s">
        <v>77</v>
      </c>
      <c r="U550" s="530" t="s">
        <v>2357</v>
      </c>
      <c r="V550" s="564" t="s">
        <v>829</v>
      </c>
      <c r="W550" s="592">
        <v>1.435</v>
      </c>
      <c r="X550" s="593">
        <f t="shared" si="323"/>
        <v>2152.5</v>
      </c>
      <c r="Y550" s="401" t="s">
        <v>2358</v>
      </c>
      <c r="Z550" s="607" t="s">
        <v>826</v>
      </c>
      <c r="AA550" s="1453" t="s">
        <v>2359</v>
      </c>
      <c r="AB550" s="608"/>
      <c r="AC550" s="608"/>
      <c r="AD550" s="608"/>
      <c r="AE550" s="564" t="s">
        <v>80</v>
      </c>
      <c r="AF550" s="564"/>
      <c r="AG550" s="608">
        <f t="shared" si="326"/>
        <v>1500</v>
      </c>
      <c r="AH550" s="608"/>
      <c r="AI550" s="608"/>
      <c r="AJ550" s="609"/>
      <c r="AK550" s="609">
        <f t="shared" si="328"/>
        <v>1500</v>
      </c>
      <c r="AL550" s="401"/>
      <c r="AM550" s="401"/>
      <c r="AN550" s="609"/>
      <c r="AO550" s="609">
        <f t="shared" si="327"/>
        <v>1500</v>
      </c>
      <c r="AP550" s="609"/>
      <c r="AQ550" s="609"/>
      <c r="AR550" s="609"/>
      <c r="AS550" s="609"/>
      <c r="AT550" s="633"/>
      <c r="AU550" s="633"/>
      <c r="AV550" s="633"/>
      <c r="AW550" s="633"/>
      <c r="AX550" s="633"/>
      <c r="AY550" s="633"/>
      <c r="AZ550" s="633"/>
      <c r="BA550" s="633">
        <f t="shared" si="329"/>
        <v>60</v>
      </c>
      <c r="BB550" s="633"/>
      <c r="BC550" s="633"/>
      <c r="BD550" s="633"/>
      <c r="BE550" s="633"/>
      <c r="BF550" s="633"/>
      <c r="BG550" s="633"/>
      <c r="BH550" s="633"/>
      <c r="BI550" s="633"/>
      <c r="BJ550" s="633"/>
      <c r="BK550" s="633"/>
      <c r="BL550" s="633"/>
      <c r="BM550" s="401">
        <f t="shared" si="308"/>
        <v>1500</v>
      </c>
      <c r="BO550" s="1473"/>
      <c r="BP550" s="1473"/>
    </row>
    <row r="551" s="200" customFormat="1" ht="36" customHeight="1" spans="1:68">
      <c r="A551" s="1477">
        <v>45502</v>
      </c>
      <c r="B551" s="1598" t="s">
        <v>2353</v>
      </c>
      <c r="C551" s="614" t="s">
        <v>117</v>
      </c>
      <c r="D551" s="529">
        <v>4500141572</v>
      </c>
      <c r="E551" s="1547" t="s">
        <v>2360</v>
      </c>
      <c r="F551" s="529" t="s">
        <v>2361</v>
      </c>
      <c r="G551" s="531" t="s">
        <v>826</v>
      </c>
      <c r="H551" s="532" t="s">
        <v>74</v>
      </c>
      <c r="I551" s="1496">
        <v>2500</v>
      </c>
      <c r="J551" s="1496">
        <v>0</v>
      </c>
      <c r="K551" s="1496">
        <v>25</v>
      </c>
      <c r="L551" s="1496">
        <f t="shared" si="295"/>
        <v>100</v>
      </c>
      <c r="M551" s="563">
        <v>45540</v>
      </c>
      <c r="N551" s="563">
        <v>45537</v>
      </c>
      <c r="O551" s="564"/>
      <c r="P551" s="564" t="s">
        <v>1690</v>
      </c>
      <c r="Q551" s="564" t="s">
        <v>2362</v>
      </c>
      <c r="R551" s="564">
        <v>45502</v>
      </c>
      <c r="S551" s="564" t="s">
        <v>77</v>
      </c>
      <c r="T551" s="1552" t="s">
        <v>77</v>
      </c>
      <c r="U551" s="530" t="s">
        <v>2357</v>
      </c>
      <c r="V551" s="564" t="s">
        <v>829</v>
      </c>
      <c r="W551" s="592">
        <v>1.435</v>
      </c>
      <c r="X551" s="593">
        <f t="shared" si="323"/>
        <v>3587.5</v>
      </c>
      <c r="Y551" s="401" t="s">
        <v>2363</v>
      </c>
      <c r="Z551" s="607" t="s">
        <v>826</v>
      </c>
      <c r="AA551" s="1453" t="s">
        <v>2359</v>
      </c>
      <c r="AB551" s="608"/>
      <c r="AC551" s="608"/>
      <c r="AD551" s="608"/>
      <c r="AE551" s="564" t="s">
        <v>80</v>
      </c>
      <c r="AF551" s="564"/>
      <c r="AG551" s="608">
        <f t="shared" si="326"/>
        <v>2500</v>
      </c>
      <c r="AH551" s="608"/>
      <c r="AI551" s="608"/>
      <c r="AJ551" s="609"/>
      <c r="AK551" s="609">
        <f t="shared" si="328"/>
        <v>2500</v>
      </c>
      <c r="AL551" s="401"/>
      <c r="AM551" s="401"/>
      <c r="AN551" s="609"/>
      <c r="AO551" s="609">
        <f t="shared" si="327"/>
        <v>2500</v>
      </c>
      <c r="AP551" s="609"/>
      <c r="AQ551" s="609"/>
      <c r="AR551" s="609"/>
      <c r="AS551" s="609"/>
      <c r="AT551" s="633"/>
      <c r="AU551" s="633"/>
      <c r="AV551" s="633"/>
      <c r="AW551" s="633"/>
      <c r="AX551" s="633"/>
      <c r="AY551" s="633"/>
      <c r="AZ551" s="633"/>
      <c r="BA551" s="633">
        <f t="shared" si="329"/>
        <v>100</v>
      </c>
      <c r="BB551" s="633"/>
      <c r="BC551" s="633"/>
      <c r="BD551" s="633"/>
      <c r="BE551" s="633"/>
      <c r="BF551" s="633"/>
      <c r="BG551" s="633"/>
      <c r="BH551" s="633"/>
      <c r="BI551" s="633"/>
      <c r="BJ551" s="633"/>
      <c r="BK551" s="633"/>
      <c r="BL551" s="633"/>
      <c r="BM551" s="401">
        <f t="shared" si="308"/>
        <v>2500</v>
      </c>
      <c r="BO551" s="1473"/>
      <c r="BP551" s="1473"/>
    </row>
    <row r="552" s="200" customFormat="1" ht="36" customHeight="1" spans="1:68">
      <c r="A552" s="1477">
        <v>45502</v>
      </c>
      <c r="B552" s="1598" t="s">
        <v>2353</v>
      </c>
      <c r="C552" s="614" t="s">
        <v>117</v>
      </c>
      <c r="D552" s="529">
        <v>4500141575</v>
      </c>
      <c r="E552" s="1547" t="s">
        <v>2364</v>
      </c>
      <c r="F552" s="529" t="s">
        <v>2365</v>
      </c>
      <c r="G552" s="531" t="s">
        <v>826</v>
      </c>
      <c r="H552" s="532" t="s">
        <v>74</v>
      </c>
      <c r="I552" s="1496">
        <v>1000</v>
      </c>
      <c r="J552" s="1496">
        <v>0</v>
      </c>
      <c r="K552" s="1496">
        <v>25</v>
      </c>
      <c r="L552" s="1496">
        <f t="shared" si="295"/>
        <v>40</v>
      </c>
      <c r="M552" s="563">
        <v>45540</v>
      </c>
      <c r="N552" s="563">
        <v>45537</v>
      </c>
      <c r="O552" s="564"/>
      <c r="P552" s="564" t="s">
        <v>1690</v>
      </c>
      <c r="Q552" s="564" t="s">
        <v>2366</v>
      </c>
      <c r="R552" s="564">
        <v>45502</v>
      </c>
      <c r="S552" s="564" t="s">
        <v>77</v>
      </c>
      <c r="T552" s="1552" t="s">
        <v>77</v>
      </c>
      <c r="U552" s="530" t="s">
        <v>2357</v>
      </c>
      <c r="V552" s="564" t="s">
        <v>829</v>
      </c>
      <c r="W552" s="592">
        <v>1.435</v>
      </c>
      <c r="X552" s="593">
        <f t="shared" si="323"/>
        <v>1435</v>
      </c>
      <c r="Y552" s="401" t="s">
        <v>2367</v>
      </c>
      <c r="Z552" s="607" t="s">
        <v>826</v>
      </c>
      <c r="AA552" s="1453" t="s">
        <v>2359</v>
      </c>
      <c r="AB552" s="608"/>
      <c r="AC552" s="608"/>
      <c r="AD552" s="608"/>
      <c r="AE552" s="564" t="s">
        <v>80</v>
      </c>
      <c r="AF552" s="564"/>
      <c r="AG552" s="608">
        <f t="shared" si="326"/>
        <v>1000</v>
      </c>
      <c r="AH552" s="608"/>
      <c r="AI552" s="608"/>
      <c r="AJ552" s="609"/>
      <c r="AK552" s="609">
        <f t="shared" si="328"/>
        <v>1000</v>
      </c>
      <c r="AL552" s="401"/>
      <c r="AM552" s="401"/>
      <c r="AN552" s="609"/>
      <c r="AO552" s="609">
        <f t="shared" si="327"/>
        <v>1000</v>
      </c>
      <c r="AP552" s="609"/>
      <c r="AQ552" s="609"/>
      <c r="AR552" s="609"/>
      <c r="AS552" s="609"/>
      <c r="AT552" s="633"/>
      <c r="AU552" s="633"/>
      <c r="AV552" s="633"/>
      <c r="AW552" s="633"/>
      <c r="AX552" s="633"/>
      <c r="AY552" s="633"/>
      <c r="AZ552" s="633"/>
      <c r="BA552" s="633">
        <f t="shared" si="329"/>
        <v>40</v>
      </c>
      <c r="BB552" s="633"/>
      <c r="BC552" s="633"/>
      <c r="BD552" s="633"/>
      <c r="BE552" s="633"/>
      <c r="BF552" s="633"/>
      <c r="BG552" s="633"/>
      <c r="BH552" s="633"/>
      <c r="BI552" s="633"/>
      <c r="BJ552" s="633"/>
      <c r="BK552" s="633"/>
      <c r="BL552" s="633"/>
      <c r="BM552" s="401">
        <f t="shared" si="308"/>
        <v>1000</v>
      </c>
      <c r="BO552" s="1473"/>
      <c r="BP552" s="1473"/>
    </row>
    <row r="553" s="200" customFormat="1" ht="36" customHeight="1" spans="1:68">
      <c r="A553" s="533">
        <v>45419</v>
      </c>
      <c r="B553" s="527" t="s">
        <v>243</v>
      </c>
      <c r="C553" s="528" t="s">
        <v>213</v>
      </c>
      <c r="D553" s="534">
        <v>4500132696</v>
      </c>
      <c r="E553" s="530">
        <v>2950865457</v>
      </c>
      <c r="F553" s="534" t="s">
        <v>2368</v>
      </c>
      <c r="G553" s="531" t="s">
        <v>1365</v>
      </c>
      <c r="H553" s="532" t="s">
        <v>1366</v>
      </c>
      <c r="I553" s="401">
        <v>1920</v>
      </c>
      <c r="J553" s="562">
        <v>0</v>
      </c>
      <c r="K553" s="531">
        <v>960</v>
      </c>
      <c r="L553" s="401">
        <f t="shared" si="295"/>
        <v>2</v>
      </c>
      <c r="M553" s="563">
        <v>45541</v>
      </c>
      <c r="N553" s="563">
        <v>45537</v>
      </c>
      <c r="O553" s="564"/>
      <c r="P553" s="564" t="s">
        <v>1690</v>
      </c>
      <c r="Q553" s="564" t="s">
        <v>2369</v>
      </c>
      <c r="R553" s="564">
        <v>45423</v>
      </c>
      <c r="S553" s="564" t="s">
        <v>123</v>
      </c>
      <c r="T553" s="564" t="s">
        <v>1368</v>
      </c>
      <c r="U553" s="530" t="s">
        <v>2370</v>
      </c>
      <c r="V553" s="530" t="s">
        <v>218</v>
      </c>
      <c r="W553" s="592">
        <v>1498.448</v>
      </c>
      <c r="X553" s="593">
        <f>W553*L553</f>
        <v>2996.896</v>
      </c>
      <c r="Y553" s="401" t="s">
        <v>2371</v>
      </c>
      <c r="Z553" s="607" t="s">
        <v>1365</v>
      </c>
      <c r="AA553" s="1453" t="s">
        <v>128</v>
      </c>
      <c r="AB553" s="608"/>
      <c r="AC553" s="608"/>
      <c r="AD553" s="608"/>
      <c r="AE553" s="564" t="s">
        <v>80</v>
      </c>
      <c r="AF553" s="564"/>
      <c r="AG553" s="608">
        <f t="shared" si="326"/>
        <v>1920</v>
      </c>
      <c r="AH553" s="608"/>
      <c r="AI553" s="608"/>
      <c r="AJ553" s="608"/>
      <c r="AK553" s="609">
        <f t="shared" si="328"/>
        <v>1920</v>
      </c>
      <c r="AL553" s="609"/>
      <c r="AM553" s="609"/>
      <c r="AN553" s="609"/>
      <c r="AO553" s="615">
        <f t="shared" si="327"/>
        <v>1920</v>
      </c>
      <c r="AP553" s="609"/>
      <c r="AQ553" s="609"/>
      <c r="AR553" s="609"/>
      <c r="AS553" s="609"/>
      <c r="AT553" s="633"/>
      <c r="AU553" s="633"/>
      <c r="AV553" s="633"/>
      <c r="AW553" s="401">
        <f>I553/12</f>
        <v>160</v>
      </c>
      <c r="AX553" s="633"/>
      <c r="AY553" s="633"/>
      <c r="AZ553" s="633"/>
      <c r="BA553" s="633"/>
      <c r="BB553" s="633"/>
      <c r="BC553" s="633"/>
      <c r="BD553" s="633"/>
      <c r="BE553" s="633"/>
      <c r="BF553" s="633"/>
      <c r="BG553" s="633"/>
      <c r="BH553" s="633"/>
      <c r="BI553" s="633"/>
      <c r="BJ553" s="633"/>
      <c r="BK553" s="633"/>
      <c r="BL553" s="633"/>
      <c r="BM553" s="401">
        <f t="shared" si="308"/>
        <v>1920</v>
      </c>
      <c r="BO553" s="1473"/>
      <c r="BP553" s="1473"/>
    </row>
    <row r="554" s="200" customFormat="1" ht="36" customHeight="1" spans="1:68">
      <c r="A554" s="533">
        <v>45495</v>
      </c>
      <c r="B554" s="527" t="s">
        <v>400</v>
      </c>
      <c r="C554" s="528" t="s">
        <v>117</v>
      </c>
      <c r="D554" s="534">
        <v>4500140722</v>
      </c>
      <c r="E554" s="530" t="s">
        <v>2372</v>
      </c>
      <c r="F554" s="534" t="s">
        <v>2373</v>
      </c>
      <c r="G554" s="531" t="s">
        <v>403</v>
      </c>
      <c r="H554" s="532" t="s">
        <v>74</v>
      </c>
      <c r="I554" s="401">
        <v>1560</v>
      </c>
      <c r="J554" s="562">
        <v>0</v>
      </c>
      <c r="K554" s="531">
        <v>52</v>
      </c>
      <c r="L554" s="401">
        <f t="shared" si="295"/>
        <v>30</v>
      </c>
      <c r="M554" s="563">
        <v>45541</v>
      </c>
      <c r="N554" s="563">
        <v>45537</v>
      </c>
      <c r="O554" s="564"/>
      <c r="P554" s="564" t="s">
        <v>1690</v>
      </c>
      <c r="Q554" s="564"/>
      <c r="R554" s="564" t="s">
        <v>2374</v>
      </c>
      <c r="S554" s="564" t="s">
        <v>77</v>
      </c>
      <c r="T554" s="564" t="s">
        <v>2375</v>
      </c>
      <c r="U554" s="530" t="s">
        <v>2376</v>
      </c>
      <c r="V554" s="530" t="s">
        <v>406</v>
      </c>
      <c r="W554" s="592">
        <v>1.4432</v>
      </c>
      <c r="X554" s="593">
        <f t="shared" ref="X554:X558" si="330">I554*W554</f>
        <v>2251.392</v>
      </c>
      <c r="Y554" s="401" t="s">
        <v>2377</v>
      </c>
      <c r="Z554" s="607" t="s">
        <v>403</v>
      </c>
      <c r="AA554" s="1453" t="s">
        <v>128</v>
      </c>
      <c r="AB554" s="608"/>
      <c r="AC554" s="608"/>
      <c r="AD554" s="608"/>
      <c r="AE554" s="564" t="s">
        <v>80</v>
      </c>
      <c r="AF554" s="564"/>
      <c r="AG554" s="608">
        <f t="shared" si="326"/>
        <v>1560</v>
      </c>
      <c r="AH554" s="608"/>
      <c r="AI554" s="608"/>
      <c r="AJ554" s="608"/>
      <c r="AK554" s="609">
        <f t="shared" ref="AK554:AK558" si="331">AG554</f>
        <v>1560</v>
      </c>
      <c r="AL554" s="609"/>
      <c r="AM554" s="609"/>
      <c r="AN554" s="609"/>
      <c r="AO554" s="609">
        <f>AG554</f>
        <v>1560</v>
      </c>
      <c r="AP554" s="609"/>
      <c r="AQ554" s="609"/>
      <c r="AR554" s="609"/>
      <c r="AS554" s="609"/>
      <c r="AT554" s="633"/>
      <c r="AU554" s="633"/>
      <c r="AV554" s="633"/>
      <c r="AW554" s="401"/>
      <c r="AX554" s="633"/>
      <c r="AY554" s="633">
        <f>AG554/13</f>
        <v>120</v>
      </c>
      <c r="AZ554" s="633"/>
      <c r="BA554" s="633"/>
      <c r="BB554" s="633"/>
      <c r="BC554" s="633"/>
      <c r="BD554" s="633"/>
      <c r="BE554" s="633"/>
      <c r="BF554" s="633"/>
      <c r="BG554" s="633"/>
      <c r="BH554" s="633"/>
      <c r="BI554" s="633"/>
      <c r="BJ554" s="633"/>
      <c r="BK554" s="633"/>
      <c r="BL554" s="633"/>
      <c r="BM554" s="401">
        <f t="shared" si="308"/>
        <v>1560</v>
      </c>
      <c r="BO554" s="1473"/>
      <c r="BP554" s="1473"/>
    </row>
    <row r="555" s="200" customFormat="1" ht="36" customHeight="1" spans="1:68">
      <c r="A555" s="1580">
        <v>45425</v>
      </c>
      <c r="B555" s="1581" t="s">
        <v>1080</v>
      </c>
      <c r="C555" s="1573" t="s">
        <v>117</v>
      </c>
      <c r="D555" s="1570">
        <v>4500133133</v>
      </c>
      <c r="E555" s="1533" t="s">
        <v>2378</v>
      </c>
      <c r="F555" s="1570" t="s">
        <v>2379</v>
      </c>
      <c r="G555" s="531" t="s">
        <v>160</v>
      </c>
      <c r="H555" s="532" t="s">
        <v>74</v>
      </c>
      <c r="I555" s="1514">
        <v>819</v>
      </c>
      <c r="J555" s="562">
        <v>0</v>
      </c>
      <c r="K555" s="531">
        <v>13</v>
      </c>
      <c r="L555" s="401">
        <f t="shared" si="295"/>
        <v>63</v>
      </c>
      <c r="M555" s="563">
        <v>45544</v>
      </c>
      <c r="N555" s="563">
        <v>45540</v>
      </c>
      <c r="O555" s="564"/>
      <c r="P555" s="564" t="s">
        <v>1262</v>
      </c>
      <c r="Q555" s="564" t="s">
        <v>2380</v>
      </c>
      <c r="R555" s="564">
        <v>45509</v>
      </c>
      <c r="S555" s="564" t="s">
        <v>77</v>
      </c>
      <c r="T555" s="564" t="s">
        <v>2381</v>
      </c>
      <c r="U555" s="530" t="s">
        <v>2382</v>
      </c>
      <c r="V555" s="564" t="s">
        <v>1855</v>
      </c>
      <c r="W555" s="592">
        <v>1.4122</v>
      </c>
      <c r="X555" s="593">
        <f t="shared" si="330"/>
        <v>1156.5918</v>
      </c>
      <c r="Y555" s="401" t="s">
        <v>2383</v>
      </c>
      <c r="Z555" s="607" t="s">
        <v>160</v>
      </c>
      <c r="AA555" s="1453" t="s">
        <v>128</v>
      </c>
      <c r="AB555" s="608"/>
      <c r="AC555" s="608"/>
      <c r="AD555" s="608"/>
      <c r="AE555" s="564" t="s">
        <v>80</v>
      </c>
      <c r="AF555" s="564"/>
      <c r="AG555" s="608">
        <f t="shared" si="326"/>
        <v>819</v>
      </c>
      <c r="AH555" s="608"/>
      <c r="AI555" s="608"/>
      <c r="AJ555" s="608"/>
      <c r="AK555" s="609">
        <f>I555</f>
        <v>819</v>
      </c>
      <c r="AL555" s="609"/>
      <c r="AM555" s="609"/>
      <c r="AN555" s="609"/>
      <c r="AO555" s="609">
        <f t="shared" ref="AO555:AO557" si="332">I555</f>
        <v>819</v>
      </c>
      <c r="AP555" s="609"/>
      <c r="AQ555" s="609"/>
      <c r="AR555" s="609"/>
      <c r="AS555" s="609"/>
      <c r="AT555" s="633"/>
      <c r="AU555" s="633"/>
      <c r="AV555" s="633"/>
      <c r="AW555" s="401"/>
      <c r="AX555" s="633"/>
      <c r="AY555" s="633">
        <f>I555/13</f>
        <v>63</v>
      </c>
      <c r="AZ555" s="633"/>
      <c r="BA555" s="633"/>
      <c r="BB555" s="633"/>
      <c r="BC555" s="633"/>
      <c r="BD555" s="633"/>
      <c r="BE555" s="633"/>
      <c r="BF555" s="633"/>
      <c r="BG555" s="633"/>
      <c r="BH555" s="633"/>
      <c r="BI555" s="633"/>
      <c r="BJ555" s="633"/>
      <c r="BK555" s="633"/>
      <c r="BL555" s="633"/>
      <c r="BM555" s="401">
        <f t="shared" si="308"/>
        <v>819</v>
      </c>
      <c r="BO555" s="1473"/>
      <c r="BP555" s="1473"/>
    </row>
    <row r="556" s="200" customFormat="1" ht="36" customHeight="1" spans="1:68">
      <c r="A556" s="1580">
        <v>45491</v>
      </c>
      <c r="B556" s="1581" t="s">
        <v>507</v>
      </c>
      <c r="C556" s="1573" t="s">
        <v>213</v>
      </c>
      <c r="D556" s="1570">
        <v>4500140587</v>
      </c>
      <c r="E556" s="1533" t="s">
        <v>2384</v>
      </c>
      <c r="F556" s="1570" t="s">
        <v>2385</v>
      </c>
      <c r="G556" s="531" t="s">
        <v>160</v>
      </c>
      <c r="H556" s="532" t="s">
        <v>74</v>
      </c>
      <c r="I556" s="401">
        <v>689</v>
      </c>
      <c r="J556" s="562">
        <v>0</v>
      </c>
      <c r="K556" s="531">
        <v>13</v>
      </c>
      <c r="L556" s="401">
        <f t="shared" si="295"/>
        <v>53</v>
      </c>
      <c r="M556" s="563">
        <v>45547</v>
      </c>
      <c r="N556" s="563">
        <v>45541</v>
      </c>
      <c r="O556" s="564"/>
      <c r="P556" s="564" t="s">
        <v>1262</v>
      </c>
      <c r="Q556" s="564" t="s">
        <v>2386</v>
      </c>
      <c r="R556" s="564">
        <v>45491</v>
      </c>
      <c r="S556" s="564" t="s">
        <v>77</v>
      </c>
      <c r="T556" s="564" t="s">
        <v>77</v>
      </c>
      <c r="U556" s="530" t="s">
        <v>2387</v>
      </c>
      <c r="V556" s="564" t="s">
        <v>230</v>
      </c>
      <c r="W556" s="592">
        <v>1.4122</v>
      </c>
      <c r="X556" s="593">
        <f t="shared" si="330"/>
        <v>973.0058</v>
      </c>
      <c r="Y556" s="401" t="s">
        <v>2388</v>
      </c>
      <c r="Z556" s="607" t="s">
        <v>160</v>
      </c>
      <c r="AA556" s="1453" t="s">
        <v>128</v>
      </c>
      <c r="AB556" s="608">
        <v>689</v>
      </c>
      <c r="AC556" s="608">
        <f t="shared" ref="AC556:AC558" si="333">AB556-I556</f>
        <v>0</v>
      </c>
      <c r="AD556" s="608"/>
      <c r="AE556" s="564" t="s">
        <v>2389</v>
      </c>
      <c r="AF556" s="564"/>
      <c r="AG556" s="608">
        <f t="shared" si="326"/>
        <v>689</v>
      </c>
      <c r="AH556" s="608"/>
      <c r="AI556" s="608"/>
      <c r="AJ556" s="608"/>
      <c r="AK556" s="609">
        <f>I556</f>
        <v>689</v>
      </c>
      <c r="AL556" s="609"/>
      <c r="AM556" s="609"/>
      <c r="AN556" s="609"/>
      <c r="AO556" s="609">
        <f t="shared" si="332"/>
        <v>689</v>
      </c>
      <c r="AP556" s="609"/>
      <c r="AQ556" s="609"/>
      <c r="AR556" s="609"/>
      <c r="AS556" s="609"/>
      <c r="AT556" s="633"/>
      <c r="AU556" s="633"/>
      <c r="AV556" s="633"/>
      <c r="AW556" s="401"/>
      <c r="AX556" s="633"/>
      <c r="AY556" s="633">
        <f>I556/13</f>
        <v>53</v>
      </c>
      <c r="AZ556" s="633"/>
      <c r="BA556" s="633"/>
      <c r="BB556" s="633"/>
      <c r="BC556" s="633"/>
      <c r="BD556" s="633"/>
      <c r="BE556" s="633"/>
      <c r="BF556" s="633"/>
      <c r="BG556" s="633"/>
      <c r="BH556" s="633"/>
      <c r="BI556" s="633"/>
      <c r="BJ556" s="633"/>
      <c r="BK556" s="633"/>
      <c r="BL556" s="633"/>
      <c r="BM556" s="401">
        <f t="shared" si="308"/>
        <v>689</v>
      </c>
      <c r="BO556" s="1473"/>
      <c r="BP556" s="1473"/>
    </row>
    <row r="557" s="200" customFormat="1" ht="36" customHeight="1" spans="1:68">
      <c r="A557" s="1580">
        <v>45504</v>
      </c>
      <c r="B557" s="1581" t="s">
        <v>1548</v>
      </c>
      <c r="C557" s="1573" t="s">
        <v>1549</v>
      </c>
      <c r="D557" s="1570">
        <v>4500141816</v>
      </c>
      <c r="E557" s="1533"/>
      <c r="F557" s="1570" t="s">
        <v>2390</v>
      </c>
      <c r="G557" s="531" t="s">
        <v>73</v>
      </c>
      <c r="H557" s="532" t="s">
        <v>74</v>
      </c>
      <c r="I557" s="401">
        <v>504</v>
      </c>
      <c r="J557" s="562">
        <v>0</v>
      </c>
      <c r="K557" s="531">
        <v>24</v>
      </c>
      <c r="L557" s="401">
        <f t="shared" si="295"/>
        <v>21</v>
      </c>
      <c r="M557" s="563">
        <v>45547</v>
      </c>
      <c r="N557" s="563">
        <v>45541</v>
      </c>
      <c r="O557" s="564"/>
      <c r="P557" s="564" t="s">
        <v>1262</v>
      </c>
      <c r="Q557" s="564" t="s">
        <v>2391</v>
      </c>
      <c r="R557" s="564">
        <v>45506</v>
      </c>
      <c r="S557" s="564" t="s">
        <v>77</v>
      </c>
      <c r="T557" s="564" t="s">
        <v>77</v>
      </c>
      <c r="U557" s="530" t="s">
        <v>2392</v>
      </c>
      <c r="V557" s="564" t="s">
        <v>1553</v>
      </c>
      <c r="W557" s="592">
        <v>1.3507</v>
      </c>
      <c r="X557" s="593">
        <f t="shared" si="330"/>
        <v>680.7528</v>
      </c>
      <c r="Y557" s="401" t="s">
        <v>2393</v>
      </c>
      <c r="Z557" s="607" t="s">
        <v>73</v>
      </c>
      <c r="AA557" s="1453" t="s">
        <v>128</v>
      </c>
      <c r="AB557" s="608">
        <v>504</v>
      </c>
      <c r="AC557" s="608">
        <f t="shared" si="333"/>
        <v>0</v>
      </c>
      <c r="AD557" s="608"/>
      <c r="AE557" s="564" t="s">
        <v>2389</v>
      </c>
      <c r="AF557" s="564"/>
      <c r="AG557" s="608">
        <f t="shared" si="326"/>
        <v>504</v>
      </c>
      <c r="AH557" s="608"/>
      <c r="AI557" s="608"/>
      <c r="AJ557" s="608"/>
      <c r="AK557" s="609">
        <f t="shared" si="331"/>
        <v>504</v>
      </c>
      <c r="AL557" s="609"/>
      <c r="AM557" s="609"/>
      <c r="AN557" s="609"/>
      <c r="AO557" s="609">
        <f t="shared" si="332"/>
        <v>504</v>
      </c>
      <c r="AP557" s="609"/>
      <c r="AQ557" s="609"/>
      <c r="AR557" s="609"/>
      <c r="AS557" s="609"/>
      <c r="AT557" s="633"/>
      <c r="AU557" s="633"/>
      <c r="AV557" s="633"/>
      <c r="AW557" s="401"/>
      <c r="AX557" s="633"/>
      <c r="AY557" s="633"/>
      <c r="AZ557" s="633"/>
      <c r="BA557" s="633"/>
      <c r="BB557" s="633"/>
      <c r="BC557" s="633"/>
      <c r="BD557" s="633"/>
      <c r="BE557" s="633"/>
      <c r="BF557" s="633"/>
      <c r="BG557" s="633"/>
      <c r="BH557" s="633"/>
      <c r="BI557" s="633"/>
      <c r="BJ557" s="633"/>
      <c r="BK557" s="633"/>
      <c r="BL557" s="633"/>
      <c r="BM557" s="401">
        <f t="shared" si="308"/>
        <v>504</v>
      </c>
      <c r="BO557" s="1473"/>
      <c r="BP557" s="1473"/>
    </row>
    <row r="558" s="200" customFormat="1" ht="36" customHeight="1" spans="1:68">
      <c r="A558" s="1580">
        <v>45495</v>
      </c>
      <c r="B558" s="1581" t="s">
        <v>1266</v>
      </c>
      <c r="C558" s="528" t="s">
        <v>117</v>
      </c>
      <c r="D558" s="1570">
        <v>4500140875</v>
      </c>
      <c r="E558" s="1533" t="s">
        <v>2394</v>
      </c>
      <c r="F558" s="1570" t="s">
        <v>2395</v>
      </c>
      <c r="G558" s="531" t="s">
        <v>403</v>
      </c>
      <c r="H558" s="532" t="s">
        <v>74</v>
      </c>
      <c r="I558" s="401">
        <v>12012</v>
      </c>
      <c r="J558" s="562">
        <v>0</v>
      </c>
      <c r="K558" s="531">
        <v>52</v>
      </c>
      <c r="L558" s="401">
        <f t="shared" si="295"/>
        <v>231</v>
      </c>
      <c r="M558" s="563">
        <v>45548</v>
      </c>
      <c r="N558" s="563">
        <v>45541</v>
      </c>
      <c r="O558" s="564"/>
      <c r="P558" s="564" t="s">
        <v>1690</v>
      </c>
      <c r="Q558" s="564" t="s">
        <v>2396</v>
      </c>
      <c r="R558" s="564">
        <v>45495</v>
      </c>
      <c r="S558" s="564" t="s">
        <v>123</v>
      </c>
      <c r="T558" s="1552" t="s">
        <v>2397</v>
      </c>
      <c r="U558" s="530" t="s">
        <v>1270</v>
      </c>
      <c r="V558" s="564" t="s">
        <v>396</v>
      </c>
      <c r="W558" s="592">
        <v>1.3922</v>
      </c>
      <c r="X558" s="593">
        <f t="shared" si="330"/>
        <v>16723.1064</v>
      </c>
      <c r="Y558" s="401" t="s">
        <v>2398</v>
      </c>
      <c r="Z558" s="607" t="s">
        <v>403</v>
      </c>
      <c r="AA558" s="1453" t="s">
        <v>128</v>
      </c>
      <c r="AB558" s="608">
        <v>12012</v>
      </c>
      <c r="AC558" s="608">
        <f t="shared" si="333"/>
        <v>0</v>
      </c>
      <c r="AD558" s="608"/>
      <c r="AE558" s="564" t="s">
        <v>2389</v>
      </c>
      <c r="AF558" s="564"/>
      <c r="AG558" s="608">
        <f t="shared" si="326"/>
        <v>12012</v>
      </c>
      <c r="AH558" s="608"/>
      <c r="AI558" s="608"/>
      <c r="AJ558" s="608"/>
      <c r="AK558" s="609">
        <f t="shared" si="331"/>
        <v>12012</v>
      </c>
      <c r="AL558" s="609"/>
      <c r="AM558" s="609"/>
      <c r="AN558" s="609"/>
      <c r="AO558" s="609">
        <f t="shared" ref="AO558:AO561" si="334">AG558</f>
        <v>12012</v>
      </c>
      <c r="AP558" s="609"/>
      <c r="AQ558" s="609"/>
      <c r="AR558" s="609"/>
      <c r="AS558" s="609"/>
      <c r="AT558" s="633"/>
      <c r="AU558" s="633"/>
      <c r="AV558" s="633"/>
      <c r="AW558" s="401"/>
      <c r="AX558" s="633"/>
      <c r="AY558" s="633">
        <f>AG558/13</f>
        <v>924</v>
      </c>
      <c r="AZ558" s="633"/>
      <c r="BA558" s="633"/>
      <c r="BB558" s="633"/>
      <c r="BC558" s="633"/>
      <c r="BD558" s="633"/>
      <c r="BE558" s="633"/>
      <c r="BF558" s="633"/>
      <c r="BG558" s="633"/>
      <c r="BH558" s="633"/>
      <c r="BI558" s="633"/>
      <c r="BJ558" s="633"/>
      <c r="BK558" s="633"/>
      <c r="BL558" s="633"/>
      <c r="BM558" s="401">
        <f t="shared" si="308"/>
        <v>12012</v>
      </c>
      <c r="BO558" s="1473"/>
      <c r="BP558" s="1473"/>
    </row>
    <row r="559" s="200" customFormat="1" ht="36" customHeight="1" spans="1:68">
      <c r="A559" s="533">
        <v>45482</v>
      </c>
      <c r="B559" s="527" t="s">
        <v>523</v>
      </c>
      <c r="C559" s="1573" t="s">
        <v>351</v>
      </c>
      <c r="D559" s="534">
        <v>4500139856</v>
      </c>
      <c r="E559" s="530"/>
      <c r="F559" s="534" t="s">
        <v>2399</v>
      </c>
      <c r="G559" s="531" t="s">
        <v>2400</v>
      </c>
      <c r="H559" s="1603" t="s">
        <v>2401</v>
      </c>
      <c r="I559" s="1496">
        <v>17616</v>
      </c>
      <c r="J559" s="562">
        <v>0</v>
      </c>
      <c r="K559" s="531">
        <v>48</v>
      </c>
      <c r="L559" s="401">
        <f t="shared" si="295"/>
        <v>367</v>
      </c>
      <c r="M559" s="563">
        <v>45537</v>
      </c>
      <c r="N559" s="563">
        <v>45532</v>
      </c>
      <c r="O559" s="564" t="s">
        <v>2402</v>
      </c>
      <c r="P559" s="564" t="s">
        <v>1690</v>
      </c>
      <c r="Q559" s="564" t="s">
        <v>2403</v>
      </c>
      <c r="R559" s="564">
        <v>45492</v>
      </c>
      <c r="S559" s="564" t="s">
        <v>77</v>
      </c>
      <c r="T559" s="564" t="s">
        <v>77</v>
      </c>
      <c r="U559" s="530" t="s">
        <v>2404</v>
      </c>
      <c r="V559" s="564" t="s">
        <v>529</v>
      </c>
      <c r="W559" s="592">
        <v>202.3664</v>
      </c>
      <c r="X559" s="593">
        <f>L559*W559</f>
        <v>74268.4688</v>
      </c>
      <c r="Y559" s="401" t="s">
        <v>2405</v>
      </c>
      <c r="Z559" s="607" t="s">
        <v>2400</v>
      </c>
      <c r="AA559" s="1453" t="s">
        <v>128</v>
      </c>
      <c r="AB559" s="608"/>
      <c r="AC559" s="608"/>
      <c r="AD559" s="608"/>
      <c r="AE559" s="564" t="s">
        <v>80</v>
      </c>
      <c r="AF559" s="564"/>
      <c r="AG559" s="608">
        <f t="shared" si="326"/>
        <v>17616</v>
      </c>
      <c r="AH559" s="608"/>
      <c r="AI559" s="608"/>
      <c r="AJ559" s="609"/>
      <c r="AK559" s="609"/>
      <c r="AM559" s="609"/>
      <c r="AN559" s="401">
        <f>I559</f>
        <v>17616</v>
      </c>
      <c r="AO559" s="609">
        <f>I559</f>
        <v>17616</v>
      </c>
      <c r="AP559" s="609"/>
      <c r="AQ559" s="609"/>
      <c r="AR559" s="609"/>
      <c r="AS559" s="609"/>
      <c r="AT559" s="633"/>
      <c r="AU559" s="633"/>
      <c r="AV559" s="633"/>
      <c r="AW559" s="633"/>
      <c r="AX559" s="633"/>
      <c r="AY559" s="633"/>
      <c r="AZ559" s="633"/>
      <c r="BA559" s="633"/>
      <c r="BB559" s="633"/>
      <c r="BC559" s="633"/>
      <c r="BD559" s="633"/>
      <c r="BE559" s="633"/>
      <c r="BF559" s="633"/>
      <c r="BG559" s="633"/>
      <c r="BH559" s="633"/>
      <c r="BI559" s="633"/>
      <c r="BJ559" s="633"/>
      <c r="BK559" s="633"/>
      <c r="BL559" s="633"/>
      <c r="BM559" s="401">
        <f t="shared" si="308"/>
        <v>17616</v>
      </c>
      <c r="BO559" s="1473"/>
      <c r="BP559" s="1473"/>
    </row>
    <row r="560" s="200" customFormat="1" ht="36" customHeight="1" spans="1:73">
      <c r="A560" s="1601">
        <v>45481</v>
      </c>
      <c r="B560" s="1593" t="s">
        <v>816</v>
      </c>
      <c r="C560" s="1573" t="s">
        <v>117</v>
      </c>
      <c r="D560" s="1595">
        <v>4500139689</v>
      </c>
      <c r="E560" s="1602" t="s">
        <v>2406</v>
      </c>
      <c r="F560" s="1595" t="s">
        <v>2407</v>
      </c>
      <c r="G560" s="531" t="s">
        <v>628</v>
      </c>
      <c r="H560" s="532" t="s">
        <v>623</v>
      </c>
      <c r="I560" s="401">
        <v>13440</v>
      </c>
      <c r="J560" s="562">
        <v>0</v>
      </c>
      <c r="K560" s="531">
        <v>12</v>
      </c>
      <c r="L560" s="401">
        <f t="shared" si="295"/>
        <v>1120</v>
      </c>
      <c r="M560" s="563">
        <v>45530</v>
      </c>
      <c r="N560" s="563">
        <v>45526</v>
      </c>
      <c r="O560" s="564"/>
      <c r="P560" s="564" t="s">
        <v>1690</v>
      </c>
      <c r="Q560" s="564"/>
      <c r="R560" s="564">
        <v>45483</v>
      </c>
      <c r="S560" s="564" t="s">
        <v>77</v>
      </c>
      <c r="T560" s="1567" t="s">
        <v>2408</v>
      </c>
      <c r="U560" s="530" t="s">
        <v>1955</v>
      </c>
      <c r="V560" s="564" t="s">
        <v>163</v>
      </c>
      <c r="W560" s="592">
        <v>3.0551</v>
      </c>
      <c r="X560" s="593">
        <f>I560*W560</f>
        <v>41060.544</v>
      </c>
      <c r="Y560" s="401" t="s">
        <v>2409</v>
      </c>
      <c r="Z560" s="607" t="s">
        <v>822</v>
      </c>
      <c r="AA560" s="1453" t="s">
        <v>128</v>
      </c>
      <c r="AB560" s="608"/>
      <c r="AC560" s="608"/>
      <c r="AD560" s="608"/>
      <c r="AE560" s="564" t="s">
        <v>80</v>
      </c>
      <c r="AF560" s="564"/>
      <c r="AG560" s="608">
        <f>I560*2</f>
        <v>26880</v>
      </c>
      <c r="AH560" s="608"/>
      <c r="AI560" s="1557"/>
      <c r="AK560" s="609">
        <f>AG560</f>
        <v>26880</v>
      </c>
      <c r="AL560" s="401"/>
      <c r="AM560" s="609"/>
      <c r="AN560" s="609"/>
      <c r="AO560" s="615">
        <f t="shared" si="334"/>
        <v>26880</v>
      </c>
      <c r="AP560" s="609"/>
      <c r="AQ560" s="609"/>
      <c r="AR560" s="609"/>
      <c r="AS560" s="609"/>
      <c r="AT560" s="633"/>
      <c r="AU560" s="633"/>
      <c r="AV560" s="633"/>
      <c r="AW560" s="633"/>
      <c r="AX560" s="633"/>
      <c r="AY560" s="633"/>
      <c r="AZ560" s="633"/>
      <c r="BA560" s="633"/>
      <c r="BB560" s="633"/>
      <c r="BC560" s="633"/>
      <c r="BD560" s="633"/>
      <c r="BE560" s="633"/>
      <c r="BF560" s="633"/>
      <c r="BG560" s="633"/>
      <c r="BH560" s="633"/>
      <c r="BI560" s="633"/>
      <c r="BJ560" s="633"/>
      <c r="BK560" s="633">
        <f>I560</f>
        <v>13440</v>
      </c>
      <c r="BL560" s="633">
        <f>I560</f>
        <v>13440</v>
      </c>
      <c r="BM560" s="401">
        <f t="shared" si="308"/>
        <v>26880</v>
      </c>
      <c r="BO560" s="1473"/>
      <c r="BP560" s="1473"/>
      <c r="BU560" s="200" t="s">
        <v>2410</v>
      </c>
    </row>
    <row r="561" s="200" customFormat="1" ht="36" customHeight="1" spans="1:68">
      <c r="A561" s="533">
        <v>45481</v>
      </c>
      <c r="B561" s="527" t="s">
        <v>315</v>
      </c>
      <c r="C561" s="1573" t="s">
        <v>477</v>
      </c>
      <c r="D561" s="534">
        <v>4500139651</v>
      </c>
      <c r="E561" s="530" t="s">
        <v>2411</v>
      </c>
      <c r="F561" s="534" t="s">
        <v>2412</v>
      </c>
      <c r="G561" s="531" t="s">
        <v>73</v>
      </c>
      <c r="H561" s="532" t="s">
        <v>74</v>
      </c>
      <c r="I561" s="1496">
        <v>912</v>
      </c>
      <c r="J561" s="562">
        <v>0</v>
      </c>
      <c r="K561" s="531">
        <v>24</v>
      </c>
      <c r="L561" s="401">
        <f t="shared" si="295"/>
        <v>38</v>
      </c>
      <c r="M561" s="563">
        <v>45533</v>
      </c>
      <c r="N561" s="563">
        <v>45530</v>
      </c>
      <c r="O561" s="564"/>
      <c r="P561" s="564" t="s">
        <v>1690</v>
      </c>
      <c r="Q561" s="564" t="s">
        <v>2413</v>
      </c>
      <c r="R561" s="564" t="s">
        <v>1910</v>
      </c>
      <c r="S561" s="564" t="s">
        <v>123</v>
      </c>
      <c r="T561" s="1552" t="s">
        <v>2414</v>
      </c>
      <c r="U561" s="530" t="s">
        <v>2415</v>
      </c>
      <c r="V561" s="564" t="s">
        <v>186</v>
      </c>
      <c r="W561" s="592">
        <v>1.3645</v>
      </c>
      <c r="X561" s="593">
        <f>I561*W561</f>
        <v>1244.424</v>
      </c>
      <c r="Y561" s="401" t="s">
        <v>2416</v>
      </c>
      <c r="Z561" s="607" t="s">
        <v>188</v>
      </c>
      <c r="AA561" s="1453" t="s">
        <v>128</v>
      </c>
      <c r="AB561" s="608"/>
      <c r="AC561" s="608"/>
      <c r="AD561" s="608"/>
      <c r="AE561" s="564" t="s">
        <v>80</v>
      </c>
      <c r="AF561" s="564"/>
      <c r="AG561" s="608">
        <f t="shared" ref="AG561:AG573" si="335">I561</f>
        <v>912</v>
      </c>
      <c r="AH561" s="608"/>
      <c r="AI561" s="608"/>
      <c r="AJ561" s="609"/>
      <c r="AK561" s="609"/>
      <c r="AL561" s="401">
        <f>I561</f>
        <v>912</v>
      </c>
      <c r="AM561" s="609"/>
      <c r="AN561" s="609"/>
      <c r="AO561" s="609">
        <f t="shared" si="334"/>
        <v>912</v>
      </c>
      <c r="AP561" s="609"/>
      <c r="AQ561" s="609"/>
      <c r="AR561" s="609"/>
      <c r="AS561" s="609"/>
      <c r="AT561" s="633"/>
      <c r="AU561" s="633"/>
      <c r="AV561" s="633"/>
      <c r="AW561" s="633"/>
      <c r="AX561" s="633"/>
      <c r="AY561" s="633"/>
      <c r="AZ561" s="633"/>
      <c r="BA561" s="633"/>
      <c r="BB561" s="633"/>
      <c r="BC561" s="633"/>
      <c r="BD561" s="633"/>
      <c r="BE561" s="633"/>
      <c r="BF561" s="633"/>
      <c r="BG561" s="633"/>
      <c r="BH561" s="633"/>
      <c r="BI561" s="633"/>
      <c r="BJ561" s="633"/>
      <c r="BK561" s="633"/>
      <c r="BL561" s="633"/>
      <c r="BM561" s="401">
        <f t="shared" si="308"/>
        <v>912</v>
      </c>
      <c r="BO561" s="1473"/>
      <c r="BP561" s="1473"/>
    </row>
    <row r="562" s="200" customFormat="1" ht="36" customHeight="1" spans="1:68">
      <c r="A562" s="533">
        <v>45511</v>
      </c>
      <c r="B562" s="527" t="s">
        <v>587</v>
      </c>
      <c r="C562" s="528" t="s">
        <v>117</v>
      </c>
      <c r="D562" s="534">
        <v>4500142371</v>
      </c>
      <c r="E562" s="530" t="s">
        <v>2417</v>
      </c>
      <c r="F562" s="534" t="s">
        <v>2418</v>
      </c>
      <c r="G562" s="531" t="s">
        <v>245</v>
      </c>
      <c r="H562" s="532" t="s">
        <v>74</v>
      </c>
      <c r="I562" s="401">
        <v>5040</v>
      </c>
      <c r="J562" s="562">
        <v>0</v>
      </c>
      <c r="K562" s="531">
        <v>12</v>
      </c>
      <c r="L562" s="401">
        <f t="shared" ref="L562:L625" si="336">I562/K562</f>
        <v>420</v>
      </c>
      <c r="M562" s="563">
        <v>45539</v>
      </c>
      <c r="N562" s="563">
        <v>45535</v>
      </c>
      <c r="O562" s="1474" t="s">
        <v>2419</v>
      </c>
      <c r="P562" s="564" t="s">
        <v>1690</v>
      </c>
      <c r="Q562" s="564"/>
      <c r="R562" s="1523" t="s">
        <v>1102</v>
      </c>
      <c r="S562" s="564" t="s">
        <v>123</v>
      </c>
      <c r="T562" s="580" t="s">
        <v>2420</v>
      </c>
      <c r="U562" s="530" t="s">
        <v>2421</v>
      </c>
      <c r="V562" s="564" t="s">
        <v>634</v>
      </c>
      <c r="W562" s="592">
        <v>1.3686</v>
      </c>
      <c r="X562" s="593">
        <f t="shared" ref="X562:X568" si="337">W562*L562</f>
        <v>574.812</v>
      </c>
      <c r="Y562" s="401" t="s">
        <v>2422</v>
      </c>
      <c r="Z562" s="607" t="s">
        <v>245</v>
      </c>
      <c r="AA562" s="1453" t="s">
        <v>128</v>
      </c>
      <c r="AB562" s="608"/>
      <c r="AC562" s="608"/>
      <c r="AD562" s="608"/>
      <c r="AE562" s="564" t="s">
        <v>80</v>
      </c>
      <c r="AF562" s="564"/>
      <c r="AG562" s="608">
        <f t="shared" si="335"/>
        <v>5040</v>
      </c>
      <c r="AH562" s="608"/>
      <c r="AI562" s="608"/>
      <c r="AJ562" s="609"/>
      <c r="AK562" s="609">
        <f t="shared" ref="AK562:AK568" si="338">I562</f>
        <v>5040</v>
      </c>
      <c r="AL562" s="401"/>
      <c r="AM562" s="401"/>
      <c r="AN562" s="609"/>
      <c r="AP562" s="609"/>
      <c r="AQ562" s="609">
        <f t="shared" ref="AQ562:AQ568" si="339">AG562</f>
        <v>5040</v>
      </c>
      <c r="AR562" s="609"/>
      <c r="AS562" s="609"/>
      <c r="AT562" s="633"/>
      <c r="AU562" s="633"/>
      <c r="AV562" s="633">
        <f t="shared" ref="AV562:AV568" si="340">I562/12</f>
        <v>420</v>
      </c>
      <c r="AW562" s="633"/>
      <c r="AX562" s="633"/>
      <c r="AY562" s="633"/>
      <c r="AZ562" s="633"/>
      <c r="BA562" s="633"/>
      <c r="BB562" s="633"/>
      <c r="BC562" s="633"/>
      <c r="BD562" s="633"/>
      <c r="BE562" s="633"/>
      <c r="BF562" s="633"/>
      <c r="BG562" s="633"/>
      <c r="BH562" s="633"/>
      <c r="BI562" s="633"/>
      <c r="BJ562" s="633"/>
      <c r="BK562" s="633"/>
      <c r="BL562" s="633"/>
      <c r="BM562" s="401">
        <f t="shared" si="308"/>
        <v>5040</v>
      </c>
      <c r="BO562" s="1473"/>
      <c r="BP562" s="1473"/>
    </row>
    <row r="563" s="200" customFormat="1" ht="36" customHeight="1" spans="1:68">
      <c r="A563" s="533">
        <v>45511</v>
      </c>
      <c r="B563" s="527" t="s">
        <v>587</v>
      </c>
      <c r="C563" s="528" t="s">
        <v>117</v>
      </c>
      <c r="D563" s="534">
        <v>4500142371</v>
      </c>
      <c r="E563" s="530" t="s">
        <v>2423</v>
      </c>
      <c r="F563" s="534" t="s">
        <v>2424</v>
      </c>
      <c r="G563" s="531" t="s">
        <v>245</v>
      </c>
      <c r="H563" s="532" t="s">
        <v>74</v>
      </c>
      <c r="I563" s="401">
        <v>5496</v>
      </c>
      <c r="J563" s="562">
        <v>0</v>
      </c>
      <c r="K563" s="531">
        <v>12</v>
      </c>
      <c r="L563" s="401">
        <f t="shared" si="336"/>
        <v>458</v>
      </c>
      <c r="M563" s="563">
        <v>45539</v>
      </c>
      <c r="N563" s="563">
        <v>45535</v>
      </c>
      <c r="O563" s="1474" t="s">
        <v>2419</v>
      </c>
      <c r="P563" s="564" t="s">
        <v>1690</v>
      </c>
      <c r="Q563" s="564"/>
      <c r="R563" s="1523" t="s">
        <v>1102</v>
      </c>
      <c r="S563" s="564" t="s">
        <v>123</v>
      </c>
      <c r="T563" s="580" t="s">
        <v>2420</v>
      </c>
      <c r="U563" s="530" t="s">
        <v>2421</v>
      </c>
      <c r="V563" s="564" t="s">
        <v>634</v>
      </c>
      <c r="W563" s="592">
        <v>1.3686</v>
      </c>
      <c r="X563" s="593">
        <f t="shared" si="337"/>
        <v>626.8188</v>
      </c>
      <c r="Y563" s="401" t="s">
        <v>2422</v>
      </c>
      <c r="Z563" s="607" t="s">
        <v>245</v>
      </c>
      <c r="AA563" s="1453" t="s">
        <v>128</v>
      </c>
      <c r="AB563" s="608"/>
      <c r="AC563" s="608"/>
      <c r="AD563" s="608"/>
      <c r="AE563" s="564" t="s">
        <v>80</v>
      </c>
      <c r="AF563" s="564"/>
      <c r="AG563" s="608">
        <f t="shared" si="335"/>
        <v>5496</v>
      </c>
      <c r="AH563" s="608"/>
      <c r="AI563" s="608"/>
      <c r="AJ563" s="609"/>
      <c r="AK563" s="609">
        <f t="shared" si="338"/>
        <v>5496</v>
      </c>
      <c r="AL563" s="401"/>
      <c r="AM563" s="401"/>
      <c r="AN563" s="609"/>
      <c r="AO563" s="609"/>
      <c r="AP563" s="609"/>
      <c r="AQ563" s="609">
        <f t="shared" si="339"/>
        <v>5496</v>
      </c>
      <c r="AR563" s="609"/>
      <c r="AS563" s="609"/>
      <c r="AT563" s="633"/>
      <c r="AU563" s="633"/>
      <c r="AV563" s="633">
        <f t="shared" si="340"/>
        <v>458</v>
      </c>
      <c r="AW563" s="633"/>
      <c r="AX563" s="633"/>
      <c r="AY563" s="633"/>
      <c r="AZ563" s="633"/>
      <c r="BA563" s="633"/>
      <c r="BB563" s="633"/>
      <c r="BC563" s="633"/>
      <c r="BD563" s="633"/>
      <c r="BE563" s="633"/>
      <c r="BF563" s="633"/>
      <c r="BG563" s="633"/>
      <c r="BH563" s="633"/>
      <c r="BI563" s="633"/>
      <c r="BJ563" s="633"/>
      <c r="BK563" s="633"/>
      <c r="BL563" s="633"/>
      <c r="BM563" s="401">
        <f t="shared" si="308"/>
        <v>5496</v>
      </c>
      <c r="BO563" s="1473"/>
      <c r="BP563" s="1473"/>
    </row>
    <row r="564" s="200" customFormat="1" ht="36" customHeight="1" spans="1:68">
      <c r="A564" s="533">
        <v>45511</v>
      </c>
      <c r="B564" s="527" t="s">
        <v>587</v>
      </c>
      <c r="C564" s="528" t="s">
        <v>117</v>
      </c>
      <c r="D564" s="534">
        <v>4500142371</v>
      </c>
      <c r="E564" s="530" t="s">
        <v>2425</v>
      </c>
      <c r="F564" s="534" t="s">
        <v>2426</v>
      </c>
      <c r="G564" s="531" t="s">
        <v>245</v>
      </c>
      <c r="H564" s="532" t="s">
        <v>74</v>
      </c>
      <c r="I564" s="401">
        <v>6840</v>
      </c>
      <c r="J564" s="562">
        <v>0</v>
      </c>
      <c r="K564" s="531">
        <v>12</v>
      </c>
      <c r="L564" s="401">
        <f t="shared" si="336"/>
        <v>570</v>
      </c>
      <c r="M564" s="563">
        <v>45539</v>
      </c>
      <c r="N564" s="563">
        <v>45535</v>
      </c>
      <c r="O564" s="1474" t="s">
        <v>2419</v>
      </c>
      <c r="P564" s="564" t="s">
        <v>1690</v>
      </c>
      <c r="Q564" s="564"/>
      <c r="R564" s="1523" t="s">
        <v>1102</v>
      </c>
      <c r="S564" s="564" t="s">
        <v>123</v>
      </c>
      <c r="T564" s="580" t="s">
        <v>2420</v>
      </c>
      <c r="U564" s="530" t="s">
        <v>2421</v>
      </c>
      <c r="V564" s="564" t="s">
        <v>634</v>
      </c>
      <c r="W564" s="592">
        <v>1.3686</v>
      </c>
      <c r="X564" s="593">
        <f t="shared" si="337"/>
        <v>780.102</v>
      </c>
      <c r="Y564" s="401" t="s">
        <v>2422</v>
      </c>
      <c r="Z564" s="607" t="s">
        <v>245</v>
      </c>
      <c r="AA564" s="1453" t="s">
        <v>128</v>
      </c>
      <c r="AB564" s="608"/>
      <c r="AC564" s="608"/>
      <c r="AD564" s="608"/>
      <c r="AE564" s="564" t="s">
        <v>80</v>
      </c>
      <c r="AF564" s="564"/>
      <c r="AG564" s="608">
        <f t="shared" si="335"/>
        <v>6840</v>
      </c>
      <c r="AH564" s="608"/>
      <c r="AI564" s="608"/>
      <c r="AJ564" s="609"/>
      <c r="AK564" s="609">
        <f t="shared" si="338"/>
        <v>6840</v>
      </c>
      <c r="AL564" s="401"/>
      <c r="AM564" s="401"/>
      <c r="AN564" s="609"/>
      <c r="AO564" s="609"/>
      <c r="AP564" s="609"/>
      <c r="AQ564" s="609">
        <f t="shared" si="339"/>
        <v>6840</v>
      </c>
      <c r="AR564" s="609"/>
      <c r="AS564" s="609"/>
      <c r="AT564" s="633"/>
      <c r="AU564" s="633"/>
      <c r="AV564" s="633">
        <f t="shared" si="340"/>
        <v>570</v>
      </c>
      <c r="AW564" s="633"/>
      <c r="AX564" s="633"/>
      <c r="AY564" s="633"/>
      <c r="AZ564" s="633"/>
      <c r="BA564" s="633"/>
      <c r="BB564" s="633"/>
      <c r="BC564" s="633"/>
      <c r="BD564" s="633"/>
      <c r="BE564" s="633"/>
      <c r="BF564" s="633"/>
      <c r="BG564" s="633"/>
      <c r="BH564" s="633"/>
      <c r="BI564" s="633"/>
      <c r="BJ564" s="633"/>
      <c r="BK564" s="633"/>
      <c r="BL564" s="633"/>
      <c r="BM564" s="401">
        <f t="shared" si="308"/>
        <v>6840</v>
      </c>
      <c r="BO564" s="1473"/>
      <c r="BP564" s="1473"/>
    </row>
    <row r="565" s="200" customFormat="1" ht="36" customHeight="1" spans="1:68">
      <c r="A565" s="533">
        <v>45511</v>
      </c>
      <c r="B565" s="527" t="s">
        <v>587</v>
      </c>
      <c r="C565" s="528" t="s">
        <v>117</v>
      </c>
      <c r="D565" s="534">
        <v>4500142371</v>
      </c>
      <c r="E565" s="530" t="s">
        <v>2427</v>
      </c>
      <c r="F565" s="534" t="s">
        <v>2428</v>
      </c>
      <c r="G565" s="531" t="s">
        <v>245</v>
      </c>
      <c r="H565" s="532" t="s">
        <v>74</v>
      </c>
      <c r="I565" s="401">
        <v>4716</v>
      </c>
      <c r="J565" s="562">
        <v>0</v>
      </c>
      <c r="K565" s="531">
        <v>12</v>
      </c>
      <c r="L565" s="401">
        <f t="shared" si="336"/>
        <v>393</v>
      </c>
      <c r="M565" s="563">
        <v>45539</v>
      </c>
      <c r="N565" s="563">
        <v>45535</v>
      </c>
      <c r="O565" s="1474" t="s">
        <v>2419</v>
      </c>
      <c r="P565" s="564" t="s">
        <v>1690</v>
      </c>
      <c r="Q565" s="564"/>
      <c r="R565" s="1523" t="s">
        <v>1102</v>
      </c>
      <c r="S565" s="564" t="s">
        <v>123</v>
      </c>
      <c r="T565" s="580" t="s">
        <v>2420</v>
      </c>
      <c r="U565" s="530" t="s">
        <v>2421</v>
      </c>
      <c r="V565" s="564" t="s">
        <v>634</v>
      </c>
      <c r="W565" s="592">
        <v>1.3686</v>
      </c>
      <c r="X565" s="593">
        <f t="shared" si="337"/>
        <v>537.8598</v>
      </c>
      <c r="Y565" s="401" t="s">
        <v>2422</v>
      </c>
      <c r="Z565" s="607" t="s">
        <v>245</v>
      </c>
      <c r="AA565" s="1453" t="s">
        <v>128</v>
      </c>
      <c r="AB565" s="608"/>
      <c r="AC565" s="608"/>
      <c r="AD565" s="608"/>
      <c r="AE565" s="564" t="s">
        <v>80</v>
      </c>
      <c r="AF565" s="564"/>
      <c r="AG565" s="608">
        <f t="shared" si="335"/>
        <v>4716</v>
      </c>
      <c r="AH565" s="608"/>
      <c r="AI565" s="608"/>
      <c r="AJ565" s="609"/>
      <c r="AK565" s="609">
        <f t="shared" si="338"/>
        <v>4716</v>
      </c>
      <c r="AL565" s="401"/>
      <c r="AM565" s="401"/>
      <c r="AN565" s="609"/>
      <c r="AO565" s="609"/>
      <c r="AP565" s="609"/>
      <c r="AQ565" s="609">
        <f t="shared" si="339"/>
        <v>4716</v>
      </c>
      <c r="AR565" s="609"/>
      <c r="AS565" s="609"/>
      <c r="AT565" s="633"/>
      <c r="AU565" s="633"/>
      <c r="AV565" s="633">
        <f t="shared" si="340"/>
        <v>393</v>
      </c>
      <c r="AW565" s="633"/>
      <c r="AX565" s="633"/>
      <c r="AY565" s="633"/>
      <c r="AZ565" s="633"/>
      <c r="BA565" s="633"/>
      <c r="BB565" s="633"/>
      <c r="BC565" s="633"/>
      <c r="BD565" s="633"/>
      <c r="BE565" s="633"/>
      <c r="BF565" s="633"/>
      <c r="BG565" s="633"/>
      <c r="BH565" s="633"/>
      <c r="BI565" s="633"/>
      <c r="BJ565" s="633"/>
      <c r="BK565" s="633"/>
      <c r="BL565" s="633"/>
      <c r="BM565" s="401">
        <f t="shared" si="308"/>
        <v>4716</v>
      </c>
      <c r="BO565" s="1473"/>
      <c r="BP565" s="1473"/>
    </row>
    <row r="566" s="200" customFormat="1" ht="36" customHeight="1" spans="1:68">
      <c r="A566" s="533">
        <v>45511</v>
      </c>
      <c r="B566" s="527" t="s">
        <v>587</v>
      </c>
      <c r="C566" s="528" t="s">
        <v>117</v>
      </c>
      <c r="D566" s="534">
        <v>4500142371</v>
      </c>
      <c r="E566" s="530" t="s">
        <v>2429</v>
      </c>
      <c r="F566" s="534" t="s">
        <v>2430</v>
      </c>
      <c r="G566" s="531" t="s">
        <v>245</v>
      </c>
      <c r="H566" s="532" t="s">
        <v>74</v>
      </c>
      <c r="I566" s="401">
        <v>3912</v>
      </c>
      <c r="J566" s="562">
        <v>0</v>
      </c>
      <c r="K566" s="531">
        <v>12</v>
      </c>
      <c r="L566" s="401">
        <f t="shared" si="336"/>
        <v>326</v>
      </c>
      <c r="M566" s="563">
        <v>45539</v>
      </c>
      <c r="N566" s="563">
        <v>45535</v>
      </c>
      <c r="O566" s="1474" t="s">
        <v>2419</v>
      </c>
      <c r="P566" s="564" t="s">
        <v>1690</v>
      </c>
      <c r="Q566" s="564"/>
      <c r="R566" s="1523" t="s">
        <v>1102</v>
      </c>
      <c r="S566" s="564" t="s">
        <v>123</v>
      </c>
      <c r="T566" s="580" t="s">
        <v>2420</v>
      </c>
      <c r="U566" s="530" t="s">
        <v>2421</v>
      </c>
      <c r="V566" s="564" t="s">
        <v>634</v>
      </c>
      <c r="W566" s="592">
        <v>1.3686</v>
      </c>
      <c r="X566" s="593">
        <f t="shared" si="337"/>
        <v>446.1636</v>
      </c>
      <c r="Y566" s="401" t="s">
        <v>2422</v>
      </c>
      <c r="Z566" s="607" t="s">
        <v>245</v>
      </c>
      <c r="AA566" s="1453" t="s">
        <v>128</v>
      </c>
      <c r="AB566" s="608"/>
      <c r="AC566" s="608"/>
      <c r="AD566" s="608"/>
      <c r="AE566" s="564" t="s">
        <v>80</v>
      </c>
      <c r="AF566" s="564"/>
      <c r="AG566" s="608">
        <f t="shared" si="335"/>
        <v>3912</v>
      </c>
      <c r="AH566" s="608"/>
      <c r="AI566" s="608"/>
      <c r="AJ566" s="609"/>
      <c r="AK566" s="609">
        <f t="shared" si="338"/>
        <v>3912</v>
      </c>
      <c r="AL566" s="401"/>
      <c r="AM566" s="401"/>
      <c r="AN566" s="609"/>
      <c r="AO566" s="609"/>
      <c r="AP566" s="609"/>
      <c r="AQ566" s="609">
        <f t="shared" si="339"/>
        <v>3912</v>
      </c>
      <c r="AR566" s="609"/>
      <c r="AS566" s="609"/>
      <c r="AT566" s="633"/>
      <c r="AU566" s="633"/>
      <c r="AV566" s="633">
        <f t="shared" si="340"/>
        <v>326</v>
      </c>
      <c r="AW566" s="633"/>
      <c r="AX566" s="633"/>
      <c r="AY566" s="633"/>
      <c r="AZ566" s="633"/>
      <c r="BA566" s="633"/>
      <c r="BB566" s="633"/>
      <c r="BC566" s="633"/>
      <c r="BD566" s="633"/>
      <c r="BE566" s="633"/>
      <c r="BF566" s="633"/>
      <c r="BG566" s="633"/>
      <c r="BH566" s="633"/>
      <c r="BI566" s="633"/>
      <c r="BJ566" s="633"/>
      <c r="BK566" s="633"/>
      <c r="BL566" s="633"/>
      <c r="BM566" s="401">
        <f t="shared" si="308"/>
        <v>3912</v>
      </c>
      <c r="BO566" s="1473"/>
      <c r="BP566" s="1473"/>
    </row>
    <row r="567" s="200" customFormat="1" ht="36" customHeight="1" spans="1:68">
      <c r="A567" s="533">
        <v>45511</v>
      </c>
      <c r="B567" s="527" t="s">
        <v>587</v>
      </c>
      <c r="C567" s="528" t="s">
        <v>117</v>
      </c>
      <c r="D567" s="534">
        <v>4500142371</v>
      </c>
      <c r="E567" s="530" t="s">
        <v>2431</v>
      </c>
      <c r="F567" s="534" t="s">
        <v>2432</v>
      </c>
      <c r="G567" s="531" t="s">
        <v>245</v>
      </c>
      <c r="H567" s="532" t="s">
        <v>74</v>
      </c>
      <c r="I567" s="401">
        <v>6156</v>
      </c>
      <c r="J567" s="562">
        <v>0</v>
      </c>
      <c r="K567" s="531">
        <v>12</v>
      </c>
      <c r="L567" s="401">
        <f t="shared" si="336"/>
        <v>513</v>
      </c>
      <c r="M567" s="563">
        <v>45539</v>
      </c>
      <c r="N567" s="563">
        <v>45535</v>
      </c>
      <c r="O567" s="1474" t="s">
        <v>2419</v>
      </c>
      <c r="P567" s="564" t="s">
        <v>1690</v>
      </c>
      <c r="Q567" s="564"/>
      <c r="R567" s="1523" t="s">
        <v>1102</v>
      </c>
      <c r="S567" s="564" t="s">
        <v>123</v>
      </c>
      <c r="T567" s="580" t="s">
        <v>2420</v>
      </c>
      <c r="U567" s="530" t="s">
        <v>2421</v>
      </c>
      <c r="V567" s="564" t="s">
        <v>634</v>
      </c>
      <c r="W567" s="592">
        <v>1.3686</v>
      </c>
      <c r="X567" s="593">
        <f t="shared" si="337"/>
        <v>702.0918</v>
      </c>
      <c r="Y567" s="401" t="s">
        <v>2422</v>
      </c>
      <c r="Z567" s="607" t="s">
        <v>245</v>
      </c>
      <c r="AA567" s="1453" t="s">
        <v>128</v>
      </c>
      <c r="AB567" s="608"/>
      <c r="AC567" s="608"/>
      <c r="AD567" s="608"/>
      <c r="AE567" s="564" t="s">
        <v>80</v>
      </c>
      <c r="AF567" s="564"/>
      <c r="AG567" s="608">
        <f t="shared" si="335"/>
        <v>6156</v>
      </c>
      <c r="AH567" s="608"/>
      <c r="AI567" s="608"/>
      <c r="AJ567" s="609"/>
      <c r="AK567" s="609">
        <f t="shared" si="338"/>
        <v>6156</v>
      </c>
      <c r="AL567" s="401"/>
      <c r="AM567" s="401"/>
      <c r="AN567" s="609"/>
      <c r="AO567" s="609"/>
      <c r="AP567" s="609"/>
      <c r="AQ567" s="609">
        <f t="shared" si="339"/>
        <v>6156</v>
      </c>
      <c r="AR567" s="609"/>
      <c r="AS567" s="609"/>
      <c r="AT567" s="633"/>
      <c r="AU567" s="633"/>
      <c r="AV567" s="633">
        <f t="shared" si="340"/>
        <v>513</v>
      </c>
      <c r="AW567" s="633"/>
      <c r="AX567" s="633"/>
      <c r="AY567" s="633"/>
      <c r="AZ567" s="633"/>
      <c r="BA567" s="633"/>
      <c r="BB567" s="633"/>
      <c r="BC567" s="633"/>
      <c r="BD567" s="633"/>
      <c r="BE567" s="633"/>
      <c r="BF567" s="633"/>
      <c r="BG567" s="633"/>
      <c r="BH567" s="633"/>
      <c r="BI567" s="633"/>
      <c r="BJ567" s="633"/>
      <c r="BK567" s="633"/>
      <c r="BL567" s="633"/>
      <c r="BM567" s="401">
        <f t="shared" si="308"/>
        <v>6156</v>
      </c>
      <c r="BO567" s="1473"/>
      <c r="BP567" s="1473"/>
    </row>
    <row r="568" s="200" customFormat="1" ht="36" customHeight="1" spans="1:68">
      <c r="A568" s="533">
        <v>45511</v>
      </c>
      <c r="B568" s="527" t="s">
        <v>587</v>
      </c>
      <c r="C568" s="528" t="s">
        <v>117</v>
      </c>
      <c r="D568" s="534">
        <v>4500142371</v>
      </c>
      <c r="E568" s="530" t="s">
        <v>2433</v>
      </c>
      <c r="F568" s="534" t="s">
        <v>2434</v>
      </c>
      <c r="G568" s="531" t="s">
        <v>245</v>
      </c>
      <c r="H568" s="532" t="s">
        <v>74</v>
      </c>
      <c r="I568" s="401">
        <v>7440</v>
      </c>
      <c r="J568" s="562">
        <v>0</v>
      </c>
      <c r="K568" s="531">
        <v>12</v>
      </c>
      <c r="L568" s="401">
        <f t="shared" si="336"/>
        <v>620</v>
      </c>
      <c r="M568" s="563">
        <v>45539</v>
      </c>
      <c r="N568" s="563">
        <v>45535</v>
      </c>
      <c r="O568" s="1474" t="s">
        <v>2419</v>
      </c>
      <c r="P568" s="564" t="s">
        <v>1690</v>
      </c>
      <c r="Q568" s="564"/>
      <c r="R568" s="1523" t="s">
        <v>1102</v>
      </c>
      <c r="S568" s="564" t="s">
        <v>123</v>
      </c>
      <c r="T568" s="580" t="s">
        <v>2420</v>
      </c>
      <c r="U568" s="530" t="s">
        <v>2421</v>
      </c>
      <c r="V568" s="564" t="s">
        <v>634</v>
      </c>
      <c r="W568" s="592">
        <v>1.3686</v>
      </c>
      <c r="X568" s="593">
        <f t="shared" si="337"/>
        <v>848.532</v>
      </c>
      <c r="Y568" s="401" t="s">
        <v>2422</v>
      </c>
      <c r="Z568" s="607" t="s">
        <v>245</v>
      </c>
      <c r="AA568" s="1453" t="s">
        <v>128</v>
      </c>
      <c r="AB568" s="608"/>
      <c r="AC568" s="608"/>
      <c r="AD568" s="608"/>
      <c r="AE568" s="564" t="s">
        <v>80</v>
      </c>
      <c r="AF568" s="564"/>
      <c r="AG568" s="608">
        <f t="shared" si="335"/>
        <v>7440</v>
      </c>
      <c r="AH568" s="608"/>
      <c r="AI568" s="608"/>
      <c r="AJ568" s="609"/>
      <c r="AK568" s="609">
        <f t="shared" si="338"/>
        <v>7440</v>
      </c>
      <c r="AL568" s="401"/>
      <c r="AM568" s="401"/>
      <c r="AN568" s="609"/>
      <c r="AO568" s="609"/>
      <c r="AP568" s="609"/>
      <c r="AQ568" s="609">
        <f t="shared" si="339"/>
        <v>7440</v>
      </c>
      <c r="AR568" s="609"/>
      <c r="AS568" s="609"/>
      <c r="AT568" s="633"/>
      <c r="AU568" s="633"/>
      <c r="AV568" s="633">
        <f t="shared" si="340"/>
        <v>620</v>
      </c>
      <c r="AW568" s="633"/>
      <c r="AX568" s="633"/>
      <c r="AY568" s="633"/>
      <c r="AZ568" s="633"/>
      <c r="BA568" s="633"/>
      <c r="BB568" s="633"/>
      <c r="BC568" s="633"/>
      <c r="BD568" s="633"/>
      <c r="BE568" s="633"/>
      <c r="BF568" s="633"/>
      <c r="BG568" s="633"/>
      <c r="BH568" s="633"/>
      <c r="BI568" s="633"/>
      <c r="BJ568" s="633"/>
      <c r="BK568" s="633"/>
      <c r="BL568" s="633"/>
      <c r="BM568" s="401">
        <f t="shared" si="308"/>
        <v>7440</v>
      </c>
      <c r="BO568" s="1473"/>
      <c r="BP568" s="1473"/>
    </row>
    <row r="569" s="200" customFormat="1" ht="36" customHeight="1" spans="1:68">
      <c r="A569" s="533">
        <v>45481</v>
      </c>
      <c r="B569" s="527" t="s">
        <v>315</v>
      </c>
      <c r="C569" s="528" t="s">
        <v>477</v>
      </c>
      <c r="D569" s="534">
        <v>4500139668</v>
      </c>
      <c r="E569" s="530" t="s">
        <v>2435</v>
      </c>
      <c r="F569" s="534" t="s">
        <v>2436</v>
      </c>
      <c r="G569" s="531" t="s">
        <v>73</v>
      </c>
      <c r="H569" s="532" t="s">
        <v>74</v>
      </c>
      <c r="I569" s="1496">
        <v>672</v>
      </c>
      <c r="J569" s="562">
        <v>0</v>
      </c>
      <c r="K569" s="531">
        <v>24</v>
      </c>
      <c r="L569" s="401">
        <f t="shared" si="336"/>
        <v>28</v>
      </c>
      <c r="M569" s="563">
        <v>45540</v>
      </c>
      <c r="N569" s="563">
        <v>45537</v>
      </c>
      <c r="O569" s="564"/>
      <c r="P569" s="564" t="s">
        <v>1690</v>
      </c>
      <c r="Q569" s="564" t="s">
        <v>2437</v>
      </c>
      <c r="R569" s="564" t="s">
        <v>1910</v>
      </c>
      <c r="S569" s="564" t="s">
        <v>123</v>
      </c>
      <c r="T569" s="1552" t="s">
        <v>2438</v>
      </c>
      <c r="U569" s="530" t="s">
        <v>2439</v>
      </c>
      <c r="V569" s="564" t="s">
        <v>186</v>
      </c>
      <c r="W569" s="592">
        <v>1.3645</v>
      </c>
      <c r="X569" s="593">
        <f t="shared" ref="X569:X574" si="341">I569*W569</f>
        <v>916.944</v>
      </c>
      <c r="Y569" s="401" t="s">
        <v>2440</v>
      </c>
      <c r="Z569" s="607" t="s">
        <v>188</v>
      </c>
      <c r="AA569" s="1453" t="s">
        <v>128</v>
      </c>
      <c r="AB569" s="608"/>
      <c r="AC569" s="608"/>
      <c r="AD569" s="608"/>
      <c r="AE569" s="564" t="s">
        <v>80</v>
      </c>
      <c r="AF569" s="564"/>
      <c r="AG569" s="608">
        <f t="shared" si="335"/>
        <v>672</v>
      </c>
      <c r="AH569" s="608"/>
      <c r="AI569" s="608"/>
      <c r="AJ569" s="609"/>
      <c r="AK569" s="609"/>
      <c r="AL569" s="401">
        <f t="shared" ref="AL569:AL573" si="342">I569</f>
        <v>672</v>
      </c>
      <c r="AM569" s="401"/>
      <c r="AN569" s="609"/>
      <c r="AO569" s="609">
        <f t="shared" ref="AO569:AO573" si="343">I569</f>
        <v>672</v>
      </c>
      <c r="AP569" s="609"/>
      <c r="AQ569" s="609"/>
      <c r="AR569" s="609"/>
      <c r="AS569" s="609"/>
      <c r="AT569" s="633"/>
      <c r="AU569" s="633"/>
      <c r="AV569" s="633"/>
      <c r="AW569" s="633"/>
      <c r="AX569" s="633"/>
      <c r="AY569" s="633"/>
      <c r="AZ569" s="633"/>
      <c r="BA569" s="633"/>
      <c r="BB569" s="633"/>
      <c r="BC569" s="633"/>
      <c r="BD569" s="633"/>
      <c r="BE569" s="633"/>
      <c r="BF569" s="633"/>
      <c r="BG569" s="633"/>
      <c r="BH569" s="633"/>
      <c r="BI569" s="633"/>
      <c r="BJ569" s="633"/>
      <c r="BK569" s="633"/>
      <c r="BL569" s="633"/>
      <c r="BM569" s="401">
        <f t="shared" si="308"/>
        <v>672</v>
      </c>
      <c r="BO569" s="1473"/>
      <c r="BP569" s="1473"/>
    </row>
    <row r="570" s="200" customFormat="1" ht="36" customHeight="1" spans="1:68">
      <c r="A570" s="1580">
        <v>45502</v>
      </c>
      <c r="B570" s="1581" t="s">
        <v>1372</v>
      </c>
      <c r="C570" s="1573" t="s">
        <v>351</v>
      </c>
      <c r="D570" s="1570">
        <v>4500141223</v>
      </c>
      <c r="E570" s="1533" t="s">
        <v>2441</v>
      </c>
      <c r="F570" s="1570" t="s">
        <v>2442</v>
      </c>
      <c r="G570" s="531" t="s">
        <v>73</v>
      </c>
      <c r="H570" s="532" t="s">
        <v>74</v>
      </c>
      <c r="I570" s="401">
        <v>48</v>
      </c>
      <c r="J570" s="562">
        <v>0</v>
      </c>
      <c r="K570" s="531">
        <v>24</v>
      </c>
      <c r="L570" s="401">
        <f t="shared" si="336"/>
        <v>2</v>
      </c>
      <c r="M570" s="563">
        <v>45544</v>
      </c>
      <c r="N570" s="563">
        <v>45540</v>
      </c>
      <c r="O570" s="564"/>
      <c r="P570" s="564" t="s">
        <v>1262</v>
      </c>
      <c r="Q570" s="564" t="s">
        <v>2443</v>
      </c>
      <c r="R570" s="564" t="s">
        <v>2444</v>
      </c>
      <c r="S570" s="564" t="s">
        <v>123</v>
      </c>
      <c r="T570" s="564" t="s">
        <v>2445</v>
      </c>
      <c r="U570" s="530" t="s">
        <v>2446</v>
      </c>
      <c r="V570" s="564" t="s">
        <v>156</v>
      </c>
      <c r="W570" s="592">
        <v>1.3645</v>
      </c>
      <c r="X570" s="593">
        <f t="shared" si="341"/>
        <v>65.496</v>
      </c>
      <c r="Y570" s="401" t="s">
        <v>2447</v>
      </c>
      <c r="Z570" s="607" t="s">
        <v>188</v>
      </c>
      <c r="AA570" s="1453" t="s">
        <v>128</v>
      </c>
      <c r="AB570" s="608"/>
      <c r="AC570" s="608"/>
      <c r="AD570" s="608"/>
      <c r="AE570" s="564" t="s">
        <v>80</v>
      </c>
      <c r="AF570" s="564"/>
      <c r="AG570" s="608">
        <f t="shared" si="335"/>
        <v>48</v>
      </c>
      <c r="AH570" s="608"/>
      <c r="AI570" s="608"/>
      <c r="AJ570" s="608"/>
      <c r="AK570" s="609"/>
      <c r="AL570" s="401">
        <f t="shared" si="342"/>
        <v>48</v>
      </c>
      <c r="AM570" s="609"/>
      <c r="AN570" s="401"/>
      <c r="AO570" s="609">
        <f t="shared" si="343"/>
        <v>48</v>
      </c>
      <c r="AP570" s="609"/>
      <c r="AQ570" s="609"/>
      <c r="AR570" s="609"/>
      <c r="AS570" s="609"/>
      <c r="AT570" s="633"/>
      <c r="AU570" s="633"/>
      <c r="AV570" s="633"/>
      <c r="AW570" s="401"/>
      <c r="AX570" s="633"/>
      <c r="AY570" s="633"/>
      <c r="AZ570" s="633"/>
      <c r="BA570" s="633"/>
      <c r="BB570" s="633"/>
      <c r="BC570" s="633"/>
      <c r="BD570" s="633"/>
      <c r="BE570" s="633"/>
      <c r="BF570" s="633"/>
      <c r="BG570" s="633"/>
      <c r="BH570" s="633"/>
      <c r="BI570" s="633"/>
      <c r="BJ570" s="633"/>
      <c r="BK570" s="633"/>
      <c r="BL570" s="633"/>
      <c r="BM570" s="401">
        <f t="shared" si="308"/>
        <v>48</v>
      </c>
      <c r="BO570" s="1473"/>
      <c r="BP570" s="1473"/>
    </row>
    <row r="571" s="200" customFormat="1" ht="36" customHeight="1" spans="1:68">
      <c r="A571" s="1580">
        <v>45502</v>
      </c>
      <c r="B571" s="1581" t="s">
        <v>1372</v>
      </c>
      <c r="C571" s="1573" t="s">
        <v>351</v>
      </c>
      <c r="D571" s="1570" t="s">
        <v>2448</v>
      </c>
      <c r="E571" s="1533" t="s">
        <v>2449</v>
      </c>
      <c r="F571" s="1570" t="s">
        <v>2450</v>
      </c>
      <c r="G571" s="531" t="s">
        <v>73</v>
      </c>
      <c r="H571" s="532" t="s">
        <v>74</v>
      </c>
      <c r="I571" s="401">
        <v>24</v>
      </c>
      <c r="J571" s="562">
        <v>0</v>
      </c>
      <c r="K571" s="531">
        <v>24</v>
      </c>
      <c r="L571" s="401">
        <f t="shared" si="336"/>
        <v>1</v>
      </c>
      <c r="M571" s="563">
        <v>45544</v>
      </c>
      <c r="N571" s="563">
        <v>45540</v>
      </c>
      <c r="O571" s="564"/>
      <c r="P571" s="564" t="s">
        <v>1262</v>
      </c>
      <c r="Q571" s="564" t="s">
        <v>2443</v>
      </c>
      <c r="R571" s="564" t="s">
        <v>2444</v>
      </c>
      <c r="S571" s="564" t="s">
        <v>123</v>
      </c>
      <c r="T571" s="564" t="s">
        <v>2445</v>
      </c>
      <c r="U571" s="530" t="s">
        <v>2446</v>
      </c>
      <c r="V571" s="564" t="s">
        <v>156</v>
      </c>
      <c r="W571" s="592">
        <v>1.3645</v>
      </c>
      <c r="X571" s="593">
        <f t="shared" si="341"/>
        <v>32.748</v>
      </c>
      <c r="Y571" s="401" t="s">
        <v>2447</v>
      </c>
      <c r="Z571" s="607" t="s">
        <v>188</v>
      </c>
      <c r="AA571" s="1453" t="s">
        <v>128</v>
      </c>
      <c r="AB571" s="608"/>
      <c r="AC571" s="608"/>
      <c r="AD571" s="608"/>
      <c r="AE571" s="564" t="s">
        <v>80</v>
      </c>
      <c r="AF571" s="564"/>
      <c r="AG571" s="608">
        <f t="shared" si="335"/>
        <v>24</v>
      </c>
      <c r="AH571" s="608"/>
      <c r="AI571" s="608"/>
      <c r="AJ571" s="608"/>
      <c r="AK571" s="609"/>
      <c r="AL571" s="401">
        <f t="shared" si="342"/>
        <v>24</v>
      </c>
      <c r="AM571" s="609"/>
      <c r="AN571" s="401"/>
      <c r="AO571" s="609">
        <f t="shared" si="343"/>
        <v>24</v>
      </c>
      <c r="AP571" s="609"/>
      <c r="AQ571" s="609"/>
      <c r="AR571" s="609"/>
      <c r="AS571" s="609"/>
      <c r="AT571" s="633"/>
      <c r="AU571" s="633"/>
      <c r="AV571" s="633"/>
      <c r="AW571" s="401"/>
      <c r="AX571" s="633"/>
      <c r="AY571" s="633"/>
      <c r="AZ571" s="633"/>
      <c r="BA571" s="633"/>
      <c r="BB571" s="633"/>
      <c r="BC571" s="633"/>
      <c r="BD571" s="633"/>
      <c r="BE571" s="633"/>
      <c r="BF571" s="633"/>
      <c r="BG571" s="633"/>
      <c r="BH571" s="633"/>
      <c r="BI571" s="633"/>
      <c r="BJ571" s="633"/>
      <c r="BK571" s="633"/>
      <c r="BL571" s="633"/>
      <c r="BM571" s="401">
        <f t="shared" si="308"/>
        <v>24</v>
      </c>
      <c r="BO571" s="1473"/>
      <c r="BP571" s="1473"/>
    </row>
    <row r="572" s="200" customFormat="1" ht="36" customHeight="1" spans="1:68">
      <c r="A572" s="1580">
        <v>45502</v>
      </c>
      <c r="B572" s="1581" t="s">
        <v>1372</v>
      </c>
      <c r="C572" s="1573" t="s">
        <v>351</v>
      </c>
      <c r="D572" s="1570" t="s">
        <v>2448</v>
      </c>
      <c r="E572" s="1533" t="s">
        <v>2451</v>
      </c>
      <c r="F572" s="1570" t="s">
        <v>2452</v>
      </c>
      <c r="G572" s="531" t="s">
        <v>73</v>
      </c>
      <c r="H572" s="532" t="s">
        <v>74</v>
      </c>
      <c r="I572" s="401">
        <v>24</v>
      </c>
      <c r="J572" s="562">
        <v>0</v>
      </c>
      <c r="K572" s="531">
        <v>24</v>
      </c>
      <c r="L572" s="401">
        <f t="shared" si="336"/>
        <v>1</v>
      </c>
      <c r="M572" s="563">
        <v>45544</v>
      </c>
      <c r="N572" s="563">
        <v>45540</v>
      </c>
      <c r="O572" s="564"/>
      <c r="P572" s="564" t="s">
        <v>1262</v>
      </c>
      <c r="Q572" s="564" t="s">
        <v>2443</v>
      </c>
      <c r="R572" s="564" t="s">
        <v>2444</v>
      </c>
      <c r="S572" s="564" t="s">
        <v>123</v>
      </c>
      <c r="T572" s="564" t="s">
        <v>2445</v>
      </c>
      <c r="U572" s="530" t="s">
        <v>2446</v>
      </c>
      <c r="V572" s="564" t="s">
        <v>156</v>
      </c>
      <c r="W572" s="592">
        <v>1.3645</v>
      </c>
      <c r="X572" s="593">
        <f t="shared" si="341"/>
        <v>32.748</v>
      </c>
      <c r="Y572" s="401" t="s">
        <v>2447</v>
      </c>
      <c r="Z572" s="607" t="s">
        <v>188</v>
      </c>
      <c r="AA572" s="1453" t="s">
        <v>128</v>
      </c>
      <c r="AB572" s="608"/>
      <c r="AC572" s="608"/>
      <c r="AD572" s="608"/>
      <c r="AE572" s="564" t="s">
        <v>80</v>
      </c>
      <c r="AF572" s="564"/>
      <c r="AG572" s="608">
        <f t="shared" si="335"/>
        <v>24</v>
      </c>
      <c r="AH572" s="608"/>
      <c r="AI572" s="608"/>
      <c r="AJ572" s="608"/>
      <c r="AK572" s="609"/>
      <c r="AL572" s="401">
        <f t="shared" si="342"/>
        <v>24</v>
      </c>
      <c r="AM572" s="609"/>
      <c r="AN572" s="401"/>
      <c r="AO572" s="609">
        <f t="shared" si="343"/>
        <v>24</v>
      </c>
      <c r="AP572" s="609"/>
      <c r="AQ572" s="609"/>
      <c r="AR572" s="609"/>
      <c r="AS572" s="609"/>
      <c r="AT572" s="633"/>
      <c r="AU572" s="633"/>
      <c r="AV572" s="633"/>
      <c r="AW572" s="401"/>
      <c r="AX572" s="633"/>
      <c r="AY572" s="633"/>
      <c r="AZ572" s="633"/>
      <c r="BA572" s="633"/>
      <c r="BB572" s="633"/>
      <c r="BC572" s="633"/>
      <c r="BD572" s="633"/>
      <c r="BE572" s="633"/>
      <c r="BF572" s="633"/>
      <c r="BG572" s="633"/>
      <c r="BH572" s="633"/>
      <c r="BI572" s="633"/>
      <c r="BJ572" s="633"/>
      <c r="BK572" s="633"/>
      <c r="BL572" s="633"/>
      <c r="BM572" s="401">
        <f t="shared" si="308"/>
        <v>24</v>
      </c>
      <c r="BO572" s="1473"/>
      <c r="BP572" s="1473"/>
    </row>
    <row r="573" s="200" customFormat="1" ht="36" customHeight="1" spans="1:68">
      <c r="A573" s="1580">
        <v>45502</v>
      </c>
      <c r="B573" s="1581" t="s">
        <v>1372</v>
      </c>
      <c r="C573" s="1573" t="s">
        <v>351</v>
      </c>
      <c r="D573" s="1570" t="s">
        <v>2448</v>
      </c>
      <c r="E573" s="1533" t="s">
        <v>2453</v>
      </c>
      <c r="F573" s="1570" t="s">
        <v>2454</v>
      </c>
      <c r="G573" s="531" t="s">
        <v>73</v>
      </c>
      <c r="H573" s="532" t="s">
        <v>74</v>
      </c>
      <c r="I573" s="401">
        <v>24</v>
      </c>
      <c r="J573" s="562">
        <v>0</v>
      </c>
      <c r="K573" s="531">
        <v>24</v>
      </c>
      <c r="L573" s="401">
        <f t="shared" si="336"/>
        <v>1</v>
      </c>
      <c r="M573" s="563">
        <v>45544</v>
      </c>
      <c r="N573" s="563">
        <v>45540</v>
      </c>
      <c r="O573" s="564"/>
      <c r="P573" s="564" t="s">
        <v>1262</v>
      </c>
      <c r="Q573" s="564" t="s">
        <v>2443</v>
      </c>
      <c r="R573" s="564" t="s">
        <v>2444</v>
      </c>
      <c r="S573" s="564" t="s">
        <v>123</v>
      </c>
      <c r="T573" s="564" t="s">
        <v>2445</v>
      </c>
      <c r="U573" s="530" t="s">
        <v>2446</v>
      </c>
      <c r="V573" s="564" t="s">
        <v>156</v>
      </c>
      <c r="W573" s="592">
        <v>1.3645</v>
      </c>
      <c r="X573" s="593">
        <f t="shared" si="341"/>
        <v>32.748</v>
      </c>
      <c r="Y573" s="401" t="s">
        <v>2447</v>
      </c>
      <c r="Z573" s="607" t="s">
        <v>188</v>
      </c>
      <c r="AA573" s="1453" t="s">
        <v>128</v>
      </c>
      <c r="AB573" s="608"/>
      <c r="AC573" s="608"/>
      <c r="AD573" s="608"/>
      <c r="AE573" s="564" t="s">
        <v>80</v>
      </c>
      <c r="AF573" s="564"/>
      <c r="AG573" s="608">
        <f t="shared" si="335"/>
        <v>24</v>
      </c>
      <c r="AH573" s="608"/>
      <c r="AI573" s="608"/>
      <c r="AJ573" s="608"/>
      <c r="AK573" s="609"/>
      <c r="AL573" s="401">
        <f t="shared" si="342"/>
        <v>24</v>
      </c>
      <c r="AM573" s="609"/>
      <c r="AN573" s="401"/>
      <c r="AO573" s="609">
        <f t="shared" si="343"/>
        <v>24</v>
      </c>
      <c r="AP573" s="609"/>
      <c r="AQ573" s="609"/>
      <c r="AR573" s="609"/>
      <c r="AS573" s="609"/>
      <c r="AT573" s="633"/>
      <c r="AU573" s="633"/>
      <c r="AV573" s="633"/>
      <c r="AW573" s="401"/>
      <c r="AX573" s="633"/>
      <c r="AY573" s="633"/>
      <c r="AZ573" s="633"/>
      <c r="BA573" s="633"/>
      <c r="BB573" s="633"/>
      <c r="BC573" s="633"/>
      <c r="BD573" s="633"/>
      <c r="BE573" s="633"/>
      <c r="BF573" s="633"/>
      <c r="BG573" s="633"/>
      <c r="BH573" s="633"/>
      <c r="BI573" s="633"/>
      <c r="BJ573" s="633"/>
      <c r="BK573" s="633"/>
      <c r="BL573" s="633"/>
      <c r="BM573" s="401">
        <f t="shared" si="308"/>
        <v>24</v>
      </c>
      <c r="BO573" s="1473"/>
      <c r="BP573" s="1473"/>
    </row>
    <row r="574" s="200" customFormat="1" ht="36" customHeight="1" spans="1:73">
      <c r="A574" s="1580">
        <v>45503</v>
      </c>
      <c r="B574" s="1581" t="s">
        <v>816</v>
      </c>
      <c r="C574" s="1573" t="s">
        <v>117</v>
      </c>
      <c r="D574" s="1570">
        <v>4500141673</v>
      </c>
      <c r="E574" s="1533" t="s">
        <v>2455</v>
      </c>
      <c r="F574" s="1570" t="s">
        <v>2456</v>
      </c>
      <c r="G574" s="531" t="s">
        <v>628</v>
      </c>
      <c r="H574" s="532" t="s">
        <v>623</v>
      </c>
      <c r="I574" s="1496">
        <v>1200</v>
      </c>
      <c r="J574" s="562">
        <v>0</v>
      </c>
      <c r="K574" s="531">
        <v>12</v>
      </c>
      <c r="L574" s="401">
        <f t="shared" si="336"/>
        <v>100</v>
      </c>
      <c r="M574" s="563">
        <v>45544</v>
      </c>
      <c r="N574" s="563">
        <v>45540</v>
      </c>
      <c r="O574" s="564"/>
      <c r="P574" s="564" t="s">
        <v>1262</v>
      </c>
      <c r="Q574" s="564"/>
      <c r="R574" s="564">
        <v>45511</v>
      </c>
      <c r="S574" s="564" t="s">
        <v>77</v>
      </c>
      <c r="T574" s="1588" t="s">
        <v>2457</v>
      </c>
      <c r="U574" s="530" t="s">
        <v>1955</v>
      </c>
      <c r="V574" s="564" t="s">
        <v>2458</v>
      </c>
      <c r="W574" s="592">
        <v>3.1012</v>
      </c>
      <c r="X574" s="593">
        <f t="shared" si="341"/>
        <v>3721.44</v>
      </c>
      <c r="Y574" s="401" t="s">
        <v>2459</v>
      </c>
      <c r="Z574" s="607" t="s">
        <v>822</v>
      </c>
      <c r="AA574" s="1453" t="s">
        <v>2359</v>
      </c>
      <c r="AB574" s="608"/>
      <c r="AC574" s="608"/>
      <c r="AD574" s="608"/>
      <c r="AE574" s="564" t="s">
        <v>80</v>
      </c>
      <c r="AF574" s="564"/>
      <c r="AG574" s="608">
        <f>I574*2</f>
        <v>2400</v>
      </c>
      <c r="AH574" s="608"/>
      <c r="AI574" s="608"/>
      <c r="AJ574" s="608"/>
      <c r="AK574" s="1558">
        <f>AG574</f>
        <v>2400</v>
      </c>
      <c r="AM574" s="609"/>
      <c r="AN574" s="401"/>
      <c r="AO574" s="615">
        <f>AG574</f>
        <v>2400</v>
      </c>
      <c r="AP574" s="609"/>
      <c r="AQ574" s="609"/>
      <c r="AR574" s="609"/>
      <c r="AS574" s="609"/>
      <c r="AT574" s="633"/>
      <c r="AU574" s="633"/>
      <c r="AV574" s="633"/>
      <c r="AW574" s="401"/>
      <c r="AX574" s="633"/>
      <c r="AY574" s="633"/>
      <c r="AZ574" s="633"/>
      <c r="BA574" s="633"/>
      <c r="BB574" s="633"/>
      <c r="BC574" s="633"/>
      <c r="BD574" s="633"/>
      <c r="BE574" s="633"/>
      <c r="BF574" s="633"/>
      <c r="BG574" s="633"/>
      <c r="BH574" s="633"/>
      <c r="BI574" s="633"/>
      <c r="BJ574" s="633"/>
      <c r="BK574" s="633">
        <f>I574</f>
        <v>1200</v>
      </c>
      <c r="BL574" s="633">
        <f>I574</f>
        <v>1200</v>
      </c>
      <c r="BM574" s="401">
        <f t="shared" si="308"/>
        <v>2400</v>
      </c>
      <c r="BO574" s="1473"/>
      <c r="BP574" s="1473"/>
      <c r="BU574" s="200" t="s">
        <v>2221</v>
      </c>
    </row>
    <row r="575" s="200" customFormat="1" ht="36" customHeight="1" spans="1:68">
      <c r="A575" s="1580">
        <v>45511</v>
      </c>
      <c r="B575" s="1581" t="s">
        <v>587</v>
      </c>
      <c r="C575" s="1573" t="s">
        <v>117</v>
      </c>
      <c r="D575" s="1570">
        <v>4500142385</v>
      </c>
      <c r="E575" s="1533" t="s">
        <v>2460</v>
      </c>
      <c r="F575" s="1570" t="s">
        <v>2461</v>
      </c>
      <c r="G575" s="531" t="s">
        <v>832</v>
      </c>
      <c r="H575" s="532" t="s">
        <v>833</v>
      </c>
      <c r="I575" s="401">
        <v>1152</v>
      </c>
      <c r="J575" s="562">
        <v>0</v>
      </c>
      <c r="K575" s="531">
        <v>1152</v>
      </c>
      <c r="L575" s="401">
        <f t="shared" si="336"/>
        <v>1</v>
      </c>
      <c r="M575" s="563">
        <v>45544</v>
      </c>
      <c r="N575" s="563">
        <v>45540</v>
      </c>
      <c r="O575" s="1474" t="s">
        <v>2462</v>
      </c>
      <c r="P575" s="564" t="s">
        <v>1690</v>
      </c>
      <c r="Q575" s="564" t="s">
        <v>2463</v>
      </c>
      <c r="R575" s="1523" t="s">
        <v>1102</v>
      </c>
      <c r="S575" s="564" t="s">
        <v>123</v>
      </c>
      <c r="T575" s="580" t="s">
        <v>2420</v>
      </c>
      <c r="U575" s="530" t="s">
        <v>2464</v>
      </c>
      <c r="V575" s="564" t="s">
        <v>634</v>
      </c>
      <c r="W575" s="592">
        <v>102.8523</v>
      </c>
      <c r="X575" s="593">
        <f t="shared" ref="X575:X581" si="344">W575*L575</f>
        <v>102.8523</v>
      </c>
      <c r="Y575" s="401" t="s">
        <v>2465</v>
      </c>
      <c r="Z575" s="607" t="s">
        <v>832</v>
      </c>
      <c r="AA575" s="1453" t="s">
        <v>128</v>
      </c>
      <c r="AB575" s="608"/>
      <c r="AC575" s="608"/>
      <c r="AD575" s="608"/>
      <c r="AE575" s="564" t="s">
        <v>80</v>
      </c>
      <c r="AF575" s="564"/>
      <c r="AG575" s="608">
        <f t="shared" ref="AG575:AG588" si="345">I575</f>
        <v>1152</v>
      </c>
      <c r="AH575" s="608"/>
      <c r="AI575" s="608"/>
      <c r="AJ575" s="608"/>
      <c r="AK575" s="609">
        <f t="shared" ref="AK575:AK581" si="346">I575</f>
        <v>1152</v>
      </c>
      <c r="AL575" s="401"/>
      <c r="AM575" s="609"/>
      <c r="AN575" s="401"/>
      <c r="AO575" s="615"/>
      <c r="AP575" s="609"/>
      <c r="AQ575" s="609">
        <f t="shared" ref="AQ575:AQ581" si="347">I575</f>
        <v>1152</v>
      </c>
      <c r="AR575" s="609"/>
      <c r="AS575" s="609"/>
      <c r="AT575" s="633"/>
      <c r="AU575" s="633"/>
      <c r="AV575" s="633">
        <f t="shared" ref="AV575:AV581" si="348">I575/12</f>
        <v>96</v>
      </c>
      <c r="AW575" s="401"/>
      <c r="AX575" s="633"/>
      <c r="AY575" s="633"/>
      <c r="AZ575" s="633"/>
      <c r="BA575" s="633"/>
      <c r="BB575" s="633"/>
      <c r="BC575" s="633"/>
      <c r="BD575" s="633"/>
      <c r="BE575" s="633"/>
      <c r="BF575" s="633"/>
      <c r="BG575" s="633"/>
      <c r="BH575" s="633"/>
      <c r="BI575" s="633"/>
      <c r="BJ575" s="633"/>
      <c r="BK575" s="633"/>
      <c r="BL575" s="633"/>
      <c r="BM575" s="401">
        <f t="shared" si="308"/>
        <v>1152</v>
      </c>
      <c r="BO575" s="1473"/>
      <c r="BP575" s="1473"/>
    </row>
    <row r="576" s="200" customFormat="1" ht="36" customHeight="1" spans="1:68">
      <c r="A576" s="1580">
        <v>45511</v>
      </c>
      <c r="B576" s="1581" t="s">
        <v>587</v>
      </c>
      <c r="C576" s="1573" t="s">
        <v>117</v>
      </c>
      <c r="D576" s="1570">
        <v>4500142385</v>
      </c>
      <c r="E576" s="1533" t="s">
        <v>2466</v>
      </c>
      <c r="F576" s="1570" t="s">
        <v>2467</v>
      </c>
      <c r="G576" s="531" t="s">
        <v>832</v>
      </c>
      <c r="H576" s="532" t="s">
        <v>833</v>
      </c>
      <c r="I576" s="401">
        <v>2304</v>
      </c>
      <c r="J576" s="562">
        <v>0</v>
      </c>
      <c r="K576" s="531">
        <v>1152</v>
      </c>
      <c r="L576" s="401">
        <f t="shared" si="336"/>
        <v>2</v>
      </c>
      <c r="M576" s="563">
        <v>45544</v>
      </c>
      <c r="N576" s="563">
        <v>45540</v>
      </c>
      <c r="O576" s="1474" t="s">
        <v>2462</v>
      </c>
      <c r="P576" s="564" t="s">
        <v>1690</v>
      </c>
      <c r="Q576" s="564" t="s">
        <v>2468</v>
      </c>
      <c r="R576" s="1523" t="s">
        <v>1102</v>
      </c>
      <c r="S576" s="564" t="s">
        <v>123</v>
      </c>
      <c r="T576" s="580" t="s">
        <v>2420</v>
      </c>
      <c r="U576" s="530" t="s">
        <v>2464</v>
      </c>
      <c r="V576" s="564" t="s">
        <v>634</v>
      </c>
      <c r="W576" s="592">
        <v>102.8523</v>
      </c>
      <c r="X576" s="593">
        <f t="shared" si="344"/>
        <v>205.7046</v>
      </c>
      <c r="Y576" s="401" t="s">
        <v>2465</v>
      </c>
      <c r="Z576" s="607" t="s">
        <v>832</v>
      </c>
      <c r="AA576" s="1453" t="s">
        <v>128</v>
      </c>
      <c r="AB576" s="608"/>
      <c r="AC576" s="608"/>
      <c r="AD576" s="608"/>
      <c r="AE576" s="564" t="s">
        <v>80</v>
      </c>
      <c r="AF576" s="564"/>
      <c r="AG576" s="608">
        <f t="shared" si="345"/>
        <v>2304</v>
      </c>
      <c r="AH576" s="608"/>
      <c r="AI576" s="608"/>
      <c r="AJ576" s="608"/>
      <c r="AK576" s="609">
        <f t="shared" si="346"/>
        <v>2304</v>
      </c>
      <c r="AL576" s="401"/>
      <c r="AM576" s="609"/>
      <c r="AN576" s="401"/>
      <c r="AO576" s="615"/>
      <c r="AP576" s="609"/>
      <c r="AQ576" s="609">
        <f t="shared" si="347"/>
        <v>2304</v>
      </c>
      <c r="AR576" s="609"/>
      <c r="AS576" s="609"/>
      <c r="AT576" s="633"/>
      <c r="AU576" s="633"/>
      <c r="AV576" s="633">
        <f t="shared" si="348"/>
        <v>192</v>
      </c>
      <c r="AW576" s="401"/>
      <c r="AX576" s="633"/>
      <c r="AY576" s="633"/>
      <c r="AZ576" s="633"/>
      <c r="BA576" s="633"/>
      <c r="BB576" s="633"/>
      <c r="BC576" s="633"/>
      <c r="BD576" s="633"/>
      <c r="BE576" s="633"/>
      <c r="BF576" s="633"/>
      <c r="BG576" s="633"/>
      <c r="BH576" s="633"/>
      <c r="BI576" s="633"/>
      <c r="BJ576" s="633"/>
      <c r="BK576" s="633"/>
      <c r="BL576" s="633"/>
      <c r="BM576" s="401">
        <f t="shared" si="308"/>
        <v>2304</v>
      </c>
      <c r="BO576" s="1473"/>
      <c r="BP576" s="1473"/>
    </row>
    <row r="577" s="200" customFormat="1" ht="36" customHeight="1" spans="1:68">
      <c r="A577" s="1580">
        <v>45511</v>
      </c>
      <c r="B577" s="1581" t="s">
        <v>587</v>
      </c>
      <c r="C577" s="1573" t="s">
        <v>117</v>
      </c>
      <c r="D577" s="1570">
        <v>4500142385</v>
      </c>
      <c r="E577" s="1533" t="s">
        <v>2469</v>
      </c>
      <c r="F577" s="1570" t="s">
        <v>2470</v>
      </c>
      <c r="G577" s="531" t="s">
        <v>832</v>
      </c>
      <c r="H577" s="532" t="s">
        <v>833</v>
      </c>
      <c r="I577" s="401">
        <v>1152</v>
      </c>
      <c r="J577" s="562">
        <v>0</v>
      </c>
      <c r="K577" s="531">
        <v>1152</v>
      </c>
      <c r="L577" s="401">
        <f t="shared" si="336"/>
        <v>1</v>
      </c>
      <c r="M577" s="563">
        <v>45544</v>
      </c>
      <c r="N577" s="563">
        <v>45540</v>
      </c>
      <c r="O577" s="1474" t="s">
        <v>2462</v>
      </c>
      <c r="P577" s="564" t="s">
        <v>1690</v>
      </c>
      <c r="Q577" s="564" t="s">
        <v>2471</v>
      </c>
      <c r="R577" s="1523" t="s">
        <v>1102</v>
      </c>
      <c r="S577" s="564" t="s">
        <v>123</v>
      </c>
      <c r="T577" s="580" t="s">
        <v>2420</v>
      </c>
      <c r="U577" s="530" t="s">
        <v>2464</v>
      </c>
      <c r="V577" s="564" t="s">
        <v>634</v>
      </c>
      <c r="W577" s="592">
        <v>102.8523</v>
      </c>
      <c r="X577" s="593">
        <f t="shared" si="344"/>
        <v>102.8523</v>
      </c>
      <c r="Y577" s="401" t="s">
        <v>2472</v>
      </c>
      <c r="Z577" s="607" t="s">
        <v>832</v>
      </c>
      <c r="AA577" s="1453" t="s">
        <v>128</v>
      </c>
      <c r="AB577" s="608"/>
      <c r="AC577" s="608"/>
      <c r="AD577" s="608"/>
      <c r="AE577" s="564" t="s">
        <v>80</v>
      </c>
      <c r="AF577" s="564"/>
      <c r="AG577" s="608">
        <f t="shared" si="345"/>
        <v>1152</v>
      </c>
      <c r="AH577" s="608"/>
      <c r="AI577" s="608"/>
      <c r="AJ577" s="608"/>
      <c r="AK577" s="609">
        <f t="shared" si="346"/>
        <v>1152</v>
      </c>
      <c r="AL577" s="401"/>
      <c r="AM577" s="609"/>
      <c r="AN577" s="401"/>
      <c r="AO577" s="615"/>
      <c r="AP577" s="609"/>
      <c r="AQ577" s="609">
        <f t="shared" si="347"/>
        <v>1152</v>
      </c>
      <c r="AR577" s="609"/>
      <c r="AS577" s="609"/>
      <c r="AT577" s="633"/>
      <c r="AU577" s="633"/>
      <c r="AV577" s="633">
        <f t="shared" si="348"/>
        <v>96</v>
      </c>
      <c r="AW577" s="401"/>
      <c r="AX577" s="633"/>
      <c r="AY577" s="633"/>
      <c r="AZ577" s="633"/>
      <c r="BA577" s="633"/>
      <c r="BB577" s="633"/>
      <c r="BC577" s="633"/>
      <c r="BD577" s="633"/>
      <c r="BE577" s="633"/>
      <c r="BF577" s="633"/>
      <c r="BG577" s="633"/>
      <c r="BH577" s="633"/>
      <c r="BI577" s="633"/>
      <c r="BJ577" s="633"/>
      <c r="BK577" s="633"/>
      <c r="BL577" s="633"/>
      <c r="BM577" s="401">
        <f t="shared" si="308"/>
        <v>1152</v>
      </c>
      <c r="BO577" s="1473"/>
      <c r="BP577" s="1473"/>
    </row>
    <row r="578" s="200" customFormat="1" ht="36" customHeight="1" spans="1:68">
      <c r="A578" s="1580">
        <v>45511</v>
      </c>
      <c r="B578" s="1581" t="s">
        <v>587</v>
      </c>
      <c r="C578" s="1573" t="s">
        <v>117</v>
      </c>
      <c r="D578" s="1570">
        <v>4500142385</v>
      </c>
      <c r="E578" s="1533" t="s">
        <v>2473</v>
      </c>
      <c r="F578" s="1570" t="s">
        <v>2474</v>
      </c>
      <c r="G578" s="531" t="s">
        <v>832</v>
      </c>
      <c r="H578" s="532" t="s">
        <v>833</v>
      </c>
      <c r="I578" s="401">
        <v>1152</v>
      </c>
      <c r="J578" s="562">
        <v>0</v>
      </c>
      <c r="K578" s="531">
        <v>1152</v>
      </c>
      <c r="L578" s="401">
        <f t="shared" si="336"/>
        <v>1</v>
      </c>
      <c r="M578" s="563">
        <v>45544</v>
      </c>
      <c r="N578" s="563">
        <v>45540</v>
      </c>
      <c r="O578" s="1474" t="s">
        <v>2462</v>
      </c>
      <c r="P578" s="564" t="s">
        <v>1690</v>
      </c>
      <c r="Q578" s="564" t="s">
        <v>2468</v>
      </c>
      <c r="R578" s="1523" t="s">
        <v>1102</v>
      </c>
      <c r="S578" s="564" t="s">
        <v>123</v>
      </c>
      <c r="T578" s="580" t="s">
        <v>2420</v>
      </c>
      <c r="U578" s="530" t="s">
        <v>2464</v>
      </c>
      <c r="V578" s="564" t="s">
        <v>634</v>
      </c>
      <c r="W578" s="592">
        <v>102.8523</v>
      </c>
      <c r="X578" s="593">
        <f t="shared" si="344"/>
        <v>102.8523</v>
      </c>
      <c r="Y578" s="401" t="s">
        <v>2475</v>
      </c>
      <c r="Z578" s="607" t="s">
        <v>832</v>
      </c>
      <c r="AA578" s="1453" t="s">
        <v>128</v>
      </c>
      <c r="AB578" s="608"/>
      <c r="AC578" s="608"/>
      <c r="AD578" s="608"/>
      <c r="AE578" s="564" t="s">
        <v>80</v>
      </c>
      <c r="AF578" s="564"/>
      <c r="AG578" s="608">
        <f t="shared" si="345"/>
        <v>1152</v>
      </c>
      <c r="AH578" s="608"/>
      <c r="AI578" s="608"/>
      <c r="AJ578" s="608"/>
      <c r="AK578" s="609">
        <f t="shared" si="346"/>
        <v>1152</v>
      </c>
      <c r="AL578" s="401"/>
      <c r="AM578" s="609"/>
      <c r="AN578" s="401"/>
      <c r="AO578" s="615"/>
      <c r="AP578" s="609"/>
      <c r="AQ578" s="609">
        <f t="shared" si="347"/>
        <v>1152</v>
      </c>
      <c r="AR578" s="609"/>
      <c r="AS578" s="609"/>
      <c r="AT578" s="633"/>
      <c r="AU578" s="633"/>
      <c r="AV578" s="633">
        <f t="shared" si="348"/>
        <v>96</v>
      </c>
      <c r="AW578" s="401"/>
      <c r="AX578" s="633"/>
      <c r="AY578" s="633"/>
      <c r="AZ578" s="633"/>
      <c r="BA578" s="633"/>
      <c r="BB578" s="633"/>
      <c r="BC578" s="633"/>
      <c r="BD578" s="633"/>
      <c r="BE578" s="633"/>
      <c r="BF578" s="633"/>
      <c r="BG578" s="633"/>
      <c r="BH578" s="633"/>
      <c r="BI578" s="633"/>
      <c r="BJ578" s="633"/>
      <c r="BK578" s="633"/>
      <c r="BL578" s="633"/>
      <c r="BM578" s="401">
        <f t="shared" si="308"/>
        <v>1152</v>
      </c>
      <c r="BO578" s="1473"/>
      <c r="BP578" s="1473"/>
    </row>
    <row r="579" s="200" customFormat="1" ht="36" customHeight="1" spans="1:68">
      <c r="A579" s="1580">
        <v>45511</v>
      </c>
      <c r="B579" s="1581" t="s">
        <v>587</v>
      </c>
      <c r="C579" s="1573" t="s">
        <v>117</v>
      </c>
      <c r="D579" s="1570">
        <v>4500142385</v>
      </c>
      <c r="E579" s="1533" t="s">
        <v>2476</v>
      </c>
      <c r="F579" s="1570" t="s">
        <v>2477</v>
      </c>
      <c r="G579" s="531" t="s">
        <v>832</v>
      </c>
      <c r="H579" s="532" t="s">
        <v>833</v>
      </c>
      <c r="I579" s="401">
        <v>2304</v>
      </c>
      <c r="J579" s="562">
        <v>0</v>
      </c>
      <c r="K579" s="531">
        <v>1152</v>
      </c>
      <c r="L579" s="401">
        <f t="shared" si="336"/>
        <v>2</v>
      </c>
      <c r="M579" s="563">
        <v>45544</v>
      </c>
      <c r="N579" s="563">
        <v>45540</v>
      </c>
      <c r="O579" s="1474" t="s">
        <v>2462</v>
      </c>
      <c r="P579" s="564" t="s">
        <v>1690</v>
      </c>
      <c r="Q579" s="564" t="s">
        <v>2478</v>
      </c>
      <c r="R579" s="1523" t="s">
        <v>1102</v>
      </c>
      <c r="S579" s="564" t="s">
        <v>123</v>
      </c>
      <c r="T579" s="580" t="s">
        <v>2420</v>
      </c>
      <c r="U579" s="530" t="s">
        <v>2464</v>
      </c>
      <c r="V579" s="564" t="s">
        <v>634</v>
      </c>
      <c r="W579" s="592">
        <v>102.8523</v>
      </c>
      <c r="X579" s="593">
        <f t="shared" si="344"/>
        <v>205.7046</v>
      </c>
      <c r="Y579" s="401" t="s">
        <v>2475</v>
      </c>
      <c r="Z579" s="607" t="s">
        <v>832</v>
      </c>
      <c r="AA579" s="1453" t="s">
        <v>128</v>
      </c>
      <c r="AB579" s="608"/>
      <c r="AC579" s="608"/>
      <c r="AD579" s="608"/>
      <c r="AE579" s="564" t="s">
        <v>80</v>
      </c>
      <c r="AF579" s="564"/>
      <c r="AG579" s="608">
        <f t="shared" si="345"/>
        <v>2304</v>
      </c>
      <c r="AH579" s="608"/>
      <c r="AI579" s="608"/>
      <c r="AJ579" s="608"/>
      <c r="AK579" s="609">
        <f t="shared" si="346"/>
        <v>2304</v>
      </c>
      <c r="AL579" s="401"/>
      <c r="AM579" s="609"/>
      <c r="AN579" s="401"/>
      <c r="AO579" s="615"/>
      <c r="AP579" s="609"/>
      <c r="AQ579" s="609">
        <f t="shared" si="347"/>
        <v>2304</v>
      </c>
      <c r="AR579" s="609"/>
      <c r="AS579" s="609"/>
      <c r="AT579" s="633"/>
      <c r="AU579" s="633"/>
      <c r="AV579" s="633">
        <f t="shared" si="348"/>
        <v>192</v>
      </c>
      <c r="AW579" s="401"/>
      <c r="AX579" s="633"/>
      <c r="AY579" s="633"/>
      <c r="AZ579" s="633"/>
      <c r="BA579" s="633"/>
      <c r="BB579" s="633"/>
      <c r="BC579" s="633"/>
      <c r="BD579" s="633"/>
      <c r="BE579" s="633"/>
      <c r="BF579" s="633"/>
      <c r="BG579" s="633"/>
      <c r="BH579" s="633"/>
      <c r="BI579" s="633"/>
      <c r="BJ579" s="633"/>
      <c r="BK579" s="633"/>
      <c r="BL579" s="633"/>
      <c r="BM579" s="401">
        <f t="shared" si="308"/>
        <v>2304</v>
      </c>
      <c r="BO579" s="1473"/>
      <c r="BP579" s="1473"/>
    </row>
    <row r="580" s="200" customFormat="1" ht="36" customHeight="1" spans="1:68">
      <c r="A580" s="1580">
        <v>45511</v>
      </c>
      <c r="B580" s="1581" t="s">
        <v>587</v>
      </c>
      <c r="C580" s="1573" t="s">
        <v>117</v>
      </c>
      <c r="D580" s="1570">
        <v>4500142385</v>
      </c>
      <c r="E580" s="1533" t="s">
        <v>2479</v>
      </c>
      <c r="F580" s="1570" t="s">
        <v>2480</v>
      </c>
      <c r="G580" s="531" t="s">
        <v>832</v>
      </c>
      <c r="H580" s="532" t="s">
        <v>833</v>
      </c>
      <c r="I580" s="401">
        <v>1152</v>
      </c>
      <c r="J580" s="562">
        <v>0</v>
      </c>
      <c r="K580" s="531">
        <v>1152</v>
      </c>
      <c r="L580" s="401">
        <f t="shared" si="336"/>
        <v>1</v>
      </c>
      <c r="M580" s="563">
        <v>45544</v>
      </c>
      <c r="N580" s="563">
        <v>45540</v>
      </c>
      <c r="O580" s="1474" t="s">
        <v>2462</v>
      </c>
      <c r="P580" s="564" t="s">
        <v>1690</v>
      </c>
      <c r="Q580" s="564" t="s">
        <v>2481</v>
      </c>
      <c r="R580" s="1523" t="s">
        <v>1102</v>
      </c>
      <c r="S580" s="564" t="s">
        <v>123</v>
      </c>
      <c r="T580" s="580" t="s">
        <v>2420</v>
      </c>
      <c r="U580" s="530" t="s">
        <v>2464</v>
      </c>
      <c r="V580" s="564" t="s">
        <v>634</v>
      </c>
      <c r="W580" s="592">
        <v>102.8523</v>
      </c>
      <c r="X580" s="593">
        <f t="shared" si="344"/>
        <v>102.8523</v>
      </c>
      <c r="Y580" s="401" t="s">
        <v>2482</v>
      </c>
      <c r="Z580" s="607" t="s">
        <v>832</v>
      </c>
      <c r="AA580" s="1453" t="s">
        <v>128</v>
      </c>
      <c r="AB580" s="608"/>
      <c r="AC580" s="608"/>
      <c r="AD580" s="608"/>
      <c r="AE580" s="564" t="s">
        <v>80</v>
      </c>
      <c r="AF580" s="564"/>
      <c r="AG580" s="608">
        <f t="shared" si="345"/>
        <v>1152</v>
      </c>
      <c r="AH580" s="608"/>
      <c r="AI580" s="608"/>
      <c r="AJ580" s="608"/>
      <c r="AK580" s="609">
        <f t="shared" si="346"/>
        <v>1152</v>
      </c>
      <c r="AL580" s="401"/>
      <c r="AM580" s="609"/>
      <c r="AN580" s="401"/>
      <c r="AO580" s="615"/>
      <c r="AP580" s="609"/>
      <c r="AQ580" s="609">
        <f t="shared" si="347"/>
        <v>1152</v>
      </c>
      <c r="AR580" s="609"/>
      <c r="AS580" s="609"/>
      <c r="AT580" s="633"/>
      <c r="AU580" s="633"/>
      <c r="AV580" s="633">
        <f t="shared" si="348"/>
        <v>96</v>
      </c>
      <c r="AW580" s="401"/>
      <c r="AX580" s="633"/>
      <c r="AY580" s="633"/>
      <c r="AZ580" s="633"/>
      <c r="BA580" s="633"/>
      <c r="BB580" s="633"/>
      <c r="BC580" s="633"/>
      <c r="BD580" s="633"/>
      <c r="BE580" s="633"/>
      <c r="BF580" s="633"/>
      <c r="BG580" s="633"/>
      <c r="BH580" s="633"/>
      <c r="BI580" s="633"/>
      <c r="BJ580" s="633"/>
      <c r="BK580" s="633"/>
      <c r="BL580" s="633"/>
      <c r="BM580" s="401">
        <f t="shared" ref="BM580:BM643" si="349">AG580+AH580+AI580</f>
        <v>1152</v>
      </c>
      <c r="BO580" s="1473"/>
      <c r="BP580" s="1473"/>
    </row>
    <row r="581" s="200" customFormat="1" ht="36" customHeight="1" spans="1:68">
      <c r="A581" s="1580">
        <v>45511</v>
      </c>
      <c r="B581" s="1581" t="s">
        <v>587</v>
      </c>
      <c r="C581" s="1573" t="s">
        <v>117</v>
      </c>
      <c r="D581" s="1570">
        <v>4500142385</v>
      </c>
      <c r="E581" s="1533" t="s">
        <v>2483</v>
      </c>
      <c r="F581" s="1570" t="s">
        <v>2484</v>
      </c>
      <c r="G581" s="531" t="s">
        <v>832</v>
      </c>
      <c r="H581" s="532" t="s">
        <v>833</v>
      </c>
      <c r="I581" s="401">
        <v>1152</v>
      </c>
      <c r="J581" s="562">
        <v>0</v>
      </c>
      <c r="K581" s="531">
        <v>1152</v>
      </c>
      <c r="L581" s="401">
        <f t="shared" si="336"/>
        <v>1</v>
      </c>
      <c r="M581" s="563">
        <v>45544</v>
      </c>
      <c r="N581" s="563">
        <v>45540</v>
      </c>
      <c r="O581" s="1474" t="s">
        <v>2462</v>
      </c>
      <c r="P581" s="564" t="s">
        <v>1690</v>
      </c>
      <c r="Q581" s="564" t="s">
        <v>2478</v>
      </c>
      <c r="R581" s="1523" t="s">
        <v>1102</v>
      </c>
      <c r="S581" s="564" t="s">
        <v>123</v>
      </c>
      <c r="T581" s="580" t="s">
        <v>2420</v>
      </c>
      <c r="U581" s="530" t="s">
        <v>2464</v>
      </c>
      <c r="V581" s="564" t="s">
        <v>634</v>
      </c>
      <c r="W581" s="592">
        <v>102.8523</v>
      </c>
      <c r="X581" s="593">
        <f t="shared" si="344"/>
        <v>102.8523</v>
      </c>
      <c r="Y581" s="401" t="s">
        <v>2482</v>
      </c>
      <c r="Z581" s="607" t="s">
        <v>832</v>
      </c>
      <c r="AA581" s="1453" t="s">
        <v>128</v>
      </c>
      <c r="AB581" s="608"/>
      <c r="AC581" s="608"/>
      <c r="AD581" s="608"/>
      <c r="AE581" s="564" t="s">
        <v>80</v>
      </c>
      <c r="AF581" s="564"/>
      <c r="AG581" s="608">
        <f t="shared" si="345"/>
        <v>1152</v>
      </c>
      <c r="AH581" s="608"/>
      <c r="AI581" s="608"/>
      <c r="AJ581" s="608"/>
      <c r="AK581" s="609">
        <f t="shared" si="346"/>
        <v>1152</v>
      </c>
      <c r="AL581" s="401"/>
      <c r="AM581" s="609"/>
      <c r="AN581" s="401"/>
      <c r="AO581" s="615"/>
      <c r="AP581" s="609"/>
      <c r="AQ581" s="609">
        <f t="shared" si="347"/>
        <v>1152</v>
      </c>
      <c r="AR581" s="609"/>
      <c r="AS581" s="609"/>
      <c r="AT581" s="633"/>
      <c r="AU581" s="633"/>
      <c r="AV581" s="633">
        <f t="shared" si="348"/>
        <v>96</v>
      </c>
      <c r="AW581" s="401"/>
      <c r="AX581" s="633"/>
      <c r="AY581" s="633"/>
      <c r="AZ581" s="633"/>
      <c r="BA581" s="633"/>
      <c r="BB581" s="633"/>
      <c r="BC581" s="633"/>
      <c r="BD581" s="633"/>
      <c r="BE581" s="633"/>
      <c r="BF581" s="633"/>
      <c r="BG581" s="633"/>
      <c r="BH581" s="633"/>
      <c r="BI581" s="633"/>
      <c r="BJ581" s="633"/>
      <c r="BK581" s="633"/>
      <c r="BL581" s="633"/>
      <c r="BM581" s="401">
        <f t="shared" si="349"/>
        <v>1152</v>
      </c>
      <c r="BO581" s="1473"/>
      <c r="BP581" s="1473"/>
    </row>
    <row r="582" s="200" customFormat="1" ht="36" customHeight="1" spans="1:68">
      <c r="A582" s="1580">
        <v>45481</v>
      </c>
      <c r="B582" s="1581" t="s">
        <v>449</v>
      </c>
      <c r="C582" s="1573" t="s">
        <v>213</v>
      </c>
      <c r="D582" s="1570">
        <v>4500139350</v>
      </c>
      <c r="E582" s="1533" t="s">
        <v>2485</v>
      </c>
      <c r="F582" s="1570" t="s">
        <v>2486</v>
      </c>
      <c r="G582" s="531" t="s">
        <v>73</v>
      </c>
      <c r="H582" s="532" t="s">
        <v>74</v>
      </c>
      <c r="I582" s="1496">
        <v>816</v>
      </c>
      <c r="J582" s="562">
        <v>0</v>
      </c>
      <c r="K582" s="531">
        <v>24</v>
      </c>
      <c r="L582" s="401">
        <f t="shared" si="336"/>
        <v>34</v>
      </c>
      <c r="M582" s="563">
        <v>45548</v>
      </c>
      <c r="N582" s="563">
        <v>45544</v>
      </c>
      <c r="O582" s="564"/>
      <c r="P582" s="564" t="s">
        <v>92</v>
      </c>
      <c r="Q582" s="564"/>
      <c r="R582" s="564" t="s">
        <v>1910</v>
      </c>
      <c r="S582" s="564" t="s">
        <v>123</v>
      </c>
      <c r="T582" s="1552" t="s">
        <v>2487</v>
      </c>
      <c r="U582" s="530" t="s">
        <v>2488</v>
      </c>
      <c r="V582" s="564" t="s">
        <v>186</v>
      </c>
      <c r="W582" s="592">
        <v>1.3595</v>
      </c>
      <c r="X582" s="593">
        <f t="shared" ref="X582:X584" si="350">I582*W582</f>
        <v>1109.352</v>
      </c>
      <c r="Y582" s="401" t="s">
        <v>2489</v>
      </c>
      <c r="Z582" s="607" t="s">
        <v>188</v>
      </c>
      <c r="AA582" s="1453" t="s">
        <v>128</v>
      </c>
      <c r="AB582" s="608">
        <v>816</v>
      </c>
      <c r="AC582" s="608">
        <f t="shared" ref="AC582:AC607" si="351">AB582-I582</f>
        <v>0</v>
      </c>
      <c r="AD582" s="608"/>
      <c r="AE582" s="564" t="s">
        <v>2389</v>
      </c>
      <c r="AF582" s="564"/>
      <c r="AG582" s="608">
        <f t="shared" si="345"/>
        <v>816</v>
      </c>
      <c r="AH582" s="608"/>
      <c r="AI582" s="608"/>
      <c r="AJ582" s="608"/>
      <c r="AK582" s="609"/>
      <c r="AL582" s="401">
        <f t="shared" ref="AL582:AL585" si="352">I582</f>
        <v>816</v>
      </c>
      <c r="AM582" s="609"/>
      <c r="AN582" s="609"/>
      <c r="AO582" s="609">
        <f t="shared" ref="AO582:AO586" si="353">I582</f>
        <v>816</v>
      </c>
      <c r="AP582" s="609"/>
      <c r="AQ582" s="609"/>
      <c r="AR582" s="609"/>
      <c r="AS582" s="609"/>
      <c r="AT582" s="633"/>
      <c r="AU582" s="633"/>
      <c r="AV582" s="633"/>
      <c r="AW582" s="401"/>
      <c r="AX582" s="633"/>
      <c r="AY582" s="633"/>
      <c r="AZ582" s="633"/>
      <c r="BA582" s="633"/>
      <c r="BB582" s="633"/>
      <c r="BC582" s="633"/>
      <c r="BD582" s="633"/>
      <c r="BE582" s="633"/>
      <c r="BF582" s="633"/>
      <c r="BG582" s="633"/>
      <c r="BH582" s="633"/>
      <c r="BI582" s="633"/>
      <c r="BJ582" s="633"/>
      <c r="BK582" s="633"/>
      <c r="BL582" s="633"/>
      <c r="BM582" s="401">
        <f t="shared" si="349"/>
        <v>816</v>
      </c>
      <c r="BO582" s="1473"/>
      <c r="BP582" s="1473"/>
    </row>
    <row r="583" s="200" customFormat="1" ht="36" customHeight="1" spans="1:68">
      <c r="A583" s="1580">
        <v>45481</v>
      </c>
      <c r="B583" s="1581" t="s">
        <v>449</v>
      </c>
      <c r="C583" s="1573" t="s">
        <v>213</v>
      </c>
      <c r="D583" s="1570">
        <v>4500139350</v>
      </c>
      <c r="E583" s="1533" t="s">
        <v>2490</v>
      </c>
      <c r="F583" s="1570" t="s">
        <v>2491</v>
      </c>
      <c r="G583" s="531" t="s">
        <v>73</v>
      </c>
      <c r="H583" s="532" t="s">
        <v>74</v>
      </c>
      <c r="I583" s="1496">
        <v>600</v>
      </c>
      <c r="J583" s="562">
        <v>0</v>
      </c>
      <c r="K583" s="531">
        <v>24</v>
      </c>
      <c r="L583" s="401">
        <f t="shared" si="336"/>
        <v>25</v>
      </c>
      <c r="M583" s="563">
        <v>45548</v>
      </c>
      <c r="N583" s="563">
        <v>45544</v>
      </c>
      <c r="O583" s="564"/>
      <c r="P583" s="564" t="s">
        <v>92</v>
      </c>
      <c r="Q583" s="564"/>
      <c r="R583" s="564" t="s">
        <v>1910</v>
      </c>
      <c r="S583" s="564" t="s">
        <v>123</v>
      </c>
      <c r="T583" s="1552" t="s">
        <v>2487</v>
      </c>
      <c r="U583" s="530" t="s">
        <v>2488</v>
      </c>
      <c r="V583" s="564" t="s">
        <v>186</v>
      </c>
      <c r="W583" s="592">
        <v>1.3595</v>
      </c>
      <c r="X583" s="593">
        <f t="shared" si="350"/>
        <v>815.7</v>
      </c>
      <c r="Y583" s="401" t="s">
        <v>2489</v>
      </c>
      <c r="Z583" s="607" t="s">
        <v>188</v>
      </c>
      <c r="AA583" s="1453" t="s">
        <v>128</v>
      </c>
      <c r="AB583" s="608">
        <v>600</v>
      </c>
      <c r="AC583" s="608">
        <f t="shared" si="351"/>
        <v>0</v>
      </c>
      <c r="AD583" s="608"/>
      <c r="AE583" s="564" t="s">
        <v>2389</v>
      </c>
      <c r="AF583" s="564"/>
      <c r="AG583" s="608">
        <f t="shared" si="345"/>
        <v>600</v>
      </c>
      <c r="AH583" s="608"/>
      <c r="AI583" s="608"/>
      <c r="AJ583" s="608"/>
      <c r="AK583" s="609"/>
      <c r="AL583" s="401">
        <f t="shared" si="352"/>
        <v>600</v>
      </c>
      <c r="AM583" s="609"/>
      <c r="AN583" s="609"/>
      <c r="AO583" s="609">
        <f t="shared" si="353"/>
        <v>600</v>
      </c>
      <c r="AP583" s="609"/>
      <c r="AQ583" s="609"/>
      <c r="AR583" s="609"/>
      <c r="AS583" s="609"/>
      <c r="AT583" s="633"/>
      <c r="AU583" s="633"/>
      <c r="AV583" s="633"/>
      <c r="AW583" s="401"/>
      <c r="AX583" s="633"/>
      <c r="AY583" s="633"/>
      <c r="AZ583" s="633"/>
      <c r="BA583" s="633"/>
      <c r="BB583" s="633"/>
      <c r="BC583" s="633"/>
      <c r="BD583" s="633"/>
      <c r="BE583" s="633"/>
      <c r="BF583" s="633"/>
      <c r="BG583" s="633"/>
      <c r="BH583" s="633"/>
      <c r="BI583" s="633"/>
      <c r="BJ583" s="633"/>
      <c r="BK583" s="633"/>
      <c r="BL583" s="633"/>
      <c r="BM583" s="401">
        <f t="shared" si="349"/>
        <v>600</v>
      </c>
      <c r="BO583" s="1473"/>
      <c r="BP583" s="1473"/>
    </row>
    <row r="584" s="200" customFormat="1" ht="36" customHeight="1" spans="1:68">
      <c r="A584" s="1580">
        <v>45491</v>
      </c>
      <c r="B584" s="1581" t="s">
        <v>2492</v>
      </c>
      <c r="C584" s="1573" t="s">
        <v>286</v>
      </c>
      <c r="D584" s="1570">
        <v>4500140650</v>
      </c>
      <c r="E584" s="1533"/>
      <c r="F584" s="1570" t="s">
        <v>2493</v>
      </c>
      <c r="G584" s="531" t="s">
        <v>96</v>
      </c>
      <c r="H584" s="532" t="s">
        <v>74</v>
      </c>
      <c r="I584" s="401">
        <v>1500</v>
      </c>
      <c r="J584" s="562">
        <v>0</v>
      </c>
      <c r="K584" s="531">
        <v>50</v>
      </c>
      <c r="L584" s="401">
        <f t="shared" si="336"/>
        <v>30</v>
      </c>
      <c r="M584" s="563">
        <v>45548</v>
      </c>
      <c r="N584" s="563">
        <v>45544</v>
      </c>
      <c r="O584" s="564" t="s">
        <v>2494</v>
      </c>
      <c r="P584" s="564" t="s">
        <v>1690</v>
      </c>
      <c r="Q584" s="564" t="s">
        <v>2495</v>
      </c>
      <c r="R584" s="564">
        <v>45497</v>
      </c>
      <c r="S584" s="564" t="s">
        <v>77</v>
      </c>
      <c r="T584" s="564" t="s">
        <v>2496</v>
      </c>
      <c r="U584" s="530" t="s">
        <v>2497</v>
      </c>
      <c r="V584" s="564" t="s">
        <v>290</v>
      </c>
      <c r="W584" s="592">
        <v>1.4344</v>
      </c>
      <c r="X584" s="593">
        <f t="shared" si="350"/>
        <v>2151.6</v>
      </c>
      <c r="Y584" s="401" t="s">
        <v>2498</v>
      </c>
      <c r="Z584" s="607" t="s">
        <v>220</v>
      </c>
      <c r="AA584" s="1453" t="s">
        <v>128</v>
      </c>
      <c r="AB584" s="608">
        <v>1500</v>
      </c>
      <c r="AC584" s="608">
        <f t="shared" si="351"/>
        <v>0</v>
      </c>
      <c r="AD584" s="608"/>
      <c r="AE584" s="564" t="s">
        <v>2389</v>
      </c>
      <c r="AF584" s="564"/>
      <c r="AG584" s="608">
        <f t="shared" si="345"/>
        <v>1500</v>
      </c>
      <c r="AH584" s="608"/>
      <c r="AI584" s="608"/>
      <c r="AJ584" s="608"/>
      <c r="AK584" s="609"/>
      <c r="AL584" s="609">
        <f t="shared" si="352"/>
        <v>1500</v>
      </c>
      <c r="AM584" s="609"/>
      <c r="AN584" s="609"/>
      <c r="AO584" s="609">
        <f t="shared" si="353"/>
        <v>1500</v>
      </c>
      <c r="AP584" s="609"/>
      <c r="AQ584" s="609"/>
      <c r="AR584" s="609"/>
      <c r="AS584" s="609"/>
      <c r="AT584" s="633"/>
      <c r="AU584" s="633"/>
      <c r="AV584" s="633"/>
      <c r="AW584" s="401"/>
      <c r="AX584" s="633"/>
      <c r="AY584" s="633"/>
      <c r="AZ584" s="633"/>
      <c r="BA584" s="633"/>
      <c r="BB584" s="633">
        <f>I584/25</f>
        <v>60</v>
      </c>
      <c r="BC584" s="633"/>
      <c r="BD584" s="633"/>
      <c r="BE584" s="633"/>
      <c r="BF584" s="633"/>
      <c r="BG584" s="633"/>
      <c r="BH584" s="633"/>
      <c r="BI584" s="633"/>
      <c r="BJ584" s="633"/>
      <c r="BK584" s="633"/>
      <c r="BL584" s="633"/>
      <c r="BM584" s="401">
        <f t="shared" si="349"/>
        <v>1500</v>
      </c>
      <c r="BO584" s="1473"/>
      <c r="BP584" s="1473"/>
    </row>
    <row r="585" s="200" customFormat="1" ht="36" customHeight="1" spans="1:68">
      <c r="A585" s="1580">
        <v>45498</v>
      </c>
      <c r="B585" s="1581" t="s">
        <v>2061</v>
      </c>
      <c r="C585" s="528" t="s">
        <v>500</v>
      </c>
      <c r="D585" s="1570">
        <v>4500140516</v>
      </c>
      <c r="E585" s="1533" t="s">
        <v>2499</v>
      </c>
      <c r="F585" s="1570" t="s">
        <v>2500</v>
      </c>
      <c r="G585" s="531" t="s">
        <v>386</v>
      </c>
      <c r="H585" s="532" t="s">
        <v>74</v>
      </c>
      <c r="I585" s="511">
        <v>600</v>
      </c>
      <c r="J585" s="562">
        <v>0</v>
      </c>
      <c r="K585" s="531">
        <v>60</v>
      </c>
      <c r="L585" s="401">
        <f t="shared" si="336"/>
        <v>10</v>
      </c>
      <c r="M585" s="563">
        <v>45548</v>
      </c>
      <c r="N585" s="563">
        <v>45544</v>
      </c>
      <c r="O585" s="564"/>
      <c r="P585" s="564" t="s">
        <v>1690</v>
      </c>
      <c r="Q585" s="564" t="s">
        <v>2501</v>
      </c>
      <c r="R585" s="564">
        <v>45502</v>
      </c>
      <c r="S585" s="564" t="s">
        <v>77</v>
      </c>
      <c r="T585" s="564" t="s">
        <v>2502</v>
      </c>
      <c r="U585" s="530" t="s">
        <v>2503</v>
      </c>
      <c r="V585" s="564" t="s">
        <v>2504</v>
      </c>
      <c r="W585" s="592">
        <v>20.9573</v>
      </c>
      <c r="X585" s="593">
        <f t="shared" ref="X585:X590" si="354">W585*I585</f>
        <v>12574.38</v>
      </c>
      <c r="Y585" s="401" t="s">
        <v>2505</v>
      </c>
      <c r="Z585" s="607" t="s">
        <v>391</v>
      </c>
      <c r="AA585" s="1453" t="s">
        <v>128</v>
      </c>
      <c r="AB585" s="608">
        <v>600</v>
      </c>
      <c r="AC585" s="608">
        <f t="shared" si="351"/>
        <v>0</v>
      </c>
      <c r="AD585" s="608"/>
      <c r="AE585" s="564" t="s">
        <v>2389</v>
      </c>
      <c r="AF585" s="564"/>
      <c r="AG585" s="608">
        <f t="shared" si="345"/>
        <v>600</v>
      </c>
      <c r="AH585" s="608"/>
      <c r="AI585" s="608"/>
      <c r="AJ585" s="608"/>
      <c r="AK585" s="609"/>
      <c r="AL585" s="401">
        <f t="shared" si="352"/>
        <v>600</v>
      </c>
      <c r="AM585" s="609"/>
      <c r="AN585" s="609"/>
      <c r="AO585" s="609">
        <f t="shared" si="353"/>
        <v>600</v>
      </c>
      <c r="AP585" s="609"/>
      <c r="AQ585" s="609"/>
      <c r="AR585" s="609"/>
      <c r="AS585" s="609"/>
      <c r="AT585" s="633"/>
      <c r="AU585" s="633"/>
      <c r="AV585" s="633"/>
      <c r="AW585" s="401"/>
      <c r="AX585" s="633"/>
      <c r="AY585" s="633"/>
      <c r="AZ585" s="633"/>
      <c r="BA585" s="633"/>
      <c r="BB585" s="633"/>
      <c r="BC585" s="633"/>
      <c r="BD585" s="633"/>
      <c r="BE585" s="633">
        <f t="shared" ref="BE585:BE590" si="355">I585/60</f>
        <v>10</v>
      </c>
      <c r="BF585" s="633"/>
      <c r="BG585" s="633"/>
      <c r="BH585" s="633"/>
      <c r="BI585" s="633"/>
      <c r="BJ585" s="633"/>
      <c r="BK585" s="633"/>
      <c r="BL585" s="633"/>
      <c r="BM585" s="401">
        <f t="shared" si="349"/>
        <v>600</v>
      </c>
      <c r="BO585" s="1473"/>
      <c r="BP585" s="1473"/>
    </row>
    <row r="586" s="200" customFormat="1" ht="36" customHeight="1" spans="1:68">
      <c r="A586" s="1580">
        <v>45502</v>
      </c>
      <c r="B586" s="1581" t="s">
        <v>916</v>
      </c>
      <c r="C586" s="528" t="s">
        <v>2506</v>
      </c>
      <c r="D586" s="1570">
        <v>4500141335</v>
      </c>
      <c r="E586" s="1533"/>
      <c r="F586" s="1570" t="s">
        <v>2507</v>
      </c>
      <c r="G586" s="531" t="s">
        <v>96</v>
      </c>
      <c r="H586" s="532" t="s">
        <v>74</v>
      </c>
      <c r="I586" s="401">
        <v>12000</v>
      </c>
      <c r="J586" s="562">
        <v>0</v>
      </c>
      <c r="K586" s="531">
        <v>50</v>
      </c>
      <c r="L586" s="401">
        <f t="shared" si="336"/>
        <v>240</v>
      </c>
      <c r="M586" s="563">
        <v>45548</v>
      </c>
      <c r="N586" s="563">
        <v>45544</v>
      </c>
      <c r="O586" s="564"/>
      <c r="P586" s="564" t="s">
        <v>92</v>
      </c>
      <c r="Q586" s="564" t="s">
        <v>2380</v>
      </c>
      <c r="R586" s="564">
        <v>45518</v>
      </c>
      <c r="S586" s="564" t="s">
        <v>77</v>
      </c>
      <c r="T586" s="564" t="s">
        <v>2508</v>
      </c>
      <c r="U586" s="530" t="s">
        <v>2509</v>
      </c>
      <c r="V586" s="564" t="s">
        <v>618</v>
      </c>
      <c r="W586" s="592">
        <v>1.4243</v>
      </c>
      <c r="X586" s="593">
        <f t="shared" ref="X586:X589" si="356">I586*W586</f>
        <v>17091.6</v>
      </c>
      <c r="Y586" s="401" t="s">
        <v>2510</v>
      </c>
      <c r="Z586" s="607" t="s">
        <v>96</v>
      </c>
      <c r="AA586" s="1453" t="s">
        <v>128</v>
      </c>
      <c r="AB586" s="608">
        <f>11050+950</f>
        <v>12000</v>
      </c>
      <c r="AC586" s="608">
        <f t="shared" si="351"/>
        <v>0</v>
      </c>
      <c r="AD586" s="608"/>
      <c r="AE586" s="564" t="s">
        <v>2389</v>
      </c>
      <c r="AF586" s="564"/>
      <c r="AG586" s="608">
        <f t="shared" si="345"/>
        <v>12000</v>
      </c>
      <c r="AH586" s="608"/>
      <c r="AI586" s="608"/>
      <c r="AJ586" s="608"/>
      <c r="AK586" s="609">
        <f t="shared" ref="AK586:AK590" si="357">I586</f>
        <v>12000</v>
      </c>
      <c r="AL586" s="401"/>
      <c r="AM586" s="609"/>
      <c r="AN586" s="609"/>
      <c r="AO586" s="609">
        <f t="shared" si="353"/>
        <v>12000</v>
      </c>
      <c r="AP586" s="609"/>
      <c r="AQ586" s="609"/>
      <c r="AR586" s="609"/>
      <c r="AS586" s="609"/>
      <c r="AT586" s="633"/>
      <c r="AU586" s="633"/>
      <c r="AV586" s="633"/>
      <c r="AW586" s="401"/>
      <c r="AX586" s="633"/>
      <c r="AY586" s="633"/>
      <c r="AZ586" s="633"/>
      <c r="BA586" s="633">
        <f>I586/25</f>
        <v>480</v>
      </c>
      <c r="BB586" s="633"/>
      <c r="BC586" s="633"/>
      <c r="BD586" s="633"/>
      <c r="BE586" s="633"/>
      <c r="BF586" s="633"/>
      <c r="BG586" s="633"/>
      <c r="BH586" s="633"/>
      <c r="BI586" s="633"/>
      <c r="BJ586" s="633"/>
      <c r="BK586" s="633"/>
      <c r="BL586" s="633"/>
      <c r="BM586" s="401">
        <f t="shared" si="349"/>
        <v>12000</v>
      </c>
      <c r="BO586" s="1473"/>
      <c r="BP586" s="1473"/>
    </row>
    <row r="587" s="200" customFormat="1" ht="36" customHeight="1" spans="1:68">
      <c r="A587" s="1580">
        <v>45502</v>
      </c>
      <c r="B587" s="1581" t="s">
        <v>1559</v>
      </c>
      <c r="C587" s="528" t="s">
        <v>1560</v>
      </c>
      <c r="D587" s="1570">
        <v>4500141185</v>
      </c>
      <c r="E587" s="1533" t="s">
        <v>1561</v>
      </c>
      <c r="F587" s="1570" t="s">
        <v>2511</v>
      </c>
      <c r="G587" s="531" t="s">
        <v>215</v>
      </c>
      <c r="H587" s="532" t="s">
        <v>74</v>
      </c>
      <c r="I587" s="401">
        <v>3192</v>
      </c>
      <c r="J587" s="562">
        <v>0</v>
      </c>
      <c r="K587" s="531">
        <v>42</v>
      </c>
      <c r="L587" s="401">
        <f t="shared" si="336"/>
        <v>76</v>
      </c>
      <c r="M587" s="563">
        <v>45548</v>
      </c>
      <c r="N587" s="563">
        <v>45544</v>
      </c>
      <c r="O587" s="564" t="s">
        <v>1563</v>
      </c>
      <c r="P587" s="564" t="s">
        <v>92</v>
      </c>
      <c r="Q587" s="564" t="s">
        <v>2512</v>
      </c>
      <c r="R587" s="564">
        <v>45502</v>
      </c>
      <c r="S587" s="564" t="s">
        <v>77</v>
      </c>
      <c r="T587" s="564">
        <v>45502</v>
      </c>
      <c r="U587" s="530" t="s">
        <v>2513</v>
      </c>
      <c r="V587" s="564" t="s">
        <v>1294</v>
      </c>
      <c r="W587" s="592">
        <v>1.4539</v>
      </c>
      <c r="X587" s="593">
        <f t="shared" si="356"/>
        <v>4640.8488</v>
      </c>
      <c r="Y587" s="401" t="s">
        <v>2514</v>
      </c>
      <c r="Z587" s="607" t="s">
        <v>1567</v>
      </c>
      <c r="AA587" s="1453" t="s">
        <v>128</v>
      </c>
      <c r="AB587" s="608">
        <v>3192</v>
      </c>
      <c r="AC587" s="608">
        <f t="shared" si="351"/>
        <v>0</v>
      </c>
      <c r="AD587" s="608"/>
      <c r="AE587" s="564" t="s">
        <v>2389</v>
      </c>
      <c r="AF587" s="564"/>
      <c r="AG587" s="608">
        <f t="shared" si="345"/>
        <v>3192</v>
      </c>
      <c r="AH587" s="608"/>
      <c r="AI587" s="608"/>
      <c r="AJ587" s="608"/>
      <c r="AK587" s="401">
        <f t="shared" si="357"/>
        <v>3192</v>
      </c>
      <c r="AL587" s="609"/>
      <c r="AM587" s="609"/>
      <c r="AN587" s="609"/>
      <c r="AP587" s="609">
        <f t="shared" ref="AP587:AP590" si="358">I587</f>
        <v>3192</v>
      </c>
      <c r="AQ587" s="609"/>
      <c r="AR587" s="609"/>
      <c r="AS587" s="609">
        <f>I587/21</f>
        <v>152</v>
      </c>
      <c r="AV587" s="633"/>
      <c r="AW587" s="401"/>
      <c r="AX587" s="633"/>
      <c r="AY587" s="633"/>
      <c r="AZ587" s="633"/>
      <c r="BA587" s="633"/>
      <c r="BB587" s="633"/>
      <c r="BC587" s="633"/>
      <c r="BD587" s="633"/>
      <c r="BE587" s="633"/>
      <c r="BF587" s="633"/>
      <c r="BG587" s="633"/>
      <c r="BH587" s="633"/>
      <c r="BI587" s="633"/>
      <c r="BJ587" s="633"/>
      <c r="BK587" s="633"/>
      <c r="BL587" s="633"/>
      <c r="BM587" s="401">
        <f t="shared" si="349"/>
        <v>3192</v>
      </c>
      <c r="BO587" s="1473"/>
      <c r="BP587" s="1473"/>
    </row>
    <row r="588" s="200" customFormat="1" ht="36" customHeight="1" spans="1:68">
      <c r="A588" s="1580">
        <v>45502</v>
      </c>
      <c r="B588" s="1581" t="s">
        <v>1559</v>
      </c>
      <c r="C588" s="528" t="s">
        <v>1560</v>
      </c>
      <c r="D588" s="1570">
        <v>4500141185</v>
      </c>
      <c r="E588" s="1533" t="s">
        <v>1561</v>
      </c>
      <c r="F588" s="1570" t="s">
        <v>2515</v>
      </c>
      <c r="G588" s="531" t="s">
        <v>386</v>
      </c>
      <c r="H588" s="532" t="s">
        <v>74</v>
      </c>
      <c r="I588" s="511">
        <v>1920</v>
      </c>
      <c r="J588" s="562">
        <v>0</v>
      </c>
      <c r="K588" s="531">
        <v>60</v>
      </c>
      <c r="L588" s="401">
        <f t="shared" si="336"/>
        <v>32</v>
      </c>
      <c r="M588" s="563">
        <v>45548</v>
      </c>
      <c r="N588" s="563">
        <v>45544</v>
      </c>
      <c r="O588" s="564" t="s">
        <v>1563</v>
      </c>
      <c r="P588" s="564" t="s">
        <v>92</v>
      </c>
      <c r="Q588" s="564" t="s">
        <v>2512</v>
      </c>
      <c r="R588" s="564">
        <v>45502</v>
      </c>
      <c r="S588" s="564" t="s">
        <v>77</v>
      </c>
      <c r="T588" s="564">
        <v>45502</v>
      </c>
      <c r="U588" s="530" t="s">
        <v>2516</v>
      </c>
      <c r="V588" s="564" t="s">
        <v>1294</v>
      </c>
      <c r="W588" s="592">
        <v>20.9573</v>
      </c>
      <c r="X588" s="593">
        <f t="shared" si="354"/>
        <v>40238.016</v>
      </c>
      <c r="Y588" s="401" t="s">
        <v>2514</v>
      </c>
      <c r="Z588" s="607" t="s">
        <v>1570</v>
      </c>
      <c r="AA588" s="1453" t="s">
        <v>128</v>
      </c>
      <c r="AB588" s="608">
        <v>1920</v>
      </c>
      <c r="AC588" s="608">
        <f t="shared" si="351"/>
        <v>0</v>
      </c>
      <c r="AD588" s="608"/>
      <c r="AE588" s="564" t="s">
        <v>2389</v>
      </c>
      <c r="AF588" s="564"/>
      <c r="AG588" s="608">
        <f t="shared" si="345"/>
        <v>1920</v>
      </c>
      <c r="AH588" s="608"/>
      <c r="AI588" s="608"/>
      <c r="AJ588" s="608"/>
      <c r="AK588" s="401">
        <f t="shared" si="357"/>
        <v>1920</v>
      </c>
      <c r="AL588" s="401"/>
      <c r="AM588" s="609"/>
      <c r="AN588" s="609"/>
      <c r="AP588" s="609">
        <f t="shared" si="358"/>
        <v>1920</v>
      </c>
      <c r="AQ588" s="609"/>
      <c r="AR588" s="609"/>
      <c r="AS588" s="609"/>
      <c r="AT588" s="633"/>
      <c r="AU588" s="633"/>
      <c r="AV588" s="633"/>
      <c r="AW588" s="401"/>
      <c r="AX588" s="633"/>
      <c r="AY588" s="633"/>
      <c r="AZ588" s="633"/>
      <c r="BA588" s="633"/>
      <c r="BB588" s="633"/>
      <c r="BC588" s="633"/>
      <c r="BE588" s="1569">
        <f t="shared" si="355"/>
        <v>32</v>
      </c>
      <c r="BF588" s="633"/>
      <c r="BG588" s="633"/>
      <c r="BH588" s="633"/>
      <c r="BI588" s="633"/>
      <c r="BJ588" s="633"/>
      <c r="BK588" s="633"/>
      <c r="BL588" s="633"/>
      <c r="BM588" s="401">
        <f t="shared" si="349"/>
        <v>1920</v>
      </c>
      <c r="BO588" s="1473"/>
      <c r="BP588" s="1473"/>
    </row>
    <row r="589" s="200" customFormat="1" ht="36" customHeight="1" spans="1:68">
      <c r="A589" s="1580">
        <v>45502</v>
      </c>
      <c r="B589" s="1581" t="s">
        <v>1559</v>
      </c>
      <c r="C589" s="528" t="s">
        <v>1560</v>
      </c>
      <c r="D589" s="1570">
        <v>4500141268</v>
      </c>
      <c r="E589" s="1533" t="s">
        <v>1571</v>
      </c>
      <c r="F589" s="1570" t="s">
        <v>2517</v>
      </c>
      <c r="G589" s="531" t="s">
        <v>1573</v>
      </c>
      <c r="H589" s="539" t="s">
        <v>74</v>
      </c>
      <c r="I589" s="1549">
        <v>420</v>
      </c>
      <c r="J589" s="566">
        <v>0</v>
      </c>
      <c r="K589" s="538">
        <v>42</v>
      </c>
      <c r="L589" s="1549">
        <f t="shared" si="336"/>
        <v>10</v>
      </c>
      <c r="M589" s="563">
        <v>45548</v>
      </c>
      <c r="N589" s="563">
        <v>45544</v>
      </c>
      <c r="O589" s="564" t="s">
        <v>2518</v>
      </c>
      <c r="P589" s="564" t="s">
        <v>92</v>
      </c>
      <c r="Q589" s="564" t="s">
        <v>2512</v>
      </c>
      <c r="R589" s="564">
        <v>45502</v>
      </c>
      <c r="S589" s="564" t="s">
        <v>77</v>
      </c>
      <c r="T589" s="564">
        <v>45502</v>
      </c>
      <c r="U589" s="1499" t="s">
        <v>2519</v>
      </c>
      <c r="V589" s="564" t="s">
        <v>1294</v>
      </c>
      <c r="W589" s="592">
        <v>1.459</v>
      </c>
      <c r="X589" s="593">
        <f t="shared" si="356"/>
        <v>612.78</v>
      </c>
      <c r="Y589" s="401" t="s">
        <v>2520</v>
      </c>
      <c r="Z589" s="607" t="s">
        <v>1573</v>
      </c>
      <c r="AA589" s="1453" t="s">
        <v>128</v>
      </c>
      <c r="AB589" s="608">
        <v>420</v>
      </c>
      <c r="AC589" s="608">
        <f t="shared" si="351"/>
        <v>0</v>
      </c>
      <c r="AD589" s="608"/>
      <c r="AE589" s="564" t="s">
        <v>2389</v>
      </c>
      <c r="AF589" s="1568"/>
      <c r="AH589" s="608"/>
      <c r="AI589" s="608">
        <f>I589</f>
        <v>420</v>
      </c>
      <c r="AJ589" s="608"/>
      <c r="AK589" s="401">
        <f t="shared" si="357"/>
        <v>420</v>
      </c>
      <c r="AL589" s="401"/>
      <c r="AM589" s="609"/>
      <c r="AN589" s="609"/>
      <c r="AO589" s="615"/>
      <c r="AP589" s="609">
        <f t="shared" si="358"/>
        <v>420</v>
      </c>
      <c r="AQ589" s="609"/>
      <c r="AR589" s="609"/>
      <c r="AS589" s="609">
        <f>I589/21</f>
        <v>20</v>
      </c>
      <c r="AT589" s="633"/>
      <c r="AU589" s="633"/>
      <c r="AV589" s="633"/>
      <c r="AW589" s="401"/>
      <c r="AX589" s="633"/>
      <c r="AY589" s="633"/>
      <c r="AZ589" s="633"/>
      <c r="BA589" s="633"/>
      <c r="BB589" s="633"/>
      <c r="BC589" s="633"/>
      <c r="BD589" s="633"/>
      <c r="BE589" s="633"/>
      <c r="BF589" s="633"/>
      <c r="BG589" s="633"/>
      <c r="BH589" s="633"/>
      <c r="BI589" s="633"/>
      <c r="BJ589" s="633"/>
      <c r="BK589" s="633"/>
      <c r="BL589" s="633"/>
      <c r="BM589" s="401">
        <f t="shared" si="349"/>
        <v>420</v>
      </c>
      <c r="BO589" s="1473"/>
      <c r="BP589" s="1473"/>
    </row>
    <row r="590" s="200" customFormat="1" ht="36" customHeight="1" spans="1:68">
      <c r="A590" s="1580">
        <v>45502</v>
      </c>
      <c r="B590" s="1581" t="s">
        <v>1559</v>
      </c>
      <c r="C590" s="528" t="s">
        <v>1560</v>
      </c>
      <c r="D590" s="1570">
        <v>4500141268</v>
      </c>
      <c r="E590" s="1533" t="s">
        <v>1571</v>
      </c>
      <c r="F590" s="1570" t="s">
        <v>2521</v>
      </c>
      <c r="G590" s="531" t="s">
        <v>1579</v>
      </c>
      <c r="H590" s="532" t="s">
        <v>74</v>
      </c>
      <c r="I590" s="511">
        <v>1800</v>
      </c>
      <c r="J590" s="562">
        <v>0</v>
      </c>
      <c r="K590" s="531">
        <v>60</v>
      </c>
      <c r="L590" s="401">
        <f t="shared" si="336"/>
        <v>30</v>
      </c>
      <c r="M590" s="563">
        <v>45548</v>
      </c>
      <c r="N590" s="563">
        <v>45544</v>
      </c>
      <c r="O590" s="564" t="s">
        <v>2518</v>
      </c>
      <c r="P590" s="564" t="s">
        <v>92</v>
      </c>
      <c r="Q590" s="564" t="s">
        <v>2512</v>
      </c>
      <c r="R590" s="564">
        <v>45502</v>
      </c>
      <c r="S590" s="564" t="s">
        <v>77</v>
      </c>
      <c r="T590" s="564">
        <v>45502</v>
      </c>
      <c r="U590" s="1499" t="s">
        <v>2522</v>
      </c>
      <c r="V590" s="564" t="s">
        <v>1294</v>
      </c>
      <c r="W590" s="592">
        <v>20.9573</v>
      </c>
      <c r="X590" s="593">
        <f t="shared" si="354"/>
        <v>37723.14</v>
      </c>
      <c r="Y590" s="401" t="s">
        <v>2520</v>
      </c>
      <c r="Z590" s="607" t="s">
        <v>1579</v>
      </c>
      <c r="AA590" s="1453" t="s">
        <v>128</v>
      </c>
      <c r="AB590" s="608">
        <v>1800</v>
      </c>
      <c r="AC590" s="608">
        <f t="shared" si="351"/>
        <v>0</v>
      </c>
      <c r="AD590" s="608"/>
      <c r="AE590" s="564" t="s">
        <v>2389</v>
      </c>
      <c r="AF590" s="1568"/>
      <c r="AH590" s="608"/>
      <c r="AI590" s="608">
        <f>I590</f>
        <v>1800</v>
      </c>
      <c r="AJ590" s="608"/>
      <c r="AK590" s="401">
        <f t="shared" si="357"/>
        <v>1800</v>
      </c>
      <c r="AL590" s="401"/>
      <c r="AM590" s="609"/>
      <c r="AN590" s="609"/>
      <c r="AO590" s="615"/>
      <c r="AP590" s="609">
        <f t="shared" si="358"/>
        <v>1800</v>
      </c>
      <c r="AQ590" s="609"/>
      <c r="AR590" s="609"/>
      <c r="AS590" s="609"/>
      <c r="AT590" s="633"/>
      <c r="AU590" s="633"/>
      <c r="AV590" s="633"/>
      <c r="AW590" s="401"/>
      <c r="AX590" s="633"/>
      <c r="AY590" s="633"/>
      <c r="AZ590" s="633"/>
      <c r="BA590" s="633"/>
      <c r="BB590" s="633"/>
      <c r="BC590" s="633"/>
      <c r="BE590" s="1569">
        <f t="shared" si="355"/>
        <v>30</v>
      </c>
      <c r="BF590" s="633"/>
      <c r="BG590" s="633"/>
      <c r="BH590" s="633"/>
      <c r="BI590" s="633"/>
      <c r="BJ590" s="633"/>
      <c r="BK590" s="633"/>
      <c r="BL590" s="633"/>
      <c r="BM590" s="401">
        <f t="shared" si="349"/>
        <v>1800</v>
      </c>
      <c r="BO590" s="1473"/>
      <c r="BP590" s="1473"/>
    </row>
    <row r="591" s="200" customFormat="1" ht="36" customHeight="1" spans="1:68">
      <c r="A591" s="1580">
        <v>45505</v>
      </c>
      <c r="B591" s="1581" t="s">
        <v>1279</v>
      </c>
      <c r="C591" s="528" t="s">
        <v>1280</v>
      </c>
      <c r="D591" s="1570">
        <v>4500141784</v>
      </c>
      <c r="E591" s="1533" t="s">
        <v>2523</v>
      </c>
      <c r="F591" s="1570" t="s">
        <v>2524</v>
      </c>
      <c r="G591" s="531" t="s">
        <v>96</v>
      </c>
      <c r="H591" s="532" t="s">
        <v>1479</v>
      </c>
      <c r="I591" s="401">
        <v>3100</v>
      </c>
      <c r="J591" s="562">
        <v>0</v>
      </c>
      <c r="K591" s="531">
        <v>50</v>
      </c>
      <c r="L591" s="401">
        <f t="shared" si="336"/>
        <v>62</v>
      </c>
      <c r="M591" s="563">
        <v>45548</v>
      </c>
      <c r="N591" s="563">
        <v>45544</v>
      </c>
      <c r="O591" s="564"/>
      <c r="P591" s="564" t="s">
        <v>92</v>
      </c>
      <c r="Q591" s="564" t="s">
        <v>2525</v>
      </c>
      <c r="R591" s="564">
        <v>45510</v>
      </c>
      <c r="S591" s="564" t="s">
        <v>77</v>
      </c>
      <c r="T591" s="564" t="s">
        <v>2526</v>
      </c>
      <c r="U591" s="530" t="s">
        <v>2527</v>
      </c>
      <c r="V591" s="564" t="s">
        <v>1482</v>
      </c>
      <c r="W591" s="592">
        <v>1.4344</v>
      </c>
      <c r="X591" s="593">
        <f t="shared" ref="X591:X594" si="359">I591*W591</f>
        <v>4446.64</v>
      </c>
      <c r="Y591" s="401" t="s">
        <v>2528</v>
      </c>
      <c r="Z591" s="607" t="s">
        <v>292</v>
      </c>
      <c r="AA591" s="1453" t="s">
        <v>128</v>
      </c>
      <c r="AB591" s="608">
        <v>3100</v>
      </c>
      <c r="AC591" s="608">
        <f t="shared" si="351"/>
        <v>0</v>
      </c>
      <c r="AD591" s="608"/>
      <c r="AE591" s="564" t="s">
        <v>2389</v>
      </c>
      <c r="AF591" s="564"/>
      <c r="AG591" s="608">
        <f t="shared" ref="AG591:AG598" si="360">I591</f>
        <v>3100</v>
      </c>
      <c r="AH591" s="608"/>
      <c r="AI591" s="608"/>
      <c r="AJ591" s="608"/>
      <c r="AK591" s="401"/>
      <c r="AL591" s="609">
        <f>I591</f>
        <v>3100</v>
      </c>
      <c r="AM591" s="609"/>
      <c r="AN591" s="609"/>
      <c r="AO591" s="609">
        <f t="shared" ref="AO591:AO598" si="361">I591</f>
        <v>3100</v>
      </c>
      <c r="AP591" s="609"/>
      <c r="AQ591" s="609"/>
      <c r="AR591" s="609"/>
      <c r="AS591" s="609"/>
      <c r="AT591" s="633"/>
      <c r="AU591" s="633"/>
      <c r="AV591" s="633"/>
      <c r="AW591" s="401"/>
      <c r="AX591" s="633"/>
      <c r="AY591" s="633"/>
      <c r="AZ591" s="633"/>
      <c r="BA591" s="633"/>
      <c r="BB591" s="633">
        <f>I591/25</f>
        <v>124</v>
      </c>
      <c r="BC591" s="633"/>
      <c r="BD591" s="633"/>
      <c r="BE591" s="633"/>
      <c r="BF591" s="633"/>
      <c r="BG591" s="633"/>
      <c r="BH591" s="633"/>
      <c r="BI591" s="633"/>
      <c r="BJ591" s="633"/>
      <c r="BK591" s="633"/>
      <c r="BL591" s="633"/>
      <c r="BM591" s="401">
        <f t="shared" si="349"/>
        <v>3100</v>
      </c>
      <c r="BO591" s="1473"/>
      <c r="BP591" s="1473"/>
    </row>
    <row r="592" s="200" customFormat="1" ht="36" customHeight="1" spans="1:68">
      <c r="A592" s="1580">
        <v>45506</v>
      </c>
      <c r="B592" s="1581" t="s">
        <v>660</v>
      </c>
      <c r="C592" s="528" t="s">
        <v>373</v>
      </c>
      <c r="D592" s="1570">
        <v>4500141924</v>
      </c>
      <c r="E592" s="1533" t="s">
        <v>2529</v>
      </c>
      <c r="F592" s="1570" t="s">
        <v>2530</v>
      </c>
      <c r="G592" s="531" t="s">
        <v>207</v>
      </c>
      <c r="H592" s="532" t="s">
        <v>74</v>
      </c>
      <c r="I592" s="401">
        <v>624</v>
      </c>
      <c r="J592" s="562">
        <v>0</v>
      </c>
      <c r="K592" s="531">
        <v>48</v>
      </c>
      <c r="L592" s="401">
        <f t="shared" si="336"/>
        <v>13</v>
      </c>
      <c r="M592" s="563">
        <v>45551</v>
      </c>
      <c r="N592" s="563">
        <v>45547</v>
      </c>
      <c r="O592" s="564" t="s">
        <v>2531</v>
      </c>
      <c r="P592" s="564" t="s">
        <v>1262</v>
      </c>
      <c r="Q592" s="564" t="s">
        <v>2532</v>
      </c>
      <c r="R592" s="564">
        <v>45510</v>
      </c>
      <c r="S592" s="564" t="s">
        <v>77</v>
      </c>
      <c r="T592" s="564" t="s">
        <v>2533</v>
      </c>
      <c r="U592" s="71" t="s">
        <v>2534</v>
      </c>
      <c r="V592" s="564" t="s">
        <v>2535</v>
      </c>
      <c r="W592" s="592">
        <v>1.3917</v>
      </c>
      <c r="X592" s="593">
        <f t="shared" si="359"/>
        <v>868.4208</v>
      </c>
      <c r="Y592" s="401" t="s">
        <v>2536</v>
      </c>
      <c r="Z592" s="595" t="s">
        <v>207</v>
      </c>
      <c r="AA592" s="1453" t="s">
        <v>128</v>
      </c>
      <c r="AB592" s="608">
        <v>624</v>
      </c>
      <c r="AC592" s="608">
        <f t="shared" si="351"/>
        <v>0</v>
      </c>
      <c r="AD592" s="608"/>
      <c r="AE592" s="564" t="s">
        <v>2389</v>
      </c>
      <c r="AF592" s="564"/>
      <c r="AG592" s="608">
        <f t="shared" si="360"/>
        <v>624</v>
      </c>
      <c r="AH592" s="608"/>
      <c r="AI592" s="608"/>
      <c r="AJ592" s="608"/>
      <c r="AK592" s="401">
        <f t="shared" ref="AK592:AK598" si="362">I592</f>
        <v>624</v>
      </c>
      <c r="AL592" s="609"/>
      <c r="AM592" s="609"/>
      <c r="AN592" s="609"/>
      <c r="AO592" s="609">
        <f>AG592</f>
        <v>624</v>
      </c>
      <c r="AP592" s="609"/>
      <c r="AQ592" s="609"/>
      <c r="AR592" s="609"/>
      <c r="AS592" s="609"/>
      <c r="AT592" s="633"/>
      <c r="AU592" s="633"/>
      <c r="AV592" s="633"/>
      <c r="AW592" s="633">
        <f>I592/12</f>
        <v>52</v>
      </c>
      <c r="AX592" s="633"/>
      <c r="AY592" s="633"/>
      <c r="AZ592" s="633"/>
      <c r="BA592" s="633"/>
      <c r="BB592" s="633"/>
      <c r="BC592" s="633"/>
      <c r="BD592" s="633"/>
      <c r="BE592" s="633"/>
      <c r="BF592" s="633"/>
      <c r="BG592" s="633"/>
      <c r="BH592" s="633"/>
      <c r="BI592" s="633"/>
      <c r="BJ592" s="633"/>
      <c r="BK592" s="633"/>
      <c r="BL592" s="633"/>
      <c r="BM592" s="401">
        <f t="shared" si="349"/>
        <v>624</v>
      </c>
      <c r="BO592" s="1473"/>
      <c r="BP592" s="1473"/>
    </row>
    <row r="593" s="200" customFormat="1" ht="36" customHeight="1" spans="1:68">
      <c r="A593" s="1580">
        <v>45510</v>
      </c>
      <c r="B593" s="1581" t="s">
        <v>158</v>
      </c>
      <c r="C593" s="1573" t="s">
        <v>117</v>
      </c>
      <c r="D593" s="1570">
        <v>4500142229</v>
      </c>
      <c r="E593" s="1533" t="s">
        <v>2537</v>
      </c>
      <c r="F593" s="1570" t="s">
        <v>2538</v>
      </c>
      <c r="G593" s="531" t="s">
        <v>160</v>
      </c>
      <c r="H593" s="532" t="s">
        <v>74</v>
      </c>
      <c r="I593" s="401">
        <v>1755</v>
      </c>
      <c r="J593" s="562">
        <v>0</v>
      </c>
      <c r="K593" s="531">
        <v>13</v>
      </c>
      <c r="L593" s="401">
        <f t="shared" si="336"/>
        <v>135</v>
      </c>
      <c r="M593" s="563">
        <v>45551</v>
      </c>
      <c r="N593" s="563">
        <v>45547</v>
      </c>
      <c r="O593" s="564"/>
      <c r="P593" s="564" t="s">
        <v>1690</v>
      </c>
      <c r="Q593" s="564"/>
      <c r="R593" s="564">
        <v>45516</v>
      </c>
      <c r="S593" s="564" t="s">
        <v>77</v>
      </c>
      <c r="T593" s="580" t="s">
        <v>77</v>
      </c>
      <c r="U593" s="530" t="s">
        <v>162</v>
      </c>
      <c r="V593" s="564" t="s">
        <v>163</v>
      </c>
      <c r="W593" s="592">
        <v>1.3901</v>
      </c>
      <c r="X593" s="593">
        <f t="shared" si="359"/>
        <v>2439.6255</v>
      </c>
      <c r="Y593" s="401" t="s">
        <v>2539</v>
      </c>
      <c r="Z593" s="607" t="s">
        <v>160</v>
      </c>
      <c r="AA593" s="1453" t="s">
        <v>128</v>
      </c>
      <c r="AB593" s="608">
        <v>1755</v>
      </c>
      <c r="AC593" s="608">
        <f t="shared" si="351"/>
        <v>0</v>
      </c>
      <c r="AD593" s="608"/>
      <c r="AE593" s="564" t="s">
        <v>2389</v>
      </c>
      <c r="AF593" s="564"/>
      <c r="AG593" s="608">
        <f t="shared" si="360"/>
        <v>1755</v>
      </c>
      <c r="AH593" s="608"/>
      <c r="AI593" s="608"/>
      <c r="AJ593" s="608"/>
      <c r="AK593" s="609">
        <f t="shared" si="362"/>
        <v>1755</v>
      </c>
      <c r="AL593" s="609"/>
      <c r="AM593" s="609"/>
      <c r="AN593" s="609"/>
      <c r="AO593" s="609">
        <f t="shared" si="361"/>
        <v>1755</v>
      </c>
      <c r="AP593" s="609"/>
      <c r="AQ593" s="609"/>
      <c r="AR593" s="609"/>
      <c r="AS593" s="609"/>
      <c r="AT593" s="633"/>
      <c r="AU593" s="633"/>
      <c r="AV593" s="633"/>
      <c r="AW593" s="633"/>
      <c r="AX593" s="633"/>
      <c r="AY593" s="633">
        <f t="shared" ref="AY593:AY598" si="363">I593/13</f>
        <v>135</v>
      </c>
      <c r="AZ593" s="633"/>
      <c r="BA593" s="633"/>
      <c r="BB593" s="633"/>
      <c r="BC593" s="633"/>
      <c r="BD593" s="633"/>
      <c r="BE593" s="633"/>
      <c r="BF593" s="633"/>
      <c r="BG593" s="633"/>
      <c r="BH593" s="633"/>
      <c r="BI593" s="633"/>
      <c r="BJ593" s="633"/>
      <c r="BK593" s="633"/>
      <c r="BL593" s="633"/>
      <c r="BM593" s="401">
        <f t="shared" si="349"/>
        <v>1755</v>
      </c>
      <c r="BO593" s="1473"/>
      <c r="BP593" s="1473"/>
    </row>
    <row r="594" s="200" customFormat="1" ht="36" customHeight="1" spans="1:68">
      <c r="A594" s="1580">
        <v>45510</v>
      </c>
      <c r="B594" s="1581" t="s">
        <v>158</v>
      </c>
      <c r="C594" s="1573" t="s">
        <v>117</v>
      </c>
      <c r="D594" s="1570">
        <v>4500142222</v>
      </c>
      <c r="E594" s="1533" t="s">
        <v>2540</v>
      </c>
      <c r="F594" s="1570" t="s">
        <v>2541</v>
      </c>
      <c r="G594" s="531" t="s">
        <v>160</v>
      </c>
      <c r="H594" s="532" t="s">
        <v>74</v>
      </c>
      <c r="I594" s="401">
        <v>3250</v>
      </c>
      <c r="J594" s="562">
        <v>0</v>
      </c>
      <c r="K594" s="531">
        <v>13</v>
      </c>
      <c r="L594" s="401">
        <f t="shared" si="336"/>
        <v>250</v>
      </c>
      <c r="M594" s="563">
        <v>45551</v>
      </c>
      <c r="N594" s="563">
        <v>45547</v>
      </c>
      <c r="O594" s="564"/>
      <c r="P594" s="564" t="s">
        <v>1690</v>
      </c>
      <c r="Q594" s="564" t="s">
        <v>2542</v>
      </c>
      <c r="R594" s="564">
        <v>45516</v>
      </c>
      <c r="S594" s="564" t="s">
        <v>77</v>
      </c>
      <c r="T594" s="580" t="s">
        <v>77</v>
      </c>
      <c r="U594" s="530" t="s">
        <v>162</v>
      </c>
      <c r="V594" s="564" t="s">
        <v>163</v>
      </c>
      <c r="W594" s="592">
        <v>1.3901</v>
      </c>
      <c r="X594" s="593">
        <f t="shared" si="359"/>
        <v>4517.825</v>
      </c>
      <c r="Y594" s="401" t="s">
        <v>2543</v>
      </c>
      <c r="Z594" s="607" t="s">
        <v>160</v>
      </c>
      <c r="AA594" s="1453" t="s">
        <v>128</v>
      </c>
      <c r="AB594" s="608">
        <v>3250</v>
      </c>
      <c r="AC594" s="608">
        <f t="shared" si="351"/>
        <v>0</v>
      </c>
      <c r="AD594" s="608"/>
      <c r="AE594" s="564" t="s">
        <v>2389</v>
      </c>
      <c r="AF594" s="564"/>
      <c r="AG594" s="608">
        <f t="shared" si="360"/>
        <v>3250</v>
      </c>
      <c r="AH594" s="608"/>
      <c r="AI594" s="608"/>
      <c r="AJ594" s="608"/>
      <c r="AK594" s="609">
        <f t="shared" si="362"/>
        <v>3250</v>
      </c>
      <c r="AL594" s="609"/>
      <c r="AM594" s="609"/>
      <c r="AN594" s="609"/>
      <c r="AO594" s="609">
        <f t="shared" si="361"/>
        <v>3250</v>
      </c>
      <c r="AP594" s="609"/>
      <c r="AQ594" s="609"/>
      <c r="AR594" s="609"/>
      <c r="AS594" s="609"/>
      <c r="AT594" s="633"/>
      <c r="AU594" s="633"/>
      <c r="AV594" s="633"/>
      <c r="AW594" s="633"/>
      <c r="AX594" s="633"/>
      <c r="AY594" s="633">
        <f t="shared" si="363"/>
        <v>250</v>
      </c>
      <c r="AZ594" s="633"/>
      <c r="BA594" s="633"/>
      <c r="BB594" s="633"/>
      <c r="BC594" s="633"/>
      <c r="BD594" s="633"/>
      <c r="BE594" s="633"/>
      <c r="BF594" s="633"/>
      <c r="BG594" s="633"/>
      <c r="BH594" s="633"/>
      <c r="BI594" s="633"/>
      <c r="BJ594" s="633"/>
      <c r="BK594" s="633"/>
      <c r="BL594" s="633"/>
      <c r="BM594" s="401">
        <f t="shared" si="349"/>
        <v>3250</v>
      </c>
      <c r="BO594" s="1473"/>
      <c r="BP594" s="1473"/>
    </row>
    <row r="595" s="200" customFormat="1" ht="36" customHeight="1" spans="1:68">
      <c r="A595" s="533">
        <v>45419</v>
      </c>
      <c r="B595" s="527" t="s">
        <v>243</v>
      </c>
      <c r="C595" s="528" t="s">
        <v>213</v>
      </c>
      <c r="D595" s="534">
        <v>4500132691</v>
      </c>
      <c r="E595" s="530">
        <v>2950865456</v>
      </c>
      <c r="F595" s="534" t="s">
        <v>2544</v>
      </c>
      <c r="G595" s="531" t="s">
        <v>1365</v>
      </c>
      <c r="H595" s="532" t="s">
        <v>1366</v>
      </c>
      <c r="I595" s="401">
        <v>5760</v>
      </c>
      <c r="J595" s="562">
        <v>0</v>
      </c>
      <c r="K595" s="531">
        <v>960</v>
      </c>
      <c r="L595" s="401">
        <f t="shared" si="336"/>
        <v>6</v>
      </c>
      <c r="M595" s="1495">
        <v>45553</v>
      </c>
      <c r="N595" s="1495">
        <v>45549</v>
      </c>
      <c r="O595" s="564"/>
      <c r="P595" s="564" t="s">
        <v>1690</v>
      </c>
      <c r="Q595" s="564" t="s">
        <v>2545</v>
      </c>
      <c r="R595" s="564">
        <v>45423</v>
      </c>
      <c r="S595" s="564" t="s">
        <v>123</v>
      </c>
      <c r="T595" s="564" t="s">
        <v>1368</v>
      </c>
      <c r="U595" s="530" t="s">
        <v>2546</v>
      </c>
      <c r="V595" s="530" t="s">
        <v>218</v>
      </c>
      <c r="W595" s="592">
        <v>1493.648</v>
      </c>
      <c r="X595" s="593">
        <f>W595*L595</f>
        <v>8961.888</v>
      </c>
      <c r="Y595" s="401" t="s">
        <v>2547</v>
      </c>
      <c r="Z595" s="607" t="s">
        <v>1365</v>
      </c>
      <c r="AA595" s="1453" t="s">
        <v>128</v>
      </c>
      <c r="AB595" s="608">
        <v>5760</v>
      </c>
      <c r="AC595" s="608">
        <f t="shared" si="351"/>
        <v>0</v>
      </c>
      <c r="AD595" s="608"/>
      <c r="AE595" s="564" t="s">
        <v>2389</v>
      </c>
      <c r="AF595" s="564"/>
      <c r="AG595" s="608">
        <f t="shared" si="360"/>
        <v>5760</v>
      </c>
      <c r="AH595" s="608"/>
      <c r="AI595" s="608"/>
      <c r="AJ595" s="608"/>
      <c r="AK595" s="609">
        <f t="shared" si="362"/>
        <v>5760</v>
      </c>
      <c r="AL595" s="609"/>
      <c r="AM595" s="609"/>
      <c r="AN595" s="609"/>
      <c r="AO595" s="615">
        <f t="shared" si="361"/>
        <v>5760</v>
      </c>
      <c r="AP595" s="609"/>
      <c r="AQ595" s="609"/>
      <c r="AR595" s="609"/>
      <c r="AS595" s="609"/>
      <c r="AT595" s="633"/>
      <c r="AU595" s="633"/>
      <c r="AV595" s="633"/>
      <c r="AW595" s="401">
        <f>I595/12</f>
        <v>480</v>
      </c>
      <c r="AX595" s="633"/>
      <c r="AY595" s="633"/>
      <c r="AZ595" s="633"/>
      <c r="BA595" s="633"/>
      <c r="BB595" s="633"/>
      <c r="BC595" s="633"/>
      <c r="BD595" s="633"/>
      <c r="BE595" s="633"/>
      <c r="BF595" s="633"/>
      <c r="BG595" s="633"/>
      <c r="BH595" s="633"/>
      <c r="BI595" s="633"/>
      <c r="BJ595" s="633"/>
      <c r="BK595" s="633"/>
      <c r="BL595" s="633"/>
      <c r="BM595" s="401">
        <f t="shared" si="349"/>
        <v>5760</v>
      </c>
      <c r="BO595" s="1473"/>
      <c r="BP595" s="1473"/>
    </row>
    <row r="596" s="200" customFormat="1" ht="36" customHeight="1" spans="1:68">
      <c r="A596" s="533">
        <v>45512</v>
      </c>
      <c r="B596" s="527" t="s">
        <v>485</v>
      </c>
      <c r="C596" s="528" t="s">
        <v>233</v>
      </c>
      <c r="D596" s="534">
        <v>4500141725</v>
      </c>
      <c r="E596" s="530">
        <v>28558244</v>
      </c>
      <c r="F596" s="534" t="s">
        <v>2548</v>
      </c>
      <c r="G596" s="531" t="s">
        <v>386</v>
      </c>
      <c r="H596" s="532" t="s">
        <v>74</v>
      </c>
      <c r="I596" s="511">
        <v>2280</v>
      </c>
      <c r="J596" s="562">
        <v>0</v>
      </c>
      <c r="K596" s="531">
        <v>60</v>
      </c>
      <c r="L596" s="401">
        <f t="shared" si="336"/>
        <v>38</v>
      </c>
      <c r="M596" s="563">
        <v>45553</v>
      </c>
      <c r="N596" s="563">
        <v>45549</v>
      </c>
      <c r="O596" s="564" t="s">
        <v>2549</v>
      </c>
      <c r="P596" s="564" t="s">
        <v>1690</v>
      </c>
      <c r="Q596" s="564"/>
      <c r="R596" s="564">
        <v>45513</v>
      </c>
      <c r="S596" s="564" t="s">
        <v>77</v>
      </c>
      <c r="T596" s="564" t="s">
        <v>77</v>
      </c>
      <c r="U596" s="530" t="s">
        <v>2550</v>
      </c>
      <c r="V596" s="530" t="s">
        <v>491</v>
      </c>
      <c r="W596" s="592">
        <v>20.9573</v>
      </c>
      <c r="X596" s="593">
        <f>W596*I596</f>
        <v>47782.644</v>
      </c>
      <c r="Y596" s="401" t="s">
        <v>2551</v>
      </c>
      <c r="Z596" s="607" t="s">
        <v>1866</v>
      </c>
      <c r="AA596" s="1453" t="s">
        <v>128</v>
      </c>
      <c r="AB596" s="608">
        <v>2280</v>
      </c>
      <c r="AC596" s="608">
        <f t="shared" si="351"/>
        <v>0</v>
      </c>
      <c r="AD596" s="608"/>
      <c r="AE596" s="564" t="s">
        <v>2389</v>
      </c>
      <c r="AF596" s="564"/>
      <c r="AG596" s="608">
        <f t="shared" si="360"/>
        <v>2280</v>
      </c>
      <c r="AH596" s="608"/>
      <c r="AI596" s="608"/>
      <c r="AJ596" s="608"/>
      <c r="AK596" s="1514">
        <f t="shared" si="362"/>
        <v>2280</v>
      </c>
      <c r="AM596" s="609"/>
      <c r="AN596" s="609"/>
      <c r="AO596" s="609">
        <f t="shared" si="361"/>
        <v>2280</v>
      </c>
      <c r="AP596" s="609"/>
      <c r="AQ596" s="609"/>
      <c r="AR596" s="609"/>
      <c r="AS596" s="609"/>
      <c r="AT596" s="633"/>
      <c r="AU596" s="633"/>
      <c r="AV596" s="633"/>
      <c r="AW596" s="401"/>
      <c r="AX596" s="633"/>
      <c r="AY596" s="633"/>
      <c r="AZ596" s="633"/>
      <c r="BA596" s="633"/>
      <c r="BB596" s="633"/>
      <c r="BC596" s="633"/>
      <c r="BD596" s="401"/>
      <c r="BE596" s="633">
        <f>I596/60</f>
        <v>38</v>
      </c>
      <c r="BF596" s="633"/>
      <c r="BG596" s="633"/>
      <c r="BH596" s="633"/>
      <c r="BI596" s="633"/>
      <c r="BJ596" s="633"/>
      <c r="BK596" s="633"/>
      <c r="BL596" s="633"/>
      <c r="BM596" s="401">
        <f t="shared" si="349"/>
        <v>2280</v>
      </c>
      <c r="BO596" s="1473"/>
      <c r="BP596" s="1473"/>
    </row>
    <row r="597" s="200" customFormat="1" ht="36" customHeight="1" spans="1:68">
      <c r="A597" s="533">
        <v>45512</v>
      </c>
      <c r="B597" s="527" t="s">
        <v>485</v>
      </c>
      <c r="C597" s="528" t="s">
        <v>233</v>
      </c>
      <c r="D597" s="534">
        <v>4500141726</v>
      </c>
      <c r="E597" s="530">
        <v>28558245</v>
      </c>
      <c r="F597" s="534" t="s">
        <v>2552</v>
      </c>
      <c r="G597" s="531" t="s">
        <v>386</v>
      </c>
      <c r="H597" s="532" t="s">
        <v>74</v>
      </c>
      <c r="I597" s="511">
        <v>720</v>
      </c>
      <c r="J597" s="562">
        <v>0</v>
      </c>
      <c r="K597" s="531">
        <v>60</v>
      </c>
      <c r="L597" s="401">
        <f t="shared" si="336"/>
        <v>12</v>
      </c>
      <c r="M597" s="563">
        <v>45553</v>
      </c>
      <c r="N597" s="563">
        <v>45549</v>
      </c>
      <c r="O597" s="564" t="s">
        <v>2549</v>
      </c>
      <c r="P597" s="564" t="s">
        <v>1690</v>
      </c>
      <c r="Q597" s="564" t="s">
        <v>2553</v>
      </c>
      <c r="R597" s="564">
        <v>45513</v>
      </c>
      <c r="S597" s="564" t="s">
        <v>77</v>
      </c>
      <c r="T597" s="564" t="s">
        <v>77</v>
      </c>
      <c r="U597" s="530" t="s">
        <v>2554</v>
      </c>
      <c r="V597" s="530" t="s">
        <v>491</v>
      </c>
      <c r="W597" s="592">
        <v>20.9573</v>
      </c>
      <c r="X597" s="593">
        <f>W597*I597</f>
        <v>15089.256</v>
      </c>
      <c r="Y597" s="401" t="s">
        <v>2555</v>
      </c>
      <c r="Z597" s="607" t="s">
        <v>1866</v>
      </c>
      <c r="AA597" s="1453" t="s">
        <v>128</v>
      </c>
      <c r="AB597" s="608">
        <v>720</v>
      </c>
      <c r="AC597" s="608">
        <f t="shared" si="351"/>
        <v>0</v>
      </c>
      <c r="AD597" s="608"/>
      <c r="AE597" s="564" t="s">
        <v>2389</v>
      </c>
      <c r="AF597" s="564"/>
      <c r="AG597" s="608">
        <f t="shared" si="360"/>
        <v>720</v>
      </c>
      <c r="AH597" s="608"/>
      <c r="AI597" s="608"/>
      <c r="AJ597" s="608"/>
      <c r="AK597" s="1514">
        <f t="shared" si="362"/>
        <v>720</v>
      </c>
      <c r="AM597" s="609"/>
      <c r="AN597" s="609"/>
      <c r="AO597" s="609">
        <f t="shared" si="361"/>
        <v>720</v>
      </c>
      <c r="AP597" s="609"/>
      <c r="AQ597" s="609"/>
      <c r="AR597" s="609"/>
      <c r="AS597" s="609"/>
      <c r="AT597" s="633"/>
      <c r="AU597" s="633"/>
      <c r="AV597" s="633"/>
      <c r="AW597" s="401"/>
      <c r="AX597" s="633"/>
      <c r="AY597" s="633"/>
      <c r="AZ597" s="633"/>
      <c r="BA597" s="633"/>
      <c r="BB597" s="633"/>
      <c r="BC597" s="633"/>
      <c r="BD597" s="401"/>
      <c r="BE597" s="633">
        <f>I597/60</f>
        <v>12</v>
      </c>
      <c r="BF597" s="633"/>
      <c r="BG597" s="633"/>
      <c r="BH597" s="633"/>
      <c r="BI597" s="633"/>
      <c r="BJ597" s="633"/>
      <c r="BK597" s="633"/>
      <c r="BL597" s="633"/>
      <c r="BM597" s="401">
        <f t="shared" si="349"/>
        <v>720</v>
      </c>
      <c r="BO597" s="1473"/>
      <c r="BP597" s="1473"/>
    </row>
    <row r="598" s="200" customFormat="1" ht="36" customHeight="1" spans="1:68">
      <c r="A598" s="533">
        <v>45495</v>
      </c>
      <c r="B598" s="527" t="s">
        <v>561</v>
      </c>
      <c r="C598" s="528" t="s">
        <v>190</v>
      </c>
      <c r="D598" s="534">
        <v>4500140740</v>
      </c>
      <c r="E598" s="530">
        <v>2371093</v>
      </c>
      <c r="F598" s="534" t="s">
        <v>2556</v>
      </c>
      <c r="G598" s="531" t="s">
        <v>160</v>
      </c>
      <c r="H598" s="532" t="s">
        <v>74</v>
      </c>
      <c r="I598" s="401">
        <v>1703</v>
      </c>
      <c r="J598" s="562">
        <v>0</v>
      </c>
      <c r="K598" s="531">
        <v>13</v>
      </c>
      <c r="L598" s="401">
        <f t="shared" si="336"/>
        <v>131</v>
      </c>
      <c r="M598" s="563">
        <v>45554</v>
      </c>
      <c r="N598" s="563">
        <v>45551</v>
      </c>
      <c r="O598" s="564"/>
      <c r="P598" s="564" t="s">
        <v>1262</v>
      </c>
      <c r="Q598" s="564" t="s">
        <v>2557</v>
      </c>
      <c r="R598" s="564">
        <v>45492</v>
      </c>
      <c r="S598" s="564" t="s">
        <v>123</v>
      </c>
      <c r="T598" s="564" t="s">
        <v>2558</v>
      </c>
      <c r="U598" s="530" t="s">
        <v>2559</v>
      </c>
      <c r="V598" s="530" t="s">
        <v>1011</v>
      </c>
      <c r="W598" s="592">
        <v>1.4432</v>
      </c>
      <c r="X598" s="593">
        <f t="shared" ref="X598:X609" si="364">I598*W598</f>
        <v>2457.7696</v>
      </c>
      <c r="Y598" s="401" t="s">
        <v>2560</v>
      </c>
      <c r="Z598" s="607" t="s">
        <v>160</v>
      </c>
      <c r="AA598" s="1453" t="s">
        <v>128</v>
      </c>
      <c r="AB598" s="608">
        <v>1703</v>
      </c>
      <c r="AC598" s="608">
        <f t="shared" si="351"/>
        <v>0</v>
      </c>
      <c r="AD598" s="608"/>
      <c r="AE598" s="564" t="s">
        <v>2389</v>
      </c>
      <c r="AF598" s="564"/>
      <c r="AG598" s="608">
        <f t="shared" si="360"/>
        <v>1703</v>
      </c>
      <c r="AH598" s="608"/>
      <c r="AI598" s="608"/>
      <c r="AJ598" s="608"/>
      <c r="AK598" s="609">
        <f t="shared" si="362"/>
        <v>1703</v>
      </c>
      <c r="AL598" s="609"/>
      <c r="AM598" s="609"/>
      <c r="AN598" s="609"/>
      <c r="AO598" s="609">
        <f t="shared" si="361"/>
        <v>1703</v>
      </c>
      <c r="AP598" s="609"/>
      <c r="AQ598" s="609"/>
      <c r="AR598" s="609"/>
      <c r="AS598" s="609"/>
      <c r="AT598" s="633"/>
      <c r="AU598" s="633"/>
      <c r="AV598" s="633"/>
      <c r="AW598" s="401"/>
      <c r="AX598" s="633"/>
      <c r="AY598" s="633">
        <f t="shared" si="363"/>
        <v>131</v>
      </c>
      <c r="AZ598" s="633"/>
      <c r="BA598" s="633"/>
      <c r="BB598" s="633"/>
      <c r="BC598" s="633"/>
      <c r="BD598" s="633"/>
      <c r="BE598" s="633"/>
      <c r="BF598" s="633"/>
      <c r="BG598" s="633"/>
      <c r="BH598" s="633"/>
      <c r="BI598" s="633"/>
      <c r="BJ598" s="633"/>
      <c r="BK598" s="633"/>
      <c r="BL598" s="633"/>
      <c r="BM598" s="401">
        <f t="shared" si="349"/>
        <v>1703</v>
      </c>
      <c r="BO598" s="1473"/>
      <c r="BP598" s="1473"/>
    </row>
    <row r="599" s="200" customFormat="1" ht="36" customHeight="1" spans="1:73">
      <c r="A599" s="1580">
        <v>45503</v>
      </c>
      <c r="B599" s="527" t="s">
        <v>816</v>
      </c>
      <c r="C599" s="1573" t="s">
        <v>117</v>
      </c>
      <c r="D599" s="534">
        <v>4500141482</v>
      </c>
      <c r="E599" s="530">
        <v>60171226</v>
      </c>
      <c r="F599" s="534" t="s">
        <v>2561</v>
      </c>
      <c r="G599" s="531" t="s">
        <v>628</v>
      </c>
      <c r="H599" s="532" t="s">
        <v>623</v>
      </c>
      <c r="I599" s="1496">
        <v>11652</v>
      </c>
      <c r="J599" s="562">
        <v>0</v>
      </c>
      <c r="K599" s="531">
        <v>12</v>
      </c>
      <c r="L599" s="401">
        <f t="shared" si="336"/>
        <v>971</v>
      </c>
      <c r="M599" s="563">
        <v>45555</v>
      </c>
      <c r="N599" s="563">
        <v>45551</v>
      </c>
      <c r="O599" s="564"/>
      <c r="P599" s="564" t="s">
        <v>1690</v>
      </c>
      <c r="Q599" s="564" t="s">
        <v>2512</v>
      </c>
      <c r="R599" s="564" t="s">
        <v>2562</v>
      </c>
      <c r="S599" s="564" t="s">
        <v>77</v>
      </c>
      <c r="T599" s="1588" t="s">
        <v>2457</v>
      </c>
      <c r="U599" s="530" t="s">
        <v>1955</v>
      </c>
      <c r="V599" s="564" t="s">
        <v>2458</v>
      </c>
      <c r="W599" s="592">
        <v>3.0551</v>
      </c>
      <c r="X599" s="593">
        <f t="shared" si="364"/>
        <v>35598.0252</v>
      </c>
      <c r="Y599" s="401" t="s">
        <v>2563</v>
      </c>
      <c r="Z599" s="607" t="s">
        <v>822</v>
      </c>
      <c r="AA599" s="1453" t="s">
        <v>128</v>
      </c>
      <c r="AB599" s="608">
        <f>10356+1296</f>
        <v>11652</v>
      </c>
      <c r="AC599" s="608">
        <f t="shared" si="351"/>
        <v>0</v>
      </c>
      <c r="AD599" s="608"/>
      <c r="AE599" s="564" t="s">
        <v>2389</v>
      </c>
      <c r="AF599" s="564"/>
      <c r="AG599" s="608">
        <f>I599*2</f>
        <v>23304</v>
      </c>
      <c r="AH599" s="608"/>
      <c r="AI599" s="608"/>
      <c r="AJ599" s="608"/>
      <c r="AK599" s="1558">
        <f t="shared" ref="AK599:AK604" si="365">AG599</f>
        <v>23304</v>
      </c>
      <c r="AL599" s="609"/>
      <c r="AM599" s="609"/>
      <c r="AN599" s="609"/>
      <c r="AO599" s="615">
        <f>AG599</f>
        <v>23304</v>
      </c>
      <c r="AP599" s="609"/>
      <c r="AQ599" s="609"/>
      <c r="AR599" s="609"/>
      <c r="AS599" s="609"/>
      <c r="AT599" s="633"/>
      <c r="AU599" s="633"/>
      <c r="AV599" s="633"/>
      <c r="AW599" s="401"/>
      <c r="AX599" s="633"/>
      <c r="AY599" s="633"/>
      <c r="AZ599" s="633"/>
      <c r="BA599" s="633"/>
      <c r="BB599" s="633"/>
      <c r="BC599" s="633"/>
      <c r="BD599" s="633"/>
      <c r="BE599" s="633"/>
      <c r="BF599" s="633"/>
      <c r="BG599" s="633"/>
      <c r="BH599" s="633"/>
      <c r="BI599" s="633"/>
      <c r="BJ599" s="633"/>
      <c r="BK599" s="633">
        <f>I599</f>
        <v>11652</v>
      </c>
      <c r="BL599" s="633">
        <f>I599</f>
        <v>11652</v>
      </c>
      <c r="BM599" s="401">
        <f t="shared" si="349"/>
        <v>23304</v>
      </c>
      <c r="BO599" s="1473"/>
      <c r="BP599" s="1473"/>
      <c r="BU599" s="1502" t="s">
        <v>1343</v>
      </c>
    </row>
    <row r="600" s="200" customFormat="1" ht="36" customHeight="1" spans="1:68">
      <c r="A600" s="1580">
        <v>45502</v>
      </c>
      <c r="B600" s="527" t="s">
        <v>816</v>
      </c>
      <c r="C600" s="1573" t="s">
        <v>117</v>
      </c>
      <c r="D600" s="534">
        <v>4500141458</v>
      </c>
      <c r="E600" s="530">
        <v>70047988</v>
      </c>
      <c r="F600" s="534" t="s">
        <v>2564</v>
      </c>
      <c r="G600" s="531" t="s">
        <v>96</v>
      </c>
      <c r="H600" s="532" t="s">
        <v>74</v>
      </c>
      <c r="I600" s="401">
        <v>8950</v>
      </c>
      <c r="J600" s="562">
        <v>0</v>
      </c>
      <c r="K600" s="531">
        <v>50</v>
      </c>
      <c r="L600" s="401">
        <f t="shared" si="336"/>
        <v>179</v>
      </c>
      <c r="M600" s="563">
        <v>45555</v>
      </c>
      <c r="N600" s="563">
        <v>45551</v>
      </c>
      <c r="O600" s="564"/>
      <c r="P600" s="564" t="s">
        <v>1690</v>
      </c>
      <c r="Q600" s="564" t="s">
        <v>2512</v>
      </c>
      <c r="R600" s="564" t="s">
        <v>2562</v>
      </c>
      <c r="S600" s="564" t="s">
        <v>77</v>
      </c>
      <c r="T600" s="1588" t="s">
        <v>2457</v>
      </c>
      <c r="U600" s="530" t="s">
        <v>2565</v>
      </c>
      <c r="V600" s="564" t="s">
        <v>2458</v>
      </c>
      <c r="W600" s="592">
        <v>1.4294</v>
      </c>
      <c r="X600" s="593">
        <f t="shared" si="364"/>
        <v>12793.13</v>
      </c>
      <c r="Y600" s="401" t="s">
        <v>2566</v>
      </c>
      <c r="Z600" s="607" t="s">
        <v>96</v>
      </c>
      <c r="AA600" s="1453" t="s">
        <v>128</v>
      </c>
      <c r="AB600" s="608">
        <v>8950</v>
      </c>
      <c r="AC600" s="608">
        <f t="shared" si="351"/>
        <v>0</v>
      </c>
      <c r="AD600" s="608"/>
      <c r="AE600" s="564" t="s">
        <v>2389</v>
      </c>
      <c r="AF600" s="564"/>
      <c r="AG600" s="608">
        <f t="shared" ref="AG600:AG607" si="366">I600</f>
        <v>8950</v>
      </c>
      <c r="AH600" s="608"/>
      <c r="AI600" s="608"/>
      <c r="AJ600" s="608"/>
      <c r="AK600" s="1558">
        <f t="shared" si="365"/>
        <v>8950</v>
      </c>
      <c r="AL600" s="609"/>
      <c r="AM600" s="609"/>
      <c r="AN600" s="609"/>
      <c r="AO600" s="609">
        <f t="shared" ref="AO600:AO607" si="367">I600</f>
        <v>8950</v>
      </c>
      <c r="AP600" s="609"/>
      <c r="AQ600" s="609"/>
      <c r="AR600" s="609"/>
      <c r="AS600" s="609"/>
      <c r="AT600" s="633"/>
      <c r="AU600" s="633"/>
      <c r="AV600" s="633"/>
      <c r="AW600" s="401"/>
      <c r="AX600" s="633"/>
      <c r="AY600" s="633"/>
      <c r="AZ600" s="633"/>
      <c r="BA600" s="633">
        <f>I600/25</f>
        <v>358</v>
      </c>
      <c r="BB600" s="633"/>
      <c r="BC600" s="633"/>
      <c r="BD600" s="633"/>
      <c r="BE600" s="633"/>
      <c r="BF600" s="633"/>
      <c r="BG600" s="633"/>
      <c r="BH600" s="633"/>
      <c r="BI600" s="633"/>
      <c r="BJ600" s="633"/>
      <c r="BK600" s="633"/>
      <c r="BL600" s="633"/>
      <c r="BM600" s="401">
        <f t="shared" si="349"/>
        <v>8950</v>
      </c>
      <c r="BO600" s="1473"/>
      <c r="BP600" s="1473"/>
    </row>
    <row r="601" s="200" customFormat="1" ht="36" customHeight="1" spans="1:68">
      <c r="A601" s="533">
        <v>45524</v>
      </c>
      <c r="B601" s="527" t="s">
        <v>1425</v>
      </c>
      <c r="C601" s="1573" t="s">
        <v>286</v>
      </c>
      <c r="D601" s="534">
        <v>4500143418</v>
      </c>
      <c r="E601" s="530">
        <v>50212402821</v>
      </c>
      <c r="F601" s="534" t="s">
        <v>2567</v>
      </c>
      <c r="G601" s="531" t="s">
        <v>96</v>
      </c>
      <c r="H601" s="532" t="s">
        <v>74</v>
      </c>
      <c r="I601" s="401">
        <v>2500</v>
      </c>
      <c r="J601" s="562">
        <v>0</v>
      </c>
      <c r="K601" s="531">
        <v>50</v>
      </c>
      <c r="L601" s="401">
        <f t="shared" si="336"/>
        <v>50</v>
      </c>
      <c r="M601" s="563">
        <v>45555</v>
      </c>
      <c r="N601" s="563">
        <v>45551</v>
      </c>
      <c r="O601" s="564" t="s">
        <v>1428</v>
      </c>
      <c r="P601" s="564" t="s">
        <v>1690</v>
      </c>
      <c r="Q601" s="564" t="s">
        <v>2568</v>
      </c>
      <c r="R601" s="564">
        <v>45524</v>
      </c>
      <c r="S601" s="564" t="s">
        <v>77</v>
      </c>
      <c r="T601" s="1552" t="s">
        <v>2569</v>
      </c>
      <c r="U601" s="530" t="s">
        <v>2570</v>
      </c>
      <c r="V601" s="564" t="s">
        <v>290</v>
      </c>
      <c r="W601" s="592">
        <v>1.4344</v>
      </c>
      <c r="X601" s="593">
        <f t="shared" si="364"/>
        <v>3586</v>
      </c>
      <c r="Y601" s="401" t="s">
        <v>2571</v>
      </c>
      <c r="Z601" s="607" t="s">
        <v>292</v>
      </c>
      <c r="AA601" s="1453" t="s">
        <v>128</v>
      </c>
      <c r="AB601" s="608">
        <v>2500</v>
      </c>
      <c r="AC601" s="608">
        <f t="shared" si="351"/>
        <v>0</v>
      </c>
      <c r="AD601" s="608"/>
      <c r="AE601" s="564" t="s">
        <v>2389</v>
      </c>
      <c r="AF601" s="564"/>
      <c r="AG601" s="608">
        <f t="shared" si="366"/>
        <v>2500</v>
      </c>
      <c r="AH601" s="608"/>
      <c r="AI601" s="608"/>
      <c r="AJ601" s="609"/>
      <c r="AK601" s="609"/>
      <c r="AL601" s="609">
        <f>I601</f>
        <v>2500</v>
      </c>
      <c r="AM601" s="609"/>
      <c r="AN601" s="609"/>
      <c r="AO601" s="609">
        <f t="shared" si="367"/>
        <v>2500</v>
      </c>
      <c r="AP601" s="609"/>
      <c r="AQ601" s="609"/>
      <c r="AR601" s="609"/>
      <c r="AS601" s="609"/>
      <c r="AT601" s="633"/>
      <c r="AU601" s="633"/>
      <c r="AV601" s="633"/>
      <c r="AW601" s="633"/>
      <c r="AX601" s="633"/>
      <c r="AY601" s="633"/>
      <c r="AZ601" s="633"/>
      <c r="BA601" s="633"/>
      <c r="BB601" s="633">
        <f>I601/25</f>
        <v>100</v>
      </c>
      <c r="BC601" s="633"/>
      <c r="BD601" s="633"/>
      <c r="BE601" s="633"/>
      <c r="BF601" s="633"/>
      <c r="BG601" s="633"/>
      <c r="BH601" s="633"/>
      <c r="BI601" s="633"/>
      <c r="BJ601" s="633"/>
      <c r="BK601" s="633"/>
      <c r="BL601" s="633"/>
      <c r="BM601" s="401">
        <f t="shared" si="349"/>
        <v>2500</v>
      </c>
      <c r="BO601" s="1473"/>
      <c r="BP601" s="1473"/>
    </row>
    <row r="602" s="200" customFormat="1" ht="36" customHeight="1" spans="1:68">
      <c r="A602" s="533">
        <v>45369</v>
      </c>
      <c r="B602" s="527" t="s">
        <v>523</v>
      </c>
      <c r="C602" s="528" t="s">
        <v>351</v>
      </c>
      <c r="D602" s="534">
        <v>4500127223</v>
      </c>
      <c r="E602" s="530">
        <v>2300875211</v>
      </c>
      <c r="F602" s="534" t="s">
        <v>2572</v>
      </c>
      <c r="G602" s="531" t="s">
        <v>826</v>
      </c>
      <c r="H602" s="532" t="s">
        <v>74</v>
      </c>
      <c r="I602" s="1496">
        <v>925</v>
      </c>
      <c r="J602" s="1496">
        <v>0</v>
      </c>
      <c r="K602" s="1496">
        <v>25</v>
      </c>
      <c r="L602" s="1496">
        <f t="shared" si="336"/>
        <v>37</v>
      </c>
      <c r="M602" s="563">
        <v>45558</v>
      </c>
      <c r="N602" s="563">
        <v>45554</v>
      </c>
      <c r="O602" s="564" t="s">
        <v>2573</v>
      </c>
      <c r="P602" s="564" t="s">
        <v>1262</v>
      </c>
      <c r="Q602" s="564" t="s">
        <v>2574</v>
      </c>
      <c r="R602" s="564">
        <v>45513</v>
      </c>
      <c r="S602" s="564" t="s">
        <v>77</v>
      </c>
      <c r="T602" s="564" t="s">
        <v>77</v>
      </c>
      <c r="U602" s="530" t="s">
        <v>2575</v>
      </c>
      <c r="V602" s="564" t="s">
        <v>529</v>
      </c>
      <c r="W602" s="592">
        <v>1.4395</v>
      </c>
      <c r="X602" s="593">
        <f t="shared" si="364"/>
        <v>1331.5375</v>
      </c>
      <c r="Y602" s="401" t="s">
        <v>2576</v>
      </c>
      <c r="Z602" s="607" t="s">
        <v>945</v>
      </c>
      <c r="AA602" s="1453" t="s">
        <v>128</v>
      </c>
      <c r="AB602" s="608">
        <v>925</v>
      </c>
      <c r="AC602" s="608">
        <f t="shared" si="351"/>
        <v>0</v>
      </c>
      <c r="AD602" s="608"/>
      <c r="AE602" s="564" t="s">
        <v>2389</v>
      </c>
      <c r="AF602" s="564"/>
      <c r="AG602" s="608">
        <f t="shared" si="366"/>
        <v>925</v>
      </c>
      <c r="AH602" s="608"/>
      <c r="AI602" s="608"/>
      <c r="AJ602" s="608"/>
      <c r="AK602" s="609"/>
      <c r="AL602" s="609"/>
      <c r="AM602" s="609"/>
      <c r="AN602" s="609">
        <f>I602</f>
        <v>925</v>
      </c>
      <c r="AO602" s="609">
        <f t="shared" si="367"/>
        <v>925</v>
      </c>
      <c r="AP602" s="609"/>
      <c r="AQ602" s="609"/>
      <c r="AR602" s="609"/>
      <c r="AS602" s="609"/>
      <c r="AT602" s="633"/>
      <c r="AU602" s="633"/>
      <c r="AV602" s="633"/>
      <c r="AW602" s="633"/>
      <c r="AX602" s="633"/>
      <c r="AY602" s="633"/>
      <c r="AZ602" s="633"/>
      <c r="BA602" s="633"/>
      <c r="BB602" s="633">
        <f>I602/25</f>
        <v>37</v>
      </c>
      <c r="BC602" s="633"/>
      <c r="BD602" s="633"/>
      <c r="BE602" s="633"/>
      <c r="BF602" s="633"/>
      <c r="BG602" s="633"/>
      <c r="BH602" s="633"/>
      <c r="BI602" s="633"/>
      <c r="BJ602" s="633"/>
      <c r="BK602" s="633"/>
      <c r="BL602" s="633"/>
      <c r="BM602" s="401">
        <f t="shared" si="349"/>
        <v>925</v>
      </c>
      <c r="BO602" s="1473"/>
      <c r="BP602" s="1473"/>
    </row>
    <row r="603" s="200" customFormat="1" ht="36" customHeight="1" spans="1:68">
      <c r="A603" s="533">
        <v>45504</v>
      </c>
      <c r="B603" s="527" t="s">
        <v>151</v>
      </c>
      <c r="C603" s="528" t="s">
        <v>117</v>
      </c>
      <c r="D603" s="534">
        <v>4500141730</v>
      </c>
      <c r="E603" s="530"/>
      <c r="F603" s="534" t="s">
        <v>2577</v>
      </c>
      <c r="G603" s="531" t="s">
        <v>73</v>
      </c>
      <c r="H603" s="532" t="s">
        <v>74</v>
      </c>
      <c r="I603" s="1496">
        <v>48</v>
      </c>
      <c r="J603" s="562">
        <v>0</v>
      </c>
      <c r="K603" s="531">
        <v>24</v>
      </c>
      <c r="L603" s="401">
        <f t="shared" si="336"/>
        <v>2</v>
      </c>
      <c r="M603" s="563">
        <v>45558</v>
      </c>
      <c r="N603" s="563">
        <v>45554</v>
      </c>
      <c r="O603" s="564"/>
      <c r="P603" s="564" t="s">
        <v>92</v>
      </c>
      <c r="Q603" s="564" t="s">
        <v>2578</v>
      </c>
      <c r="R603" s="564">
        <v>45503</v>
      </c>
      <c r="S603" s="564" t="s">
        <v>123</v>
      </c>
      <c r="T603" s="564" t="s">
        <v>2579</v>
      </c>
      <c r="U603" s="530" t="s">
        <v>2580</v>
      </c>
      <c r="V603" s="564" t="s">
        <v>156</v>
      </c>
      <c r="W603" s="592">
        <v>1.3544</v>
      </c>
      <c r="X603" s="593">
        <f t="shared" si="364"/>
        <v>65.0112</v>
      </c>
      <c r="Y603" s="401" t="s">
        <v>2581</v>
      </c>
      <c r="Z603" s="607" t="s">
        <v>73</v>
      </c>
      <c r="AA603" s="1453" t="s">
        <v>128</v>
      </c>
      <c r="AB603" s="608">
        <v>48</v>
      </c>
      <c r="AC603" s="608">
        <f t="shared" si="351"/>
        <v>0</v>
      </c>
      <c r="AD603" s="608"/>
      <c r="AE603" s="564" t="s">
        <v>2389</v>
      </c>
      <c r="AF603" s="564"/>
      <c r="AG603" s="608">
        <f t="shared" si="366"/>
        <v>48</v>
      </c>
      <c r="AH603" s="608"/>
      <c r="AI603" s="608"/>
      <c r="AJ603" s="608"/>
      <c r="AK603" s="1558">
        <f t="shared" si="365"/>
        <v>48</v>
      </c>
      <c r="AL603" s="609"/>
      <c r="AM603" s="609"/>
      <c r="AN603" s="609"/>
      <c r="AO603" s="609">
        <f t="shared" si="367"/>
        <v>48</v>
      </c>
      <c r="AP603" s="609"/>
      <c r="AQ603" s="609"/>
      <c r="AR603" s="609"/>
      <c r="AS603" s="609"/>
      <c r="AT603" s="633"/>
      <c r="AU603" s="633"/>
      <c r="AV603" s="633"/>
      <c r="AW603" s="633"/>
      <c r="AX603" s="633"/>
      <c r="AY603" s="633"/>
      <c r="AZ603" s="633"/>
      <c r="BA603" s="633"/>
      <c r="BB603" s="633"/>
      <c r="BC603" s="633"/>
      <c r="BD603" s="633"/>
      <c r="BE603" s="633"/>
      <c r="BF603" s="633"/>
      <c r="BG603" s="633"/>
      <c r="BH603" s="633"/>
      <c r="BI603" s="633"/>
      <c r="BJ603" s="633"/>
      <c r="BK603" s="633"/>
      <c r="BL603" s="633"/>
      <c r="BM603" s="401">
        <f t="shared" si="349"/>
        <v>48</v>
      </c>
      <c r="BO603" s="1473"/>
      <c r="BP603" s="1473"/>
    </row>
    <row r="604" s="200" customFormat="1" ht="36" customHeight="1" spans="1:68">
      <c r="A604" s="533">
        <v>45504</v>
      </c>
      <c r="B604" s="527" t="s">
        <v>151</v>
      </c>
      <c r="C604" s="528" t="s">
        <v>117</v>
      </c>
      <c r="D604" s="534">
        <v>4500141730</v>
      </c>
      <c r="E604" s="530"/>
      <c r="F604" s="534" t="s">
        <v>2582</v>
      </c>
      <c r="G604" s="531" t="s">
        <v>73</v>
      </c>
      <c r="H604" s="532" t="s">
        <v>74</v>
      </c>
      <c r="I604" s="1496">
        <v>6528</v>
      </c>
      <c r="J604" s="562">
        <v>0</v>
      </c>
      <c r="K604" s="531">
        <v>24</v>
      </c>
      <c r="L604" s="401">
        <f t="shared" si="336"/>
        <v>272</v>
      </c>
      <c r="M604" s="563">
        <v>45558</v>
      </c>
      <c r="N604" s="563">
        <v>45554</v>
      </c>
      <c r="O604" s="564"/>
      <c r="P604" s="564" t="s">
        <v>92</v>
      </c>
      <c r="Q604" s="564" t="s">
        <v>2578</v>
      </c>
      <c r="R604" s="564">
        <v>45503</v>
      </c>
      <c r="S604" s="564" t="s">
        <v>123</v>
      </c>
      <c r="T604" s="564" t="s">
        <v>2579</v>
      </c>
      <c r="U604" s="530" t="s">
        <v>2580</v>
      </c>
      <c r="V604" s="564" t="s">
        <v>156</v>
      </c>
      <c r="W604" s="592">
        <v>1.3544</v>
      </c>
      <c r="X604" s="593">
        <f t="shared" si="364"/>
        <v>8841.5232</v>
      </c>
      <c r="Y604" s="401" t="s">
        <v>2581</v>
      </c>
      <c r="Z604" s="607" t="s">
        <v>73</v>
      </c>
      <c r="AA604" s="1453" t="s">
        <v>128</v>
      </c>
      <c r="AB604" s="608">
        <v>6528</v>
      </c>
      <c r="AC604" s="608">
        <f t="shared" si="351"/>
        <v>0</v>
      </c>
      <c r="AD604" s="608"/>
      <c r="AE604" s="564" t="s">
        <v>2389</v>
      </c>
      <c r="AF604" s="564"/>
      <c r="AG604" s="608">
        <f t="shared" si="366"/>
        <v>6528</v>
      </c>
      <c r="AH604" s="608"/>
      <c r="AI604" s="608"/>
      <c r="AJ604" s="608"/>
      <c r="AK604" s="1558">
        <f t="shared" si="365"/>
        <v>6528</v>
      </c>
      <c r="AL604" s="609"/>
      <c r="AM604" s="609"/>
      <c r="AN604" s="609"/>
      <c r="AO604" s="609">
        <f t="shared" si="367"/>
        <v>6528</v>
      </c>
      <c r="AP604" s="609"/>
      <c r="AQ604" s="609"/>
      <c r="AR604" s="609"/>
      <c r="AS604" s="609"/>
      <c r="AT604" s="633"/>
      <c r="AU604" s="633"/>
      <c r="AV604" s="633"/>
      <c r="AW604" s="633"/>
      <c r="AX604" s="633"/>
      <c r="AY604" s="633"/>
      <c r="AZ604" s="633"/>
      <c r="BA604" s="633"/>
      <c r="BB604" s="633"/>
      <c r="BC604" s="633"/>
      <c r="BD604" s="633"/>
      <c r="BE604" s="633"/>
      <c r="BF604" s="633"/>
      <c r="BG604" s="633"/>
      <c r="BH604" s="633"/>
      <c r="BI604" s="633"/>
      <c r="BJ604" s="633"/>
      <c r="BK604" s="633"/>
      <c r="BL604" s="633"/>
      <c r="BM604" s="401">
        <f t="shared" si="349"/>
        <v>6528</v>
      </c>
      <c r="BO604" s="1473"/>
      <c r="BP604" s="1473"/>
    </row>
    <row r="605" s="200" customFormat="1" ht="36" customHeight="1" spans="1:68">
      <c r="A605" s="533">
        <v>45512</v>
      </c>
      <c r="B605" s="527" t="s">
        <v>746</v>
      </c>
      <c r="C605" s="528" t="s">
        <v>747</v>
      </c>
      <c r="D605" s="534">
        <v>4500142326</v>
      </c>
      <c r="E605" s="530" t="s">
        <v>2583</v>
      </c>
      <c r="F605" s="534" t="s">
        <v>2584</v>
      </c>
      <c r="G605" s="531" t="s">
        <v>96</v>
      </c>
      <c r="H605" s="532" t="s">
        <v>74</v>
      </c>
      <c r="I605" s="401">
        <v>1000</v>
      </c>
      <c r="J605" s="562">
        <v>0</v>
      </c>
      <c r="K605" s="531">
        <v>50</v>
      </c>
      <c r="L605" s="401">
        <f t="shared" si="336"/>
        <v>20</v>
      </c>
      <c r="M605" s="563">
        <v>45558</v>
      </c>
      <c r="N605" s="563">
        <v>45554</v>
      </c>
      <c r="O605" s="564"/>
      <c r="P605" s="564" t="s">
        <v>1690</v>
      </c>
      <c r="Q605" s="564" t="s">
        <v>2585</v>
      </c>
      <c r="R605" s="564">
        <v>45512</v>
      </c>
      <c r="S605" s="564" t="s">
        <v>77</v>
      </c>
      <c r="T605" s="564" t="s">
        <v>2586</v>
      </c>
      <c r="U605" s="530" t="s">
        <v>2587</v>
      </c>
      <c r="V605" s="564" t="s">
        <v>585</v>
      </c>
      <c r="W605" s="592">
        <v>1.4174</v>
      </c>
      <c r="X605" s="593">
        <f t="shared" si="364"/>
        <v>1417.4</v>
      </c>
      <c r="Y605" s="401" t="s">
        <v>2588</v>
      </c>
      <c r="Z605" s="607" t="s">
        <v>96</v>
      </c>
      <c r="AA605" s="1453" t="s">
        <v>128</v>
      </c>
      <c r="AB605" s="608">
        <v>1000</v>
      </c>
      <c r="AC605" s="608">
        <f t="shared" si="351"/>
        <v>0</v>
      </c>
      <c r="AD605" s="608"/>
      <c r="AE605" s="564" t="s">
        <v>2389</v>
      </c>
      <c r="AF605" s="564"/>
      <c r="AG605" s="608">
        <f t="shared" si="366"/>
        <v>1000</v>
      </c>
      <c r="AH605" s="608"/>
      <c r="AI605" s="608"/>
      <c r="AJ605" s="608"/>
      <c r="AK605" s="609">
        <f t="shared" ref="AK605:AK607" si="368">I605</f>
        <v>1000</v>
      </c>
      <c r="AL605" s="609"/>
      <c r="AM605" s="609"/>
      <c r="AN605" s="609"/>
      <c r="AO605" s="609">
        <f t="shared" si="367"/>
        <v>1000</v>
      </c>
      <c r="AP605" s="609"/>
      <c r="AQ605" s="609"/>
      <c r="AR605" s="609"/>
      <c r="AS605" s="609"/>
      <c r="AT605" s="633"/>
      <c r="AU605" s="633"/>
      <c r="AV605" s="633"/>
      <c r="AW605" s="633"/>
      <c r="AX605" s="633"/>
      <c r="AY605" s="633"/>
      <c r="AZ605" s="633"/>
      <c r="BA605" s="633">
        <f t="shared" ref="BA605:BA607" si="369">I605/25</f>
        <v>40</v>
      </c>
      <c r="BB605" s="633"/>
      <c r="BC605" s="633"/>
      <c r="BD605" s="633"/>
      <c r="BE605" s="633"/>
      <c r="BF605" s="633"/>
      <c r="BG605" s="633"/>
      <c r="BH605" s="633"/>
      <c r="BI605" s="633"/>
      <c r="BJ605" s="633"/>
      <c r="BK605" s="633"/>
      <c r="BL605" s="633"/>
      <c r="BM605" s="401">
        <f t="shared" si="349"/>
        <v>1000</v>
      </c>
      <c r="BO605" s="1473"/>
      <c r="BP605" s="1473"/>
    </row>
    <row r="606" s="200" customFormat="1" ht="36" customHeight="1" spans="1:68">
      <c r="A606" s="533">
        <v>45502</v>
      </c>
      <c r="B606" s="527" t="s">
        <v>746</v>
      </c>
      <c r="C606" s="528" t="s">
        <v>747</v>
      </c>
      <c r="D606" s="534">
        <v>4500141533</v>
      </c>
      <c r="E606" s="530" t="s">
        <v>2589</v>
      </c>
      <c r="F606" s="534" t="s">
        <v>2590</v>
      </c>
      <c r="G606" s="531" t="s">
        <v>96</v>
      </c>
      <c r="H606" s="532" t="s">
        <v>74</v>
      </c>
      <c r="I606" s="401">
        <v>2400</v>
      </c>
      <c r="J606" s="562">
        <v>0</v>
      </c>
      <c r="K606" s="531">
        <v>50</v>
      </c>
      <c r="L606" s="401">
        <f t="shared" si="336"/>
        <v>48</v>
      </c>
      <c r="M606" s="563">
        <v>45559</v>
      </c>
      <c r="N606" s="563">
        <v>45555</v>
      </c>
      <c r="O606" s="564"/>
      <c r="P606" s="564" t="s">
        <v>1690</v>
      </c>
      <c r="Q606" s="564" t="s">
        <v>2585</v>
      </c>
      <c r="R606" s="564">
        <v>45499</v>
      </c>
      <c r="S606" s="564" t="s">
        <v>77</v>
      </c>
      <c r="T606" s="564" t="s">
        <v>2591</v>
      </c>
      <c r="U606" s="530" t="s">
        <v>2592</v>
      </c>
      <c r="V606" s="564" t="s">
        <v>585</v>
      </c>
      <c r="W606" s="592">
        <v>1.4174</v>
      </c>
      <c r="X606" s="593">
        <f t="shared" si="364"/>
        <v>3401.76</v>
      </c>
      <c r="Y606" s="401" t="s">
        <v>2593</v>
      </c>
      <c r="Z606" s="607" t="s">
        <v>96</v>
      </c>
      <c r="AA606" s="1453" t="s">
        <v>128</v>
      </c>
      <c r="AB606" s="608">
        <v>2400</v>
      </c>
      <c r="AC606" s="608">
        <f t="shared" si="351"/>
        <v>0</v>
      </c>
      <c r="AD606" s="608"/>
      <c r="AE606" s="564" t="s">
        <v>2389</v>
      </c>
      <c r="AF606" s="564"/>
      <c r="AG606" s="608">
        <f t="shared" si="366"/>
        <v>2400</v>
      </c>
      <c r="AH606" s="608"/>
      <c r="AI606" s="608"/>
      <c r="AJ606" s="608"/>
      <c r="AK606" s="609">
        <f t="shared" si="368"/>
        <v>2400</v>
      </c>
      <c r="AL606" s="609"/>
      <c r="AM606" s="609"/>
      <c r="AN606" s="609"/>
      <c r="AO606" s="609">
        <f t="shared" si="367"/>
        <v>2400</v>
      </c>
      <c r="AP606" s="609"/>
      <c r="AQ606" s="609"/>
      <c r="AR606" s="609"/>
      <c r="AS606" s="609"/>
      <c r="AT606" s="633"/>
      <c r="AU606" s="633"/>
      <c r="AV606" s="633"/>
      <c r="AW606" s="633"/>
      <c r="AX606" s="633"/>
      <c r="AY606" s="633"/>
      <c r="AZ606" s="633"/>
      <c r="BA606" s="633">
        <f t="shared" si="369"/>
        <v>96</v>
      </c>
      <c r="BB606" s="633"/>
      <c r="BC606" s="633"/>
      <c r="BD606" s="633"/>
      <c r="BE606" s="633"/>
      <c r="BF606" s="633"/>
      <c r="BG606" s="633"/>
      <c r="BH606" s="633"/>
      <c r="BI606" s="633"/>
      <c r="BJ606" s="633"/>
      <c r="BK606" s="633"/>
      <c r="BL606" s="633"/>
      <c r="BM606" s="401">
        <f t="shared" si="349"/>
        <v>2400</v>
      </c>
      <c r="BO606" s="1473"/>
      <c r="BP606" s="1473"/>
    </row>
    <row r="607" s="200" customFormat="1" ht="36" customHeight="1" spans="1:68">
      <c r="A607" s="533">
        <v>45491</v>
      </c>
      <c r="B607" s="527" t="s">
        <v>746</v>
      </c>
      <c r="C607" s="528" t="s">
        <v>747</v>
      </c>
      <c r="D607" s="534">
        <v>4500140760</v>
      </c>
      <c r="E607" s="530" t="s">
        <v>2594</v>
      </c>
      <c r="F607" s="534" t="s">
        <v>2595</v>
      </c>
      <c r="G607" s="531" t="s">
        <v>96</v>
      </c>
      <c r="H607" s="532" t="s">
        <v>74</v>
      </c>
      <c r="I607" s="401">
        <v>1450</v>
      </c>
      <c r="J607" s="562">
        <v>0</v>
      </c>
      <c r="K607" s="531">
        <v>50</v>
      </c>
      <c r="L607" s="401">
        <f t="shared" si="336"/>
        <v>29</v>
      </c>
      <c r="M607" s="563">
        <v>45560</v>
      </c>
      <c r="N607" s="563">
        <v>45556</v>
      </c>
      <c r="O607" s="564"/>
      <c r="P607" s="564" t="s">
        <v>1690</v>
      </c>
      <c r="Q607" s="564" t="s">
        <v>2585</v>
      </c>
      <c r="R607" s="564">
        <v>45491</v>
      </c>
      <c r="S607" s="564" t="s">
        <v>77</v>
      </c>
      <c r="T607" s="1552" t="s">
        <v>2596</v>
      </c>
      <c r="U607" s="530" t="s">
        <v>2597</v>
      </c>
      <c r="V607" s="564" t="s">
        <v>585</v>
      </c>
      <c r="W607" s="592">
        <v>1.4174</v>
      </c>
      <c r="X607" s="593">
        <f t="shared" si="364"/>
        <v>2055.23</v>
      </c>
      <c r="Y607" s="401" t="s">
        <v>2598</v>
      </c>
      <c r="Z607" s="607" t="s">
        <v>96</v>
      </c>
      <c r="AA607" s="1453" t="s">
        <v>128</v>
      </c>
      <c r="AB607" s="608">
        <v>1450</v>
      </c>
      <c r="AC607" s="608">
        <f t="shared" si="351"/>
        <v>0</v>
      </c>
      <c r="AD607" s="608"/>
      <c r="AE607" s="564" t="s">
        <v>2389</v>
      </c>
      <c r="AF607" s="564"/>
      <c r="AG607" s="608">
        <f t="shared" si="366"/>
        <v>1450</v>
      </c>
      <c r="AH607" s="608"/>
      <c r="AI607" s="608"/>
      <c r="AJ607" s="608"/>
      <c r="AK607" s="609">
        <f t="shared" si="368"/>
        <v>1450</v>
      </c>
      <c r="AL607" s="609"/>
      <c r="AM607" s="609"/>
      <c r="AN607" s="609"/>
      <c r="AO607" s="609">
        <f t="shared" si="367"/>
        <v>1450</v>
      </c>
      <c r="AP607" s="609"/>
      <c r="AQ607" s="609"/>
      <c r="AR607" s="609"/>
      <c r="AS607" s="609"/>
      <c r="AT607" s="633"/>
      <c r="AU607" s="633"/>
      <c r="AV607" s="633"/>
      <c r="AW607" s="633"/>
      <c r="AX607" s="633"/>
      <c r="AY607" s="633"/>
      <c r="AZ607" s="633"/>
      <c r="BA607" s="633">
        <f t="shared" si="369"/>
        <v>58</v>
      </c>
      <c r="BB607" s="633"/>
      <c r="BC607" s="633"/>
      <c r="BD607" s="633"/>
      <c r="BE607" s="633"/>
      <c r="BF607" s="633"/>
      <c r="BG607" s="633"/>
      <c r="BH607" s="633"/>
      <c r="BI607" s="633"/>
      <c r="BJ607" s="633"/>
      <c r="BK607" s="633"/>
      <c r="BL607" s="633"/>
      <c r="BM607" s="401">
        <f t="shared" si="349"/>
        <v>1450</v>
      </c>
      <c r="BO607" s="1473"/>
      <c r="BP607" s="1473"/>
    </row>
    <row r="608" s="200" customFormat="1" ht="36" customHeight="1" spans="1:68">
      <c r="A608" s="533">
        <v>45554</v>
      </c>
      <c r="B608" s="527" t="s">
        <v>2599</v>
      </c>
      <c r="C608" s="1573" t="s">
        <v>500</v>
      </c>
      <c r="D608" s="534">
        <v>4500145621</v>
      </c>
      <c r="E608" s="530">
        <v>5200005417</v>
      </c>
      <c r="F608" s="534" t="s">
        <v>2600</v>
      </c>
      <c r="G608" s="531" t="s">
        <v>2601</v>
      </c>
      <c r="H608" s="532" t="s">
        <v>2602</v>
      </c>
      <c r="I608" s="401">
        <v>200</v>
      </c>
      <c r="J608" s="562">
        <v>0</v>
      </c>
      <c r="K608" s="531">
        <v>25</v>
      </c>
      <c r="L608" s="401">
        <f t="shared" si="336"/>
        <v>8</v>
      </c>
      <c r="M608" s="563">
        <v>45556</v>
      </c>
      <c r="N608" s="563">
        <v>45552</v>
      </c>
      <c r="O608" s="564"/>
      <c r="P608" s="564" t="s">
        <v>1690</v>
      </c>
      <c r="Q608" s="564"/>
      <c r="R608" s="564">
        <v>45555</v>
      </c>
      <c r="S608" s="564" t="s">
        <v>77</v>
      </c>
      <c r="T608" s="564" t="s">
        <v>77</v>
      </c>
      <c r="U608" s="530" t="s">
        <v>2603</v>
      </c>
      <c r="V608" s="564" t="s">
        <v>2604</v>
      </c>
      <c r="W608" s="592">
        <v>0.5582</v>
      </c>
      <c r="X608" s="593">
        <f t="shared" si="364"/>
        <v>111.64</v>
      </c>
      <c r="Y608" s="401" t="s">
        <v>2605</v>
      </c>
      <c r="Z608" s="610" t="s">
        <v>443</v>
      </c>
      <c r="AA608" s="1453"/>
      <c r="AB608" s="608" t="s">
        <v>75</v>
      </c>
      <c r="AC608" s="608"/>
      <c r="AD608" s="608"/>
      <c r="AE608" s="564"/>
      <c r="AF608" s="564"/>
      <c r="AG608" s="608"/>
      <c r="AH608" s="608"/>
      <c r="AI608" s="608"/>
      <c r="AJ608" s="609"/>
      <c r="AK608" s="609"/>
      <c r="AL608" s="609"/>
      <c r="AM608" s="609"/>
      <c r="AN608" s="609"/>
      <c r="AO608" s="609"/>
      <c r="AP608" s="609"/>
      <c r="AQ608" s="609"/>
      <c r="AR608" s="609"/>
      <c r="AS608" s="609"/>
      <c r="AT608" s="633"/>
      <c r="AU608" s="633"/>
      <c r="AV608" s="633"/>
      <c r="AW608" s="633"/>
      <c r="AX608" s="633">
        <f>I608</f>
        <v>200</v>
      </c>
      <c r="AY608" s="633"/>
      <c r="AZ608" s="633"/>
      <c r="BA608" s="633"/>
      <c r="BB608" s="633"/>
      <c r="BC608" s="633"/>
      <c r="BD608" s="633"/>
      <c r="BE608" s="633"/>
      <c r="BF608" s="633"/>
      <c r="BG608" s="633"/>
      <c r="BH608" s="633"/>
      <c r="BI608" s="633"/>
      <c r="BJ608" s="633"/>
      <c r="BK608" s="633"/>
      <c r="BL608" s="633"/>
      <c r="BM608" s="401">
        <f t="shared" si="349"/>
        <v>0</v>
      </c>
      <c r="BO608" s="1473"/>
      <c r="BP608" s="1473"/>
    </row>
    <row r="609" s="200" customFormat="1" ht="36" customHeight="1" spans="1:73">
      <c r="A609" s="1580">
        <v>45509</v>
      </c>
      <c r="B609" s="527" t="s">
        <v>816</v>
      </c>
      <c r="C609" s="1573" t="s">
        <v>117</v>
      </c>
      <c r="D609" s="534">
        <v>4500142131</v>
      </c>
      <c r="E609" s="530">
        <v>70048934</v>
      </c>
      <c r="F609" s="534" t="s">
        <v>2606</v>
      </c>
      <c r="G609" s="531" t="s">
        <v>628</v>
      </c>
      <c r="H609" s="532" t="s">
        <v>623</v>
      </c>
      <c r="I609" s="1496">
        <v>1200</v>
      </c>
      <c r="J609" s="562">
        <v>0</v>
      </c>
      <c r="K609" s="531">
        <v>12</v>
      </c>
      <c r="L609" s="401">
        <f t="shared" si="336"/>
        <v>100</v>
      </c>
      <c r="M609" s="563">
        <v>45555</v>
      </c>
      <c r="N609" s="563">
        <v>45551</v>
      </c>
      <c r="O609" s="564"/>
      <c r="P609" s="564" t="s">
        <v>1690</v>
      </c>
      <c r="Q609" s="564" t="s">
        <v>2512</v>
      </c>
      <c r="R609" s="564" t="s">
        <v>2562</v>
      </c>
      <c r="S609" s="564" t="s">
        <v>77</v>
      </c>
      <c r="T609" s="564" t="s">
        <v>2607</v>
      </c>
      <c r="U609" s="530" t="s">
        <v>1955</v>
      </c>
      <c r="V609" s="564" t="s">
        <v>163</v>
      </c>
      <c r="W609" s="592">
        <v>3.1012</v>
      </c>
      <c r="X609" s="593">
        <f t="shared" si="364"/>
        <v>3721.44</v>
      </c>
      <c r="Y609" s="401" t="s">
        <v>2608</v>
      </c>
      <c r="Z609" s="607" t="s">
        <v>822</v>
      </c>
      <c r="AA609" s="1453" t="s">
        <v>128</v>
      </c>
      <c r="AB609" s="608">
        <v>1200</v>
      </c>
      <c r="AC609" s="608">
        <f t="shared" ref="AC609:AC672" si="370">AB609-I609</f>
        <v>0</v>
      </c>
      <c r="AD609" s="608"/>
      <c r="AE609" s="564" t="s">
        <v>2389</v>
      </c>
      <c r="AF609" s="564"/>
      <c r="AG609" s="608">
        <f>I609*2</f>
        <v>2400</v>
      </c>
      <c r="AH609" s="608"/>
      <c r="AI609" s="608"/>
      <c r="AJ609" s="608"/>
      <c r="AK609" s="1558">
        <f t="shared" ref="AK609:AK615" si="371">AG609</f>
        <v>2400</v>
      </c>
      <c r="AL609" s="609"/>
      <c r="AM609" s="609"/>
      <c r="AN609" s="609"/>
      <c r="AO609" s="615">
        <f>AG609</f>
        <v>2400</v>
      </c>
      <c r="AP609" s="609"/>
      <c r="AQ609" s="609"/>
      <c r="AR609" s="609"/>
      <c r="AS609" s="609"/>
      <c r="AT609" s="633"/>
      <c r="AU609" s="633"/>
      <c r="AV609" s="633"/>
      <c r="AW609" s="401"/>
      <c r="AX609" s="633"/>
      <c r="AY609" s="633"/>
      <c r="AZ609" s="633"/>
      <c r="BA609" s="633"/>
      <c r="BB609" s="633"/>
      <c r="BC609" s="633"/>
      <c r="BD609" s="633"/>
      <c r="BE609" s="633"/>
      <c r="BF609" s="633"/>
      <c r="BG609" s="633"/>
      <c r="BH609" s="633"/>
      <c r="BI609" s="633"/>
      <c r="BJ609" s="633"/>
      <c r="BK609" s="633">
        <f>I609</f>
        <v>1200</v>
      </c>
      <c r="BL609" s="633">
        <f>I609</f>
        <v>1200</v>
      </c>
      <c r="BM609" s="401">
        <f t="shared" si="349"/>
        <v>2400</v>
      </c>
      <c r="BO609" s="1473"/>
      <c r="BP609" s="1473"/>
      <c r="BU609" s="200" t="s">
        <v>2221</v>
      </c>
    </row>
    <row r="610" s="200" customFormat="1" ht="36" customHeight="1" spans="1:68">
      <c r="A610" s="1580">
        <v>45516</v>
      </c>
      <c r="B610" s="527" t="s">
        <v>587</v>
      </c>
      <c r="C610" s="1573" t="s">
        <v>117</v>
      </c>
      <c r="D610" s="534">
        <v>4500142765</v>
      </c>
      <c r="E610" s="1678" t="s">
        <v>2609</v>
      </c>
      <c r="F610" s="534" t="s">
        <v>2610</v>
      </c>
      <c r="G610" s="531" t="s">
        <v>120</v>
      </c>
      <c r="H610" s="532" t="s">
        <v>74</v>
      </c>
      <c r="I610" s="401">
        <v>2604</v>
      </c>
      <c r="J610" s="562">
        <v>0</v>
      </c>
      <c r="K610" s="531">
        <v>21</v>
      </c>
      <c r="L610" s="401">
        <f t="shared" si="336"/>
        <v>124</v>
      </c>
      <c r="M610" s="563">
        <v>45555</v>
      </c>
      <c r="N610" s="563">
        <v>45551</v>
      </c>
      <c r="O610" s="1474" t="s">
        <v>2611</v>
      </c>
      <c r="P610" s="564" t="s">
        <v>1690</v>
      </c>
      <c r="Q610" s="564" t="s">
        <v>2612</v>
      </c>
      <c r="R610" s="564">
        <v>45523</v>
      </c>
      <c r="S610" s="564" t="s">
        <v>123</v>
      </c>
      <c r="T610" s="580" t="s">
        <v>2613</v>
      </c>
      <c r="U610" s="530" t="s">
        <v>2614</v>
      </c>
      <c r="V610" s="564" t="s">
        <v>634</v>
      </c>
      <c r="W610" s="592">
        <v>1.4585</v>
      </c>
      <c r="X610" s="593">
        <f t="shared" ref="X610:X614" si="372">W610*L610</f>
        <v>180.854</v>
      </c>
      <c r="Y610" s="401" t="s">
        <v>2615</v>
      </c>
      <c r="Z610" s="607" t="s">
        <v>2616</v>
      </c>
      <c r="AA610" s="1453" t="s">
        <v>128</v>
      </c>
      <c r="AB610" s="608">
        <v>2604</v>
      </c>
      <c r="AC610" s="608">
        <f t="shared" si="370"/>
        <v>0</v>
      </c>
      <c r="AD610" s="608"/>
      <c r="AE610" s="564" t="s">
        <v>2389</v>
      </c>
      <c r="AF610" s="564"/>
      <c r="AG610" s="608">
        <f t="shared" ref="AG610:AG625" si="373">I610</f>
        <v>2604</v>
      </c>
      <c r="AH610" s="608"/>
      <c r="AI610" s="608"/>
      <c r="AJ610" s="608"/>
      <c r="AK610" s="609">
        <f t="shared" si="371"/>
        <v>2604</v>
      </c>
      <c r="AL610" s="609"/>
      <c r="AM610" s="609"/>
      <c r="AN610" s="609"/>
      <c r="AP610" s="609"/>
      <c r="AQ610" s="615">
        <f t="shared" ref="AQ610:AQ614" si="374">I610</f>
        <v>2604</v>
      </c>
      <c r="AR610" s="609"/>
      <c r="AT610" s="633"/>
      <c r="AU610" s="609">
        <f t="shared" ref="AU610:AU614" si="375">I610/21</f>
        <v>124</v>
      </c>
      <c r="AV610" s="633"/>
      <c r="AW610" s="401"/>
      <c r="AX610" s="633"/>
      <c r="AY610" s="633"/>
      <c r="AZ610" s="633"/>
      <c r="BA610" s="633"/>
      <c r="BB610" s="633"/>
      <c r="BC610" s="633"/>
      <c r="BD610" s="633"/>
      <c r="BE610" s="633"/>
      <c r="BF610" s="633"/>
      <c r="BG610" s="633"/>
      <c r="BH610" s="633"/>
      <c r="BI610" s="633"/>
      <c r="BJ610" s="633"/>
      <c r="BK610" s="633"/>
      <c r="BL610" s="633"/>
      <c r="BM610" s="401">
        <f t="shared" si="349"/>
        <v>2604</v>
      </c>
      <c r="BO610" s="1473"/>
      <c r="BP610" s="1473"/>
    </row>
    <row r="611" s="200" customFormat="1" ht="36" customHeight="1" spans="1:68">
      <c r="A611" s="533">
        <v>45488</v>
      </c>
      <c r="B611" s="527" t="s">
        <v>2617</v>
      </c>
      <c r="C611" s="1573" t="s">
        <v>286</v>
      </c>
      <c r="D611" s="534">
        <v>4500140138</v>
      </c>
      <c r="E611" s="530">
        <v>5251213030</v>
      </c>
      <c r="F611" s="534" t="s">
        <v>2618</v>
      </c>
      <c r="G611" s="531" t="s">
        <v>96</v>
      </c>
      <c r="H611" s="532" t="s">
        <v>2619</v>
      </c>
      <c r="I611" s="401">
        <v>1950</v>
      </c>
      <c r="J611" s="562">
        <v>0</v>
      </c>
      <c r="K611" s="531">
        <v>50</v>
      </c>
      <c r="L611" s="401">
        <f t="shared" si="336"/>
        <v>39</v>
      </c>
      <c r="M611" s="1495">
        <v>45555</v>
      </c>
      <c r="N611" s="1495">
        <v>45551</v>
      </c>
      <c r="O611" s="564" t="s">
        <v>2494</v>
      </c>
      <c r="P611" s="564" t="s">
        <v>92</v>
      </c>
      <c r="Q611" s="564" t="s">
        <v>2403</v>
      </c>
      <c r="R611" s="564">
        <v>45510</v>
      </c>
      <c r="S611" s="564" t="s">
        <v>77</v>
      </c>
      <c r="T611" s="1552" t="s">
        <v>2620</v>
      </c>
      <c r="U611" s="530" t="s">
        <v>2621</v>
      </c>
      <c r="V611" s="564" t="s">
        <v>290</v>
      </c>
      <c r="W611" s="592">
        <v>1.4344</v>
      </c>
      <c r="X611" s="593">
        <f t="shared" ref="X611:X620" si="376">I611*W611</f>
        <v>2797.08</v>
      </c>
      <c r="Y611" s="401" t="s">
        <v>2622</v>
      </c>
      <c r="Z611" s="607" t="s">
        <v>220</v>
      </c>
      <c r="AA611" s="1453" t="s">
        <v>128</v>
      </c>
      <c r="AB611" s="608">
        <v>1950</v>
      </c>
      <c r="AC611" s="608">
        <f t="shared" si="370"/>
        <v>0</v>
      </c>
      <c r="AD611" s="608"/>
      <c r="AE611" s="564" t="s">
        <v>2389</v>
      </c>
      <c r="AF611" s="564"/>
      <c r="AG611" s="608">
        <f t="shared" si="373"/>
        <v>1950</v>
      </c>
      <c r="AH611" s="608"/>
      <c r="AI611" s="608"/>
      <c r="AJ611" s="609"/>
      <c r="AK611" s="609"/>
      <c r="AL611" s="609">
        <f>I611</f>
        <v>1950</v>
      </c>
      <c r="AM611" s="609"/>
      <c r="AN611" s="609"/>
      <c r="AO611" s="609">
        <f t="shared" ref="AO611:AO618" si="377">I611</f>
        <v>1950</v>
      </c>
      <c r="AP611" s="609"/>
      <c r="AQ611" s="609"/>
      <c r="AR611" s="609"/>
      <c r="AS611" s="609"/>
      <c r="AT611" s="633"/>
      <c r="AU611" s="633"/>
      <c r="AV611" s="633"/>
      <c r="AW611" s="633"/>
      <c r="AX611" s="633"/>
      <c r="AY611" s="633"/>
      <c r="AZ611" s="633"/>
      <c r="BA611" s="633"/>
      <c r="BB611" s="633">
        <f>I611/25</f>
        <v>78</v>
      </c>
      <c r="BC611" s="633"/>
      <c r="BD611" s="633"/>
      <c r="BE611" s="633"/>
      <c r="BF611" s="633"/>
      <c r="BG611" s="633"/>
      <c r="BH611" s="633"/>
      <c r="BI611" s="633"/>
      <c r="BJ611" s="633"/>
      <c r="BK611" s="633"/>
      <c r="BL611" s="633"/>
      <c r="BM611" s="401">
        <f t="shared" si="349"/>
        <v>1950</v>
      </c>
      <c r="BO611" s="1473"/>
      <c r="BP611" s="1473"/>
    </row>
    <row r="612" s="200" customFormat="1" ht="36" customHeight="1" spans="1:68">
      <c r="A612" s="533">
        <v>45513</v>
      </c>
      <c r="B612" s="527" t="s">
        <v>2623</v>
      </c>
      <c r="C612" s="528" t="s">
        <v>500</v>
      </c>
      <c r="D612" s="534">
        <v>4500142613</v>
      </c>
      <c r="E612" s="530" t="s">
        <v>2624</v>
      </c>
      <c r="F612" s="534" t="s">
        <v>2625</v>
      </c>
      <c r="G612" s="531" t="s">
        <v>73</v>
      </c>
      <c r="H612" s="532" t="s">
        <v>74</v>
      </c>
      <c r="I612" s="1566">
        <v>672</v>
      </c>
      <c r="J612" s="562">
        <v>0</v>
      </c>
      <c r="K612" s="531">
        <v>24</v>
      </c>
      <c r="L612" s="401">
        <f t="shared" si="336"/>
        <v>28</v>
      </c>
      <c r="M612" s="563">
        <v>45558</v>
      </c>
      <c r="N612" s="563">
        <v>45554</v>
      </c>
      <c r="O612" s="564"/>
      <c r="P612" s="564" t="s">
        <v>92</v>
      </c>
      <c r="Q612" s="564" t="s">
        <v>2626</v>
      </c>
      <c r="R612" s="564" t="s">
        <v>1910</v>
      </c>
      <c r="S612" s="564" t="s">
        <v>123</v>
      </c>
      <c r="T612" s="1552" t="s">
        <v>2627</v>
      </c>
      <c r="U612" s="1499" t="s">
        <v>2628</v>
      </c>
      <c r="V612" s="564" t="s">
        <v>2629</v>
      </c>
      <c r="W612" s="592">
        <v>1.3595</v>
      </c>
      <c r="X612" s="593">
        <f t="shared" si="376"/>
        <v>913.584</v>
      </c>
      <c r="Y612" s="401" t="s">
        <v>2630</v>
      </c>
      <c r="Z612" s="607" t="s">
        <v>188</v>
      </c>
      <c r="AA612" s="1453" t="s">
        <v>128</v>
      </c>
      <c r="AB612" s="608">
        <v>672</v>
      </c>
      <c r="AC612" s="608">
        <f t="shared" si="370"/>
        <v>0</v>
      </c>
      <c r="AD612" s="608"/>
      <c r="AE612" s="564" t="s">
        <v>2389</v>
      </c>
      <c r="AF612" s="564"/>
      <c r="AG612" s="608">
        <f t="shared" si="373"/>
        <v>672</v>
      </c>
      <c r="AH612" s="608"/>
      <c r="AI612" s="608"/>
      <c r="AJ612" s="608"/>
      <c r="AK612" s="609"/>
      <c r="AL612" s="401">
        <f>I612</f>
        <v>672</v>
      </c>
      <c r="AM612" s="609"/>
      <c r="AN612" s="609"/>
      <c r="AO612" s="609">
        <f t="shared" si="377"/>
        <v>672</v>
      </c>
      <c r="AP612" s="609"/>
      <c r="AQ612" s="609"/>
      <c r="AR612" s="609"/>
      <c r="AS612" s="609"/>
      <c r="AT612" s="633"/>
      <c r="AU612" s="633"/>
      <c r="AV612" s="633"/>
      <c r="AW612" s="633"/>
      <c r="AX612" s="633"/>
      <c r="AY612" s="633"/>
      <c r="AZ612" s="633"/>
      <c r="BA612" s="633"/>
      <c r="BB612" s="633"/>
      <c r="BC612" s="633"/>
      <c r="BD612" s="633"/>
      <c r="BE612" s="633"/>
      <c r="BF612" s="633"/>
      <c r="BG612" s="633"/>
      <c r="BH612" s="633"/>
      <c r="BI612" s="633"/>
      <c r="BJ612" s="633"/>
      <c r="BK612" s="633"/>
      <c r="BL612" s="633"/>
      <c r="BM612" s="401">
        <f t="shared" si="349"/>
        <v>672</v>
      </c>
      <c r="BO612" s="1473"/>
      <c r="BP612" s="1473"/>
    </row>
    <row r="613" s="200" customFormat="1" ht="36" customHeight="1" spans="1:68">
      <c r="A613" s="533">
        <v>45516</v>
      </c>
      <c r="B613" s="527" t="s">
        <v>587</v>
      </c>
      <c r="C613" s="528" t="s">
        <v>117</v>
      </c>
      <c r="D613" s="534">
        <v>4500142771</v>
      </c>
      <c r="E613" s="1678" t="s">
        <v>2631</v>
      </c>
      <c r="F613" s="534" t="s">
        <v>2632</v>
      </c>
      <c r="G613" s="531" t="s">
        <v>120</v>
      </c>
      <c r="H613" s="532" t="s">
        <v>74</v>
      </c>
      <c r="I613" s="401">
        <v>3822</v>
      </c>
      <c r="J613" s="562">
        <v>0</v>
      </c>
      <c r="K613" s="531">
        <v>21</v>
      </c>
      <c r="L613" s="401">
        <f t="shared" si="336"/>
        <v>182</v>
      </c>
      <c r="M613" s="563">
        <v>45558</v>
      </c>
      <c r="N613" s="563">
        <v>45554</v>
      </c>
      <c r="O613" s="1474" t="s">
        <v>2611</v>
      </c>
      <c r="P613" s="564" t="s">
        <v>1690</v>
      </c>
      <c r="Q613" s="564" t="s">
        <v>2633</v>
      </c>
      <c r="R613" s="564">
        <v>45523</v>
      </c>
      <c r="S613" s="564" t="s">
        <v>123</v>
      </c>
      <c r="T613" s="580" t="s">
        <v>2613</v>
      </c>
      <c r="U613" s="530" t="s">
        <v>2634</v>
      </c>
      <c r="V613" s="564" t="s">
        <v>634</v>
      </c>
      <c r="W613" s="592">
        <v>1.4585</v>
      </c>
      <c r="X613" s="593">
        <f t="shared" si="372"/>
        <v>265.447</v>
      </c>
      <c r="Y613" s="401" t="s">
        <v>2635</v>
      </c>
      <c r="Z613" s="607" t="s">
        <v>2616</v>
      </c>
      <c r="AA613" s="1453" t="s">
        <v>128</v>
      </c>
      <c r="AB613" s="608">
        <v>3822</v>
      </c>
      <c r="AC613" s="608">
        <f t="shared" si="370"/>
        <v>0</v>
      </c>
      <c r="AD613" s="608"/>
      <c r="AE613" s="564" t="s">
        <v>2389</v>
      </c>
      <c r="AF613" s="564"/>
      <c r="AG613" s="608">
        <f t="shared" si="373"/>
        <v>3822</v>
      </c>
      <c r="AH613" s="608"/>
      <c r="AI613" s="608"/>
      <c r="AJ613" s="608"/>
      <c r="AK613" s="609">
        <f t="shared" si="371"/>
        <v>3822</v>
      </c>
      <c r="AL613" s="401"/>
      <c r="AM613" s="609"/>
      <c r="AN613" s="609"/>
      <c r="AO613" s="615"/>
      <c r="AP613" s="609"/>
      <c r="AQ613" s="615">
        <f t="shared" si="374"/>
        <v>3822</v>
      </c>
      <c r="AR613" s="609"/>
      <c r="AS613" s="609"/>
      <c r="AT613" s="633"/>
      <c r="AU613" s="609">
        <f t="shared" si="375"/>
        <v>182</v>
      </c>
      <c r="AV613" s="633"/>
      <c r="AW613" s="633"/>
      <c r="AX613" s="633"/>
      <c r="AY613" s="633"/>
      <c r="AZ613" s="633"/>
      <c r="BA613" s="633"/>
      <c r="BB613" s="633"/>
      <c r="BC613" s="633"/>
      <c r="BD613" s="633"/>
      <c r="BE613" s="633"/>
      <c r="BF613" s="633"/>
      <c r="BG613" s="633"/>
      <c r="BH613" s="633"/>
      <c r="BI613" s="633"/>
      <c r="BJ613" s="633"/>
      <c r="BK613" s="633"/>
      <c r="BL613" s="633"/>
      <c r="BM613" s="401">
        <f t="shared" si="349"/>
        <v>3822</v>
      </c>
      <c r="BO613" s="1473"/>
      <c r="BP613" s="1473"/>
    </row>
    <row r="614" s="200" customFormat="1" ht="36" customHeight="1" spans="1:68">
      <c r="A614" s="533">
        <v>45516</v>
      </c>
      <c r="B614" s="527" t="s">
        <v>587</v>
      </c>
      <c r="C614" s="528" t="s">
        <v>117</v>
      </c>
      <c r="D614" s="534">
        <v>4500142769</v>
      </c>
      <c r="E614" s="1678" t="s">
        <v>2636</v>
      </c>
      <c r="F614" s="534" t="s">
        <v>2637</v>
      </c>
      <c r="G614" s="531" t="s">
        <v>120</v>
      </c>
      <c r="H614" s="532" t="s">
        <v>74</v>
      </c>
      <c r="I614" s="401">
        <v>2352</v>
      </c>
      <c r="J614" s="562">
        <v>0</v>
      </c>
      <c r="K614" s="531">
        <v>21</v>
      </c>
      <c r="L614" s="401">
        <f t="shared" si="336"/>
        <v>112</v>
      </c>
      <c r="M614" s="563">
        <v>45558</v>
      </c>
      <c r="N614" s="563">
        <v>45554</v>
      </c>
      <c r="O614" s="1474" t="s">
        <v>2611</v>
      </c>
      <c r="P614" s="564" t="s">
        <v>1690</v>
      </c>
      <c r="Q614" s="564" t="s">
        <v>2638</v>
      </c>
      <c r="R614" s="564">
        <v>45523</v>
      </c>
      <c r="S614" s="564" t="s">
        <v>123</v>
      </c>
      <c r="T614" s="580" t="s">
        <v>2613</v>
      </c>
      <c r="U614" s="530" t="s">
        <v>2639</v>
      </c>
      <c r="V614" s="564" t="s">
        <v>634</v>
      </c>
      <c r="W614" s="592">
        <v>1.4585</v>
      </c>
      <c r="X614" s="593">
        <f t="shared" si="372"/>
        <v>163.352</v>
      </c>
      <c r="Y614" s="401" t="s">
        <v>2640</v>
      </c>
      <c r="Z614" s="607" t="s">
        <v>2616</v>
      </c>
      <c r="AA614" s="1453" t="s">
        <v>128</v>
      </c>
      <c r="AB614" s="608">
        <v>2352</v>
      </c>
      <c r="AC614" s="608">
        <f t="shared" si="370"/>
        <v>0</v>
      </c>
      <c r="AD614" s="608"/>
      <c r="AE614" s="564" t="s">
        <v>2389</v>
      </c>
      <c r="AF614" s="564"/>
      <c r="AG614" s="608">
        <f t="shared" si="373"/>
        <v>2352</v>
      </c>
      <c r="AH614" s="608"/>
      <c r="AI614" s="608"/>
      <c r="AJ614" s="608"/>
      <c r="AK614" s="609">
        <f t="shared" si="371"/>
        <v>2352</v>
      </c>
      <c r="AL614" s="401"/>
      <c r="AM614" s="609"/>
      <c r="AN614" s="609"/>
      <c r="AO614" s="615"/>
      <c r="AP614" s="609"/>
      <c r="AQ614" s="615">
        <f t="shared" si="374"/>
        <v>2352</v>
      </c>
      <c r="AR614" s="609"/>
      <c r="AS614" s="609"/>
      <c r="AT614" s="633"/>
      <c r="AU614" s="609">
        <f t="shared" si="375"/>
        <v>112</v>
      </c>
      <c r="AV614" s="633"/>
      <c r="AW614" s="633"/>
      <c r="AX614" s="633"/>
      <c r="AY614" s="633"/>
      <c r="AZ614" s="633"/>
      <c r="BA614" s="633"/>
      <c r="BB614" s="633"/>
      <c r="BC614" s="633"/>
      <c r="BD614" s="633"/>
      <c r="BE614" s="633"/>
      <c r="BF614" s="633"/>
      <c r="BG614" s="633"/>
      <c r="BH614" s="633"/>
      <c r="BI614" s="633"/>
      <c r="BJ614" s="633"/>
      <c r="BK614" s="633"/>
      <c r="BL614" s="633"/>
      <c r="BM614" s="401">
        <f t="shared" si="349"/>
        <v>2352</v>
      </c>
      <c r="BO614" s="1473"/>
      <c r="BP614" s="1473"/>
    </row>
    <row r="615" s="200" customFormat="1" ht="36" customHeight="1" spans="1:68">
      <c r="A615" s="533">
        <v>45509</v>
      </c>
      <c r="B615" s="527" t="s">
        <v>2641</v>
      </c>
      <c r="C615" s="528" t="s">
        <v>117</v>
      </c>
      <c r="D615" s="534">
        <v>4500141817</v>
      </c>
      <c r="E615" s="530">
        <v>407599</v>
      </c>
      <c r="F615" s="534" t="s">
        <v>2642</v>
      </c>
      <c r="G615" s="531" t="s">
        <v>403</v>
      </c>
      <c r="H615" s="532" t="s">
        <v>74</v>
      </c>
      <c r="I615" s="401">
        <v>2652</v>
      </c>
      <c r="J615" s="562">
        <v>0</v>
      </c>
      <c r="K615" s="531">
        <v>52</v>
      </c>
      <c r="L615" s="401">
        <f t="shared" si="336"/>
        <v>51</v>
      </c>
      <c r="M615" s="563">
        <v>45559</v>
      </c>
      <c r="N615" s="563">
        <v>45555</v>
      </c>
      <c r="O615" s="564"/>
      <c r="P615" s="564" t="s">
        <v>1690</v>
      </c>
      <c r="Q615" s="564" t="s">
        <v>2643</v>
      </c>
      <c r="R615" s="564">
        <v>45511</v>
      </c>
      <c r="S615" s="564" t="s">
        <v>77</v>
      </c>
      <c r="T615" s="564" t="s">
        <v>2644</v>
      </c>
      <c r="U615" s="530" t="s">
        <v>2645</v>
      </c>
      <c r="V615" s="564" t="s">
        <v>396</v>
      </c>
      <c r="W615" s="592">
        <v>1.4046</v>
      </c>
      <c r="X615" s="593">
        <f t="shared" si="376"/>
        <v>3724.9992</v>
      </c>
      <c r="Y615" s="401" t="s">
        <v>2646</v>
      </c>
      <c r="Z615" s="607" t="s">
        <v>403</v>
      </c>
      <c r="AA615" s="1453" t="s">
        <v>128</v>
      </c>
      <c r="AB615" s="608">
        <v>2652</v>
      </c>
      <c r="AC615" s="608">
        <f t="shared" si="370"/>
        <v>0</v>
      </c>
      <c r="AD615" s="608"/>
      <c r="AE615" s="564" t="s">
        <v>2389</v>
      </c>
      <c r="AF615" s="564"/>
      <c r="AG615" s="608">
        <f t="shared" si="373"/>
        <v>2652</v>
      </c>
      <c r="AH615" s="608"/>
      <c r="AI615" s="608"/>
      <c r="AJ615" s="608"/>
      <c r="AK615" s="609">
        <f t="shared" si="371"/>
        <v>2652</v>
      </c>
      <c r="AL615" s="609"/>
      <c r="AM615" s="609"/>
      <c r="AN615" s="609"/>
      <c r="AO615" s="609">
        <f>AG615</f>
        <v>2652</v>
      </c>
      <c r="AP615" s="609"/>
      <c r="AQ615" s="609"/>
      <c r="AR615" s="609"/>
      <c r="AS615" s="609"/>
      <c r="AT615" s="633"/>
      <c r="AU615" s="633"/>
      <c r="AV615" s="633"/>
      <c r="AW615" s="633"/>
      <c r="AX615" s="633"/>
      <c r="AY615" s="633">
        <f>AG615/13</f>
        <v>204</v>
      </c>
      <c r="AZ615" s="633"/>
      <c r="BA615" s="633"/>
      <c r="BB615" s="633"/>
      <c r="BC615" s="633"/>
      <c r="BD615" s="633"/>
      <c r="BE615" s="633"/>
      <c r="BF615" s="633"/>
      <c r="BG615" s="633"/>
      <c r="BH615" s="633"/>
      <c r="BI615" s="633"/>
      <c r="BJ615" s="633"/>
      <c r="BK615" s="633"/>
      <c r="BL615" s="633"/>
      <c r="BM615" s="401">
        <f t="shared" si="349"/>
        <v>2652</v>
      </c>
      <c r="BO615" s="1473"/>
      <c r="BP615" s="1473"/>
    </row>
    <row r="616" s="200" customFormat="1" ht="36" customHeight="1" spans="1:68">
      <c r="A616" s="533">
        <v>45519</v>
      </c>
      <c r="B616" s="527" t="s">
        <v>2647</v>
      </c>
      <c r="C616" s="528" t="s">
        <v>2648</v>
      </c>
      <c r="D616" s="534">
        <v>4500143078</v>
      </c>
      <c r="E616" s="530"/>
      <c r="F616" s="534" t="s">
        <v>2649</v>
      </c>
      <c r="G616" s="531" t="s">
        <v>96</v>
      </c>
      <c r="H616" s="532" t="s">
        <v>74</v>
      </c>
      <c r="I616" s="401">
        <v>500</v>
      </c>
      <c r="J616" s="562">
        <v>0</v>
      </c>
      <c r="K616" s="531">
        <v>50</v>
      </c>
      <c r="L616" s="401">
        <f t="shared" si="336"/>
        <v>10</v>
      </c>
      <c r="M616" s="563">
        <v>45559</v>
      </c>
      <c r="N616" s="563">
        <v>45555</v>
      </c>
      <c r="O616" s="564"/>
      <c r="P616" s="564" t="s">
        <v>92</v>
      </c>
      <c r="Q616" s="564" t="s">
        <v>2650</v>
      </c>
      <c r="R616" s="564">
        <v>45519</v>
      </c>
      <c r="S616" s="564" t="s">
        <v>77</v>
      </c>
      <c r="T616" s="564" t="s">
        <v>77</v>
      </c>
      <c r="U616" s="530" t="s">
        <v>2651</v>
      </c>
      <c r="V616" s="564" t="s">
        <v>1294</v>
      </c>
      <c r="W616" s="592">
        <v>1.4395</v>
      </c>
      <c r="X616" s="593">
        <f t="shared" si="376"/>
        <v>719.75</v>
      </c>
      <c r="Y616" s="401" t="s">
        <v>2652</v>
      </c>
      <c r="Z616" s="607" t="s">
        <v>96</v>
      </c>
      <c r="AA616" s="1453" t="s">
        <v>128</v>
      </c>
      <c r="AB616" s="608">
        <v>500</v>
      </c>
      <c r="AC616" s="608">
        <f t="shared" si="370"/>
        <v>0</v>
      </c>
      <c r="AD616" s="608"/>
      <c r="AE616" s="564" t="s">
        <v>2389</v>
      </c>
      <c r="AF616" s="564"/>
      <c r="AG616" s="608">
        <f t="shared" si="373"/>
        <v>500</v>
      </c>
      <c r="AH616" s="608"/>
      <c r="AI616" s="608"/>
      <c r="AJ616" s="608"/>
      <c r="AK616" s="609">
        <f t="shared" ref="AK616:AK620" si="378">I616</f>
        <v>500</v>
      </c>
      <c r="AL616" s="609"/>
      <c r="AM616" s="609"/>
      <c r="AN616" s="609"/>
      <c r="AO616" s="609">
        <f t="shared" si="377"/>
        <v>500</v>
      </c>
      <c r="AP616" s="609"/>
      <c r="AQ616" s="609"/>
      <c r="AR616" s="609"/>
      <c r="AS616" s="609"/>
      <c r="AT616" s="633"/>
      <c r="AU616" s="633"/>
      <c r="AV616" s="633"/>
      <c r="AW616" s="633"/>
      <c r="AX616" s="633"/>
      <c r="AY616" s="633"/>
      <c r="AZ616" s="633"/>
      <c r="BA616" s="633">
        <f>I616/25</f>
        <v>20</v>
      </c>
      <c r="BB616" s="633"/>
      <c r="BC616" s="633"/>
      <c r="BD616" s="633"/>
      <c r="BE616" s="633"/>
      <c r="BF616" s="633"/>
      <c r="BG616" s="633"/>
      <c r="BH616" s="633"/>
      <c r="BI616" s="633"/>
      <c r="BJ616" s="633"/>
      <c r="BK616" s="633"/>
      <c r="BL616" s="633"/>
      <c r="BM616" s="401">
        <f t="shared" si="349"/>
        <v>500</v>
      </c>
      <c r="BO616" s="1473"/>
      <c r="BP616" s="1473"/>
    </row>
    <row r="617" s="200" customFormat="1" ht="36" customHeight="1" spans="1:68">
      <c r="A617" s="533">
        <v>45485</v>
      </c>
      <c r="B617" s="527" t="s">
        <v>541</v>
      </c>
      <c r="C617" s="528" t="s">
        <v>190</v>
      </c>
      <c r="D617" s="534">
        <v>4500140080</v>
      </c>
      <c r="E617" s="530" t="s">
        <v>2653</v>
      </c>
      <c r="F617" s="534" t="s">
        <v>2654</v>
      </c>
      <c r="G617" s="531" t="s">
        <v>73</v>
      </c>
      <c r="H617" s="532" t="s">
        <v>74</v>
      </c>
      <c r="I617" s="1496">
        <v>696</v>
      </c>
      <c r="J617" s="562">
        <v>0</v>
      </c>
      <c r="K617" s="531">
        <v>24</v>
      </c>
      <c r="L617" s="401">
        <f t="shared" si="336"/>
        <v>29</v>
      </c>
      <c r="M617" s="563">
        <v>45560</v>
      </c>
      <c r="N617" s="563">
        <v>45556</v>
      </c>
      <c r="O617" s="564"/>
      <c r="P617" s="564" t="s">
        <v>1690</v>
      </c>
      <c r="Q617" s="564" t="s">
        <v>2655</v>
      </c>
      <c r="R617" s="564" t="s">
        <v>2656</v>
      </c>
      <c r="S617" s="564" t="s">
        <v>123</v>
      </c>
      <c r="T617" s="1552" t="s">
        <v>2657</v>
      </c>
      <c r="U617" s="530" t="s">
        <v>2658</v>
      </c>
      <c r="V617" s="564" t="s">
        <v>1011</v>
      </c>
      <c r="W617" s="592">
        <v>1.3507</v>
      </c>
      <c r="X617" s="593">
        <f t="shared" si="376"/>
        <v>940.0872</v>
      </c>
      <c r="Y617" s="401" t="s">
        <v>2659</v>
      </c>
      <c r="Z617" s="607" t="s">
        <v>73</v>
      </c>
      <c r="AA617" s="1453" t="s">
        <v>128</v>
      </c>
      <c r="AB617" s="608">
        <v>696</v>
      </c>
      <c r="AC617" s="608">
        <f t="shared" si="370"/>
        <v>0</v>
      </c>
      <c r="AD617" s="608"/>
      <c r="AE617" s="564" t="s">
        <v>2389</v>
      </c>
      <c r="AF617" s="564"/>
      <c r="AG617" s="608">
        <f t="shared" si="373"/>
        <v>696</v>
      </c>
      <c r="AH617" s="608"/>
      <c r="AI617" s="608"/>
      <c r="AJ617" s="608"/>
      <c r="AK617" s="609">
        <f t="shared" ref="AK617:AK622" si="379">AG617</f>
        <v>696</v>
      </c>
      <c r="AL617" s="609"/>
      <c r="AM617" s="609"/>
      <c r="AN617" s="609"/>
      <c r="AO617" s="609">
        <f t="shared" si="377"/>
        <v>696</v>
      </c>
      <c r="AP617" s="609"/>
      <c r="AQ617" s="609"/>
      <c r="AR617" s="609"/>
      <c r="AS617" s="609"/>
      <c r="AT617" s="633"/>
      <c r="AU617" s="633"/>
      <c r="AV617" s="633"/>
      <c r="AW617" s="633"/>
      <c r="AX617" s="633"/>
      <c r="AY617" s="633"/>
      <c r="AZ617" s="633"/>
      <c r="BA617" s="633"/>
      <c r="BB617" s="633"/>
      <c r="BC617" s="633"/>
      <c r="BD617" s="633"/>
      <c r="BE617" s="633"/>
      <c r="BF617" s="633"/>
      <c r="BG617" s="633"/>
      <c r="BH617" s="633"/>
      <c r="BI617" s="633"/>
      <c r="BJ617" s="633"/>
      <c r="BK617" s="633"/>
      <c r="BL617" s="633"/>
      <c r="BM617" s="401">
        <f t="shared" si="349"/>
        <v>696</v>
      </c>
      <c r="BO617" s="1473"/>
      <c r="BP617" s="1473"/>
    </row>
    <row r="618" s="200" customFormat="1" ht="36" customHeight="1" spans="1:68">
      <c r="A618" s="533">
        <v>45523</v>
      </c>
      <c r="B618" s="527" t="s">
        <v>2660</v>
      </c>
      <c r="C618" s="1573" t="s">
        <v>286</v>
      </c>
      <c r="D618" s="534">
        <v>4500143355</v>
      </c>
      <c r="E618" s="530"/>
      <c r="F618" s="534" t="s">
        <v>2661</v>
      </c>
      <c r="G618" s="531" t="s">
        <v>96</v>
      </c>
      <c r="H618" s="532" t="s">
        <v>74</v>
      </c>
      <c r="I618" s="401">
        <v>3000</v>
      </c>
      <c r="J618" s="562">
        <v>0</v>
      </c>
      <c r="K618" s="531">
        <v>50</v>
      </c>
      <c r="L618" s="401">
        <f t="shared" si="336"/>
        <v>60</v>
      </c>
      <c r="M618" s="1495">
        <v>45561</v>
      </c>
      <c r="N618" s="1495">
        <v>45558</v>
      </c>
      <c r="O618" s="564"/>
      <c r="P618" s="564" t="s">
        <v>92</v>
      </c>
      <c r="Q618" s="564" t="s">
        <v>2626</v>
      </c>
      <c r="R618" s="564">
        <v>45538</v>
      </c>
      <c r="S618" s="564" t="s">
        <v>77</v>
      </c>
      <c r="T618" s="1552" t="s">
        <v>2662</v>
      </c>
      <c r="U618" s="1499" t="s">
        <v>2663</v>
      </c>
      <c r="V618" s="564" t="s">
        <v>1631</v>
      </c>
      <c r="W618" s="592">
        <v>1.4344</v>
      </c>
      <c r="X618" s="593">
        <f t="shared" si="376"/>
        <v>4303.2</v>
      </c>
      <c r="Y618" s="401" t="s">
        <v>2664</v>
      </c>
      <c r="Z618" s="607" t="s">
        <v>2665</v>
      </c>
      <c r="AA618" s="1453" t="s">
        <v>128</v>
      </c>
      <c r="AB618" s="608">
        <v>3000</v>
      </c>
      <c r="AC618" s="608">
        <f t="shared" si="370"/>
        <v>0</v>
      </c>
      <c r="AD618" s="608"/>
      <c r="AE618" s="564" t="s">
        <v>2389</v>
      </c>
      <c r="AF618" s="564"/>
      <c r="AG618" s="608">
        <f t="shared" si="373"/>
        <v>3000</v>
      </c>
      <c r="AH618" s="608"/>
      <c r="AI618" s="608"/>
      <c r="AJ618" s="609"/>
      <c r="AK618" s="609">
        <f t="shared" si="378"/>
        <v>3000</v>
      </c>
      <c r="AL618" s="609"/>
      <c r="AM618" s="609"/>
      <c r="AN618" s="609"/>
      <c r="AO618" s="609">
        <f t="shared" si="377"/>
        <v>3000</v>
      </c>
      <c r="AP618" s="609"/>
      <c r="AQ618" s="609"/>
      <c r="AR618" s="609"/>
      <c r="AS618" s="609"/>
      <c r="AT618" s="633"/>
      <c r="AU618" s="633"/>
      <c r="AV618" s="633"/>
      <c r="AW618" s="633"/>
      <c r="AX618" s="633"/>
      <c r="AY618" s="633"/>
      <c r="AZ618" s="633"/>
      <c r="BB618" s="633">
        <f>I618/25</f>
        <v>120</v>
      </c>
      <c r="BC618" s="633"/>
      <c r="BD618" s="633"/>
      <c r="BE618" s="633"/>
      <c r="BF618" s="633"/>
      <c r="BG618" s="633"/>
      <c r="BH618" s="633"/>
      <c r="BI618" s="633"/>
      <c r="BJ618" s="633"/>
      <c r="BK618" s="633"/>
      <c r="BL618" s="633"/>
      <c r="BM618" s="401">
        <f t="shared" si="349"/>
        <v>3000</v>
      </c>
      <c r="BO618" s="1473"/>
      <c r="BP618" s="1473"/>
    </row>
    <row r="619" s="200" customFormat="1" ht="36" customHeight="1" spans="1:68">
      <c r="A619" s="533">
        <v>45509</v>
      </c>
      <c r="B619" s="527" t="s">
        <v>2666</v>
      </c>
      <c r="C619" s="528" t="s">
        <v>2667</v>
      </c>
      <c r="D619" s="534">
        <v>4500141936</v>
      </c>
      <c r="E619" s="530"/>
      <c r="F619" s="534" t="s">
        <v>2668</v>
      </c>
      <c r="G619" s="531" t="s">
        <v>403</v>
      </c>
      <c r="H619" s="532" t="s">
        <v>74</v>
      </c>
      <c r="I619" s="401">
        <v>416</v>
      </c>
      <c r="J619" s="562">
        <v>0</v>
      </c>
      <c r="K619" s="531">
        <v>52</v>
      </c>
      <c r="L619" s="401">
        <f t="shared" si="336"/>
        <v>8</v>
      </c>
      <c r="M619" s="563">
        <v>45561</v>
      </c>
      <c r="N619" s="563">
        <v>45558</v>
      </c>
      <c r="O619" s="564"/>
      <c r="P619" s="564" t="s">
        <v>1262</v>
      </c>
      <c r="Q619" s="564"/>
      <c r="R619" s="564">
        <v>45518</v>
      </c>
      <c r="S619" s="564" t="s">
        <v>77</v>
      </c>
      <c r="T619" s="1552" t="s">
        <v>77</v>
      </c>
      <c r="U619" s="530" t="s">
        <v>2669</v>
      </c>
      <c r="V619" s="564" t="s">
        <v>1553</v>
      </c>
      <c r="W619" s="592">
        <v>1.3914</v>
      </c>
      <c r="X619" s="593">
        <f t="shared" si="376"/>
        <v>578.8224</v>
      </c>
      <c r="Y619" s="401" t="s">
        <v>2670</v>
      </c>
      <c r="Z619" s="607" t="s">
        <v>403</v>
      </c>
      <c r="AA619" s="1453" t="s">
        <v>128</v>
      </c>
      <c r="AB619" s="608">
        <v>416</v>
      </c>
      <c r="AC619" s="608">
        <f t="shared" si="370"/>
        <v>0</v>
      </c>
      <c r="AD619" s="608"/>
      <c r="AE619" s="564" t="s">
        <v>2389</v>
      </c>
      <c r="AF619" s="564"/>
      <c r="AG619" s="608">
        <f t="shared" si="373"/>
        <v>416</v>
      </c>
      <c r="AH619" s="608"/>
      <c r="AI619" s="608"/>
      <c r="AJ619" s="608"/>
      <c r="AK619" s="609">
        <f t="shared" si="379"/>
        <v>416</v>
      </c>
      <c r="AL619" s="609"/>
      <c r="AM619" s="609"/>
      <c r="AN619" s="609"/>
      <c r="AO619" s="609">
        <f>AG619</f>
        <v>416</v>
      </c>
      <c r="AP619" s="609"/>
      <c r="AQ619" s="609"/>
      <c r="AR619" s="609"/>
      <c r="AS619" s="609"/>
      <c r="AT619" s="633"/>
      <c r="AU619" s="633"/>
      <c r="AV619" s="633"/>
      <c r="AW619" s="633"/>
      <c r="AX619" s="633"/>
      <c r="AY619" s="633">
        <f>AG619/13</f>
        <v>32</v>
      </c>
      <c r="AZ619" s="633"/>
      <c r="BA619" s="633"/>
      <c r="BB619" s="633"/>
      <c r="BC619" s="633"/>
      <c r="BD619" s="633"/>
      <c r="BE619" s="633"/>
      <c r="BF619" s="633"/>
      <c r="BG619" s="633"/>
      <c r="BH619" s="633"/>
      <c r="BI619" s="633"/>
      <c r="BJ619" s="633"/>
      <c r="BK619" s="633"/>
      <c r="BL619" s="633"/>
      <c r="BM619" s="401">
        <f t="shared" si="349"/>
        <v>416</v>
      </c>
      <c r="BO619" s="1473"/>
      <c r="BP619" s="1473"/>
    </row>
    <row r="620" s="200" customFormat="1" ht="36" customHeight="1" spans="1:68">
      <c r="A620" s="533">
        <v>45520</v>
      </c>
      <c r="B620" s="527" t="s">
        <v>823</v>
      </c>
      <c r="C620" s="528" t="s">
        <v>117</v>
      </c>
      <c r="D620" s="534">
        <v>4500143174</v>
      </c>
      <c r="E620" s="530" t="s">
        <v>2671</v>
      </c>
      <c r="F620" s="534" t="s">
        <v>2672</v>
      </c>
      <c r="G620" s="531" t="s">
        <v>826</v>
      </c>
      <c r="H620" s="532" t="s">
        <v>74</v>
      </c>
      <c r="I620" s="1496">
        <v>1025</v>
      </c>
      <c r="J620" s="1496">
        <v>0</v>
      </c>
      <c r="K620" s="1496">
        <v>25</v>
      </c>
      <c r="L620" s="1496">
        <f t="shared" si="336"/>
        <v>41</v>
      </c>
      <c r="M620" s="563">
        <v>45561</v>
      </c>
      <c r="N620" s="563">
        <v>45558</v>
      </c>
      <c r="O620" s="564"/>
      <c r="P620" s="564" t="s">
        <v>92</v>
      </c>
      <c r="Q620" s="564" t="s">
        <v>2673</v>
      </c>
      <c r="R620" s="564">
        <v>45520</v>
      </c>
      <c r="S620" s="564" t="s">
        <v>77</v>
      </c>
      <c r="T620" s="564" t="s">
        <v>77</v>
      </c>
      <c r="U620" s="530" t="s">
        <v>828</v>
      </c>
      <c r="V620" s="564" t="s">
        <v>829</v>
      </c>
      <c r="W620" s="592">
        <v>1.435</v>
      </c>
      <c r="X620" s="593">
        <f t="shared" si="376"/>
        <v>1470.875</v>
      </c>
      <c r="Y620" s="401" t="s">
        <v>2674</v>
      </c>
      <c r="Z620" s="607" t="s">
        <v>826</v>
      </c>
      <c r="AA620" s="1453" t="s">
        <v>128</v>
      </c>
      <c r="AB620" s="608">
        <v>1025</v>
      </c>
      <c r="AC620" s="608">
        <f t="shared" si="370"/>
        <v>0</v>
      </c>
      <c r="AD620" s="608"/>
      <c r="AE620" s="564" t="s">
        <v>2389</v>
      </c>
      <c r="AF620" s="564"/>
      <c r="AG620" s="608">
        <f t="shared" si="373"/>
        <v>1025</v>
      </c>
      <c r="AH620" s="608"/>
      <c r="AI620" s="608"/>
      <c r="AJ620" s="608"/>
      <c r="AK620" s="609">
        <f t="shared" si="378"/>
        <v>1025</v>
      </c>
      <c r="AL620" s="609"/>
      <c r="AM620" s="609"/>
      <c r="AN620" s="609"/>
      <c r="AO620" s="609">
        <f t="shared" ref="AO620:AO625" si="380">I620</f>
        <v>1025</v>
      </c>
      <c r="AP620" s="609"/>
      <c r="AQ620" s="609"/>
      <c r="AR620" s="609"/>
      <c r="AS620" s="609"/>
      <c r="AT620" s="633"/>
      <c r="AU620" s="633"/>
      <c r="AV620" s="633"/>
      <c r="AW620" s="633"/>
      <c r="AX620" s="633"/>
      <c r="AY620" s="633"/>
      <c r="AZ620" s="633"/>
      <c r="BA620" s="633">
        <f>I620/25</f>
        <v>41</v>
      </c>
      <c r="BB620" s="633"/>
      <c r="BC620" s="633"/>
      <c r="BD620" s="633"/>
      <c r="BE620" s="633"/>
      <c r="BF620" s="633"/>
      <c r="BG620" s="633"/>
      <c r="BH620" s="633"/>
      <c r="BI620" s="633"/>
      <c r="BJ620" s="633"/>
      <c r="BK620" s="633"/>
      <c r="BL620" s="633"/>
      <c r="BM620" s="401">
        <f t="shared" si="349"/>
        <v>1025</v>
      </c>
      <c r="BO620" s="1473"/>
      <c r="BP620" s="1473"/>
    </row>
    <row r="621" s="200" customFormat="1" ht="36" customHeight="1" spans="1:68">
      <c r="A621" s="533">
        <v>45516</v>
      </c>
      <c r="B621" s="527" t="s">
        <v>587</v>
      </c>
      <c r="C621" s="528" t="s">
        <v>117</v>
      </c>
      <c r="D621" s="534">
        <v>4500142773</v>
      </c>
      <c r="E621" s="1678" t="s">
        <v>2675</v>
      </c>
      <c r="F621" s="534" t="s">
        <v>2676</v>
      </c>
      <c r="G621" s="531" t="s">
        <v>120</v>
      </c>
      <c r="H621" s="532" t="s">
        <v>74</v>
      </c>
      <c r="I621" s="401">
        <v>3906</v>
      </c>
      <c r="J621" s="562">
        <v>0</v>
      </c>
      <c r="K621" s="531">
        <v>21</v>
      </c>
      <c r="L621" s="401">
        <f t="shared" si="336"/>
        <v>186</v>
      </c>
      <c r="M621" s="563">
        <v>45562</v>
      </c>
      <c r="N621" s="563">
        <v>45558</v>
      </c>
      <c r="O621" s="1474" t="s">
        <v>2677</v>
      </c>
      <c r="P621" s="564" t="s">
        <v>92</v>
      </c>
      <c r="Q621" s="564" t="s">
        <v>2678</v>
      </c>
      <c r="R621" s="564">
        <v>45523</v>
      </c>
      <c r="S621" s="564" t="s">
        <v>123</v>
      </c>
      <c r="T621" s="580" t="s">
        <v>2613</v>
      </c>
      <c r="U621" s="530" t="s">
        <v>2679</v>
      </c>
      <c r="V621" s="564" t="s">
        <v>634</v>
      </c>
      <c r="W621" s="592">
        <v>1.4585</v>
      </c>
      <c r="X621" s="593">
        <f t="shared" ref="X621:X623" si="381">W621*L621</f>
        <v>271.281</v>
      </c>
      <c r="Y621" s="401" t="s">
        <v>2680</v>
      </c>
      <c r="Z621" s="607" t="s">
        <v>2616</v>
      </c>
      <c r="AA621" s="1453" t="s">
        <v>128</v>
      </c>
      <c r="AB621" s="608">
        <v>3906</v>
      </c>
      <c r="AC621" s="608">
        <f t="shared" si="370"/>
        <v>0</v>
      </c>
      <c r="AD621" s="608"/>
      <c r="AE621" s="564" t="s">
        <v>2389</v>
      </c>
      <c r="AF621" s="564"/>
      <c r="AG621" s="608">
        <f t="shared" si="373"/>
        <v>3906</v>
      </c>
      <c r="AH621" s="608"/>
      <c r="AI621" s="608"/>
      <c r="AJ621" s="608"/>
      <c r="AK621" s="609">
        <f t="shared" si="379"/>
        <v>3906</v>
      </c>
      <c r="AL621" s="609"/>
      <c r="AM621" s="609"/>
      <c r="AN621" s="609"/>
      <c r="AO621" s="615"/>
      <c r="AP621" s="609"/>
      <c r="AQ621" s="615">
        <f>I621</f>
        <v>3906</v>
      </c>
      <c r="AR621" s="609"/>
      <c r="AS621" s="609"/>
      <c r="AT621" s="633"/>
      <c r="AU621" s="609">
        <f>I621/21</f>
        <v>186</v>
      </c>
      <c r="AV621" s="633"/>
      <c r="AW621" s="633"/>
      <c r="AX621" s="633"/>
      <c r="AY621" s="633"/>
      <c r="AZ621" s="633"/>
      <c r="BA621" s="633"/>
      <c r="BB621" s="633"/>
      <c r="BC621" s="633"/>
      <c r="BD621" s="633"/>
      <c r="BE621" s="633"/>
      <c r="BF621" s="633"/>
      <c r="BG621" s="633"/>
      <c r="BH621" s="633"/>
      <c r="BI621" s="633"/>
      <c r="BJ621" s="633"/>
      <c r="BK621" s="633"/>
      <c r="BL621" s="633"/>
      <c r="BM621" s="401">
        <f t="shared" si="349"/>
        <v>3906</v>
      </c>
      <c r="BO621" s="1473"/>
      <c r="BP621" s="1473"/>
    </row>
    <row r="622" s="200" customFormat="1" ht="36" customHeight="1" spans="1:68">
      <c r="A622" s="533">
        <v>45516</v>
      </c>
      <c r="B622" s="527" t="s">
        <v>587</v>
      </c>
      <c r="C622" s="528" t="s">
        <v>117</v>
      </c>
      <c r="D622" s="534">
        <v>4500142774</v>
      </c>
      <c r="E622" s="1678" t="s">
        <v>2681</v>
      </c>
      <c r="F622" s="534" t="s">
        <v>2682</v>
      </c>
      <c r="G622" s="531" t="s">
        <v>120</v>
      </c>
      <c r="H622" s="532" t="s">
        <v>74</v>
      </c>
      <c r="I622" s="401">
        <v>4326</v>
      </c>
      <c r="J622" s="562">
        <v>0</v>
      </c>
      <c r="K622" s="531">
        <v>21</v>
      </c>
      <c r="L622" s="401">
        <f t="shared" si="336"/>
        <v>206</v>
      </c>
      <c r="M622" s="563">
        <v>45562</v>
      </c>
      <c r="N622" s="563">
        <v>45558</v>
      </c>
      <c r="O622" s="1474" t="s">
        <v>2677</v>
      </c>
      <c r="P622" s="564" t="s">
        <v>92</v>
      </c>
      <c r="Q622" s="564" t="s">
        <v>2683</v>
      </c>
      <c r="R622" s="564">
        <v>45523</v>
      </c>
      <c r="S622" s="564" t="s">
        <v>123</v>
      </c>
      <c r="T622" s="580" t="s">
        <v>2613</v>
      </c>
      <c r="U622" s="530" t="s">
        <v>2684</v>
      </c>
      <c r="V622" s="564" t="s">
        <v>634</v>
      </c>
      <c r="W622" s="592">
        <v>1.4585</v>
      </c>
      <c r="X622" s="593">
        <f t="shared" si="381"/>
        <v>300.451</v>
      </c>
      <c r="Y622" s="401" t="s">
        <v>2685</v>
      </c>
      <c r="Z622" s="607" t="s">
        <v>2616</v>
      </c>
      <c r="AA622" s="1453" t="s">
        <v>128</v>
      </c>
      <c r="AB622" s="608">
        <f>4284+42</f>
        <v>4326</v>
      </c>
      <c r="AC622" s="608">
        <f t="shared" si="370"/>
        <v>0</v>
      </c>
      <c r="AD622" s="608"/>
      <c r="AE622" s="564" t="s">
        <v>2389</v>
      </c>
      <c r="AF622" s="564"/>
      <c r="AG622" s="608">
        <f t="shared" si="373"/>
        <v>4326</v>
      </c>
      <c r="AH622" s="608"/>
      <c r="AI622" s="608"/>
      <c r="AJ622" s="608"/>
      <c r="AK622" s="609">
        <f t="shared" si="379"/>
        <v>4326</v>
      </c>
      <c r="AL622" s="609"/>
      <c r="AM622" s="609"/>
      <c r="AN622" s="609"/>
      <c r="AO622" s="615"/>
      <c r="AP622" s="609"/>
      <c r="AQ622" s="615">
        <f>I622</f>
        <v>4326</v>
      </c>
      <c r="AR622" s="609"/>
      <c r="AS622" s="609"/>
      <c r="AT622" s="633"/>
      <c r="AU622" s="609">
        <f>I622/21</f>
        <v>206</v>
      </c>
      <c r="AV622" s="633"/>
      <c r="AW622" s="633"/>
      <c r="AX622" s="633"/>
      <c r="AY622" s="633"/>
      <c r="AZ622" s="633"/>
      <c r="BA622" s="633"/>
      <c r="BB622" s="633"/>
      <c r="BC622" s="633"/>
      <c r="BD622" s="633"/>
      <c r="BE622" s="633"/>
      <c r="BF622" s="633"/>
      <c r="BG622" s="633"/>
      <c r="BH622" s="633"/>
      <c r="BI622" s="633"/>
      <c r="BJ622" s="633"/>
      <c r="BK622" s="633"/>
      <c r="BL622" s="633"/>
      <c r="BM622" s="401">
        <f t="shared" si="349"/>
        <v>4326</v>
      </c>
      <c r="BO622" s="1473"/>
      <c r="BP622" s="1473"/>
    </row>
    <row r="623" s="200" customFormat="1" ht="36" customHeight="1" spans="1:68">
      <c r="A623" s="533">
        <v>45520</v>
      </c>
      <c r="B623" s="527" t="s">
        <v>2686</v>
      </c>
      <c r="C623" s="528" t="s">
        <v>477</v>
      </c>
      <c r="D623" s="534">
        <v>4500143211</v>
      </c>
      <c r="E623" s="530">
        <v>5200005242</v>
      </c>
      <c r="F623" s="534" t="s">
        <v>2687</v>
      </c>
      <c r="G623" s="531" t="s">
        <v>2688</v>
      </c>
      <c r="H623" s="532" t="s">
        <v>74</v>
      </c>
      <c r="I623" s="401">
        <v>504</v>
      </c>
      <c r="J623" s="562">
        <v>0</v>
      </c>
      <c r="K623" s="531">
        <v>8</v>
      </c>
      <c r="L623" s="401">
        <f t="shared" si="336"/>
        <v>63</v>
      </c>
      <c r="M623" s="563">
        <v>45562</v>
      </c>
      <c r="N623" s="563">
        <v>45558</v>
      </c>
      <c r="O623" s="564"/>
      <c r="P623" s="564" t="s">
        <v>92</v>
      </c>
      <c r="Q623" s="564" t="s">
        <v>2512</v>
      </c>
      <c r="R623" s="564">
        <v>45520</v>
      </c>
      <c r="S623" s="564" t="s">
        <v>77</v>
      </c>
      <c r="T623" s="1552" t="s">
        <v>2689</v>
      </c>
      <c r="U623" s="530" t="s">
        <v>2690</v>
      </c>
      <c r="V623" s="564" t="s">
        <v>2691</v>
      </c>
      <c r="W623" s="592">
        <v>1.3507</v>
      </c>
      <c r="X623" s="593">
        <f t="shared" si="381"/>
        <v>85.0941</v>
      </c>
      <c r="Y623" s="401" t="s">
        <v>2692</v>
      </c>
      <c r="Z623" s="607" t="s">
        <v>2688</v>
      </c>
      <c r="AA623" s="1453" t="s">
        <v>128</v>
      </c>
      <c r="AB623" s="608">
        <v>504</v>
      </c>
      <c r="AC623" s="608">
        <f t="shared" si="370"/>
        <v>0</v>
      </c>
      <c r="AD623" s="608"/>
      <c r="AE623" s="564" t="s">
        <v>2389</v>
      </c>
      <c r="AF623" s="564"/>
      <c r="AG623" s="608">
        <f t="shared" si="373"/>
        <v>504</v>
      </c>
      <c r="AH623" s="608"/>
      <c r="AI623" s="608"/>
      <c r="AJ623" s="608"/>
      <c r="AK623" s="609"/>
      <c r="AL623" s="609">
        <f>I623</f>
        <v>504</v>
      </c>
      <c r="AM623" s="609"/>
      <c r="AN623" s="609"/>
      <c r="AO623" s="615">
        <f t="shared" si="380"/>
        <v>504</v>
      </c>
      <c r="AP623" s="609"/>
      <c r="AQ623" s="609"/>
      <c r="AR623" s="609"/>
      <c r="AS623" s="609"/>
      <c r="AT623" s="633"/>
      <c r="AU623" s="633"/>
      <c r="AV623" s="633"/>
      <c r="AW623" s="633"/>
      <c r="AX623" s="633"/>
      <c r="AY623" s="633"/>
      <c r="AZ623" s="633"/>
      <c r="BA623" s="633"/>
      <c r="BB623" s="633"/>
      <c r="BC623" s="633"/>
      <c r="BD623" s="633"/>
      <c r="BE623" s="633"/>
      <c r="BF623" s="633"/>
      <c r="BG623" s="633"/>
      <c r="BH623" s="633"/>
      <c r="BI623" s="633"/>
      <c r="BJ623" s="633"/>
      <c r="BK623" s="633"/>
      <c r="BL623" s="633"/>
      <c r="BM623" s="401">
        <f t="shared" si="349"/>
        <v>504</v>
      </c>
      <c r="BO623" s="1473"/>
      <c r="BP623" s="1473"/>
    </row>
    <row r="624" s="200" customFormat="1" ht="36" customHeight="1" spans="1:68">
      <c r="A624" s="533">
        <v>45503</v>
      </c>
      <c r="B624" s="527" t="s">
        <v>151</v>
      </c>
      <c r="C624" s="528" t="s">
        <v>117</v>
      </c>
      <c r="D624" s="534">
        <v>4500141501</v>
      </c>
      <c r="E624" s="530" t="s">
        <v>2693</v>
      </c>
      <c r="F624" s="534" t="s">
        <v>2694</v>
      </c>
      <c r="G624" s="531" t="s">
        <v>73</v>
      </c>
      <c r="H624" s="532" t="s">
        <v>74</v>
      </c>
      <c r="I624" s="401">
        <v>12816</v>
      </c>
      <c r="J624" s="562">
        <v>0</v>
      </c>
      <c r="K624" s="531">
        <v>24</v>
      </c>
      <c r="L624" s="401">
        <f t="shared" si="336"/>
        <v>534</v>
      </c>
      <c r="M624" s="1495">
        <v>45562</v>
      </c>
      <c r="N624" s="1495">
        <v>45558</v>
      </c>
      <c r="O624" s="564"/>
      <c r="P624" s="564" t="s">
        <v>92</v>
      </c>
      <c r="Q624" s="564" t="s">
        <v>2578</v>
      </c>
      <c r="R624" s="564">
        <v>45503</v>
      </c>
      <c r="S624" s="564" t="s">
        <v>123</v>
      </c>
      <c r="T624" s="564" t="s">
        <v>2579</v>
      </c>
      <c r="U624" s="530" t="s">
        <v>2695</v>
      </c>
      <c r="V624" s="564" t="s">
        <v>156</v>
      </c>
      <c r="W624" s="592">
        <v>1.335</v>
      </c>
      <c r="X624" s="593">
        <f t="shared" ref="X624:X626" si="382">I624*W624</f>
        <v>17109.36</v>
      </c>
      <c r="Y624" s="401" t="s">
        <v>2696</v>
      </c>
      <c r="Z624" s="607" t="s">
        <v>73</v>
      </c>
      <c r="AA624" s="1453" t="s">
        <v>128</v>
      </c>
      <c r="AB624" s="608">
        <v>12816</v>
      </c>
      <c r="AC624" s="608">
        <f t="shared" si="370"/>
        <v>0</v>
      </c>
      <c r="AD624" s="608"/>
      <c r="AE624" s="564" t="s">
        <v>2389</v>
      </c>
      <c r="AF624" s="564"/>
      <c r="AG624" s="608">
        <f t="shared" si="373"/>
        <v>12816</v>
      </c>
      <c r="AH624" s="608"/>
      <c r="AI624" s="608"/>
      <c r="AJ624" s="608"/>
      <c r="AK624" s="1558">
        <f t="shared" ref="AK624:AK629" si="383">AG624</f>
        <v>12816</v>
      </c>
      <c r="AL624" s="609"/>
      <c r="AM624" s="609"/>
      <c r="AN624" s="609"/>
      <c r="AO624" s="609">
        <f t="shared" si="380"/>
        <v>12816</v>
      </c>
      <c r="AP624" s="609"/>
      <c r="AQ624" s="609"/>
      <c r="AR624" s="609"/>
      <c r="AS624" s="609"/>
      <c r="AT624" s="633"/>
      <c r="AU624" s="633"/>
      <c r="AV624" s="633"/>
      <c r="AW624" s="633"/>
      <c r="AX624" s="633"/>
      <c r="AY624" s="633"/>
      <c r="AZ624" s="633"/>
      <c r="BA624" s="633"/>
      <c r="BB624" s="633"/>
      <c r="BC624" s="633"/>
      <c r="BD624" s="633"/>
      <c r="BE624" s="633"/>
      <c r="BF624" s="633"/>
      <c r="BG624" s="633"/>
      <c r="BH624" s="633"/>
      <c r="BI624" s="633"/>
      <c r="BJ624" s="633"/>
      <c r="BK624" s="633"/>
      <c r="BL624" s="633"/>
      <c r="BM624" s="401">
        <f t="shared" si="349"/>
        <v>12816</v>
      </c>
      <c r="BO624" s="1473"/>
      <c r="BP624" s="1473"/>
    </row>
    <row r="625" s="200" customFormat="1" ht="36" customHeight="1" spans="1:68">
      <c r="A625" s="533">
        <v>45503</v>
      </c>
      <c r="B625" s="527" t="s">
        <v>151</v>
      </c>
      <c r="C625" s="528" t="s">
        <v>117</v>
      </c>
      <c r="D625" s="534" t="s">
        <v>2697</v>
      </c>
      <c r="E625" s="530" t="s">
        <v>2698</v>
      </c>
      <c r="F625" s="534" t="s">
        <v>2699</v>
      </c>
      <c r="G625" s="531" t="s">
        <v>73</v>
      </c>
      <c r="H625" s="532" t="s">
        <v>74</v>
      </c>
      <c r="I625" s="401">
        <v>5328</v>
      </c>
      <c r="J625" s="562">
        <v>0</v>
      </c>
      <c r="K625" s="531">
        <v>24</v>
      </c>
      <c r="L625" s="401">
        <f t="shared" si="336"/>
        <v>222</v>
      </c>
      <c r="M625" s="1495">
        <v>45562</v>
      </c>
      <c r="N625" s="1495">
        <v>45558</v>
      </c>
      <c r="O625" s="564"/>
      <c r="P625" s="564" t="s">
        <v>92</v>
      </c>
      <c r="Q625" s="564" t="s">
        <v>2578</v>
      </c>
      <c r="R625" s="564">
        <v>45503</v>
      </c>
      <c r="S625" s="564" t="s">
        <v>123</v>
      </c>
      <c r="T625" s="564" t="s">
        <v>2579</v>
      </c>
      <c r="U625" s="530" t="s">
        <v>2695</v>
      </c>
      <c r="V625" s="564" t="s">
        <v>156</v>
      </c>
      <c r="W625" s="592">
        <v>1.335</v>
      </c>
      <c r="X625" s="593">
        <f t="shared" si="382"/>
        <v>7112.88</v>
      </c>
      <c r="Y625" s="401" t="s">
        <v>2696</v>
      </c>
      <c r="Z625" s="607" t="s">
        <v>73</v>
      </c>
      <c r="AA625" s="1453" t="s">
        <v>128</v>
      </c>
      <c r="AB625" s="608">
        <v>5328</v>
      </c>
      <c r="AC625" s="608">
        <f t="shared" si="370"/>
        <v>0</v>
      </c>
      <c r="AD625" s="608"/>
      <c r="AE625" s="564" t="s">
        <v>2389</v>
      </c>
      <c r="AF625" s="564"/>
      <c r="AG625" s="608">
        <f t="shared" si="373"/>
        <v>5328</v>
      </c>
      <c r="AH625" s="608"/>
      <c r="AI625" s="608"/>
      <c r="AJ625" s="608"/>
      <c r="AK625" s="1558">
        <f t="shared" si="383"/>
        <v>5328</v>
      </c>
      <c r="AL625" s="609"/>
      <c r="AM625" s="609"/>
      <c r="AN625" s="609"/>
      <c r="AO625" s="609">
        <f t="shared" si="380"/>
        <v>5328</v>
      </c>
      <c r="AP625" s="609"/>
      <c r="AQ625" s="609"/>
      <c r="AR625" s="609"/>
      <c r="AS625" s="609"/>
      <c r="AT625" s="633"/>
      <c r="AU625" s="633"/>
      <c r="AV625" s="633"/>
      <c r="AW625" s="633"/>
      <c r="AX625" s="633"/>
      <c r="AY625" s="633"/>
      <c r="AZ625" s="633"/>
      <c r="BA625" s="633"/>
      <c r="BB625" s="633"/>
      <c r="BC625" s="633"/>
      <c r="BD625" s="633"/>
      <c r="BE625" s="633"/>
      <c r="BF625" s="633"/>
      <c r="BG625" s="633"/>
      <c r="BH625" s="633"/>
      <c r="BI625" s="633"/>
      <c r="BJ625" s="633"/>
      <c r="BK625" s="633"/>
      <c r="BL625" s="633"/>
      <c r="BM625" s="401">
        <f t="shared" si="349"/>
        <v>5328</v>
      </c>
      <c r="BO625" s="1473"/>
      <c r="BP625" s="1473"/>
    </row>
    <row r="626" s="200" customFormat="1" ht="36" customHeight="1" spans="1:73">
      <c r="A626" s="533">
        <v>45503</v>
      </c>
      <c r="B626" s="527" t="s">
        <v>151</v>
      </c>
      <c r="C626" s="528" t="s">
        <v>117</v>
      </c>
      <c r="D626" s="534" t="s">
        <v>2697</v>
      </c>
      <c r="E626" s="530" t="s">
        <v>2700</v>
      </c>
      <c r="F626" s="534" t="s">
        <v>2701</v>
      </c>
      <c r="G626" s="531" t="s">
        <v>628</v>
      </c>
      <c r="H626" s="532" t="s">
        <v>623</v>
      </c>
      <c r="I626" s="401">
        <v>4812</v>
      </c>
      <c r="J626" s="562">
        <v>0</v>
      </c>
      <c r="K626" s="531">
        <v>12</v>
      </c>
      <c r="L626" s="401">
        <f t="shared" ref="L626:L668" si="384">I626/K626</f>
        <v>401</v>
      </c>
      <c r="M626" s="1495">
        <v>45562</v>
      </c>
      <c r="N626" s="1495">
        <v>45558</v>
      </c>
      <c r="O626" s="564"/>
      <c r="P626" s="564" t="s">
        <v>92</v>
      </c>
      <c r="Q626" s="564" t="s">
        <v>2578</v>
      </c>
      <c r="R626" s="564">
        <v>45503</v>
      </c>
      <c r="S626" s="564" t="s">
        <v>123</v>
      </c>
      <c r="T626" s="564" t="s">
        <v>2579</v>
      </c>
      <c r="U626" s="530" t="s">
        <v>2702</v>
      </c>
      <c r="V626" s="564" t="s">
        <v>156</v>
      </c>
      <c r="W626" s="592">
        <v>3.054</v>
      </c>
      <c r="X626" s="593">
        <f t="shared" si="382"/>
        <v>14695.848</v>
      </c>
      <c r="Y626" s="401" t="s">
        <v>2696</v>
      </c>
      <c r="Z626" s="607" t="s">
        <v>822</v>
      </c>
      <c r="AA626" s="1453" t="s">
        <v>128</v>
      </c>
      <c r="AB626" s="608">
        <v>4812</v>
      </c>
      <c r="AC626" s="608">
        <f t="shared" si="370"/>
        <v>0</v>
      </c>
      <c r="AD626" s="608"/>
      <c r="AE626" s="564" t="s">
        <v>2389</v>
      </c>
      <c r="AF626" s="564"/>
      <c r="AG626" s="608">
        <f t="shared" ref="AG626:AG631" si="385">I626*2</f>
        <v>9624</v>
      </c>
      <c r="AH626" s="608"/>
      <c r="AI626" s="608"/>
      <c r="AJ626" s="1558">
        <f>AG626</f>
        <v>9624</v>
      </c>
      <c r="AL626" s="609"/>
      <c r="AM626" s="609"/>
      <c r="AN626" s="609"/>
      <c r="AO626" s="615">
        <f t="shared" ref="AO626:AO636" si="386">AG626</f>
        <v>9624</v>
      </c>
      <c r="AP626" s="609"/>
      <c r="AQ626" s="609"/>
      <c r="AR626" s="609"/>
      <c r="AS626" s="609"/>
      <c r="AT626" s="633"/>
      <c r="AU626" s="633"/>
      <c r="AV626" s="633"/>
      <c r="AW626" s="633"/>
      <c r="AX626" s="633"/>
      <c r="AY626" s="633"/>
      <c r="AZ626" s="633"/>
      <c r="BA626" s="633"/>
      <c r="BB626" s="633"/>
      <c r="BC626" s="633"/>
      <c r="BD626" s="633"/>
      <c r="BE626" s="633"/>
      <c r="BF626" s="633"/>
      <c r="BG626" s="633"/>
      <c r="BH626" s="633"/>
      <c r="BI626" s="633"/>
      <c r="BJ626" s="633"/>
      <c r="BK626" s="633">
        <f t="shared" ref="BK626:BK631" si="387">I626</f>
        <v>4812</v>
      </c>
      <c r="BL626" s="633">
        <f t="shared" ref="BL626:BL631" si="388">I626</f>
        <v>4812</v>
      </c>
      <c r="BM626" s="401">
        <f t="shared" si="349"/>
        <v>9624</v>
      </c>
      <c r="BO626" s="1473"/>
      <c r="BP626" s="1473"/>
      <c r="BU626" s="200" t="s">
        <v>2096</v>
      </c>
    </row>
    <row r="627" s="200" customFormat="1" ht="36" customHeight="1" spans="1:68">
      <c r="A627" s="533">
        <v>45516</v>
      </c>
      <c r="B627" s="527" t="s">
        <v>587</v>
      </c>
      <c r="C627" s="528" t="s">
        <v>117</v>
      </c>
      <c r="D627" s="534">
        <v>4500142775</v>
      </c>
      <c r="E627" s="1684" t="s">
        <v>2703</v>
      </c>
      <c r="F627" s="534" t="s">
        <v>2704</v>
      </c>
      <c r="G627" s="531" t="s">
        <v>120</v>
      </c>
      <c r="H627" s="532" t="s">
        <v>74</v>
      </c>
      <c r="I627" s="401">
        <v>2814</v>
      </c>
      <c r="J627" s="562">
        <v>0</v>
      </c>
      <c r="K627" s="531">
        <v>21</v>
      </c>
      <c r="L627" s="401">
        <f t="shared" si="384"/>
        <v>134</v>
      </c>
      <c r="M627" s="563">
        <v>45572</v>
      </c>
      <c r="N627" s="563">
        <v>45568</v>
      </c>
      <c r="O627" s="1474" t="s">
        <v>2705</v>
      </c>
      <c r="P627" s="564" t="s">
        <v>92</v>
      </c>
      <c r="Q627" s="564" t="s">
        <v>2706</v>
      </c>
      <c r="R627" s="564">
        <v>45523</v>
      </c>
      <c r="S627" s="564" t="s">
        <v>123</v>
      </c>
      <c r="T627" s="580" t="s">
        <v>2613</v>
      </c>
      <c r="U627" s="530" t="s">
        <v>2679</v>
      </c>
      <c r="V627" s="564" t="s">
        <v>634</v>
      </c>
      <c r="W627" s="592">
        <v>1.4585</v>
      </c>
      <c r="X627" s="593">
        <f>W627*L627</f>
        <v>195.439</v>
      </c>
      <c r="Y627" s="401" t="s">
        <v>2707</v>
      </c>
      <c r="Z627" s="607" t="s">
        <v>2616</v>
      </c>
      <c r="AA627" s="1453" t="s">
        <v>128</v>
      </c>
      <c r="AB627" s="608">
        <v>2814</v>
      </c>
      <c r="AC627" s="608">
        <f t="shared" si="370"/>
        <v>0</v>
      </c>
      <c r="AD627" s="608"/>
      <c r="AE627" s="564" t="s">
        <v>2389</v>
      </c>
      <c r="AF627" s="564"/>
      <c r="AG627" s="608">
        <f t="shared" ref="AG627:AG629" si="389">I627</f>
        <v>2814</v>
      </c>
      <c r="AH627" s="608"/>
      <c r="AI627" s="608"/>
      <c r="AJ627" s="608"/>
      <c r="AK627" s="609">
        <f t="shared" si="383"/>
        <v>2814</v>
      </c>
      <c r="AL627" s="609"/>
      <c r="AM627" s="609"/>
      <c r="AN627" s="609"/>
      <c r="AO627" s="615"/>
      <c r="AP627" s="609"/>
      <c r="AQ627" s="615">
        <f>I627</f>
        <v>2814</v>
      </c>
      <c r="AR627" s="609"/>
      <c r="AS627" s="609"/>
      <c r="AT627" s="633"/>
      <c r="AU627" s="609">
        <f>I627/21</f>
        <v>134</v>
      </c>
      <c r="AV627" s="633"/>
      <c r="AW627" s="633"/>
      <c r="AX627" s="633"/>
      <c r="AY627" s="633"/>
      <c r="AZ627" s="633"/>
      <c r="BA627" s="633"/>
      <c r="BB627" s="633"/>
      <c r="BC627" s="633"/>
      <c r="BD627" s="633"/>
      <c r="BE627" s="633"/>
      <c r="BF627" s="633"/>
      <c r="BG627" s="633"/>
      <c r="BH627" s="633"/>
      <c r="BI627" s="633"/>
      <c r="BJ627" s="633"/>
      <c r="BK627" s="633"/>
      <c r="BL627" s="633"/>
      <c r="BM627" s="401">
        <f t="shared" si="349"/>
        <v>2814</v>
      </c>
      <c r="BO627" s="1473"/>
      <c r="BP627" s="1473"/>
    </row>
    <row r="628" s="200" customFormat="1" ht="36" customHeight="1" spans="1:68">
      <c r="A628" s="533">
        <v>45516</v>
      </c>
      <c r="B628" s="527" t="s">
        <v>587</v>
      </c>
      <c r="C628" s="528" t="s">
        <v>117</v>
      </c>
      <c r="D628" s="534">
        <v>4500142776</v>
      </c>
      <c r="E628" s="1678" t="s">
        <v>2708</v>
      </c>
      <c r="F628" s="534" t="s">
        <v>2709</v>
      </c>
      <c r="G628" s="531" t="s">
        <v>120</v>
      </c>
      <c r="H628" s="532" t="s">
        <v>74</v>
      </c>
      <c r="I628" s="401">
        <v>3696</v>
      </c>
      <c r="J628" s="562">
        <v>0</v>
      </c>
      <c r="K628" s="531">
        <v>21</v>
      </c>
      <c r="L628" s="401">
        <f t="shared" si="384"/>
        <v>176</v>
      </c>
      <c r="M628" s="563">
        <v>45579</v>
      </c>
      <c r="N628" s="563">
        <v>45575</v>
      </c>
      <c r="O628" s="1474" t="s">
        <v>2710</v>
      </c>
      <c r="P628" s="564" t="s">
        <v>92</v>
      </c>
      <c r="Q628" s="564" t="s">
        <v>2711</v>
      </c>
      <c r="R628" s="564">
        <v>45523</v>
      </c>
      <c r="S628" s="564" t="s">
        <v>123</v>
      </c>
      <c r="T628" s="580" t="s">
        <v>2613</v>
      </c>
      <c r="U628" s="530" t="s">
        <v>2679</v>
      </c>
      <c r="V628" s="564" t="s">
        <v>634</v>
      </c>
      <c r="W628" s="592">
        <v>1.4585</v>
      </c>
      <c r="X628" s="593">
        <f>W628*L628</f>
        <v>256.696</v>
      </c>
      <c r="Y628" s="401" t="s">
        <v>2712</v>
      </c>
      <c r="Z628" s="607" t="s">
        <v>2616</v>
      </c>
      <c r="AA628" s="1453" t="s">
        <v>128</v>
      </c>
      <c r="AB628" s="608">
        <v>3696</v>
      </c>
      <c r="AC628" s="608">
        <f t="shared" si="370"/>
        <v>0</v>
      </c>
      <c r="AD628" s="608"/>
      <c r="AE628" s="564" t="s">
        <v>2389</v>
      </c>
      <c r="AF628" s="564"/>
      <c r="AG628" s="608">
        <f t="shared" si="389"/>
        <v>3696</v>
      </c>
      <c r="AH628" s="608"/>
      <c r="AI628" s="608"/>
      <c r="AJ628" s="608"/>
      <c r="AK628" s="609">
        <f t="shared" si="383"/>
        <v>3696</v>
      </c>
      <c r="AL628" s="609"/>
      <c r="AM628" s="609"/>
      <c r="AN628" s="609"/>
      <c r="AO628" s="615"/>
      <c r="AP628" s="609"/>
      <c r="AQ628" s="615">
        <f>I628</f>
        <v>3696</v>
      </c>
      <c r="AR628" s="609"/>
      <c r="AS628" s="609"/>
      <c r="AT628" s="633"/>
      <c r="AU628" s="609">
        <f>I628/21</f>
        <v>176</v>
      </c>
      <c r="AV628" s="633"/>
      <c r="AW628" s="633"/>
      <c r="AX628" s="633"/>
      <c r="AY628" s="633"/>
      <c r="AZ628" s="633"/>
      <c r="BA628" s="633"/>
      <c r="BB628" s="633"/>
      <c r="BC628" s="633"/>
      <c r="BD628" s="633"/>
      <c r="BE628" s="633"/>
      <c r="BF628" s="633"/>
      <c r="BG628" s="633"/>
      <c r="BH628" s="633"/>
      <c r="BI628" s="633"/>
      <c r="BJ628" s="633"/>
      <c r="BK628" s="633"/>
      <c r="BL628" s="633"/>
      <c r="BM628" s="401">
        <f t="shared" si="349"/>
        <v>3696</v>
      </c>
      <c r="BO628" s="1473"/>
      <c r="BP628" s="1473"/>
    </row>
    <row r="629" s="200" customFormat="1" ht="36" customHeight="1" spans="1:68">
      <c r="A629" s="533">
        <v>45509</v>
      </c>
      <c r="B629" s="527" t="s">
        <v>816</v>
      </c>
      <c r="C629" s="528" t="s">
        <v>117</v>
      </c>
      <c r="D629" s="534">
        <v>4500142162</v>
      </c>
      <c r="E629" s="530">
        <v>70047987</v>
      </c>
      <c r="F629" s="534" t="s">
        <v>2713</v>
      </c>
      <c r="G629" s="531" t="s">
        <v>96</v>
      </c>
      <c r="H629" s="532" t="s">
        <v>74</v>
      </c>
      <c r="I629" s="401">
        <v>8950</v>
      </c>
      <c r="J629" s="562">
        <v>0</v>
      </c>
      <c r="K629" s="531">
        <v>50</v>
      </c>
      <c r="L629" s="401">
        <f t="shared" si="384"/>
        <v>179</v>
      </c>
      <c r="M629" s="563">
        <v>45565</v>
      </c>
      <c r="N629" s="563">
        <v>45561</v>
      </c>
      <c r="O629" s="564"/>
      <c r="P629" s="564" t="s">
        <v>92</v>
      </c>
      <c r="Q629" s="564" t="s">
        <v>2714</v>
      </c>
      <c r="R629" s="564" t="s">
        <v>2562</v>
      </c>
      <c r="S629" s="564" t="s">
        <v>77</v>
      </c>
      <c r="T629" s="564" t="s">
        <v>2607</v>
      </c>
      <c r="U629" s="530" t="s">
        <v>2565</v>
      </c>
      <c r="V629" s="564" t="s">
        <v>2458</v>
      </c>
      <c r="W629" s="592">
        <v>1.4294</v>
      </c>
      <c r="X629" s="593">
        <f t="shared" ref="X629:X645" si="390">I629*W629</f>
        <v>12793.13</v>
      </c>
      <c r="Y629" s="401" t="s">
        <v>2715</v>
      </c>
      <c r="Z629" s="607" t="s">
        <v>96</v>
      </c>
      <c r="AA629" s="1453" t="s">
        <v>128</v>
      </c>
      <c r="AB629" s="608">
        <v>8950</v>
      </c>
      <c r="AC629" s="608">
        <f t="shared" si="370"/>
        <v>0</v>
      </c>
      <c r="AD629" s="608"/>
      <c r="AE629" s="564" t="s">
        <v>2389</v>
      </c>
      <c r="AF629" s="564"/>
      <c r="AG629" s="608">
        <f t="shared" si="389"/>
        <v>8950</v>
      </c>
      <c r="AH629" s="608"/>
      <c r="AI629" s="608"/>
      <c r="AJ629" s="608"/>
      <c r="AK629" s="1558">
        <f t="shared" si="383"/>
        <v>8950</v>
      </c>
      <c r="AL629" s="609"/>
      <c r="AM629" s="609"/>
      <c r="AN629" s="609"/>
      <c r="AO629" s="609">
        <f>I629</f>
        <v>8950</v>
      </c>
      <c r="AP629" s="609"/>
      <c r="AQ629" s="609"/>
      <c r="AR629" s="609"/>
      <c r="AS629" s="609"/>
      <c r="AT629" s="633"/>
      <c r="AU629" s="633"/>
      <c r="AV629" s="633"/>
      <c r="AW629" s="633"/>
      <c r="AX629" s="633"/>
      <c r="AY629" s="633"/>
      <c r="AZ629" s="633"/>
      <c r="BA629" s="633">
        <f>I629/25</f>
        <v>358</v>
      </c>
      <c r="BB629" s="633"/>
      <c r="BC629" s="633"/>
      <c r="BD629" s="633"/>
      <c r="BE629" s="633"/>
      <c r="BF629" s="633"/>
      <c r="BG629" s="633"/>
      <c r="BH629" s="633"/>
      <c r="BI629" s="633"/>
      <c r="BJ629" s="633"/>
      <c r="BK629" s="633"/>
      <c r="BL629" s="633"/>
      <c r="BM629" s="401">
        <f t="shared" si="349"/>
        <v>8950</v>
      </c>
      <c r="BO629" s="1473"/>
      <c r="BP629" s="1473"/>
    </row>
    <row r="630" s="200" customFormat="1" ht="36" customHeight="1" spans="1:73">
      <c r="A630" s="533">
        <v>45532</v>
      </c>
      <c r="B630" s="527" t="s">
        <v>1794</v>
      </c>
      <c r="C630" s="528" t="s">
        <v>117</v>
      </c>
      <c r="D630" s="534">
        <v>4500144054</v>
      </c>
      <c r="E630" s="530" t="s">
        <v>2716</v>
      </c>
      <c r="F630" s="534" t="s">
        <v>2717</v>
      </c>
      <c r="G630" s="531" t="s">
        <v>628</v>
      </c>
      <c r="H630" s="532" t="s">
        <v>623</v>
      </c>
      <c r="I630" s="401">
        <v>804</v>
      </c>
      <c r="J630" s="562">
        <v>0</v>
      </c>
      <c r="K630" s="531">
        <v>12</v>
      </c>
      <c r="L630" s="401">
        <f t="shared" si="384"/>
        <v>67</v>
      </c>
      <c r="M630" s="563">
        <v>45565</v>
      </c>
      <c r="N630" s="563">
        <v>45561</v>
      </c>
      <c r="O630" s="564" t="s">
        <v>2718</v>
      </c>
      <c r="P630" s="200" t="s">
        <v>92</v>
      </c>
      <c r="Q630" s="564" t="s">
        <v>2719</v>
      </c>
      <c r="R630" s="564">
        <v>45534</v>
      </c>
      <c r="S630" s="564" t="s">
        <v>77</v>
      </c>
      <c r="T630" s="580" t="s">
        <v>2720</v>
      </c>
      <c r="U630" s="1605" t="s">
        <v>2721</v>
      </c>
      <c r="V630" s="564" t="s">
        <v>1341</v>
      </c>
      <c r="W630" s="592">
        <v>3.1012</v>
      </c>
      <c r="X630" s="593">
        <f t="shared" si="390"/>
        <v>2493.3648</v>
      </c>
      <c r="Y630" s="401" t="s">
        <v>2722</v>
      </c>
      <c r="Z630" s="607" t="s">
        <v>729</v>
      </c>
      <c r="AA630" s="1453" t="s">
        <v>2723</v>
      </c>
      <c r="AB630" s="608">
        <v>804</v>
      </c>
      <c r="AC630" s="608">
        <f t="shared" si="370"/>
        <v>0</v>
      </c>
      <c r="AD630" s="608"/>
      <c r="AE630" s="564"/>
      <c r="AF630" s="564"/>
      <c r="AG630" s="608">
        <f t="shared" si="385"/>
        <v>1608</v>
      </c>
      <c r="AH630" s="608"/>
      <c r="AI630" s="608"/>
      <c r="AJ630" s="401"/>
      <c r="AK630" s="401"/>
      <c r="AL630" s="609">
        <f t="shared" ref="AL630:AL634" si="391">AG630</f>
        <v>1608</v>
      </c>
      <c r="AM630" s="609"/>
      <c r="AN630" s="609"/>
      <c r="AO630" s="615">
        <f t="shared" si="386"/>
        <v>1608</v>
      </c>
      <c r="AP630" s="609"/>
      <c r="AQ630" s="615"/>
      <c r="AR630" s="609"/>
      <c r="AS630" s="609"/>
      <c r="AT630" s="633"/>
      <c r="AU630" s="633"/>
      <c r="AV630" s="633"/>
      <c r="AW630" s="633"/>
      <c r="AX630" s="633"/>
      <c r="AY630" s="633"/>
      <c r="AZ630" s="633"/>
      <c r="BA630" s="633"/>
      <c r="BB630" s="633"/>
      <c r="BC630" s="633"/>
      <c r="BD630" s="633"/>
      <c r="BE630" s="633"/>
      <c r="BF630" s="633"/>
      <c r="BG630" s="633"/>
      <c r="BH630" s="633"/>
      <c r="BI630" s="633"/>
      <c r="BJ630" s="633"/>
      <c r="BK630" s="633">
        <f t="shared" si="387"/>
        <v>804</v>
      </c>
      <c r="BL630" s="633">
        <f t="shared" si="388"/>
        <v>804</v>
      </c>
      <c r="BM630" s="401">
        <f t="shared" si="349"/>
        <v>1608</v>
      </c>
      <c r="BO630" s="1473"/>
      <c r="BP630" s="1473"/>
      <c r="BU630" s="200" t="s">
        <v>2724</v>
      </c>
    </row>
    <row r="631" s="200" customFormat="1" ht="36" customHeight="1" spans="1:73">
      <c r="A631" s="533">
        <v>45532</v>
      </c>
      <c r="B631" s="527" t="s">
        <v>1794</v>
      </c>
      <c r="C631" s="528" t="s">
        <v>117</v>
      </c>
      <c r="D631" s="534">
        <v>4500144055</v>
      </c>
      <c r="E631" s="530" t="s">
        <v>2725</v>
      </c>
      <c r="F631" s="534" t="s">
        <v>2726</v>
      </c>
      <c r="G631" s="531" t="s">
        <v>628</v>
      </c>
      <c r="H631" s="532" t="s">
        <v>623</v>
      </c>
      <c r="I631" s="401">
        <v>804</v>
      </c>
      <c r="J631" s="562">
        <v>0</v>
      </c>
      <c r="K631" s="531">
        <v>12</v>
      </c>
      <c r="L631" s="401">
        <f t="shared" si="384"/>
        <v>67</v>
      </c>
      <c r="M631" s="563">
        <v>45565</v>
      </c>
      <c r="N631" s="563">
        <v>45561</v>
      </c>
      <c r="O631" s="564" t="s">
        <v>2718</v>
      </c>
      <c r="P631" s="200" t="s">
        <v>92</v>
      </c>
      <c r="Q631" s="564" t="s">
        <v>2727</v>
      </c>
      <c r="R631" s="564">
        <v>45534</v>
      </c>
      <c r="S631" s="564" t="s">
        <v>77</v>
      </c>
      <c r="T631" s="580" t="s">
        <v>2720</v>
      </c>
      <c r="U631" s="1605" t="s">
        <v>2721</v>
      </c>
      <c r="V631" s="564" t="s">
        <v>1341</v>
      </c>
      <c r="W631" s="592">
        <v>3.1012</v>
      </c>
      <c r="X631" s="593">
        <f t="shared" si="390"/>
        <v>2493.3648</v>
      </c>
      <c r="Y631" s="401" t="s">
        <v>2728</v>
      </c>
      <c r="Z631" s="607" t="s">
        <v>729</v>
      </c>
      <c r="AA631" s="1453" t="s">
        <v>2723</v>
      </c>
      <c r="AB631" s="608">
        <v>804</v>
      </c>
      <c r="AC631" s="608">
        <f t="shared" si="370"/>
        <v>0</v>
      </c>
      <c r="AD631" s="608"/>
      <c r="AE631" s="564"/>
      <c r="AF631" s="564"/>
      <c r="AG631" s="608">
        <f t="shared" si="385"/>
        <v>1608</v>
      </c>
      <c r="AH631" s="608"/>
      <c r="AI631" s="608"/>
      <c r="AJ631" s="401"/>
      <c r="AK631" s="609"/>
      <c r="AL631" s="609">
        <f t="shared" si="391"/>
        <v>1608</v>
      </c>
      <c r="AM631" s="609"/>
      <c r="AN631" s="609"/>
      <c r="AO631" s="615">
        <f t="shared" si="386"/>
        <v>1608</v>
      </c>
      <c r="AP631" s="609"/>
      <c r="AQ631" s="615"/>
      <c r="AR631" s="609"/>
      <c r="AS631" s="609"/>
      <c r="AT631" s="633"/>
      <c r="AU631" s="633"/>
      <c r="AV631" s="633"/>
      <c r="AW631" s="633"/>
      <c r="AX631" s="633"/>
      <c r="AY631" s="633"/>
      <c r="AZ631" s="633"/>
      <c r="BA631" s="633"/>
      <c r="BB631" s="633"/>
      <c r="BC631" s="633"/>
      <c r="BD631" s="633"/>
      <c r="BE631" s="633"/>
      <c r="BF631" s="633"/>
      <c r="BG631" s="633"/>
      <c r="BH631" s="633"/>
      <c r="BI631" s="633"/>
      <c r="BJ631" s="633"/>
      <c r="BK631" s="633">
        <f t="shared" si="387"/>
        <v>804</v>
      </c>
      <c r="BL631" s="633">
        <f t="shared" si="388"/>
        <v>804</v>
      </c>
      <c r="BM631" s="401">
        <f t="shared" si="349"/>
        <v>1608</v>
      </c>
      <c r="BO631" s="1473"/>
      <c r="BP631" s="1473"/>
      <c r="BU631" s="200" t="s">
        <v>2724</v>
      </c>
    </row>
    <row r="632" s="200" customFormat="1" ht="36" customHeight="1" spans="1:68">
      <c r="A632" s="533">
        <v>45539</v>
      </c>
      <c r="B632" s="527" t="s">
        <v>2729</v>
      </c>
      <c r="C632" s="528" t="s">
        <v>2730</v>
      </c>
      <c r="D632" s="534">
        <v>4500144539</v>
      </c>
      <c r="E632" s="530"/>
      <c r="F632" s="534" t="s">
        <v>2731</v>
      </c>
      <c r="G632" s="531" t="s">
        <v>403</v>
      </c>
      <c r="H632" s="532" t="s">
        <v>74</v>
      </c>
      <c r="I632" s="401">
        <v>156</v>
      </c>
      <c r="J632" s="562">
        <v>0</v>
      </c>
      <c r="K632" s="531">
        <v>52</v>
      </c>
      <c r="L632" s="401">
        <f t="shared" si="384"/>
        <v>3</v>
      </c>
      <c r="M632" s="563">
        <v>45565</v>
      </c>
      <c r="N632" s="563">
        <v>45561</v>
      </c>
      <c r="O632" s="564"/>
      <c r="P632" s="564" t="s">
        <v>92</v>
      </c>
      <c r="Q632" s="564" t="s">
        <v>2732</v>
      </c>
      <c r="R632" s="564">
        <v>45541</v>
      </c>
      <c r="S632" s="564" t="s">
        <v>77</v>
      </c>
      <c r="T632" s="564" t="s">
        <v>77</v>
      </c>
      <c r="U632" s="1605" t="s">
        <v>2733</v>
      </c>
      <c r="V632" s="564" t="s">
        <v>1553</v>
      </c>
      <c r="W632" s="592">
        <v>1.4096</v>
      </c>
      <c r="X632" s="593">
        <f t="shared" si="390"/>
        <v>219.8976</v>
      </c>
      <c r="Y632" s="401" t="s">
        <v>2734</v>
      </c>
      <c r="Z632" s="607" t="s">
        <v>403</v>
      </c>
      <c r="AA632" s="1453" t="s">
        <v>128</v>
      </c>
      <c r="AB632" s="608">
        <v>156</v>
      </c>
      <c r="AC632" s="608">
        <f t="shared" si="370"/>
        <v>0</v>
      </c>
      <c r="AD632" s="608"/>
      <c r="AE632" s="564"/>
      <c r="AF632" s="564"/>
      <c r="AG632" s="608">
        <f t="shared" ref="AG632:AG641" si="392">I632</f>
        <v>156</v>
      </c>
      <c r="AH632" s="608"/>
      <c r="AI632" s="608"/>
      <c r="AJ632" s="608"/>
      <c r="AK632" s="609">
        <f t="shared" ref="AK632:AK636" si="393">AG632</f>
        <v>156</v>
      </c>
      <c r="AL632" s="609"/>
      <c r="AM632" s="609"/>
      <c r="AN632" s="609"/>
      <c r="AO632" s="609">
        <f t="shared" si="386"/>
        <v>156</v>
      </c>
      <c r="AP632" s="609"/>
      <c r="AQ632" s="615"/>
      <c r="AR632" s="609"/>
      <c r="AS632" s="609"/>
      <c r="AT632" s="633"/>
      <c r="AU632" s="633"/>
      <c r="AV632" s="633"/>
      <c r="AW632" s="633"/>
      <c r="AX632" s="633"/>
      <c r="AY632" s="633">
        <f>AG632/13</f>
        <v>12</v>
      </c>
      <c r="AZ632" s="633"/>
      <c r="BA632" s="633"/>
      <c r="BB632" s="633"/>
      <c r="BC632" s="633"/>
      <c r="BD632" s="633"/>
      <c r="BE632" s="633"/>
      <c r="BF632" s="633"/>
      <c r="BG632" s="633"/>
      <c r="BH632" s="633"/>
      <c r="BI632" s="633"/>
      <c r="BJ632" s="633"/>
      <c r="BK632" s="633"/>
      <c r="BL632" s="633"/>
      <c r="BM632" s="401">
        <f t="shared" si="349"/>
        <v>156</v>
      </c>
      <c r="BO632" s="1473"/>
      <c r="BP632" s="1473"/>
    </row>
    <row r="633" s="200" customFormat="1" ht="36" customHeight="1" spans="1:73">
      <c r="A633" s="533">
        <v>45532</v>
      </c>
      <c r="B633" s="527" t="s">
        <v>1794</v>
      </c>
      <c r="C633" s="528" t="s">
        <v>117</v>
      </c>
      <c r="D633" s="534">
        <v>4500144056</v>
      </c>
      <c r="E633" s="530" t="s">
        <v>2716</v>
      </c>
      <c r="F633" s="534" t="s">
        <v>2735</v>
      </c>
      <c r="G633" s="531" t="s">
        <v>628</v>
      </c>
      <c r="H633" s="532" t="s">
        <v>623</v>
      </c>
      <c r="I633" s="401">
        <v>804</v>
      </c>
      <c r="J633" s="562">
        <v>0</v>
      </c>
      <c r="K633" s="531">
        <v>12</v>
      </c>
      <c r="L633" s="401">
        <f t="shared" si="384"/>
        <v>67</v>
      </c>
      <c r="M633" s="563">
        <v>45572</v>
      </c>
      <c r="N633" s="563">
        <v>45568</v>
      </c>
      <c r="O633" s="564" t="s">
        <v>2718</v>
      </c>
      <c r="P633" s="200" t="s">
        <v>92</v>
      </c>
      <c r="Q633" s="564" t="s">
        <v>2714</v>
      </c>
      <c r="R633" s="564">
        <v>45534</v>
      </c>
      <c r="S633" s="564" t="s">
        <v>77</v>
      </c>
      <c r="T633" s="580" t="s">
        <v>2720</v>
      </c>
      <c r="U633" s="1605" t="s">
        <v>2721</v>
      </c>
      <c r="V633" s="564" t="s">
        <v>1341</v>
      </c>
      <c r="W633" s="592">
        <v>3.1012</v>
      </c>
      <c r="X633" s="593">
        <f t="shared" si="390"/>
        <v>2493.3648</v>
      </c>
      <c r="Y633" s="401" t="s">
        <v>2736</v>
      </c>
      <c r="Z633" s="607" t="s">
        <v>729</v>
      </c>
      <c r="AA633" s="1453" t="s">
        <v>2723</v>
      </c>
      <c r="AB633" s="608">
        <v>804</v>
      </c>
      <c r="AC633" s="608">
        <f t="shared" si="370"/>
        <v>0</v>
      </c>
      <c r="AD633" s="608"/>
      <c r="AE633" s="564"/>
      <c r="AF633" s="564"/>
      <c r="AG633" s="608">
        <f t="shared" ref="AG633:AG636" si="394">I633*2</f>
        <v>1608</v>
      </c>
      <c r="AH633" s="608"/>
      <c r="AI633" s="608"/>
      <c r="AJ633" s="401"/>
      <c r="AK633" s="609"/>
      <c r="AL633" s="609">
        <f t="shared" si="391"/>
        <v>1608</v>
      </c>
      <c r="AM633" s="609"/>
      <c r="AN633" s="609"/>
      <c r="AO633" s="615">
        <f t="shared" si="386"/>
        <v>1608</v>
      </c>
      <c r="AP633" s="609"/>
      <c r="AQ633" s="615"/>
      <c r="AR633" s="609"/>
      <c r="AS633" s="609"/>
      <c r="AT633" s="633"/>
      <c r="AU633" s="633"/>
      <c r="AV633" s="633"/>
      <c r="AW633" s="633"/>
      <c r="AX633" s="633"/>
      <c r="AY633" s="633"/>
      <c r="AZ633" s="633"/>
      <c r="BA633" s="633"/>
      <c r="BB633" s="633"/>
      <c r="BC633" s="633"/>
      <c r="BD633" s="633"/>
      <c r="BE633" s="633"/>
      <c r="BF633" s="633"/>
      <c r="BG633" s="633"/>
      <c r="BH633" s="633"/>
      <c r="BI633" s="633"/>
      <c r="BJ633" s="633"/>
      <c r="BK633" s="633">
        <f t="shared" ref="BK633:BK636" si="395">I633</f>
        <v>804</v>
      </c>
      <c r="BL633" s="633">
        <f t="shared" ref="BL633:BL636" si="396">I633</f>
        <v>804</v>
      </c>
      <c r="BM633" s="401">
        <f t="shared" si="349"/>
        <v>1608</v>
      </c>
      <c r="BO633" s="1473"/>
      <c r="BP633" s="1473"/>
      <c r="BU633" s="200" t="s">
        <v>2724</v>
      </c>
    </row>
    <row r="634" s="200" customFormat="1" ht="36" customHeight="1" spans="1:73">
      <c r="A634" s="533">
        <v>45532</v>
      </c>
      <c r="B634" s="527" t="s">
        <v>1794</v>
      </c>
      <c r="C634" s="528" t="s">
        <v>117</v>
      </c>
      <c r="D634" s="534">
        <v>4500144057</v>
      </c>
      <c r="E634" s="530" t="s">
        <v>2725</v>
      </c>
      <c r="F634" s="534" t="s">
        <v>2737</v>
      </c>
      <c r="G634" s="531" t="s">
        <v>628</v>
      </c>
      <c r="H634" s="532" t="s">
        <v>623</v>
      </c>
      <c r="I634" s="401">
        <v>804</v>
      </c>
      <c r="J634" s="562">
        <v>0</v>
      </c>
      <c r="K634" s="531">
        <v>12</v>
      </c>
      <c r="L634" s="401">
        <f t="shared" si="384"/>
        <v>67</v>
      </c>
      <c r="M634" s="563">
        <v>45572</v>
      </c>
      <c r="N634" s="563">
        <v>45568</v>
      </c>
      <c r="O634" s="564" t="s">
        <v>2718</v>
      </c>
      <c r="P634" s="200" t="s">
        <v>92</v>
      </c>
      <c r="Q634" s="564" t="s">
        <v>2738</v>
      </c>
      <c r="R634" s="564">
        <v>45534</v>
      </c>
      <c r="S634" s="564" t="s">
        <v>77</v>
      </c>
      <c r="T634" s="580" t="s">
        <v>2720</v>
      </c>
      <c r="U634" s="1605" t="s">
        <v>2721</v>
      </c>
      <c r="V634" s="564" t="s">
        <v>1341</v>
      </c>
      <c r="W634" s="592">
        <v>3.1012</v>
      </c>
      <c r="X634" s="593">
        <f t="shared" si="390"/>
        <v>2493.3648</v>
      </c>
      <c r="Y634" s="401" t="s">
        <v>2739</v>
      </c>
      <c r="Z634" s="607" t="s">
        <v>729</v>
      </c>
      <c r="AA634" s="1453" t="s">
        <v>2723</v>
      </c>
      <c r="AB634" s="608">
        <v>804</v>
      </c>
      <c r="AC634" s="608">
        <f t="shared" si="370"/>
        <v>0</v>
      </c>
      <c r="AD634" s="608"/>
      <c r="AE634" s="564"/>
      <c r="AF634" s="564"/>
      <c r="AG634" s="608">
        <f t="shared" si="394"/>
        <v>1608</v>
      </c>
      <c r="AH634" s="608"/>
      <c r="AI634" s="608"/>
      <c r="AJ634" s="401"/>
      <c r="AK634" s="609"/>
      <c r="AL634" s="609">
        <f t="shared" si="391"/>
        <v>1608</v>
      </c>
      <c r="AM634" s="609"/>
      <c r="AN634" s="609"/>
      <c r="AO634" s="615">
        <f t="shared" si="386"/>
        <v>1608</v>
      </c>
      <c r="AP634" s="609"/>
      <c r="AQ634" s="615"/>
      <c r="AR634" s="609"/>
      <c r="AS634" s="609"/>
      <c r="AT634" s="633"/>
      <c r="AU634" s="633"/>
      <c r="AV634" s="633"/>
      <c r="AW634" s="633"/>
      <c r="AX634" s="633"/>
      <c r="AY634" s="633"/>
      <c r="AZ634" s="633"/>
      <c r="BA634" s="633"/>
      <c r="BB634" s="633"/>
      <c r="BC634" s="633"/>
      <c r="BD634" s="633"/>
      <c r="BE634" s="633"/>
      <c r="BF634" s="633"/>
      <c r="BG634" s="633"/>
      <c r="BH634" s="633"/>
      <c r="BI634" s="633"/>
      <c r="BJ634" s="633"/>
      <c r="BK634" s="633">
        <f t="shared" si="395"/>
        <v>804</v>
      </c>
      <c r="BL634" s="633">
        <f t="shared" si="396"/>
        <v>804</v>
      </c>
      <c r="BM634" s="401">
        <f t="shared" si="349"/>
        <v>1608</v>
      </c>
      <c r="BO634" s="1473"/>
      <c r="BP634" s="1473"/>
      <c r="BU634" s="200" t="s">
        <v>2724</v>
      </c>
    </row>
    <row r="635" s="200" customFormat="1" ht="36" customHeight="1" spans="1:68">
      <c r="A635" s="533">
        <v>45495</v>
      </c>
      <c r="B635" s="527" t="s">
        <v>2740</v>
      </c>
      <c r="C635" s="528" t="s">
        <v>1303</v>
      </c>
      <c r="D635" s="534">
        <v>4500139234</v>
      </c>
      <c r="E635" s="530"/>
      <c r="F635" s="534" t="s">
        <v>2741</v>
      </c>
      <c r="G635" s="531" t="s">
        <v>403</v>
      </c>
      <c r="H635" s="532" t="s">
        <v>74</v>
      </c>
      <c r="I635" s="401">
        <v>3016</v>
      </c>
      <c r="J635" s="562">
        <v>0</v>
      </c>
      <c r="K635" s="531">
        <v>52</v>
      </c>
      <c r="L635" s="401">
        <f t="shared" si="384"/>
        <v>58</v>
      </c>
      <c r="M635" s="563">
        <v>45565</v>
      </c>
      <c r="N635" s="563">
        <v>45561</v>
      </c>
      <c r="O635" s="564"/>
      <c r="P635" s="200" t="s">
        <v>92</v>
      </c>
      <c r="Q635" s="564" t="s">
        <v>2742</v>
      </c>
      <c r="R635" s="564" t="s">
        <v>2444</v>
      </c>
      <c r="S635" s="564" t="s">
        <v>77</v>
      </c>
      <c r="T635" s="1552" t="s">
        <v>2743</v>
      </c>
      <c r="U635" s="530" t="s">
        <v>2744</v>
      </c>
      <c r="V635" s="564" t="s">
        <v>1308</v>
      </c>
      <c r="W635" s="592">
        <v>1.3922</v>
      </c>
      <c r="X635" s="593">
        <f t="shared" si="390"/>
        <v>4198.8752</v>
      </c>
      <c r="Y635" s="401" t="s">
        <v>2745</v>
      </c>
      <c r="Z635" s="607" t="s">
        <v>403</v>
      </c>
      <c r="AA635" s="1453" t="s">
        <v>128</v>
      </c>
      <c r="AB635" s="608">
        <v>3016</v>
      </c>
      <c r="AC635" s="608">
        <f t="shared" si="370"/>
        <v>0</v>
      </c>
      <c r="AD635" s="608"/>
      <c r="AE635" s="564" t="s">
        <v>2389</v>
      </c>
      <c r="AF635" s="564"/>
      <c r="AG635" s="608">
        <f t="shared" si="392"/>
        <v>3016</v>
      </c>
      <c r="AH635" s="608"/>
      <c r="AI635" s="608"/>
      <c r="AJ635" s="608"/>
      <c r="AK635" s="609">
        <f t="shared" si="393"/>
        <v>3016</v>
      </c>
      <c r="AL635" s="609"/>
      <c r="AM635" s="609"/>
      <c r="AN635" s="609"/>
      <c r="AO635" s="609">
        <f t="shared" si="386"/>
        <v>3016</v>
      </c>
      <c r="AP635" s="609"/>
      <c r="AQ635" s="609"/>
      <c r="AR635" s="609"/>
      <c r="AS635" s="609"/>
      <c r="AT635" s="633"/>
      <c r="AU635" s="633"/>
      <c r="AV635" s="633"/>
      <c r="AW635" s="633"/>
      <c r="AX635" s="633"/>
      <c r="AY635" s="633">
        <f>AG635/13</f>
        <v>232</v>
      </c>
      <c r="AZ635" s="633"/>
      <c r="BA635" s="633"/>
      <c r="BB635" s="633"/>
      <c r="BC635" s="633"/>
      <c r="BD635" s="633"/>
      <c r="BE635" s="633"/>
      <c r="BF635" s="633"/>
      <c r="BG635" s="633"/>
      <c r="BH635" s="633"/>
      <c r="BI635" s="633"/>
      <c r="BJ635" s="633"/>
      <c r="BK635" s="633"/>
      <c r="BL635" s="633"/>
      <c r="BM635" s="401">
        <f t="shared" si="349"/>
        <v>3016</v>
      </c>
      <c r="BO635" s="1473"/>
      <c r="BP635" s="1473"/>
    </row>
    <row r="636" s="200" customFormat="1" ht="36" customHeight="1" spans="1:73">
      <c r="A636" s="533">
        <v>45509</v>
      </c>
      <c r="B636" s="527" t="s">
        <v>816</v>
      </c>
      <c r="C636" s="528" t="s">
        <v>117</v>
      </c>
      <c r="D636" s="534">
        <v>4500142165</v>
      </c>
      <c r="E636" s="530">
        <v>70048938</v>
      </c>
      <c r="F636" s="534" t="s">
        <v>2746</v>
      </c>
      <c r="G636" s="531" t="s">
        <v>628</v>
      </c>
      <c r="H636" s="532" t="s">
        <v>623</v>
      </c>
      <c r="I636" s="401">
        <v>1008</v>
      </c>
      <c r="J636" s="562">
        <v>0</v>
      </c>
      <c r="K636" s="531">
        <v>12</v>
      </c>
      <c r="L636" s="401">
        <f t="shared" si="384"/>
        <v>84</v>
      </c>
      <c r="M636" s="563">
        <v>45565</v>
      </c>
      <c r="N636" s="563">
        <v>45561</v>
      </c>
      <c r="O636" s="564"/>
      <c r="P636" s="200" t="s">
        <v>92</v>
      </c>
      <c r="Q636" s="564" t="s">
        <v>2714</v>
      </c>
      <c r="R636" s="564" t="s">
        <v>2562</v>
      </c>
      <c r="S636" s="564" t="s">
        <v>77</v>
      </c>
      <c r="T636" s="564" t="s">
        <v>2607</v>
      </c>
      <c r="U636" s="530" t="s">
        <v>1955</v>
      </c>
      <c r="V636" s="564" t="s">
        <v>163</v>
      </c>
      <c r="W636" s="592">
        <v>3.1012</v>
      </c>
      <c r="X636" s="593">
        <f t="shared" si="390"/>
        <v>3126.0096</v>
      </c>
      <c r="Y636" s="401" t="s">
        <v>2747</v>
      </c>
      <c r="Z636" s="607" t="s">
        <v>822</v>
      </c>
      <c r="AA636" s="1453" t="s">
        <v>128</v>
      </c>
      <c r="AB636" s="608">
        <v>1008</v>
      </c>
      <c r="AC636" s="608">
        <f t="shared" si="370"/>
        <v>0</v>
      </c>
      <c r="AD636" s="608"/>
      <c r="AE636" s="564" t="s">
        <v>2389</v>
      </c>
      <c r="AF636" s="564"/>
      <c r="AG636" s="608">
        <f t="shared" si="394"/>
        <v>2016</v>
      </c>
      <c r="AH636" s="608"/>
      <c r="AI636" s="608"/>
      <c r="AJ636" s="608"/>
      <c r="AK636" s="1558">
        <f t="shared" si="393"/>
        <v>2016</v>
      </c>
      <c r="AL636" s="609"/>
      <c r="AM636" s="609"/>
      <c r="AN636" s="609"/>
      <c r="AO636" s="615">
        <f t="shared" si="386"/>
        <v>2016</v>
      </c>
      <c r="AP636" s="609"/>
      <c r="AQ636" s="609"/>
      <c r="AR636" s="609"/>
      <c r="AS636" s="609"/>
      <c r="AT636" s="633"/>
      <c r="AU636" s="633"/>
      <c r="AV636" s="633"/>
      <c r="AW636" s="633"/>
      <c r="AX636" s="633"/>
      <c r="AY636" s="633"/>
      <c r="AZ636" s="633"/>
      <c r="BA636" s="633"/>
      <c r="BB636" s="633"/>
      <c r="BC636" s="633"/>
      <c r="BD636" s="633"/>
      <c r="BE636" s="633"/>
      <c r="BF636" s="633"/>
      <c r="BG636" s="633"/>
      <c r="BH636" s="633"/>
      <c r="BI636" s="633"/>
      <c r="BJ636" s="633"/>
      <c r="BK636" s="633">
        <f t="shared" si="395"/>
        <v>1008</v>
      </c>
      <c r="BL636" s="633">
        <f t="shared" si="396"/>
        <v>1008</v>
      </c>
      <c r="BM636" s="401">
        <f t="shared" si="349"/>
        <v>2016</v>
      </c>
      <c r="BO636" s="1473"/>
      <c r="BP636" s="1473"/>
      <c r="BU636" s="200" t="s">
        <v>2221</v>
      </c>
    </row>
    <row r="637" s="200" customFormat="1" ht="36" customHeight="1" spans="1:68">
      <c r="A637" s="533">
        <v>45527</v>
      </c>
      <c r="B637" s="527" t="s">
        <v>1126</v>
      </c>
      <c r="C637" s="528" t="s">
        <v>180</v>
      </c>
      <c r="D637" s="534">
        <v>4500143798</v>
      </c>
      <c r="E637" s="530">
        <v>4400429648</v>
      </c>
      <c r="F637" s="534" t="s">
        <v>2748</v>
      </c>
      <c r="G637" s="531" t="s">
        <v>96</v>
      </c>
      <c r="H637" s="532" t="s">
        <v>74</v>
      </c>
      <c r="I637" s="401">
        <v>1500</v>
      </c>
      <c r="J637" s="562">
        <v>0</v>
      </c>
      <c r="K637" s="531">
        <v>50</v>
      </c>
      <c r="L637" s="401">
        <f t="shared" si="384"/>
        <v>30</v>
      </c>
      <c r="M637" s="563">
        <v>45565</v>
      </c>
      <c r="N637" s="563">
        <v>45561</v>
      </c>
      <c r="O637" s="564"/>
      <c r="P637" s="200" t="s">
        <v>92</v>
      </c>
      <c r="Q637" s="564" t="s">
        <v>2749</v>
      </c>
      <c r="R637" s="564">
        <v>45527</v>
      </c>
      <c r="S637" s="564" t="s">
        <v>77</v>
      </c>
      <c r="T637" s="580" t="s">
        <v>2750</v>
      </c>
      <c r="U637" s="1605" t="s">
        <v>2751</v>
      </c>
      <c r="V637" s="564" t="s">
        <v>1129</v>
      </c>
      <c r="W637" s="592">
        <v>1.4344</v>
      </c>
      <c r="X637" s="593">
        <f t="shared" si="390"/>
        <v>2151.6</v>
      </c>
      <c r="Y637" s="401" t="s">
        <v>2752</v>
      </c>
      <c r="Z637" s="607" t="s">
        <v>292</v>
      </c>
      <c r="AA637" s="1453" t="s">
        <v>128</v>
      </c>
      <c r="AB637" s="608">
        <v>1500</v>
      </c>
      <c r="AC637" s="608">
        <f t="shared" si="370"/>
        <v>0</v>
      </c>
      <c r="AD637" s="608"/>
      <c r="AE637" s="564"/>
      <c r="AF637" s="564"/>
      <c r="AG637" s="608">
        <f t="shared" si="392"/>
        <v>1500</v>
      </c>
      <c r="AH637" s="608"/>
      <c r="AI637" s="608"/>
      <c r="AJ637" s="608"/>
      <c r="AK637" s="609"/>
      <c r="AL637" s="609">
        <f>AG637</f>
        <v>1500</v>
      </c>
      <c r="AM637" s="609"/>
      <c r="AN637" s="609"/>
      <c r="AO637" s="609">
        <f t="shared" ref="AO637:AO640" si="397">I637</f>
        <v>1500</v>
      </c>
      <c r="AP637" s="609"/>
      <c r="AQ637" s="615"/>
      <c r="AR637" s="609"/>
      <c r="AS637" s="609"/>
      <c r="AT637" s="633"/>
      <c r="AU637" s="633"/>
      <c r="AV637" s="633"/>
      <c r="AW637" s="633"/>
      <c r="AX637" s="633"/>
      <c r="AY637" s="633"/>
      <c r="AZ637" s="633"/>
      <c r="BA637" s="633"/>
      <c r="BB637" s="633">
        <f>I637/25</f>
        <v>60</v>
      </c>
      <c r="BC637" s="633"/>
      <c r="BD637" s="633"/>
      <c r="BE637" s="633"/>
      <c r="BF637" s="633"/>
      <c r="BG637" s="633"/>
      <c r="BH637" s="633"/>
      <c r="BI637" s="633"/>
      <c r="BJ637" s="633"/>
      <c r="BK637" s="633"/>
      <c r="BL637" s="633"/>
      <c r="BM637" s="401">
        <f t="shared" si="349"/>
        <v>1500</v>
      </c>
      <c r="BO637" s="1473"/>
      <c r="BP637" s="1473"/>
    </row>
    <row r="638" s="200" customFormat="1" ht="36" customHeight="1" spans="1:68">
      <c r="A638" s="533">
        <v>45520</v>
      </c>
      <c r="B638" s="527" t="s">
        <v>561</v>
      </c>
      <c r="C638" s="528" t="s">
        <v>190</v>
      </c>
      <c r="D638" s="534">
        <v>4500142720</v>
      </c>
      <c r="E638" s="534">
        <v>2342237</v>
      </c>
      <c r="F638" s="534" t="s">
        <v>2753</v>
      </c>
      <c r="G638" s="531" t="s">
        <v>160</v>
      </c>
      <c r="H638" s="532" t="s">
        <v>74</v>
      </c>
      <c r="I638" s="401">
        <v>1612</v>
      </c>
      <c r="J638" s="562">
        <v>0</v>
      </c>
      <c r="K638" s="531">
        <v>13</v>
      </c>
      <c r="L638" s="401">
        <f t="shared" si="384"/>
        <v>124</v>
      </c>
      <c r="M638" s="563">
        <v>45572</v>
      </c>
      <c r="N638" s="563">
        <v>45568</v>
      </c>
      <c r="O638" s="564" t="s">
        <v>563</v>
      </c>
      <c r="P638" s="564" t="s">
        <v>92</v>
      </c>
      <c r="Q638" s="564" t="s">
        <v>2754</v>
      </c>
      <c r="R638" s="564">
        <v>45520</v>
      </c>
      <c r="S638" s="564" t="s">
        <v>123</v>
      </c>
      <c r="T638" s="564" t="s">
        <v>2755</v>
      </c>
      <c r="U638" s="530" t="s">
        <v>2756</v>
      </c>
      <c r="V638" s="564" t="s">
        <v>194</v>
      </c>
      <c r="W638" s="592">
        <v>1.4432</v>
      </c>
      <c r="X638" s="593">
        <f t="shared" si="390"/>
        <v>2326.4384</v>
      </c>
      <c r="Y638" s="401" t="s">
        <v>2757</v>
      </c>
      <c r="Z638" s="607" t="s">
        <v>160</v>
      </c>
      <c r="AA638" s="1453" t="s">
        <v>128</v>
      </c>
      <c r="AB638" s="608">
        <v>1612</v>
      </c>
      <c r="AC638" s="608">
        <f t="shared" si="370"/>
        <v>0</v>
      </c>
      <c r="AD638" s="608"/>
      <c r="AE638" s="564" t="s">
        <v>2389</v>
      </c>
      <c r="AF638" s="564"/>
      <c r="AG638" s="608">
        <f t="shared" si="392"/>
        <v>1612</v>
      </c>
      <c r="AH638" s="608"/>
      <c r="AI638" s="608"/>
      <c r="AJ638" s="608"/>
      <c r="AK638" s="609">
        <f t="shared" ref="AK638:AK640" si="398">I638</f>
        <v>1612</v>
      </c>
      <c r="AL638" s="609"/>
      <c r="AM638" s="609"/>
      <c r="AN638" s="609"/>
      <c r="AO638" s="609">
        <f t="shared" si="397"/>
        <v>1612</v>
      </c>
      <c r="AP638" s="609"/>
      <c r="AQ638" s="609"/>
      <c r="AR638" s="609"/>
      <c r="AS638" s="609"/>
      <c r="AT638" s="633"/>
      <c r="AU638" s="633"/>
      <c r="AV638" s="633"/>
      <c r="AW638" s="633"/>
      <c r="AX638" s="633"/>
      <c r="AY638" s="633">
        <f t="shared" ref="AY638:AY640" si="399">I638/13</f>
        <v>124</v>
      </c>
      <c r="AZ638" s="633"/>
      <c r="BA638" s="633"/>
      <c r="BB638" s="633"/>
      <c r="BC638" s="633"/>
      <c r="BD638" s="633"/>
      <c r="BE638" s="633"/>
      <c r="BF638" s="633"/>
      <c r="BG638" s="633"/>
      <c r="BH638" s="633"/>
      <c r="BI638" s="633"/>
      <c r="BJ638" s="633"/>
      <c r="BK638" s="633"/>
      <c r="BL638" s="633"/>
      <c r="BM638" s="401">
        <f t="shared" si="349"/>
        <v>1612</v>
      </c>
      <c r="BO638" s="1473"/>
      <c r="BP638" s="1473"/>
    </row>
    <row r="639" s="200" customFormat="1" ht="36" customHeight="1" spans="1:68">
      <c r="A639" s="533">
        <v>45524</v>
      </c>
      <c r="B639" s="527" t="s">
        <v>158</v>
      </c>
      <c r="C639" s="528" t="s">
        <v>117</v>
      </c>
      <c r="D639" s="534">
        <v>4500143374</v>
      </c>
      <c r="E639" s="534">
        <v>216125566</v>
      </c>
      <c r="F639" s="534" t="s">
        <v>2758</v>
      </c>
      <c r="G639" s="531" t="s">
        <v>160</v>
      </c>
      <c r="H639" s="532" t="s">
        <v>74</v>
      </c>
      <c r="I639" s="401">
        <v>1560</v>
      </c>
      <c r="J639" s="562">
        <v>0</v>
      </c>
      <c r="K639" s="531">
        <v>13</v>
      </c>
      <c r="L639" s="401">
        <f t="shared" si="384"/>
        <v>120</v>
      </c>
      <c r="M639" s="563">
        <v>45572</v>
      </c>
      <c r="N639" s="563">
        <v>45568</v>
      </c>
      <c r="O639" s="564"/>
      <c r="P639" s="564" t="s">
        <v>92</v>
      </c>
      <c r="Q639" s="564" t="s">
        <v>2759</v>
      </c>
      <c r="R639" s="564">
        <v>45533</v>
      </c>
      <c r="S639" s="564" t="s">
        <v>77</v>
      </c>
      <c r="T639" s="1552" t="s">
        <v>77</v>
      </c>
      <c r="U639" s="530" t="s">
        <v>162</v>
      </c>
      <c r="V639" s="564" t="s">
        <v>163</v>
      </c>
      <c r="W639" s="592">
        <v>1.3901</v>
      </c>
      <c r="X639" s="593">
        <f t="shared" si="390"/>
        <v>2168.556</v>
      </c>
      <c r="Y639" s="401" t="s">
        <v>2760</v>
      </c>
      <c r="Z639" s="607" t="s">
        <v>160</v>
      </c>
      <c r="AA639" s="1453" t="s">
        <v>128</v>
      </c>
      <c r="AB639" s="608">
        <v>1560</v>
      </c>
      <c r="AC639" s="608">
        <f t="shared" si="370"/>
        <v>0</v>
      </c>
      <c r="AD639" s="608"/>
      <c r="AE639" s="564" t="s">
        <v>2389</v>
      </c>
      <c r="AF639" s="564"/>
      <c r="AG639" s="608">
        <f t="shared" si="392"/>
        <v>1560</v>
      </c>
      <c r="AH639" s="608"/>
      <c r="AI639" s="608"/>
      <c r="AJ639" s="608"/>
      <c r="AK639" s="609">
        <f t="shared" si="398"/>
        <v>1560</v>
      </c>
      <c r="AL639" s="609"/>
      <c r="AM639" s="609"/>
      <c r="AN639" s="609"/>
      <c r="AO639" s="609">
        <f t="shared" si="397"/>
        <v>1560</v>
      </c>
      <c r="AP639" s="609"/>
      <c r="AQ639" s="609"/>
      <c r="AR639" s="609"/>
      <c r="AS639" s="609"/>
      <c r="AT639" s="633"/>
      <c r="AU639" s="633"/>
      <c r="AV639" s="633"/>
      <c r="AW639" s="633"/>
      <c r="AX639" s="633"/>
      <c r="AY639" s="633">
        <f t="shared" si="399"/>
        <v>120</v>
      </c>
      <c r="AZ639" s="633"/>
      <c r="BA639" s="633"/>
      <c r="BB639" s="633"/>
      <c r="BC639" s="633"/>
      <c r="BD639" s="633"/>
      <c r="BE639" s="633"/>
      <c r="BF639" s="633"/>
      <c r="BG639" s="633"/>
      <c r="BH639" s="633"/>
      <c r="BI639" s="633"/>
      <c r="BJ639" s="633"/>
      <c r="BK639" s="633"/>
      <c r="BL639" s="633"/>
      <c r="BM639" s="401">
        <f t="shared" si="349"/>
        <v>1560</v>
      </c>
      <c r="BO639" s="1473"/>
      <c r="BP639" s="1473"/>
    </row>
    <row r="640" s="200" customFormat="1" ht="36" customHeight="1" spans="1:68">
      <c r="A640" s="533">
        <v>45524</v>
      </c>
      <c r="B640" s="527" t="s">
        <v>158</v>
      </c>
      <c r="C640" s="528" t="s">
        <v>117</v>
      </c>
      <c r="D640" s="534">
        <v>4500143380</v>
      </c>
      <c r="E640" s="534">
        <v>216125567</v>
      </c>
      <c r="F640" s="534" t="s">
        <v>2761</v>
      </c>
      <c r="G640" s="531" t="s">
        <v>160</v>
      </c>
      <c r="H640" s="532" t="s">
        <v>74</v>
      </c>
      <c r="I640" s="401">
        <v>845</v>
      </c>
      <c r="J640" s="562">
        <v>0</v>
      </c>
      <c r="K640" s="531">
        <v>13</v>
      </c>
      <c r="L640" s="401">
        <f t="shared" si="384"/>
        <v>65</v>
      </c>
      <c r="M640" s="563">
        <v>45572</v>
      </c>
      <c r="N640" s="563">
        <v>45568</v>
      </c>
      <c r="O640" s="564"/>
      <c r="P640" s="564" t="s">
        <v>92</v>
      </c>
      <c r="Q640" s="564" t="s">
        <v>2759</v>
      </c>
      <c r="R640" s="564">
        <v>45533</v>
      </c>
      <c r="S640" s="564" t="s">
        <v>77</v>
      </c>
      <c r="T640" s="1552" t="s">
        <v>77</v>
      </c>
      <c r="U640" s="530" t="s">
        <v>162</v>
      </c>
      <c r="V640" s="564" t="s">
        <v>163</v>
      </c>
      <c r="W640" s="592">
        <v>1.3952</v>
      </c>
      <c r="X640" s="593">
        <f t="shared" si="390"/>
        <v>1178.944</v>
      </c>
      <c r="Y640" s="401" t="s">
        <v>2762</v>
      </c>
      <c r="Z640" s="607" t="s">
        <v>160</v>
      </c>
      <c r="AA640" s="1453" t="s">
        <v>128</v>
      </c>
      <c r="AB640" s="608">
        <v>845</v>
      </c>
      <c r="AC640" s="608">
        <f t="shared" si="370"/>
        <v>0</v>
      </c>
      <c r="AD640" s="608"/>
      <c r="AE640" s="564" t="s">
        <v>2389</v>
      </c>
      <c r="AF640" s="564"/>
      <c r="AG640" s="608">
        <f t="shared" si="392"/>
        <v>845</v>
      </c>
      <c r="AH640" s="608"/>
      <c r="AI640" s="608"/>
      <c r="AJ640" s="608"/>
      <c r="AK640" s="609">
        <f t="shared" si="398"/>
        <v>845</v>
      </c>
      <c r="AL640" s="609"/>
      <c r="AM640" s="609"/>
      <c r="AN640" s="609"/>
      <c r="AO640" s="609">
        <f t="shared" si="397"/>
        <v>845</v>
      </c>
      <c r="AP640" s="609"/>
      <c r="AQ640" s="609"/>
      <c r="AR640" s="609"/>
      <c r="AS640" s="609"/>
      <c r="AT640" s="633"/>
      <c r="AU640" s="633"/>
      <c r="AV640" s="633"/>
      <c r="AW640" s="633"/>
      <c r="AX640" s="633"/>
      <c r="AY640" s="633">
        <f t="shared" si="399"/>
        <v>65</v>
      </c>
      <c r="AZ640" s="633"/>
      <c r="BA640" s="633"/>
      <c r="BB640" s="633"/>
      <c r="BC640" s="633"/>
      <c r="BD640" s="633"/>
      <c r="BE640" s="633"/>
      <c r="BF640" s="633"/>
      <c r="BG640" s="633"/>
      <c r="BH640" s="633"/>
      <c r="BI640" s="633"/>
      <c r="BJ640" s="633"/>
      <c r="BK640" s="633"/>
      <c r="BL640" s="633"/>
      <c r="BM640" s="401">
        <f t="shared" si="349"/>
        <v>845</v>
      </c>
      <c r="BO640" s="1473"/>
      <c r="BP640" s="1473"/>
    </row>
    <row r="641" s="200" customFormat="1" ht="36" customHeight="1" spans="1:68">
      <c r="A641" s="533">
        <v>45490</v>
      </c>
      <c r="B641" s="527" t="s">
        <v>2763</v>
      </c>
      <c r="C641" s="528" t="s">
        <v>384</v>
      </c>
      <c r="D641" s="534">
        <v>4500140409</v>
      </c>
      <c r="E641" s="530">
        <v>4500048707</v>
      </c>
      <c r="F641" s="534" t="s">
        <v>2764</v>
      </c>
      <c r="G641" s="531" t="s">
        <v>207</v>
      </c>
      <c r="H641" s="532" t="s">
        <v>74</v>
      </c>
      <c r="I641" s="401">
        <v>1536</v>
      </c>
      <c r="J641" s="562">
        <v>0</v>
      </c>
      <c r="K641" s="531">
        <v>48</v>
      </c>
      <c r="L641" s="401">
        <f t="shared" si="384"/>
        <v>32</v>
      </c>
      <c r="M641" s="563">
        <v>45574</v>
      </c>
      <c r="N641" s="563">
        <v>45570</v>
      </c>
      <c r="O641" s="564" t="s">
        <v>2765</v>
      </c>
      <c r="P641" s="200" t="s">
        <v>92</v>
      </c>
      <c r="Q641" s="564" t="s">
        <v>2727</v>
      </c>
      <c r="R641" s="564">
        <v>45520</v>
      </c>
      <c r="S641" s="564" t="s">
        <v>77</v>
      </c>
      <c r="T641" s="1552" t="s">
        <v>2766</v>
      </c>
      <c r="U641" s="1499" t="s">
        <v>2767</v>
      </c>
      <c r="V641" s="564" t="s">
        <v>389</v>
      </c>
      <c r="W641" s="592">
        <v>1.4064</v>
      </c>
      <c r="X641" s="593">
        <f t="shared" si="390"/>
        <v>2160.2304</v>
      </c>
      <c r="Y641" s="401" t="s">
        <v>2768</v>
      </c>
      <c r="Z641" s="607" t="s">
        <v>484</v>
      </c>
      <c r="AA641" s="1453" t="s">
        <v>128</v>
      </c>
      <c r="AB641" s="608">
        <v>1536</v>
      </c>
      <c r="AC641" s="608">
        <f t="shared" si="370"/>
        <v>0</v>
      </c>
      <c r="AD641" s="608"/>
      <c r="AE641" s="564" t="s">
        <v>2389</v>
      </c>
      <c r="AF641" s="564"/>
      <c r="AG641" s="608">
        <f t="shared" si="392"/>
        <v>1536</v>
      </c>
      <c r="AH641" s="608"/>
      <c r="AI641" s="608"/>
      <c r="AJ641" s="608"/>
      <c r="AK641" s="609"/>
      <c r="AL641" s="609">
        <f>I641</f>
        <v>1536</v>
      </c>
      <c r="AM641" s="609"/>
      <c r="AN641" s="609"/>
      <c r="AO641" s="609">
        <f>AG641</f>
        <v>1536</v>
      </c>
      <c r="AP641" s="609"/>
      <c r="AQ641" s="609"/>
      <c r="AR641" s="609"/>
      <c r="AS641" s="609"/>
      <c r="AT641" s="633"/>
      <c r="AU641" s="633"/>
      <c r="AV641" s="633"/>
      <c r="AW641" s="633"/>
      <c r="AX641" s="633">
        <f>I641/12</f>
        <v>128</v>
      </c>
      <c r="AY641" s="633"/>
      <c r="AZ641" s="633"/>
      <c r="BA641" s="633"/>
      <c r="BB641" s="633"/>
      <c r="BC641" s="633"/>
      <c r="BD641" s="633"/>
      <c r="BE641" s="633"/>
      <c r="BF641" s="633"/>
      <c r="BG641" s="633"/>
      <c r="BH641" s="633"/>
      <c r="BI641" s="633"/>
      <c r="BJ641" s="633"/>
      <c r="BK641" s="633"/>
      <c r="BL641" s="633"/>
      <c r="BM641" s="401">
        <f t="shared" si="349"/>
        <v>1536</v>
      </c>
      <c r="BO641" s="1473"/>
      <c r="BP641" s="1473"/>
    </row>
    <row r="642" s="200" customFormat="1" ht="36" customHeight="1" spans="1:73">
      <c r="A642" s="533">
        <v>45531</v>
      </c>
      <c r="B642" s="527" t="s">
        <v>816</v>
      </c>
      <c r="C642" s="528" t="s">
        <v>117</v>
      </c>
      <c r="D642" s="534">
        <v>4500143896</v>
      </c>
      <c r="E642" s="530">
        <v>70048940</v>
      </c>
      <c r="F642" s="534" t="s">
        <v>2769</v>
      </c>
      <c r="G642" s="531" t="s">
        <v>628</v>
      </c>
      <c r="H642" s="532" t="s">
        <v>623</v>
      </c>
      <c r="I642" s="401">
        <v>804</v>
      </c>
      <c r="J642" s="562">
        <v>0</v>
      </c>
      <c r="K642" s="531">
        <v>12</v>
      </c>
      <c r="L642" s="401">
        <f t="shared" si="384"/>
        <v>67</v>
      </c>
      <c r="M642" s="563">
        <v>45574</v>
      </c>
      <c r="N642" s="563">
        <v>45570</v>
      </c>
      <c r="O642" s="564"/>
      <c r="P642" s="200" t="s">
        <v>92</v>
      </c>
      <c r="Q642" s="564" t="s">
        <v>2770</v>
      </c>
      <c r="R642" s="1607">
        <v>45531</v>
      </c>
      <c r="S642" s="1599" t="s">
        <v>77</v>
      </c>
      <c r="T642" s="1552" t="s">
        <v>2771</v>
      </c>
      <c r="U642" s="530" t="s">
        <v>2772</v>
      </c>
      <c r="V642" s="564" t="s">
        <v>2458</v>
      </c>
      <c r="W642" s="592">
        <v>3.1012</v>
      </c>
      <c r="X642" s="593">
        <f t="shared" si="390"/>
        <v>2493.3648</v>
      </c>
      <c r="Y642" s="401" t="s">
        <v>2773</v>
      </c>
      <c r="Z642" s="607" t="s">
        <v>822</v>
      </c>
      <c r="AA642" s="1453" t="s">
        <v>128</v>
      </c>
      <c r="AB642" s="608">
        <v>804</v>
      </c>
      <c r="AC642" s="608">
        <f t="shared" si="370"/>
        <v>0</v>
      </c>
      <c r="AD642" s="608"/>
      <c r="AE642" s="564"/>
      <c r="AF642" s="564"/>
      <c r="AG642" s="608">
        <f>I642*2</f>
        <v>1608</v>
      </c>
      <c r="AH642" s="608"/>
      <c r="AI642" s="608"/>
      <c r="AJ642" s="608"/>
      <c r="AK642" s="609">
        <f>AG642</f>
        <v>1608</v>
      </c>
      <c r="AL642" s="609"/>
      <c r="AM642" s="609"/>
      <c r="AN642" s="609"/>
      <c r="AO642" s="615">
        <f>AG642</f>
        <v>1608</v>
      </c>
      <c r="AP642" s="609"/>
      <c r="AQ642" s="615"/>
      <c r="AR642" s="609"/>
      <c r="AS642" s="609"/>
      <c r="AT642" s="633"/>
      <c r="AU642" s="633"/>
      <c r="AV642" s="633"/>
      <c r="AW642" s="633"/>
      <c r="AX642" s="633"/>
      <c r="AY642" s="633"/>
      <c r="AZ642" s="633"/>
      <c r="BA642" s="633"/>
      <c r="BB642" s="633"/>
      <c r="BC642" s="633"/>
      <c r="BD642" s="633"/>
      <c r="BE642" s="633"/>
      <c r="BF642" s="633"/>
      <c r="BG642" s="633"/>
      <c r="BH642" s="633"/>
      <c r="BI642" s="633"/>
      <c r="BJ642" s="633"/>
      <c r="BK642" s="633">
        <f>I642</f>
        <v>804</v>
      </c>
      <c r="BL642" s="633">
        <f>I642</f>
        <v>804</v>
      </c>
      <c r="BM642" s="401">
        <f t="shared" si="349"/>
        <v>1608</v>
      </c>
      <c r="BO642" s="1473"/>
      <c r="BP642" s="1473"/>
      <c r="BU642" s="200" t="s">
        <v>2221</v>
      </c>
    </row>
    <row r="643" s="200" customFormat="1" ht="36" customHeight="1" spans="1:68">
      <c r="A643" s="533">
        <v>45533</v>
      </c>
      <c r="B643" s="527" t="s">
        <v>561</v>
      </c>
      <c r="C643" s="528" t="s">
        <v>190</v>
      </c>
      <c r="D643" s="534">
        <v>4500143914</v>
      </c>
      <c r="E643" s="530">
        <v>2376449</v>
      </c>
      <c r="F643" s="534" t="s">
        <v>2774</v>
      </c>
      <c r="G643" s="531" t="s">
        <v>160</v>
      </c>
      <c r="H643" s="532" t="s">
        <v>74</v>
      </c>
      <c r="I643" s="401">
        <v>4004</v>
      </c>
      <c r="J643" s="562">
        <v>0</v>
      </c>
      <c r="K643" s="531">
        <v>13</v>
      </c>
      <c r="L643" s="401">
        <f t="shared" si="384"/>
        <v>308</v>
      </c>
      <c r="M643" s="563">
        <v>45579</v>
      </c>
      <c r="N643" s="563">
        <v>45575</v>
      </c>
      <c r="O643" s="564"/>
      <c r="P643" s="564" t="s">
        <v>92</v>
      </c>
      <c r="Q643" s="564"/>
      <c r="R643" s="564">
        <v>45533</v>
      </c>
      <c r="S643" s="564" t="s">
        <v>123</v>
      </c>
      <c r="T643" s="564" t="s">
        <v>2775</v>
      </c>
      <c r="U643" s="530" t="s">
        <v>2776</v>
      </c>
      <c r="V643" s="564" t="s">
        <v>1011</v>
      </c>
      <c r="W643" s="592">
        <v>1.4432</v>
      </c>
      <c r="X643" s="593">
        <f t="shared" si="390"/>
        <v>5778.5728</v>
      </c>
      <c r="Y643" s="401" t="s">
        <v>2777</v>
      </c>
      <c r="Z643" s="607" t="s">
        <v>160</v>
      </c>
      <c r="AA643" s="1453" t="s">
        <v>128</v>
      </c>
      <c r="AB643" s="608">
        <v>4004</v>
      </c>
      <c r="AC643" s="608">
        <f t="shared" si="370"/>
        <v>0</v>
      </c>
      <c r="AD643" s="608"/>
      <c r="AE643" s="564"/>
      <c r="AF643" s="564"/>
      <c r="AG643" s="608">
        <f t="shared" ref="AG643:AG647" si="400">I643</f>
        <v>4004</v>
      </c>
      <c r="AH643" s="608"/>
      <c r="AI643" s="608"/>
      <c r="AJ643" s="608"/>
      <c r="AK643" s="609">
        <f t="shared" ref="AK643:AK647" si="401">I643</f>
        <v>4004</v>
      </c>
      <c r="AL643" s="609"/>
      <c r="AM643" s="609"/>
      <c r="AN643" s="609"/>
      <c r="AO643" s="609">
        <f t="shared" ref="AO643:AO647" si="402">I643</f>
        <v>4004</v>
      </c>
      <c r="AP643" s="609"/>
      <c r="AQ643" s="615"/>
      <c r="AR643" s="609"/>
      <c r="AS643" s="609"/>
      <c r="AT643" s="633"/>
      <c r="AU643" s="609"/>
      <c r="AV643" s="633"/>
      <c r="AW643" s="633"/>
      <c r="AX643" s="633"/>
      <c r="AY643" s="633">
        <f t="shared" ref="AY643:AY645" si="403">I643/13</f>
        <v>308</v>
      </c>
      <c r="AZ643" s="633"/>
      <c r="BA643" s="633"/>
      <c r="BB643" s="633"/>
      <c r="BC643" s="633"/>
      <c r="BD643" s="633"/>
      <c r="BE643" s="633"/>
      <c r="BF643" s="633"/>
      <c r="BG643" s="633"/>
      <c r="BH643" s="633"/>
      <c r="BI643" s="633"/>
      <c r="BJ643" s="633"/>
      <c r="BK643" s="633"/>
      <c r="BL643" s="633"/>
      <c r="BM643" s="401">
        <f t="shared" si="349"/>
        <v>4004</v>
      </c>
      <c r="BO643" s="1473"/>
      <c r="BP643" s="1473"/>
    </row>
    <row r="644" s="200" customFormat="1" ht="36" customHeight="1" spans="1:68">
      <c r="A644" s="533">
        <v>45537</v>
      </c>
      <c r="B644" s="527" t="s">
        <v>189</v>
      </c>
      <c r="C644" s="528" t="s">
        <v>190</v>
      </c>
      <c r="D644" s="534">
        <v>4500144440</v>
      </c>
      <c r="E644" s="530">
        <v>20301504</v>
      </c>
      <c r="F644" s="534" t="s">
        <v>2778</v>
      </c>
      <c r="G644" s="531" t="s">
        <v>160</v>
      </c>
      <c r="H644" s="532" t="s">
        <v>74</v>
      </c>
      <c r="I644" s="401">
        <v>3744</v>
      </c>
      <c r="J644" s="562">
        <v>0</v>
      </c>
      <c r="K644" s="531">
        <v>13</v>
      </c>
      <c r="L644" s="401">
        <f t="shared" si="384"/>
        <v>288</v>
      </c>
      <c r="M644" s="563">
        <v>45579</v>
      </c>
      <c r="N644" s="563">
        <v>45575</v>
      </c>
      <c r="O644" s="564"/>
      <c r="P644" s="564" t="s">
        <v>92</v>
      </c>
      <c r="Q644" s="564" t="s">
        <v>2779</v>
      </c>
      <c r="R644" s="564">
        <v>45544</v>
      </c>
      <c r="S644" s="564" t="s">
        <v>123</v>
      </c>
      <c r="T644" s="564" t="s">
        <v>2780</v>
      </c>
      <c r="U644" s="530" t="s">
        <v>2781</v>
      </c>
      <c r="V644" s="564" t="s">
        <v>1011</v>
      </c>
      <c r="W644" s="592">
        <v>1.4432</v>
      </c>
      <c r="X644" s="593">
        <f t="shared" si="390"/>
        <v>5403.3408</v>
      </c>
      <c r="Y644" s="401" t="s">
        <v>2782</v>
      </c>
      <c r="Z644" s="607" t="s">
        <v>160</v>
      </c>
      <c r="AA644" s="1453" t="s">
        <v>128</v>
      </c>
      <c r="AB644" s="200">
        <v>3744</v>
      </c>
      <c r="AC644" s="608">
        <f t="shared" si="370"/>
        <v>0</v>
      </c>
      <c r="AD644" s="608"/>
      <c r="AG644" s="608">
        <f t="shared" si="400"/>
        <v>3744</v>
      </c>
      <c r="AH644" s="608"/>
      <c r="AI644" s="608"/>
      <c r="AJ644" s="608"/>
      <c r="AK644" s="609">
        <f t="shared" si="401"/>
        <v>3744</v>
      </c>
      <c r="AL644" s="609"/>
      <c r="AM644" s="609"/>
      <c r="AN644" s="609"/>
      <c r="AO644" s="609">
        <f t="shared" si="402"/>
        <v>3744</v>
      </c>
      <c r="AP644" s="609"/>
      <c r="AQ644" s="615"/>
      <c r="AR644" s="609"/>
      <c r="AS644" s="609"/>
      <c r="AT644" s="633"/>
      <c r="AU644" s="609"/>
      <c r="AV644" s="633"/>
      <c r="AW644" s="633"/>
      <c r="AX644" s="633"/>
      <c r="AY644" s="633">
        <f t="shared" si="403"/>
        <v>288</v>
      </c>
      <c r="AZ644" s="633"/>
      <c r="BA644" s="633"/>
      <c r="BB644" s="633"/>
      <c r="BC644" s="633"/>
      <c r="BD644" s="633"/>
      <c r="BE644" s="633"/>
      <c r="BF644" s="633"/>
      <c r="BG644" s="633"/>
      <c r="BH644" s="633"/>
      <c r="BI644" s="633"/>
      <c r="BJ644" s="633"/>
      <c r="BK644" s="633"/>
      <c r="BL644" s="633"/>
      <c r="BM644" s="401">
        <f t="shared" ref="BM644:BM707" si="404">AG644+AH644+AI644</f>
        <v>3744</v>
      </c>
      <c r="BO644" s="1473"/>
      <c r="BP644" s="1473"/>
    </row>
    <row r="645" s="200" customFormat="1" ht="36" customHeight="1" spans="1:68">
      <c r="A645" s="526">
        <v>45537</v>
      </c>
      <c r="B645" s="1563" t="s">
        <v>232</v>
      </c>
      <c r="C645" s="1560" t="s">
        <v>233</v>
      </c>
      <c r="D645" s="529">
        <v>4500144441</v>
      </c>
      <c r="E645" s="1509">
        <v>20301507</v>
      </c>
      <c r="F645" s="529" t="s">
        <v>2783</v>
      </c>
      <c r="G645" s="531" t="s">
        <v>160</v>
      </c>
      <c r="H645" s="532" t="s">
        <v>74</v>
      </c>
      <c r="I645" s="401">
        <v>1794</v>
      </c>
      <c r="J645" s="562">
        <v>0</v>
      </c>
      <c r="K645" s="531">
        <v>13</v>
      </c>
      <c r="L645" s="401">
        <f t="shared" si="384"/>
        <v>138</v>
      </c>
      <c r="M645" s="563">
        <v>45579</v>
      </c>
      <c r="N645" s="563">
        <v>45575</v>
      </c>
      <c r="O645" s="564"/>
      <c r="P645" s="564" t="s">
        <v>92</v>
      </c>
      <c r="Q645" s="564" t="s">
        <v>2779</v>
      </c>
      <c r="R645" s="564">
        <v>45544</v>
      </c>
      <c r="S645" s="564" t="s">
        <v>123</v>
      </c>
      <c r="T645" s="564" t="s">
        <v>2780</v>
      </c>
      <c r="U645" s="530" t="s">
        <v>2784</v>
      </c>
      <c r="V645" s="564" t="s">
        <v>1011</v>
      </c>
      <c r="W645" s="592">
        <v>1.4432</v>
      </c>
      <c r="X645" s="593">
        <f t="shared" si="390"/>
        <v>2589.1008</v>
      </c>
      <c r="Y645" s="401" t="s">
        <v>2785</v>
      </c>
      <c r="Z645" s="607" t="s">
        <v>160</v>
      </c>
      <c r="AA645" s="1453" t="s">
        <v>128</v>
      </c>
      <c r="AB645" s="608">
        <v>1794</v>
      </c>
      <c r="AC645" s="608">
        <f t="shared" si="370"/>
        <v>0</v>
      </c>
      <c r="AD645" s="608"/>
      <c r="AE645" s="564"/>
      <c r="AF645" s="564"/>
      <c r="AG645" s="608">
        <f t="shared" si="400"/>
        <v>1794</v>
      </c>
      <c r="AH645" s="608"/>
      <c r="AI645" s="608"/>
      <c r="AJ645" s="608"/>
      <c r="AK645" s="609">
        <f t="shared" si="401"/>
        <v>1794</v>
      </c>
      <c r="AL645" s="609"/>
      <c r="AM645" s="609"/>
      <c r="AN645" s="609"/>
      <c r="AO645" s="609">
        <f t="shared" si="402"/>
        <v>1794</v>
      </c>
      <c r="AP645" s="609"/>
      <c r="AQ645" s="615"/>
      <c r="AR645" s="609"/>
      <c r="AS645" s="609"/>
      <c r="AT645" s="633"/>
      <c r="AU645" s="609"/>
      <c r="AV645" s="633"/>
      <c r="AW645" s="633"/>
      <c r="AX645" s="633"/>
      <c r="AY645" s="633">
        <f t="shared" si="403"/>
        <v>138</v>
      </c>
      <c r="AZ645" s="633"/>
      <c r="BA645" s="633"/>
      <c r="BB645" s="633"/>
      <c r="BC645" s="633"/>
      <c r="BD645" s="633"/>
      <c r="BE645" s="633"/>
      <c r="BF645" s="633"/>
      <c r="BG645" s="633"/>
      <c r="BH645" s="633"/>
      <c r="BI645" s="633"/>
      <c r="BJ645" s="633"/>
      <c r="BK645" s="633"/>
      <c r="BL645" s="633"/>
      <c r="BM645" s="401">
        <f t="shared" si="404"/>
        <v>1794</v>
      </c>
      <c r="BO645" s="1473"/>
      <c r="BP645" s="1473"/>
    </row>
    <row r="646" s="200" customFormat="1" ht="36" customHeight="1" spans="1:68">
      <c r="A646" s="526">
        <v>45538</v>
      </c>
      <c r="B646" s="1563" t="s">
        <v>485</v>
      </c>
      <c r="C646" s="1560" t="s">
        <v>233</v>
      </c>
      <c r="D646" s="529">
        <v>4500143931</v>
      </c>
      <c r="E646" s="1509">
        <v>28558246</v>
      </c>
      <c r="F646" s="529" t="s">
        <v>2786</v>
      </c>
      <c r="G646" s="531" t="s">
        <v>386</v>
      </c>
      <c r="H646" s="532" t="s">
        <v>74</v>
      </c>
      <c r="I646" s="511">
        <v>4500</v>
      </c>
      <c r="J646" s="562">
        <v>0</v>
      </c>
      <c r="K646" s="531">
        <v>60</v>
      </c>
      <c r="L646" s="401">
        <f t="shared" si="384"/>
        <v>75</v>
      </c>
      <c r="M646" s="563">
        <v>45579</v>
      </c>
      <c r="N646" s="563">
        <v>45575</v>
      </c>
      <c r="O646" s="564"/>
      <c r="P646" s="564" t="s">
        <v>92</v>
      </c>
      <c r="Q646" s="1552" t="s">
        <v>2787</v>
      </c>
      <c r="R646" s="564">
        <v>45538</v>
      </c>
      <c r="S646" s="564" t="s">
        <v>77</v>
      </c>
      <c r="T646" s="564" t="s">
        <v>77</v>
      </c>
      <c r="U646" s="530" t="s">
        <v>2788</v>
      </c>
      <c r="V646" s="564" t="s">
        <v>491</v>
      </c>
      <c r="W646" s="592">
        <v>19.5525</v>
      </c>
      <c r="X646" s="593">
        <f>W646*I646</f>
        <v>87986.25</v>
      </c>
      <c r="Y646" s="401" t="s">
        <v>2789</v>
      </c>
      <c r="Z646" s="607" t="s">
        <v>1570</v>
      </c>
      <c r="AA646" s="1453" t="s">
        <v>128</v>
      </c>
      <c r="AB646" s="608">
        <v>4500</v>
      </c>
      <c r="AC646" s="608">
        <f t="shared" si="370"/>
        <v>0</v>
      </c>
      <c r="AD646" s="608"/>
      <c r="AE646" s="564"/>
      <c r="AF646" s="564"/>
      <c r="AG646" s="608">
        <f t="shared" si="400"/>
        <v>4500</v>
      </c>
      <c r="AH646" s="608"/>
      <c r="AI646" s="608"/>
      <c r="AJ646" s="608"/>
      <c r="AK646" s="401">
        <f t="shared" si="401"/>
        <v>4500</v>
      </c>
      <c r="AL646" s="609"/>
      <c r="AM646" s="609"/>
      <c r="AN646" s="609"/>
      <c r="AO646" s="609">
        <f t="shared" si="402"/>
        <v>4500</v>
      </c>
      <c r="AP646" s="609"/>
      <c r="AQ646" s="615"/>
      <c r="AR646" s="609"/>
      <c r="AS646" s="609"/>
      <c r="AT646" s="633"/>
      <c r="AU646" s="609"/>
      <c r="AV646" s="633"/>
      <c r="AW646" s="633"/>
      <c r="AX646" s="633"/>
      <c r="AY646" s="633"/>
      <c r="AZ646" s="633"/>
      <c r="BA646" s="633"/>
      <c r="BB646" s="633"/>
      <c r="BC646" s="633"/>
      <c r="BD646" s="401"/>
      <c r="BE646" s="1569">
        <f>I646/60</f>
        <v>75</v>
      </c>
      <c r="BF646" s="633"/>
      <c r="BG646" s="633"/>
      <c r="BH646" s="633"/>
      <c r="BI646" s="633"/>
      <c r="BJ646" s="633"/>
      <c r="BK646" s="633"/>
      <c r="BL646" s="633"/>
      <c r="BM646" s="401">
        <f t="shared" si="404"/>
        <v>4500</v>
      </c>
      <c r="BO646" s="1473"/>
      <c r="BP646" s="1473"/>
    </row>
    <row r="647" s="200" customFormat="1" ht="36" customHeight="1" spans="1:68">
      <c r="A647" s="526">
        <v>45538</v>
      </c>
      <c r="B647" s="1563" t="s">
        <v>485</v>
      </c>
      <c r="C647" s="1560" t="s">
        <v>233</v>
      </c>
      <c r="D647" s="529">
        <v>4500144401</v>
      </c>
      <c r="E647" s="1509">
        <v>28558247</v>
      </c>
      <c r="F647" s="529" t="s">
        <v>2790</v>
      </c>
      <c r="G647" s="531" t="s">
        <v>386</v>
      </c>
      <c r="H647" s="532" t="s">
        <v>74</v>
      </c>
      <c r="I647" s="511">
        <v>1500</v>
      </c>
      <c r="J647" s="562">
        <v>0</v>
      </c>
      <c r="K647" s="531">
        <v>60</v>
      </c>
      <c r="L647" s="401">
        <f t="shared" si="384"/>
        <v>25</v>
      </c>
      <c r="M647" s="563">
        <v>45579</v>
      </c>
      <c r="N647" s="563">
        <v>45575</v>
      </c>
      <c r="O647" s="564"/>
      <c r="P647" s="564" t="s">
        <v>92</v>
      </c>
      <c r="Q647" s="564" t="s">
        <v>2791</v>
      </c>
      <c r="R647" s="564">
        <v>45538</v>
      </c>
      <c r="S647" s="564" t="s">
        <v>77</v>
      </c>
      <c r="T647" s="564" t="s">
        <v>77</v>
      </c>
      <c r="U647" s="530" t="s">
        <v>2792</v>
      </c>
      <c r="V647" s="564" t="s">
        <v>491</v>
      </c>
      <c r="W647" s="592">
        <v>19.5525</v>
      </c>
      <c r="X647" s="593">
        <f>W647*I647</f>
        <v>29328.75</v>
      </c>
      <c r="Y647" s="401" t="s">
        <v>2793</v>
      </c>
      <c r="Z647" s="607" t="s">
        <v>1570</v>
      </c>
      <c r="AA647" s="1453" t="s">
        <v>128</v>
      </c>
      <c r="AB647" s="608">
        <v>1500</v>
      </c>
      <c r="AC647" s="608">
        <f t="shared" si="370"/>
        <v>0</v>
      </c>
      <c r="AD647" s="608"/>
      <c r="AE647" s="564"/>
      <c r="AF647" s="564"/>
      <c r="AG647" s="608">
        <f t="shared" si="400"/>
        <v>1500</v>
      </c>
      <c r="AH647" s="608"/>
      <c r="AI647" s="608"/>
      <c r="AJ647" s="608"/>
      <c r="AK647" s="401">
        <f t="shared" si="401"/>
        <v>1500</v>
      </c>
      <c r="AL647" s="609"/>
      <c r="AM647" s="609"/>
      <c r="AN647" s="609"/>
      <c r="AO647" s="609">
        <f t="shared" si="402"/>
        <v>1500</v>
      </c>
      <c r="AP647" s="609"/>
      <c r="AQ647" s="615"/>
      <c r="AR647" s="609"/>
      <c r="AS647" s="609"/>
      <c r="AT647" s="633"/>
      <c r="AU647" s="609"/>
      <c r="AV647" s="633"/>
      <c r="AW647" s="633"/>
      <c r="AX647" s="633"/>
      <c r="AY647" s="633"/>
      <c r="AZ647" s="633"/>
      <c r="BA647" s="633"/>
      <c r="BB647" s="633"/>
      <c r="BC647" s="633"/>
      <c r="BD647" s="401"/>
      <c r="BE647" s="1569">
        <f>I647/60</f>
        <v>25</v>
      </c>
      <c r="BF647" s="633"/>
      <c r="BG647" s="633"/>
      <c r="BH647" s="633"/>
      <c r="BI647" s="633"/>
      <c r="BJ647" s="633"/>
      <c r="BK647" s="633"/>
      <c r="BL647" s="633"/>
      <c r="BM647" s="401">
        <f t="shared" si="404"/>
        <v>1500</v>
      </c>
      <c r="BO647" s="1473"/>
      <c r="BP647" s="1473"/>
    </row>
    <row r="648" s="200" customFormat="1" ht="36" customHeight="1" spans="1:73">
      <c r="A648" s="533">
        <v>45531</v>
      </c>
      <c r="B648" s="527" t="s">
        <v>816</v>
      </c>
      <c r="C648" s="528" t="s">
        <v>117</v>
      </c>
      <c r="D648" s="534">
        <v>4500143944</v>
      </c>
      <c r="E648" s="530">
        <v>70046919</v>
      </c>
      <c r="F648" s="534" t="s">
        <v>2794</v>
      </c>
      <c r="G648" s="531" t="s">
        <v>628</v>
      </c>
      <c r="H648" s="532" t="s">
        <v>623</v>
      </c>
      <c r="I648" s="401">
        <v>480</v>
      </c>
      <c r="J648" s="562">
        <v>0</v>
      </c>
      <c r="K648" s="531">
        <v>12</v>
      </c>
      <c r="L648" s="401">
        <f t="shared" si="384"/>
        <v>40</v>
      </c>
      <c r="M648" s="563">
        <v>45582</v>
      </c>
      <c r="N648" s="563">
        <v>45579</v>
      </c>
      <c r="O648" s="564"/>
      <c r="P648" s="564" t="s">
        <v>1262</v>
      </c>
      <c r="Q648" s="564" t="s">
        <v>2795</v>
      </c>
      <c r="R648" s="1607">
        <v>45531</v>
      </c>
      <c r="S648" s="1599" t="s">
        <v>77</v>
      </c>
      <c r="T648" s="1552" t="s">
        <v>2771</v>
      </c>
      <c r="U648" s="530" t="s">
        <v>2796</v>
      </c>
      <c r="V648" s="564" t="s">
        <v>2458</v>
      </c>
      <c r="W648" s="592">
        <v>3.0641</v>
      </c>
      <c r="X648" s="593">
        <f t="shared" ref="X648:X663" si="405">I648*W648</f>
        <v>1470.768</v>
      </c>
      <c r="Y648" s="401" t="s">
        <v>2797</v>
      </c>
      <c r="Z648" s="607" t="s">
        <v>822</v>
      </c>
      <c r="AA648" s="1453" t="s">
        <v>128</v>
      </c>
      <c r="AB648" s="608">
        <v>480</v>
      </c>
      <c r="AC648" s="608">
        <f t="shared" si="370"/>
        <v>0</v>
      </c>
      <c r="AD648" s="608"/>
      <c r="AE648" s="564"/>
      <c r="AF648" s="564"/>
      <c r="AG648" s="608">
        <f>I648*2</f>
        <v>960</v>
      </c>
      <c r="AH648" s="608"/>
      <c r="AI648" s="608"/>
      <c r="AJ648" s="608"/>
      <c r="AK648" s="609">
        <f>AG648</f>
        <v>960</v>
      </c>
      <c r="AL648" s="609"/>
      <c r="AM648" s="609"/>
      <c r="AN648" s="609"/>
      <c r="AO648" s="615">
        <f>AG648</f>
        <v>960</v>
      </c>
      <c r="AP648" s="609"/>
      <c r="AQ648" s="615"/>
      <c r="AR648" s="609"/>
      <c r="AS648" s="609"/>
      <c r="AT648" s="633"/>
      <c r="AU648" s="609"/>
      <c r="AV648" s="633"/>
      <c r="AW648" s="633"/>
      <c r="AX648" s="633"/>
      <c r="AY648" s="633"/>
      <c r="AZ648" s="633"/>
      <c r="BA648" s="633"/>
      <c r="BB648" s="633"/>
      <c r="BC648" s="633"/>
      <c r="BD648" s="633"/>
      <c r="BE648" s="633"/>
      <c r="BF648" s="633"/>
      <c r="BG648" s="633"/>
      <c r="BH648" s="633"/>
      <c r="BI648" s="633"/>
      <c r="BJ648" s="633"/>
      <c r="BK648" s="633">
        <f>I648</f>
        <v>480</v>
      </c>
      <c r="BL648" s="633">
        <f>I648</f>
        <v>480</v>
      </c>
      <c r="BM648" s="401">
        <f t="shared" si="404"/>
        <v>960</v>
      </c>
      <c r="BO648" s="1473"/>
      <c r="BP648" s="1473"/>
      <c r="BU648" s="200" t="s">
        <v>2221</v>
      </c>
    </row>
    <row r="649" s="200" customFormat="1" ht="36" customHeight="1" spans="1:68">
      <c r="A649" s="533">
        <v>45538</v>
      </c>
      <c r="B649" s="527" t="s">
        <v>1126</v>
      </c>
      <c r="C649" s="528" t="s">
        <v>180</v>
      </c>
      <c r="D649" s="534">
        <v>4500144474</v>
      </c>
      <c r="E649" s="530">
        <v>4400431465</v>
      </c>
      <c r="F649" s="534" t="s">
        <v>2798</v>
      </c>
      <c r="G649" s="531" t="s">
        <v>96</v>
      </c>
      <c r="H649" s="532" t="s">
        <v>74</v>
      </c>
      <c r="I649" s="401">
        <v>2000</v>
      </c>
      <c r="J649" s="562">
        <v>0</v>
      </c>
      <c r="K649" s="531">
        <v>50</v>
      </c>
      <c r="L649" s="401">
        <f t="shared" si="384"/>
        <v>40</v>
      </c>
      <c r="M649" s="563">
        <v>45583</v>
      </c>
      <c r="N649" s="563">
        <v>45579</v>
      </c>
      <c r="O649" s="564"/>
      <c r="P649" s="564" t="s">
        <v>92</v>
      </c>
      <c r="Q649" s="564" t="s">
        <v>2650</v>
      </c>
      <c r="R649" s="564">
        <v>45539</v>
      </c>
      <c r="S649" s="564" t="s">
        <v>77</v>
      </c>
      <c r="T649" s="580" t="s">
        <v>2799</v>
      </c>
      <c r="U649" s="530" t="s">
        <v>2751</v>
      </c>
      <c r="V649" s="564" t="s">
        <v>2800</v>
      </c>
      <c r="W649" s="592">
        <v>1.4174</v>
      </c>
      <c r="X649" s="593">
        <f t="shared" si="405"/>
        <v>2834.8</v>
      </c>
      <c r="Y649" s="401" t="s">
        <v>2801</v>
      </c>
      <c r="Z649" s="607" t="s">
        <v>292</v>
      </c>
      <c r="AA649" s="1453" t="s">
        <v>128</v>
      </c>
      <c r="AB649" s="608">
        <v>2000</v>
      </c>
      <c r="AC649" s="608">
        <f t="shared" si="370"/>
        <v>0</v>
      </c>
      <c r="AD649" s="608"/>
      <c r="AE649" s="564"/>
      <c r="AF649" s="564"/>
      <c r="AG649" s="608">
        <f t="shared" ref="AG649:AG654" si="406">I649</f>
        <v>2000</v>
      </c>
      <c r="AH649" s="608"/>
      <c r="AI649" s="608"/>
      <c r="AJ649" s="608"/>
      <c r="AK649" s="609"/>
      <c r="AL649" s="609">
        <f>AG649</f>
        <v>2000</v>
      </c>
      <c r="AM649" s="609"/>
      <c r="AN649" s="609"/>
      <c r="AO649" s="609">
        <f t="shared" ref="AO649:AO654" si="407">I649</f>
        <v>2000</v>
      </c>
      <c r="AP649" s="609"/>
      <c r="AQ649" s="615"/>
      <c r="AR649" s="609"/>
      <c r="AS649" s="609"/>
      <c r="AT649" s="633"/>
      <c r="AU649" s="609"/>
      <c r="AV649" s="633"/>
      <c r="AW649" s="633"/>
      <c r="AX649" s="633"/>
      <c r="AY649" s="633"/>
      <c r="AZ649" s="633"/>
      <c r="BA649" s="633"/>
      <c r="BB649" s="633">
        <f>I649/25</f>
        <v>80</v>
      </c>
      <c r="BC649" s="633"/>
      <c r="BD649" s="633"/>
      <c r="BE649" s="633"/>
      <c r="BF649" s="633"/>
      <c r="BG649" s="633"/>
      <c r="BH649" s="633"/>
      <c r="BI649" s="633"/>
      <c r="BJ649" s="633"/>
      <c r="BK649" s="633"/>
      <c r="BL649" s="633"/>
      <c r="BM649" s="401">
        <f t="shared" si="404"/>
        <v>2000</v>
      </c>
      <c r="BO649" s="1473"/>
      <c r="BP649" s="1473"/>
    </row>
    <row r="650" s="200" customFormat="1" ht="36" customHeight="1" spans="1:68">
      <c r="A650" s="533">
        <v>45540</v>
      </c>
      <c r="B650" s="527" t="s">
        <v>315</v>
      </c>
      <c r="C650" s="528" t="s">
        <v>477</v>
      </c>
      <c r="D650" s="534">
        <v>4500144611</v>
      </c>
      <c r="E650" s="530" t="s">
        <v>2802</v>
      </c>
      <c r="F650" s="534" t="s">
        <v>2803</v>
      </c>
      <c r="G650" s="531" t="s">
        <v>73</v>
      </c>
      <c r="H650" s="532" t="s">
        <v>74</v>
      </c>
      <c r="I650" s="401">
        <v>600</v>
      </c>
      <c r="J650" s="562">
        <v>0</v>
      </c>
      <c r="K650" s="531">
        <v>24</v>
      </c>
      <c r="L650" s="401">
        <f t="shared" si="384"/>
        <v>25</v>
      </c>
      <c r="M650" s="563">
        <v>45583</v>
      </c>
      <c r="N650" s="563">
        <v>45579</v>
      </c>
      <c r="O650" s="564"/>
      <c r="P650" s="564" t="s">
        <v>92</v>
      </c>
      <c r="Q650" s="564" t="s">
        <v>2804</v>
      </c>
      <c r="R650" s="1552" t="s">
        <v>1910</v>
      </c>
      <c r="S650" s="564" t="s">
        <v>123</v>
      </c>
      <c r="T650" s="564" t="s">
        <v>2805</v>
      </c>
      <c r="U650" s="530" t="s">
        <v>2806</v>
      </c>
      <c r="V650" s="564" t="s">
        <v>186</v>
      </c>
      <c r="W650" s="592">
        <v>1.3595</v>
      </c>
      <c r="X650" s="593">
        <f t="shared" si="405"/>
        <v>815.7</v>
      </c>
      <c r="Y650" s="401" t="s">
        <v>2807</v>
      </c>
      <c r="Z650" s="607" t="s">
        <v>188</v>
      </c>
      <c r="AA650" s="1453" t="s">
        <v>128</v>
      </c>
      <c r="AB650" s="608">
        <v>600</v>
      </c>
      <c r="AC650" s="608">
        <f t="shared" si="370"/>
        <v>0</v>
      </c>
      <c r="AD650" s="608"/>
      <c r="AE650" s="564"/>
      <c r="AF650" s="564"/>
      <c r="AG650" s="608">
        <f t="shared" si="406"/>
        <v>600</v>
      </c>
      <c r="AH650" s="608"/>
      <c r="AI650" s="608"/>
      <c r="AJ650" s="608"/>
      <c r="AK650" s="609"/>
      <c r="AL650" s="401">
        <f>I650</f>
        <v>600</v>
      </c>
      <c r="AM650" s="609"/>
      <c r="AN650" s="609"/>
      <c r="AO650" s="609">
        <f t="shared" si="407"/>
        <v>600</v>
      </c>
      <c r="AP650" s="609"/>
      <c r="AQ650" s="615"/>
      <c r="AR650" s="609"/>
      <c r="AS650" s="609"/>
      <c r="AT650" s="633"/>
      <c r="AU650" s="609"/>
      <c r="AV650" s="633"/>
      <c r="AW650" s="633"/>
      <c r="AX650" s="633"/>
      <c r="AY650" s="633"/>
      <c r="AZ650" s="633"/>
      <c r="BA650" s="633"/>
      <c r="BB650" s="633"/>
      <c r="BC650" s="633"/>
      <c r="BD650" s="633"/>
      <c r="BE650" s="633"/>
      <c r="BF650" s="633"/>
      <c r="BG650" s="633"/>
      <c r="BH650" s="633"/>
      <c r="BI650" s="633"/>
      <c r="BJ650" s="633"/>
      <c r="BK650" s="633"/>
      <c r="BL650" s="633"/>
      <c r="BM650" s="401">
        <f t="shared" si="404"/>
        <v>600</v>
      </c>
      <c r="BO650" s="1473"/>
      <c r="BP650" s="1473"/>
    </row>
    <row r="651" s="200" customFormat="1" ht="36" customHeight="1" spans="1:68">
      <c r="A651" s="533">
        <v>45540</v>
      </c>
      <c r="B651" s="527" t="s">
        <v>315</v>
      </c>
      <c r="C651" s="528" t="s">
        <v>477</v>
      </c>
      <c r="D651" s="534">
        <v>4500144611</v>
      </c>
      <c r="E651" s="530" t="s">
        <v>2808</v>
      </c>
      <c r="F651" s="534" t="s">
        <v>2809</v>
      </c>
      <c r="G651" s="531" t="s">
        <v>73</v>
      </c>
      <c r="H651" s="532" t="s">
        <v>74</v>
      </c>
      <c r="I651" s="401">
        <v>600</v>
      </c>
      <c r="J651" s="562">
        <v>0</v>
      </c>
      <c r="K651" s="531">
        <v>24</v>
      </c>
      <c r="L651" s="401">
        <f t="shared" si="384"/>
        <v>25</v>
      </c>
      <c r="M651" s="563">
        <v>45583</v>
      </c>
      <c r="N651" s="563">
        <v>45579</v>
      </c>
      <c r="O651" s="564"/>
      <c r="P651" s="564" t="s">
        <v>92</v>
      </c>
      <c r="Q651" s="564" t="s">
        <v>2804</v>
      </c>
      <c r="R651" s="1552" t="s">
        <v>1910</v>
      </c>
      <c r="S651" s="564" t="s">
        <v>123</v>
      </c>
      <c r="T651" s="564" t="s">
        <v>2810</v>
      </c>
      <c r="U651" s="530" t="s">
        <v>2806</v>
      </c>
      <c r="V651" s="564" t="s">
        <v>186</v>
      </c>
      <c r="W651" s="592">
        <v>1.3595</v>
      </c>
      <c r="X651" s="593">
        <f t="shared" si="405"/>
        <v>815.7</v>
      </c>
      <c r="Y651" s="401" t="s">
        <v>2807</v>
      </c>
      <c r="Z651" s="607" t="s">
        <v>188</v>
      </c>
      <c r="AA651" s="1453" t="s">
        <v>128</v>
      </c>
      <c r="AB651" s="608">
        <v>600</v>
      </c>
      <c r="AC651" s="608">
        <f t="shared" si="370"/>
        <v>0</v>
      </c>
      <c r="AD651" s="608"/>
      <c r="AE651" s="564"/>
      <c r="AF651" s="564"/>
      <c r="AG651" s="608">
        <f t="shared" si="406"/>
        <v>600</v>
      </c>
      <c r="AH651" s="608"/>
      <c r="AI651" s="608"/>
      <c r="AJ651" s="608"/>
      <c r="AK651" s="609"/>
      <c r="AL651" s="401">
        <f>I651</f>
        <v>600</v>
      </c>
      <c r="AM651" s="609"/>
      <c r="AN651" s="609"/>
      <c r="AO651" s="609">
        <f t="shared" si="407"/>
        <v>600</v>
      </c>
      <c r="AP651" s="609"/>
      <c r="AQ651" s="615"/>
      <c r="AR651" s="609"/>
      <c r="AS651" s="609"/>
      <c r="AT651" s="633"/>
      <c r="AU651" s="609"/>
      <c r="AV651" s="633"/>
      <c r="AW651" s="633"/>
      <c r="AX651" s="633"/>
      <c r="AY651" s="633"/>
      <c r="AZ651" s="633"/>
      <c r="BA651" s="633"/>
      <c r="BB651" s="633"/>
      <c r="BC651" s="633"/>
      <c r="BD651" s="633"/>
      <c r="BE651" s="633"/>
      <c r="BF651" s="633"/>
      <c r="BG651" s="633"/>
      <c r="BH651" s="633"/>
      <c r="BI651" s="633"/>
      <c r="BJ651" s="633"/>
      <c r="BK651" s="633"/>
      <c r="BL651" s="633"/>
      <c r="BM651" s="401">
        <f t="shared" si="404"/>
        <v>600</v>
      </c>
      <c r="BO651" s="1473"/>
      <c r="BP651" s="1473"/>
    </row>
    <row r="652" s="200" customFormat="1" ht="36" customHeight="1" spans="1:68">
      <c r="A652" s="533">
        <v>45540</v>
      </c>
      <c r="B652" s="527" t="s">
        <v>2811</v>
      </c>
      <c r="C652" s="528" t="s">
        <v>117</v>
      </c>
      <c r="D652" s="534">
        <v>4500144677</v>
      </c>
      <c r="E652" s="530"/>
      <c r="F652" s="534" t="s">
        <v>2812</v>
      </c>
      <c r="G652" s="531" t="s">
        <v>96</v>
      </c>
      <c r="H652" s="532" t="s">
        <v>74</v>
      </c>
      <c r="I652" s="401">
        <v>3750</v>
      </c>
      <c r="J652" s="562">
        <v>0</v>
      </c>
      <c r="K652" s="531">
        <v>50</v>
      </c>
      <c r="L652" s="401">
        <f t="shared" si="384"/>
        <v>75</v>
      </c>
      <c r="M652" s="563">
        <v>45586</v>
      </c>
      <c r="N652" s="563">
        <v>45582</v>
      </c>
      <c r="O652" s="564"/>
      <c r="P652" s="564" t="s">
        <v>92</v>
      </c>
      <c r="Q652" s="564" t="s">
        <v>2813</v>
      </c>
      <c r="R652" s="564">
        <v>45549</v>
      </c>
      <c r="S652" s="564" t="s">
        <v>77</v>
      </c>
      <c r="T652" s="564" t="s">
        <v>77</v>
      </c>
      <c r="U652" s="530" t="s">
        <v>2814</v>
      </c>
      <c r="V652" s="564" t="s">
        <v>671</v>
      </c>
      <c r="W652" s="592">
        <v>1.4344</v>
      </c>
      <c r="X652" s="593">
        <f t="shared" si="405"/>
        <v>5379</v>
      </c>
      <c r="Y652" s="401" t="s">
        <v>2815</v>
      </c>
      <c r="Z652" s="607" t="s">
        <v>96</v>
      </c>
      <c r="AA652" s="1453" t="s">
        <v>128</v>
      </c>
      <c r="AB652" s="608">
        <v>3750</v>
      </c>
      <c r="AC652" s="608">
        <f t="shared" si="370"/>
        <v>0</v>
      </c>
      <c r="AD652" s="608"/>
      <c r="AE652" s="564"/>
      <c r="AF652" s="564"/>
      <c r="AG652" s="608">
        <f t="shared" si="406"/>
        <v>3750</v>
      </c>
      <c r="AH652" s="608"/>
      <c r="AI652" s="608"/>
      <c r="AJ652" s="608"/>
      <c r="AK652" s="609">
        <f>AG652</f>
        <v>3750</v>
      </c>
      <c r="AL652" s="609"/>
      <c r="AM652" s="609"/>
      <c r="AN652" s="609"/>
      <c r="AO652" s="609">
        <f t="shared" si="407"/>
        <v>3750</v>
      </c>
      <c r="AP652" s="609"/>
      <c r="AQ652" s="615"/>
      <c r="AR652" s="609"/>
      <c r="AS652" s="609"/>
      <c r="AT652" s="633"/>
      <c r="AU652" s="609"/>
      <c r="AV652" s="633"/>
      <c r="AW652" s="633"/>
      <c r="AX652" s="633"/>
      <c r="AY652" s="633"/>
      <c r="AZ652" s="633"/>
      <c r="BA652" s="633">
        <f>I652/25</f>
        <v>150</v>
      </c>
      <c r="BB652" s="633"/>
      <c r="BC652" s="633"/>
      <c r="BD652" s="633"/>
      <c r="BE652" s="633"/>
      <c r="BF652" s="633"/>
      <c r="BG652" s="633"/>
      <c r="BH652" s="633"/>
      <c r="BI652" s="633"/>
      <c r="BJ652" s="633"/>
      <c r="BK652" s="633"/>
      <c r="BL652" s="633"/>
      <c r="BM652" s="401">
        <f t="shared" si="404"/>
        <v>3750</v>
      </c>
      <c r="BO652" s="1473"/>
      <c r="BP652" s="1473"/>
    </row>
    <row r="653" s="200" customFormat="1" ht="36" customHeight="1" spans="1:68">
      <c r="A653" s="533">
        <v>45369</v>
      </c>
      <c r="B653" s="527" t="s">
        <v>523</v>
      </c>
      <c r="C653" s="528" t="s">
        <v>351</v>
      </c>
      <c r="D653" s="534">
        <v>4500127224</v>
      </c>
      <c r="E653" s="530">
        <v>2300875212</v>
      </c>
      <c r="F653" s="534" t="s">
        <v>2816</v>
      </c>
      <c r="G653" s="531" t="s">
        <v>826</v>
      </c>
      <c r="H653" s="532" t="s">
        <v>74</v>
      </c>
      <c r="I653" s="1496">
        <v>925</v>
      </c>
      <c r="J653" s="1496">
        <v>0</v>
      </c>
      <c r="K653" s="1496">
        <v>25</v>
      </c>
      <c r="L653" s="1496">
        <f t="shared" si="384"/>
        <v>37</v>
      </c>
      <c r="M653" s="1495">
        <v>45583</v>
      </c>
      <c r="N653" s="1495">
        <v>45579</v>
      </c>
      <c r="O653" s="1474" t="s">
        <v>2817</v>
      </c>
      <c r="P653" s="564" t="s">
        <v>1262</v>
      </c>
      <c r="Q653" s="564" t="s">
        <v>2818</v>
      </c>
      <c r="R653" s="564">
        <v>45527</v>
      </c>
      <c r="S653" s="564" t="s">
        <v>77</v>
      </c>
      <c r="T653" s="564" t="s">
        <v>77</v>
      </c>
      <c r="U653" s="530" t="s">
        <v>1703</v>
      </c>
      <c r="V653" s="564" t="s">
        <v>529</v>
      </c>
      <c r="W653" s="592">
        <v>1.4395</v>
      </c>
      <c r="X653" s="593">
        <f t="shared" si="405"/>
        <v>1331.5375</v>
      </c>
      <c r="Y653" s="401" t="s">
        <v>2819</v>
      </c>
      <c r="Z653" s="607" t="s">
        <v>945</v>
      </c>
      <c r="AA653" s="1453" t="s">
        <v>128</v>
      </c>
      <c r="AB653" s="608">
        <v>925</v>
      </c>
      <c r="AC653" s="608">
        <f t="shared" si="370"/>
        <v>0</v>
      </c>
      <c r="AD653" s="608"/>
      <c r="AE653" s="564" t="s">
        <v>2389</v>
      </c>
      <c r="AF653" s="564"/>
      <c r="AG653" s="608">
        <f t="shared" si="406"/>
        <v>925</v>
      </c>
      <c r="AH653" s="608"/>
      <c r="AI653" s="608"/>
      <c r="AJ653" s="608"/>
      <c r="AK653" s="609"/>
      <c r="AL653" s="609"/>
      <c r="AM653" s="609"/>
      <c r="AN653" s="609">
        <f>I653</f>
        <v>925</v>
      </c>
      <c r="AO653" s="609">
        <f t="shared" si="407"/>
        <v>925</v>
      </c>
      <c r="AP653" s="609"/>
      <c r="AQ653" s="609"/>
      <c r="AR653" s="609"/>
      <c r="AS653" s="609"/>
      <c r="AT653" s="633"/>
      <c r="AU653" s="633"/>
      <c r="AV653" s="633"/>
      <c r="AW653" s="633"/>
      <c r="AX653" s="633"/>
      <c r="AY653" s="633"/>
      <c r="AZ653" s="633"/>
      <c r="BA653" s="633"/>
      <c r="BB653" s="633">
        <f>I653/25</f>
        <v>37</v>
      </c>
      <c r="BC653" s="633"/>
      <c r="BD653" s="633"/>
      <c r="BE653" s="633"/>
      <c r="BF653" s="633"/>
      <c r="BG653" s="633"/>
      <c r="BH653" s="633"/>
      <c r="BI653" s="633"/>
      <c r="BJ653" s="633"/>
      <c r="BK653" s="633"/>
      <c r="BL653" s="633"/>
      <c r="BM653" s="401">
        <f t="shared" si="404"/>
        <v>925</v>
      </c>
      <c r="BO653" s="1473"/>
      <c r="BP653" s="1473"/>
    </row>
    <row r="654" s="200" customFormat="1" ht="36" customHeight="1" spans="1:68">
      <c r="A654" s="533">
        <v>45545</v>
      </c>
      <c r="B654" s="527" t="s">
        <v>517</v>
      </c>
      <c r="C654" s="528" t="s">
        <v>117</v>
      </c>
      <c r="D654" s="534">
        <v>4500145012</v>
      </c>
      <c r="E654" s="530">
        <v>33750</v>
      </c>
      <c r="F654" s="534" t="s">
        <v>2820</v>
      </c>
      <c r="G654" s="531" t="s">
        <v>215</v>
      </c>
      <c r="H654" s="532" t="s">
        <v>74</v>
      </c>
      <c r="I654" s="401">
        <v>1680</v>
      </c>
      <c r="J654" s="562">
        <v>0</v>
      </c>
      <c r="K654" s="531">
        <v>42</v>
      </c>
      <c r="L654" s="401">
        <f t="shared" si="384"/>
        <v>40</v>
      </c>
      <c r="M654" s="563">
        <v>45588</v>
      </c>
      <c r="N654" s="563">
        <v>45584</v>
      </c>
      <c r="O654" s="564"/>
      <c r="P654" s="564" t="s">
        <v>92</v>
      </c>
      <c r="Q654" s="564" t="s">
        <v>2821</v>
      </c>
      <c r="R654" s="564">
        <v>45546</v>
      </c>
      <c r="S654" s="564" t="s">
        <v>77</v>
      </c>
      <c r="T654" s="564" t="s">
        <v>77</v>
      </c>
      <c r="U654" s="530" t="s">
        <v>670</v>
      </c>
      <c r="V654" s="564" t="s">
        <v>671</v>
      </c>
      <c r="W654" s="592">
        <v>1.4539</v>
      </c>
      <c r="X654" s="593">
        <f t="shared" si="405"/>
        <v>2442.552</v>
      </c>
      <c r="Y654" s="401" t="s">
        <v>2822</v>
      </c>
      <c r="Z654" s="607" t="s">
        <v>215</v>
      </c>
      <c r="AA654" s="1453" t="s">
        <v>128</v>
      </c>
      <c r="AB654" s="608">
        <v>1680</v>
      </c>
      <c r="AC654" s="608">
        <f t="shared" si="370"/>
        <v>0</v>
      </c>
      <c r="AD654" s="608"/>
      <c r="AE654" s="564"/>
      <c r="AF654" s="564"/>
      <c r="AG654" s="608">
        <f t="shared" si="406"/>
        <v>1680</v>
      </c>
      <c r="AH654" s="608"/>
      <c r="AI654" s="608"/>
      <c r="AJ654" s="608"/>
      <c r="AK654" s="401">
        <f>I654</f>
        <v>1680</v>
      </c>
      <c r="AL654" s="609"/>
      <c r="AM654" s="609"/>
      <c r="AN654" s="609"/>
      <c r="AO654" s="609">
        <f t="shared" si="407"/>
        <v>1680</v>
      </c>
      <c r="AP654" s="609"/>
      <c r="AQ654" s="609"/>
      <c r="AR654" s="609"/>
      <c r="AS654" s="609">
        <f>I654/21</f>
        <v>80</v>
      </c>
      <c r="AT654" s="633"/>
      <c r="AU654" s="633"/>
      <c r="AV654" s="633"/>
      <c r="AW654" s="633"/>
      <c r="AX654" s="633"/>
      <c r="AY654" s="633"/>
      <c r="AZ654" s="633"/>
      <c r="BA654" s="633"/>
      <c r="BB654" s="633"/>
      <c r="BC654" s="633"/>
      <c r="BD654" s="633"/>
      <c r="BE654" s="633"/>
      <c r="BF654" s="633"/>
      <c r="BG654" s="633"/>
      <c r="BH654" s="633"/>
      <c r="BI654" s="633"/>
      <c r="BJ654" s="633"/>
      <c r="BK654" s="633"/>
      <c r="BL654" s="633"/>
      <c r="BM654" s="401">
        <f t="shared" si="404"/>
        <v>1680</v>
      </c>
      <c r="BO654" s="1473"/>
      <c r="BP654" s="1473"/>
    </row>
    <row r="655" s="200" customFormat="1" ht="36" customHeight="1" spans="1:68">
      <c r="A655" s="533">
        <v>45531</v>
      </c>
      <c r="B655" s="527" t="s">
        <v>816</v>
      </c>
      <c r="C655" s="528" t="s">
        <v>117</v>
      </c>
      <c r="D655" s="534">
        <v>4500143970</v>
      </c>
      <c r="E655" s="530">
        <v>60171224</v>
      </c>
      <c r="F655" s="534" t="s">
        <v>2823</v>
      </c>
      <c r="G655" s="531" t="s">
        <v>628</v>
      </c>
      <c r="H655" s="532" t="s">
        <v>623</v>
      </c>
      <c r="I655" s="401">
        <v>5112</v>
      </c>
      <c r="J655" s="562">
        <v>0</v>
      </c>
      <c r="K655" s="531">
        <v>12</v>
      </c>
      <c r="L655" s="401">
        <f t="shared" si="384"/>
        <v>426</v>
      </c>
      <c r="M655" s="563">
        <v>45589</v>
      </c>
      <c r="N655" s="563">
        <v>45586</v>
      </c>
      <c r="O655" s="564"/>
      <c r="P655" s="564" t="s">
        <v>92</v>
      </c>
      <c r="Q655" s="564" t="s">
        <v>2821</v>
      </c>
      <c r="R655" s="1607">
        <v>45531</v>
      </c>
      <c r="S655" s="1599" t="s">
        <v>77</v>
      </c>
      <c r="T655" s="1552" t="s">
        <v>2824</v>
      </c>
      <c r="U655" s="530" t="s">
        <v>2825</v>
      </c>
      <c r="V655" s="564" t="s">
        <v>2458</v>
      </c>
      <c r="W655" s="592">
        <v>3.0809</v>
      </c>
      <c r="X655" s="593">
        <f t="shared" si="405"/>
        <v>15749.5608</v>
      </c>
      <c r="Y655" s="401" t="s">
        <v>2826</v>
      </c>
      <c r="Z655" s="607" t="s">
        <v>822</v>
      </c>
      <c r="AA655" s="1453" t="s">
        <v>128</v>
      </c>
      <c r="AB655" s="608">
        <v>5112</v>
      </c>
      <c r="AC655" s="608">
        <f t="shared" si="370"/>
        <v>0</v>
      </c>
      <c r="AD655" s="608"/>
      <c r="AE655" s="564"/>
      <c r="AF655" s="564"/>
      <c r="AG655" s="608">
        <f>I655*2</f>
        <v>10224</v>
      </c>
      <c r="AH655" s="608"/>
      <c r="AI655" s="608"/>
      <c r="AJ655" s="608"/>
      <c r="AK655" s="609">
        <f t="shared" ref="AK655:AK660" si="408">AG655</f>
        <v>10224</v>
      </c>
      <c r="AL655" s="609"/>
      <c r="AM655" s="609"/>
      <c r="AN655" s="609"/>
      <c r="AO655" s="615">
        <f>AG655</f>
        <v>10224</v>
      </c>
      <c r="AP655" s="609"/>
      <c r="AQ655" s="609"/>
      <c r="AR655" s="609"/>
      <c r="AS655" s="609"/>
      <c r="AT655" s="633"/>
      <c r="AU655" s="633"/>
      <c r="AV655" s="633"/>
      <c r="AW655" s="633"/>
      <c r="AX655" s="633"/>
      <c r="AY655" s="633"/>
      <c r="AZ655" s="633"/>
      <c r="BA655" s="633"/>
      <c r="BB655" s="633"/>
      <c r="BC655" s="633"/>
      <c r="BD655" s="633"/>
      <c r="BE655" s="633"/>
      <c r="BF655" s="633"/>
      <c r="BG655" s="633"/>
      <c r="BH655" s="633"/>
      <c r="BI655" s="633"/>
      <c r="BJ655" s="633"/>
      <c r="BK655" s="633">
        <f>I655</f>
        <v>5112</v>
      </c>
      <c r="BL655" s="633">
        <f>I655</f>
        <v>5112</v>
      </c>
      <c r="BM655" s="401">
        <f t="shared" si="404"/>
        <v>10224</v>
      </c>
      <c r="BO655" s="1473"/>
      <c r="BP655" s="1473"/>
    </row>
    <row r="656" s="200" customFormat="1" ht="36" customHeight="1" spans="1:68">
      <c r="A656" s="533">
        <v>45548</v>
      </c>
      <c r="B656" s="527" t="s">
        <v>476</v>
      </c>
      <c r="C656" s="528" t="s">
        <v>477</v>
      </c>
      <c r="D656" s="534">
        <v>4500145189</v>
      </c>
      <c r="E656" s="530">
        <v>242273</v>
      </c>
      <c r="F656" s="534" t="s">
        <v>2827</v>
      </c>
      <c r="G656" s="531" t="s">
        <v>73</v>
      </c>
      <c r="H656" s="532" t="s">
        <v>74</v>
      </c>
      <c r="I656" s="401">
        <v>1440</v>
      </c>
      <c r="J656" s="562">
        <v>0</v>
      </c>
      <c r="K656" s="531">
        <v>24</v>
      </c>
      <c r="L656" s="401">
        <f t="shared" si="384"/>
        <v>60</v>
      </c>
      <c r="M656" s="563">
        <v>45590</v>
      </c>
      <c r="N656" s="563">
        <v>45586</v>
      </c>
      <c r="O656" s="564"/>
      <c r="P656" s="564" t="s">
        <v>92</v>
      </c>
      <c r="Q656" s="564" t="s">
        <v>2828</v>
      </c>
      <c r="R656" s="564">
        <v>45561</v>
      </c>
      <c r="S656" s="1599" t="s">
        <v>77</v>
      </c>
      <c r="T656" s="1552" t="s">
        <v>2829</v>
      </c>
      <c r="U656" s="530" t="s">
        <v>2830</v>
      </c>
      <c r="V656" s="564" t="s">
        <v>2831</v>
      </c>
      <c r="W656" s="592">
        <v>1.3595</v>
      </c>
      <c r="X656" s="593">
        <f t="shared" si="405"/>
        <v>1957.68</v>
      </c>
      <c r="Y656" s="401" t="s">
        <v>2832</v>
      </c>
      <c r="Z656" s="607" t="s">
        <v>188</v>
      </c>
      <c r="AA656" s="1453" t="s">
        <v>2723</v>
      </c>
      <c r="AB656" s="608">
        <v>1440</v>
      </c>
      <c r="AC656" s="608">
        <f t="shared" si="370"/>
        <v>0</v>
      </c>
      <c r="AD656" s="608"/>
      <c r="AE656" s="564"/>
      <c r="AF656" s="564"/>
      <c r="AG656" s="608">
        <f t="shared" ref="AG656:AG658" si="409">I656</f>
        <v>1440</v>
      </c>
      <c r="AH656" s="608"/>
      <c r="AI656" s="608"/>
      <c r="AJ656" s="608"/>
      <c r="AK656" s="609"/>
      <c r="AL656" s="401">
        <f t="shared" ref="AL656:AL658" si="410">I656</f>
        <v>1440</v>
      </c>
      <c r="AM656" s="609"/>
      <c r="AN656" s="609"/>
      <c r="AO656" s="609">
        <f t="shared" ref="AO656:AO658" si="411">I656</f>
        <v>1440</v>
      </c>
      <c r="AP656" s="609"/>
      <c r="AQ656" s="609"/>
      <c r="AR656" s="609"/>
      <c r="AS656" s="609"/>
      <c r="AT656" s="633"/>
      <c r="AU656" s="633"/>
      <c r="AV656" s="633"/>
      <c r="AW656" s="633"/>
      <c r="AX656" s="633"/>
      <c r="AY656" s="633"/>
      <c r="AZ656" s="633"/>
      <c r="BA656" s="633"/>
      <c r="BB656" s="633"/>
      <c r="BC656" s="633"/>
      <c r="BD656" s="633"/>
      <c r="BE656" s="633"/>
      <c r="BF656" s="633"/>
      <c r="BG656" s="633"/>
      <c r="BH656" s="633"/>
      <c r="BI656" s="633"/>
      <c r="BJ656" s="633"/>
      <c r="BK656" s="633"/>
      <c r="BL656" s="633"/>
      <c r="BM656" s="401">
        <f t="shared" si="404"/>
        <v>1440</v>
      </c>
      <c r="BO656" s="1473"/>
      <c r="BP656" s="1473"/>
    </row>
    <row r="657" s="200" customFormat="1" ht="36" customHeight="1" spans="1:68">
      <c r="A657" s="533">
        <v>45548</v>
      </c>
      <c r="B657" s="527" t="s">
        <v>2623</v>
      </c>
      <c r="C657" s="528" t="s">
        <v>373</v>
      </c>
      <c r="D657" s="534">
        <v>4500145205</v>
      </c>
      <c r="E657" s="530" t="s">
        <v>2833</v>
      </c>
      <c r="F657" s="534" t="s">
        <v>2834</v>
      </c>
      <c r="G657" s="531" t="s">
        <v>73</v>
      </c>
      <c r="H657" s="532" t="s">
        <v>74</v>
      </c>
      <c r="I657" s="401">
        <v>960</v>
      </c>
      <c r="J657" s="562">
        <v>0</v>
      </c>
      <c r="K657" s="531">
        <v>24</v>
      </c>
      <c r="L657" s="401">
        <f t="shared" si="384"/>
        <v>40</v>
      </c>
      <c r="M657" s="563">
        <v>45593</v>
      </c>
      <c r="N657" s="563">
        <v>45589</v>
      </c>
      <c r="O657" s="564"/>
      <c r="P657" s="564" t="s">
        <v>92</v>
      </c>
      <c r="Q657" s="564" t="s">
        <v>2835</v>
      </c>
      <c r="R657" s="564" t="s">
        <v>1910</v>
      </c>
      <c r="S657" s="564" t="s">
        <v>123</v>
      </c>
      <c r="T657" s="564" t="s">
        <v>2836</v>
      </c>
      <c r="U657" s="530" t="s">
        <v>2837</v>
      </c>
      <c r="V657" s="564" t="s">
        <v>2629</v>
      </c>
      <c r="W657" s="592">
        <v>1.3645</v>
      </c>
      <c r="X657" s="593">
        <f t="shared" si="405"/>
        <v>1309.92</v>
      </c>
      <c r="Y657" s="401" t="s">
        <v>2838</v>
      </c>
      <c r="Z657" s="607" t="s">
        <v>188</v>
      </c>
      <c r="AA657" s="1453" t="s">
        <v>128</v>
      </c>
      <c r="AB657" s="608">
        <v>960</v>
      </c>
      <c r="AC657" s="608">
        <f t="shared" si="370"/>
        <v>0</v>
      </c>
      <c r="AD657" s="608"/>
      <c r="AE657" s="564"/>
      <c r="AF657" s="564"/>
      <c r="AG657" s="608">
        <f t="shared" si="409"/>
        <v>960</v>
      </c>
      <c r="AH657" s="608"/>
      <c r="AI657" s="608"/>
      <c r="AJ657" s="608"/>
      <c r="AK657" s="609"/>
      <c r="AL657" s="401">
        <f t="shared" si="410"/>
        <v>960</v>
      </c>
      <c r="AM657" s="609"/>
      <c r="AN657" s="609"/>
      <c r="AO657" s="609">
        <f t="shared" si="411"/>
        <v>960</v>
      </c>
      <c r="AP657" s="609"/>
      <c r="AQ657" s="609"/>
      <c r="AR657" s="609"/>
      <c r="AS657" s="609"/>
      <c r="AT657" s="633"/>
      <c r="AU657" s="633"/>
      <c r="AV657" s="633"/>
      <c r="AW657" s="633"/>
      <c r="AX657" s="633"/>
      <c r="AY657" s="633"/>
      <c r="AZ657" s="633"/>
      <c r="BA657" s="633"/>
      <c r="BB657" s="633"/>
      <c r="BC657" s="633"/>
      <c r="BD657" s="633"/>
      <c r="BE657" s="633"/>
      <c r="BF657" s="633"/>
      <c r="BG657" s="633"/>
      <c r="BH657" s="633"/>
      <c r="BI657" s="633"/>
      <c r="BJ657" s="633"/>
      <c r="BK657" s="633"/>
      <c r="BL657" s="633"/>
      <c r="BM657" s="401">
        <f t="shared" si="404"/>
        <v>960</v>
      </c>
      <c r="BO657" s="1473"/>
      <c r="BP657" s="1473"/>
    </row>
    <row r="658" s="200" customFormat="1" ht="36" customHeight="1" spans="1:68">
      <c r="A658" s="533">
        <v>45548</v>
      </c>
      <c r="B658" s="527" t="s">
        <v>179</v>
      </c>
      <c r="C658" s="528" t="s">
        <v>180</v>
      </c>
      <c r="D658" s="534">
        <v>4500145216</v>
      </c>
      <c r="E658" s="530" t="s">
        <v>2839</v>
      </c>
      <c r="F658" s="534" t="s">
        <v>2840</v>
      </c>
      <c r="G658" s="531" t="s">
        <v>73</v>
      </c>
      <c r="H658" s="532" t="s">
        <v>74</v>
      </c>
      <c r="I658" s="401">
        <v>552</v>
      </c>
      <c r="J658" s="562">
        <v>0</v>
      </c>
      <c r="K658" s="531">
        <v>24</v>
      </c>
      <c r="L658" s="401">
        <f t="shared" si="384"/>
        <v>23</v>
      </c>
      <c r="M658" s="563">
        <v>45593</v>
      </c>
      <c r="N658" s="563">
        <v>45589</v>
      </c>
      <c r="O658" s="564"/>
      <c r="P658" s="564" t="s">
        <v>92</v>
      </c>
      <c r="Q658" s="564" t="s">
        <v>2841</v>
      </c>
      <c r="R658" s="564" t="s">
        <v>1910</v>
      </c>
      <c r="S658" s="564" t="s">
        <v>123</v>
      </c>
      <c r="T658" s="564" t="s">
        <v>2842</v>
      </c>
      <c r="U658" s="530" t="s">
        <v>2843</v>
      </c>
      <c r="V658" s="564" t="s">
        <v>186</v>
      </c>
      <c r="W658" s="592">
        <v>1.3645</v>
      </c>
      <c r="X658" s="593">
        <f t="shared" si="405"/>
        <v>753.204</v>
      </c>
      <c r="Y658" s="401" t="s">
        <v>2844</v>
      </c>
      <c r="Z658" s="607" t="s">
        <v>188</v>
      </c>
      <c r="AA658" s="1453" t="s">
        <v>128</v>
      </c>
      <c r="AB658" s="608">
        <v>552</v>
      </c>
      <c r="AC658" s="608">
        <f t="shared" si="370"/>
        <v>0</v>
      </c>
      <c r="AD658" s="608"/>
      <c r="AE658" s="564"/>
      <c r="AF658" s="564"/>
      <c r="AG658" s="608">
        <f t="shared" si="409"/>
        <v>552</v>
      </c>
      <c r="AH658" s="608"/>
      <c r="AI658" s="608"/>
      <c r="AJ658" s="608"/>
      <c r="AK658" s="609"/>
      <c r="AL658" s="401">
        <f t="shared" si="410"/>
        <v>552</v>
      </c>
      <c r="AM658" s="609"/>
      <c r="AN658" s="609"/>
      <c r="AO658" s="609">
        <f t="shared" si="411"/>
        <v>552</v>
      </c>
      <c r="AP658" s="609"/>
      <c r="AQ658" s="609"/>
      <c r="AR658" s="609"/>
      <c r="AS658" s="609"/>
      <c r="AT658" s="633"/>
      <c r="AU658" s="633"/>
      <c r="AV658" s="633"/>
      <c r="AW658" s="633"/>
      <c r="AX658" s="633"/>
      <c r="AY658" s="633"/>
      <c r="AZ658" s="633"/>
      <c r="BA658" s="633"/>
      <c r="BB658" s="633"/>
      <c r="BC658" s="633"/>
      <c r="BD658" s="633"/>
      <c r="BE658" s="633"/>
      <c r="BF658" s="633"/>
      <c r="BG658" s="633"/>
      <c r="BH658" s="633"/>
      <c r="BI658" s="633"/>
      <c r="BJ658" s="633"/>
      <c r="BK658" s="633"/>
      <c r="BL658" s="633"/>
      <c r="BM658" s="401">
        <f t="shared" si="404"/>
        <v>552</v>
      </c>
      <c r="BO658" s="1473"/>
      <c r="BP658" s="1473"/>
    </row>
    <row r="659" s="200" customFormat="1" ht="36" customHeight="1" spans="1:73">
      <c r="A659" s="533">
        <v>45531</v>
      </c>
      <c r="B659" s="527" t="s">
        <v>816</v>
      </c>
      <c r="C659" s="528" t="s">
        <v>117</v>
      </c>
      <c r="D659" s="534">
        <v>4500144008</v>
      </c>
      <c r="E659" s="530">
        <v>70048943</v>
      </c>
      <c r="F659" s="534" t="s">
        <v>2845</v>
      </c>
      <c r="G659" s="531" t="s">
        <v>628</v>
      </c>
      <c r="H659" s="532" t="s">
        <v>623</v>
      </c>
      <c r="I659" s="401">
        <v>1200</v>
      </c>
      <c r="J659" s="562">
        <v>0</v>
      </c>
      <c r="K659" s="531">
        <v>12</v>
      </c>
      <c r="L659" s="401">
        <f t="shared" si="384"/>
        <v>100</v>
      </c>
      <c r="M659" s="563">
        <v>45596</v>
      </c>
      <c r="N659" s="563">
        <v>45593</v>
      </c>
      <c r="O659" s="564"/>
      <c r="P659" s="564" t="s">
        <v>1690</v>
      </c>
      <c r="Q659" s="564" t="s">
        <v>2846</v>
      </c>
      <c r="R659" s="1607">
        <v>45531</v>
      </c>
      <c r="S659" s="1599" t="s">
        <v>77</v>
      </c>
      <c r="T659" s="1552" t="s">
        <v>2824</v>
      </c>
      <c r="U659" s="530" t="s">
        <v>2796</v>
      </c>
      <c r="V659" s="564" t="s">
        <v>2458</v>
      </c>
      <c r="W659" s="592">
        <v>3.1012</v>
      </c>
      <c r="X659" s="593">
        <f t="shared" si="405"/>
        <v>3721.44</v>
      </c>
      <c r="Y659" s="401" t="s">
        <v>2847</v>
      </c>
      <c r="Z659" s="607" t="s">
        <v>822</v>
      </c>
      <c r="AA659" s="1453" t="s">
        <v>128</v>
      </c>
      <c r="AB659" s="608">
        <v>1200</v>
      </c>
      <c r="AC659" s="608">
        <f t="shared" si="370"/>
        <v>0</v>
      </c>
      <c r="AD659" s="608"/>
      <c r="AE659" s="564"/>
      <c r="AF659" s="564"/>
      <c r="AG659" s="608">
        <f>I659*2</f>
        <v>2400</v>
      </c>
      <c r="AH659" s="608"/>
      <c r="AI659" s="608"/>
      <c r="AJ659" s="608"/>
      <c r="AK659" s="609">
        <f t="shared" si="408"/>
        <v>2400</v>
      </c>
      <c r="AL659" s="609"/>
      <c r="AM659" s="609"/>
      <c r="AN659" s="609"/>
      <c r="AO659" s="615">
        <f>AG659</f>
        <v>2400</v>
      </c>
      <c r="AP659" s="609"/>
      <c r="AQ659" s="609"/>
      <c r="AR659" s="609"/>
      <c r="AS659" s="609"/>
      <c r="AT659" s="633"/>
      <c r="AU659" s="633"/>
      <c r="AV659" s="633"/>
      <c r="AW659" s="633"/>
      <c r="AX659" s="633"/>
      <c r="AY659" s="633"/>
      <c r="AZ659" s="633"/>
      <c r="BA659" s="633"/>
      <c r="BB659" s="633"/>
      <c r="BC659" s="633"/>
      <c r="BD659" s="633"/>
      <c r="BE659" s="633"/>
      <c r="BF659" s="633"/>
      <c r="BG659" s="633"/>
      <c r="BH659" s="633"/>
      <c r="BI659" s="633"/>
      <c r="BJ659" s="633"/>
      <c r="BK659" s="633">
        <f>I659</f>
        <v>1200</v>
      </c>
      <c r="BL659" s="633">
        <f>I659</f>
        <v>1200</v>
      </c>
      <c r="BM659" s="401">
        <f t="shared" si="404"/>
        <v>2400</v>
      </c>
      <c r="BO659" s="1473"/>
      <c r="BP659" s="1473"/>
      <c r="BU659" s="200" t="s">
        <v>2221</v>
      </c>
    </row>
    <row r="660" s="200" customFormat="1" ht="36" customHeight="1" spans="1:68">
      <c r="A660" s="533">
        <v>45555</v>
      </c>
      <c r="B660" s="527" t="s">
        <v>612</v>
      </c>
      <c r="C660" s="528" t="s">
        <v>613</v>
      </c>
      <c r="D660" s="534">
        <v>4500145570</v>
      </c>
      <c r="E660" s="530"/>
      <c r="F660" s="534" t="s">
        <v>2848</v>
      </c>
      <c r="G660" s="531" t="s">
        <v>96</v>
      </c>
      <c r="H660" s="532" t="s">
        <v>74</v>
      </c>
      <c r="I660" s="401">
        <v>1500</v>
      </c>
      <c r="J660" s="562">
        <v>0</v>
      </c>
      <c r="K660" s="531">
        <v>50</v>
      </c>
      <c r="L660" s="401">
        <f t="shared" si="384"/>
        <v>30</v>
      </c>
      <c r="M660" s="563">
        <v>45600</v>
      </c>
      <c r="N660" s="563">
        <v>45596</v>
      </c>
      <c r="O660" s="564"/>
      <c r="P660" s="564" t="s">
        <v>92</v>
      </c>
      <c r="Q660" s="564" t="s">
        <v>2849</v>
      </c>
      <c r="R660" s="564">
        <v>45559</v>
      </c>
      <c r="S660" s="564" t="s">
        <v>77</v>
      </c>
      <c r="T660" s="564" t="s">
        <v>77</v>
      </c>
      <c r="U660" s="1522" t="s">
        <v>2850</v>
      </c>
      <c r="V660" s="564" t="s">
        <v>618</v>
      </c>
      <c r="W660" s="592">
        <v>1.4344</v>
      </c>
      <c r="X660" s="593">
        <f t="shared" si="405"/>
        <v>2151.6</v>
      </c>
      <c r="Y660" s="401" t="s">
        <v>2851</v>
      </c>
      <c r="Z660" s="607" t="s">
        <v>96</v>
      </c>
      <c r="AA660" s="1453" t="s">
        <v>128</v>
      </c>
      <c r="AB660" s="608">
        <v>1500</v>
      </c>
      <c r="AC660" s="608">
        <f t="shared" si="370"/>
        <v>0</v>
      </c>
      <c r="AD660" s="608"/>
      <c r="AE660" s="564"/>
      <c r="AF660" s="564"/>
      <c r="AG660" s="608">
        <f t="shared" ref="AG660:AG674" si="412">I660</f>
        <v>1500</v>
      </c>
      <c r="AH660" s="608"/>
      <c r="AI660" s="608"/>
      <c r="AJ660" s="608"/>
      <c r="AK660" s="609">
        <f t="shared" si="408"/>
        <v>1500</v>
      </c>
      <c r="AL660" s="609"/>
      <c r="AM660" s="609"/>
      <c r="AN660" s="609"/>
      <c r="AO660" s="609">
        <f t="shared" ref="AO660:AO663" si="413">I660</f>
        <v>1500</v>
      </c>
      <c r="AP660" s="609"/>
      <c r="AQ660" s="609"/>
      <c r="AR660" s="609"/>
      <c r="AS660" s="609"/>
      <c r="AT660" s="633"/>
      <c r="AU660" s="633"/>
      <c r="AV660" s="633"/>
      <c r="AW660" s="633"/>
      <c r="AX660" s="633"/>
      <c r="AY660" s="633"/>
      <c r="AZ660" s="633"/>
      <c r="BA660" s="633">
        <f>I660/25</f>
        <v>60</v>
      </c>
      <c r="BB660" s="633"/>
      <c r="BC660" s="633"/>
      <c r="BD660" s="633"/>
      <c r="BE660" s="633"/>
      <c r="BF660" s="633"/>
      <c r="BG660" s="633"/>
      <c r="BH660" s="633"/>
      <c r="BI660" s="633"/>
      <c r="BJ660" s="633"/>
      <c r="BK660" s="633"/>
      <c r="BL660" s="633"/>
      <c r="BM660" s="401">
        <f t="shared" si="404"/>
        <v>1500</v>
      </c>
      <c r="BO660" s="1473"/>
      <c r="BP660" s="1473"/>
    </row>
    <row r="661" s="200" customFormat="1" ht="36" customHeight="1" spans="1:68">
      <c r="A661" s="533">
        <v>45532</v>
      </c>
      <c r="B661" s="527" t="s">
        <v>358</v>
      </c>
      <c r="C661" s="528" t="s">
        <v>213</v>
      </c>
      <c r="D661" s="534">
        <v>4500143459</v>
      </c>
      <c r="E661" s="530" t="s">
        <v>2852</v>
      </c>
      <c r="F661" s="534" t="s">
        <v>2853</v>
      </c>
      <c r="G661" s="531" t="s">
        <v>826</v>
      </c>
      <c r="H661" s="532" t="s">
        <v>74</v>
      </c>
      <c r="I661" s="1566">
        <v>22875</v>
      </c>
      <c r="J661" s="1496">
        <v>0</v>
      </c>
      <c r="K661" s="1496">
        <v>25</v>
      </c>
      <c r="L661" s="1496">
        <f t="shared" si="384"/>
        <v>915</v>
      </c>
      <c r="M661" s="563">
        <v>45601</v>
      </c>
      <c r="N661" s="563">
        <v>45597</v>
      </c>
      <c r="O661" s="564"/>
      <c r="P661" s="564" t="s">
        <v>92</v>
      </c>
      <c r="Q661" s="564" t="s">
        <v>2854</v>
      </c>
      <c r="R661" s="564">
        <v>45549</v>
      </c>
      <c r="S661" s="564" t="s">
        <v>77</v>
      </c>
      <c r="T661" s="564" t="s">
        <v>77</v>
      </c>
      <c r="U661" s="530" t="s">
        <v>2855</v>
      </c>
      <c r="V661" s="564" t="s">
        <v>230</v>
      </c>
      <c r="W661" s="592">
        <v>1.4163</v>
      </c>
      <c r="X661" s="593">
        <f t="shared" si="405"/>
        <v>32397.8625</v>
      </c>
      <c r="Y661" s="401" t="s">
        <v>2856</v>
      </c>
      <c r="Z661" s="607" t="s">
        <v>292</v>
      </c>
      <c r="AA661" s="1453" t="s">
        <v>128</v>
      </c>
      <c r="AB661" s="608">
        <v>22875</v>
      </c>
      <c r="AC661" s="608">
        <f t="shared" si="370"/>
        <v>0</v>
      </c>
      <c r="AD661" s="608"/>
      <c r="AE661" s="564"/>
      <c r="AF661" s="564"/>
      <c r="AG661" s="608">
        <f t="shared" si="412"/>
        <v>22875</v>
      </c>
      <c r="AH661" s="608"/>
      <c r="AI661" s="608"/>
      <c r="AJ661" s="608"/>
      <c r="AK661" s="401"/>
      <c r="AL661" s="609">
        <f>I661</f>
        <v>22875</v>
      </c>
      <c r="AM661" s="609"/>
      <c r="AO661" s="609">
        <f t="shared" si="413"/>
        <v>22875</v>
      </c>
      <c r="AP661" s="609"/>
      <c r="AQ661" s="609"/>
      <c r="AR661" s="609"/>
      <c r="AS661" s="609"/>
      <c r="AT661" s="633"/>
      <c r="AU661" s="633"/>
      <c r="AV661" s="633"/>
      <c r="AW661" s="633"/>
      <c r="AX661" s="633"/>
      <c r="AY661" s="633"/>
      <c r="AZ661" s="633"/>
      <c r="BA661" s="633"/>
      <c r="BB661" s="633">
        <f>I661/25</f>
        <v>915</v>
      </c>
      <c r="BC661" s="633"/>
      <c r="BD661" s="633"/>
      <c r="BE661" s="633"/>
      <c r="BF661" s="633"/>
      <c r="BG661" s="633"/>
      <c r="BH661" s="633"/>
      <c r="BI661" s="633"/>
      <c r="BJ661" s="633"/>
      <c r="BK661" s="633"/>
      <c r="BL661" s="633"/>
      <c r="BM661" s="401">
        <f t="shared" si="404"/>
        <v>22875</v>
      </c>
      <c r="BO661" s="1473"/>
      <c r="BP661" s="1473"/>
    </row>
    <row r="662" s="200" customFormat="1" ht="36" customHeight="1" spans="1:68">
      <c r="A662" s="533">
        <v>45532</v>
      </c>
      <c r="B662" s="527" t="s">
        <v>358</v>
      </c>
      <c r="C662" s="528" t="s">
        <v>213</v>
      </c>
      <c r="D662" s="534">
        <v>4500143480</v>
      </c>
      <c r="E662" s="530" t="s">
        <v>2857</v>
      </c>
      <c r="F662" s="534" t="s">
        <v>2858</v>
      </c>
      <c r="G662" s="531" t="s">
        <v>826</v>
      </c>
      <c r="H662" s="532" t="s">
        <v>74</v>
      </c>
      <c r="I662" s="1566">
        <v>22875</v>
      </c>
      <c r="J662" s="1496">
        <v>0</v>
      </c>
      <c r="K662" s="1496">
        <v>25</v>
      </c>
      <c r="L662" s="1496">
        <f t="shared" si="384"/>
        <v>915</v>
      </c>
      <c r="M662" s="563">
        <v>45601</v>
      </c>
      <c r="N662" s="563">
        <v>45597</v>
      </c>
      <c r="O662" s="564"/>
      <c r="P662" s="564" t="s">
        <v>92</v>
      </c>
      <c r="Q662" s="564" t="s">
        <v>2854</v>
      </c>
      <c r="R662" s="564">
        <v>45549</v>
      </c>
      <c r="S662" s="564" t="s">
        <v>77</v>
      </c>
      <c r="T662" s="564" t="s">
        <v>77</v>
      </c>
      <c r="U662" s="530" t="s">
        <v>2855</v>
      </c>
      <c r="V662" s="564" t="s">
        <v>230</v>
      </c>
      <c r="W662" s="592">
        <v>1.4163</v>
      </c>
      <c r="X662" s="593">
        <f t="shared" si="405"/>
        <v>32397.8625</v>
      </c>
      <c r="Y662" s="401" t="s">
        <v>2859</v>
      </c>
      <c r="Z662" s="607" t="s">
        <v>292</v>
      </c>
      <c r="AA662" s="1453" t="s">
        <v>128</v>
      </c>
      <c r="AB662" s="608">
        <v>22875</v>
      </c>
      <c r="AC662" s="608">
        <f t="shared" si="370"/>
        <v>0</v>
      </c>
      <c r="AD662" s="608"/>
      <c r="AE662" s="564"/>
      <c r="AF662" s="564"/>
      <c r="AG662" s="608">
        <f t="shared" si="412"/>
        <v>22875</v>
      </c>
      <c r="AH662" s="608"/>
      <c r="AI662" s="608"/>
      <c r="AJ662" s="608"/>
      <c r="AK662" s="401"/>
      <c r="AL662" s="609">
        <f>I662</f>
        <v>22875</v>
      </c>
      <c r="AM662" s="609"/>
      <c r="AO662" s="609">
        <f t="shared" si="413"/>
        <v>22875</v>
      </c>
      <c r="AP662" s="609"/>
      <c r="AQ662" s="609"/>
      <c r="AR662" s="609"/>
      <c r="AS662" s="609"/>
      <c r="AT662" s="633"/>
      <c r="AU662" s="633"/>
      <c r="AV662" s="633"/>
      <c r="AW662" s="633"/>
      <c r="AX662" s="633"/>
      <c r="AY662" s="633"/>
      <c r="AZ662" s="633"/>
      <c r="BA662" s="633"/>
      <c r="BB662" s="633">
        <f>I662/25</f>
        <v>915</v>
      </c>
      <c r="BC662" s="633"/>
      <c r="BD662" s="633"/>
      <c r="BE662" s="633"/>
      <c r="BF662" s="633"/>
      <c r="BG662" s="633"/>
      <c r="BH662" s="633"/>
      <c r="BI662" s="633"/>
      <c r="BJ662" s="633"/>
      <c r="BK662" s="633"/>
      <c r="BL662" s="633"/>
      <c r="BM662" s="401">
        <f t="shared" si="404"/>
        <v>22875</v>
      </c>
      <c r="BO662" s="1473"/>
      <c r="BP662" s="1473"/>
    </row>
    <row r="663" s="200" customFormat="1" ht="36" customHeight="1" spans="1:68">
      <c r="A663" s="533">
        <v>45548</v>
      </c>
      <c r="B663" s="527" t="s">
        <v>2860</v>
      </c>
      <c r="C663" s="528" t="s">
        <v>2861</v>
      </c>
      <c r="D663" s="534">
        <v>4500145310</v>
      </c>
      <c r="E663" s="530">
        <v>209554</v>
      </c>
      <c r="F663" s="534" t="s">
        <v>2862</v>
      </c>
      <c r="G663" s="531" t="s">
        <v>73</v>
      </c>
      <c r="H663" s="532" t="s">
        <v>74</v>
      </c>
      <c r="I663" s="401">
        <v>720</v>
      </c>
      <c r="J663" s="562">
        <v>0</v>
      </c>
      <c r="K663" s="531">
        <v>24</v>
      </c>
      <c r="L663" s="401">
        <f t="shared" si="384"/>
        <v>30</v>
      </c>
      <c r="M663" s="563">
        <v>45590</v>
      </c>
      <c r="N663" s="1495">
        <v>45590</v>
      </c>
      <c r="O663" s="564"/>
      <c r="P663" s="564" t="s">
        <v>92</v>
      </c>
      <c r="Q663" s="564" t="s">
        <v>2863</v>
      </c>
      <c r="R663" s="564">
        <v>45558</v>
      </c>
      <c r="S663" s="1599" t="s">
        <v>77</v>
      </c>
      <c r="T663" s="1552" t="s">
        <v>2864</v>
      </c>
      <c r="U663" s="1499" t="s">
        <v>2865</v>
      </c>
      <c r="V663" s="564" t="s">
        <v>1140</v>
      </c>
      <c r="W663" s="592">
        <v>1.3938</v>
      </c>
      <c r="X663" s="593">
        <f t="shared" si="405"/>
        <v>1003.536</v>
      </c>
      <c r="Y663" s="401" t="s">
        <v>2866</v>
      </c>
      <c r="Z663" s="607" t="s">
        <v>73</v>
      </c>
      <c r="AA663" s="1453" t="s">
        <v>128</v>
      </c>
      <c r="AB663" s="608">
        <v>720</v>
      </c>
      <c r="AC663" s="608">
        <f t="shared" si="370"/>
        <v>0</v>
      </c>
      <c r="AD663" s="608"/>
      <c r="AE663" s="564"/>
      <c r="AF663" s="564"/>
      <c r="AG663" s="608">
        <f t="shared" si="412"/>
        <v>720</v>
      </c>
      <c r="AH663" s="608"/>
      <c r="AI663" s="608"/>
      <c r="AJ663" s="608"/>
      <c r="AK663" s="609">
        <f t="shared" ref="AK663:AK668" si="414">I663</f>
        <v>720</v>
      </c>
      <c r="AL663" s="401"/>
      <c r="AM663" s="609"/>
      <c r="AN663" s="609"/>
      <c r="AO663" s="609">
        <f t="shared" si="413"/>
        <v>720</v>
      </c>
      <c r="AP663" s="609"/>
      <c r="AQ663" s="609"/>
      <c r="AR663" s="609"/>
      <c r="AS663" s="609"/>
      <c r="AT663" s="633"/>
      <c r="AU663" s="633"/>
      <c r="AV663" s="633"/>
      <c r="AW663" s="633"/>
      <c r="AX663" s="633"/>
      <c r="AY663" s="633"/>
      <c r="AZ663" s="633"/>
      <c r="BA663" s="633"/>
      <c r="BB663" s="633"/>
      <c r="BC663" s="633"/>
      <c r="BD663" s="633"/>
      <c r="BE663" s="633"/>
      <c r="BF663" s="633"/>
      <c r="BG663" s="633"/>
      <c r="BH663" s="633"/>
      <c r="BI663" s="633"/>
      <c r="BJ663" s="633"/>
      <c r="BK663" s="633"/>
      <c r="BL663" s="633"/>
      <c r="BM663" s="401">
        <f t="shared" si="404"/>
        <v>720</v>
      </c>
      <c r="BO663" s="1473"/>
      <c r="BP663" s="1473"/>
    </row>
    <row r="664" s="200" customFormat="1" ht="36" customHeight="1" spans="1:68">
      <c r="A664" s="533">
        <v>45555</v>
      </c>
      <c r="B664" s="527" t="s">
        <v>2599</v>
      </c>
      <c r="C664" s="528" t="s">
        <v>500</v>
      </c>
      <c r="D664" s="534">
        <v>4500145752</v>
      </c>
      <c r="E664" s="530">
        <v>5200005416</v>
      </c>
      <c r="F664" s="534" t="s">
        <v>2867</v>
      </c>
      <c r="G664" s="531" t="s">
        <v>259</v>
      </c>
      <c r="H664" s="532" t="s">
        <v>74</v>
      </c>
      <c r="I664" s="401">
        <v>2400</v>
      </c>
      <c r="J664" s="562">
        <v>0</v>
      </c>
      <c r="K664" s="531">
        <v>12</v>
      </c>
      <c r="L664" s="401">
        <f t="shared" si="384"/>
        <v>200</v>
      </c>
      <c r="M664" s="563">
        <v>45596</v>
      </c>
      <c r="N664" s="563">
        <v>45593</v>
      </c>
      <c r="O664" s="564"/>
      <c r="P664" s="564" t="s">
        <v>92</v>
      </c>
      <c r="Q664" s="564" t="s">
        <v>2787</v>
      </c>
      <c r="R664" s="564">
        <v>45565</v>
      </c>
      <c r="S664" s="564" t="s">
        <v>77</v>
      </c>
      <c r="T664" s="564" t="s">
        <v>2868</v>
      </c>
      <c r="U664" s="530" t="s">
        <v>2869</v>
      </c>
      <c r="V664" s="596" t="s">
        <v>2604</v>
      </c>
      <c r="W664" s="592">
        <v>1.4214</v>
      </c>
      <c r="X664" s="593">
        <f>W664*L664</f>
        <v>284.28</v>
      </c>
      <c r="Y664" s="401" t="s">
        <v>2870</v>
      </c>
      <c r="Z664" s="607" t="s">
        <v>249</v>
      </c>
      <c r="AA664" s="1453" t="s">
        <v>128</v>
      </c>
      <c r="AB664" s="608">
        <v>2400</v>
      </c>
      <c r="AC664" s="608">
        <f t="shared" si="370"/>
        <v>0</v>
      </c>
      <c r="AD664" s="608"/>
      <c r="AE664" s="564"/>
      <c r="AF664" s="564"/>
      <c r="AG664" s="608">
        <f t="shared" si="412"/>
        <v>2400</v>
      </c>
      <c r="AH664" s="608"/>
      <c r="AI664" s="608"/>
      <c r="AJ664" s="608"/>
      <c r="AL664" s="609">
        <f>AG664</f>
        <v>2400</v>
      </c>
      <c r="AM664" s="609"/>
      <c r="AN664" s="609"/>
      <c r="AO664" s="609">
        <f>AG664</f>
        <v>2400</v>
      </c>
      <c r="AP664" s="609"/>
      <c r="AQ664" s="609"/>
      <c r="AR664" s="609"/>
      <c r="AS664" s="609"/>
      <c r="AT664" s="633"/>
      <c r="AU664" s="633"/>
      <c r="AV664" s="633"/>
      <c r="AW664" s="633"/>
      <c r="AX664" s="633">
        <f>I664/12</f>
        <v>200</v>
      </c>
      <c r="AZ664" s="633"/>
      <c r="BA664" s="633"/>
      <c r="BB664" s="633"/>
      <c r="BC664" s="633"/>
      <c r="BD664" s="633"/>
      <c r="BE664" s="633"/>
      <c r="BF664" s="633"/>
      <c r="BG664" s="633"/>
      <c r="BH664" s="633"/>
      <c r="BI664" s="633"/>
      <c r="BJ664" s="633"/>
      <c r="BK664" s="633"/>
      <c r="BL664" s="633"/>
      <c r="BM664" s="401">
        <f t="shared" si="404"/>
        <v>2400</v>
      </c>
      <c r="BO664" s="1473"/>
      <c r="BP664" s="1473"/>
    </row>
    <row r="665" s="200" customFormat="1" ht="36" customHeight="1" spans="1:68">
      <c r="A665" s="533">
        <v>45519</v>
      </c>
      <c r="B665" s="527" t="s">
        <v>965</v>
      </c>
      <c r="C665" s="528" t="s">
        <v>117</v>
      </c>
      <c r="D665" s="534">
        <v>4500142845</v>
      </c>
      <c r="E665" s="1499" t="s">
        <v>2871</v>
      </c>
      <c r="F665" s="534" t="s">
        <v>2872</v>
      </c>
      <c r="G665" s="531" t="s">
        <v>215</v>
      </c>
      <c r="H665" s="532" t="s">
        <v>74</v>
      </c>
      <c r="I665" s="401">
        <v>588</v>
      </c>
      <c r="J665" s="562">
        <v>0</v>
      </c>
      <c r="K665" s="531">
        <v>42</v>
      </c>
      <c r="L665" s="401">
        <f t="shared" si="384"/>
        <v>14</v>
      </c>
      <c r="M665" s="563">
        <v>45601</v>
      </c>
      <c r="N665" s="563">
        <v>45597</v>
      </c>
      <c r="O665" s="564" t="s">
        <v>2873</v>
      </c>
      <c r="P665" s="564" t="s">
        <v>92</v>
      </c>
      <c r="Q665" s="564" t="s">
        <v>2874</v>
      </c>
      <c r="R665" s="564">
        <v>45564</v>
      </c>
      <c r="S665" s="564" t="s">
        <v>77</v>
      </c>
      <c r="T665" s="580" t="s">
        <v>2875</v>
      </c>
      <c r="U665" s="1499" t="s">
        <v>2876</v>
      </c>
      <c r="V665" s="564" t="s">
        <v>971</v>
      </c>
      <c r="W665" s="592">
        <v>1.5017</v>
      </c>
      <c r="X665" s="593">
        <f t="shared" ref="X665:X668" si="415">I665*W665</f>
        <v>882.9996</v>
      </c>
      <c r="Y665" s="401" t="s">
        <v>2877</v>
      </c>
      <c r="Z665" s="607" t="s">
        <v>215</v>
      </c>
      <c r="AA665" s="1453" t="s">
        <v>128</v>
      </c>
      <c r="AB665" s="608">
        <v>588</v>
      </c>
      <c r="AC665" s="608">
        <f t="shared" si="370"/>
        <v>0</v>
      </c>
      <c r="AD665" s="608"/>
      <c r="AE665" s="564" t="s">
        <v>2389</v>
      </c>
      <c r="AF665" s="564"/>
      <c r="AG665" s="608">
        <f t="shared" si="412"/>
        <v>588</v>
      </c>
      <c r="AH665" s="608"/>
      <c r="AI665" s="608"/>
      <c r="AJ665" s="608"/>
      <c r="AK665" s="401">
        <f t="shared" si="414"/>
        <v>588</v>
      </c>
      <c r="AL665" s="609"/>
      <c r="AM665" s="609"/>
      <c r="AN665" s="609"/>
      <c r="AO665" s="609">
        <f t="shared" ref="AO665:AO673" si="416">I665</f>
        <v>588</v>
      </c>
      <c r="AP665" s="609"/>
      <c r="AQ665" s="609"/>
      <c r="AR665" s="609"/>
      <c r="AS665" s="609">
        <f t="shared" ref="AS665:AS668" si="417">I665/21</f>
        <v>28</v>
      </c>
      <c r="AT665" s="633"/>
      <c r="AU665" s="633"/>
      <c r="AV665" s="633"/>
      <c r="AW665" s="633"/>
      <c r="AX665" s="633"/>
      <c r="AY665" s="633"/>
      <c r="AZ665" s="633"/>
      <c r="BA665" s="633"/>
      <c r="BB665" s="633"/>
      <c r="BC665" s="633"/>
      <c r="BD665" s="633"/>
      <c r="BE665" s="633"/>
      <c r="BF665" s="633"/>
      <c r="BG665" s="633"/>
      <c r="BH665" s="633"/>
      <c r="BI665" s="633"/>
      <c r="BJ665" s="633"/>
      <c r="BK665" s="633"/>
      <c r="BL665" s="633"/>
      <c r="BM665" s="401">
        <f t="shared" si="404"/>
        <v>588</v>
      </c>
      <c r="BO665" s="1473"/>
      <c r="BP665" s="1473"/>
    </row>
    <row r="666" s="200" customFormat="1" ht="36" customHeight="1" spans="1:68">
      <c r="A666" s="533">
        <v>45519</v>
      </c>
      <c r="B666" s="527" t="s">
        <v>965</v>
      </c>
      <c r="C666" s="528" t="s">
        <v>117</v>
      </c>
      <c r="D666" s="534">
        <v>4500142845</v>
      </c>
      <c r="E666" s="1499" t="s">
        <v>2871</v>
      </c>
      <c r="F666" s="534" t="s">
        <v>2878</v>
      </c>
      <c r="G666" s="531" t="s">
        <v>215</v>
      </c>
      <c r="H666" s="532" t="s">
        <v>74</v>
      </c>
      <c r="I666" s="401">
        <v>714</v>
      </c>
      <c r="J666" s="562">
        <v>0</v>
      </c>
      <c r="K666" s="531">
        <v>42</v>
      </c>
      <c r="L666" s="401">
        <f t="shared" si="384"/>
        <v>17</v>
      </c>
      <c r="M666" s="563">
        <v>45601</v>
      </c>
      <c r="N666" s="563">
        <v>45597</v>
      </c>
      <c r="O666" s="564"/>
      <c r="P666" s="564" t="s">
        <v>92</v>
      </c>
      <c r="Q666" s="564" t="s">
        <v>2874</v>
      </c>
      <c r="R666" s="564">
        <v>45564</v>
      </c>
      <c r="S666" s="564" t="s">
        <v>77</v>
      </c>
      <c r="T666" s="580" t="s">
        <v>2875</v>
      </c>
      <c r="U666" s="1499" t="s">
        <v>2876</v>
      </c>
      <c r="V666" s="564" t="s">
        <v>971</v>
      </c>
      <c r="W666" s="592">
        <v>1.5017</v>
      </c>
      <c r="X666" s="593">
        <f t="shared" si="415"/>
        <v>1072.2138</v>
      </c>
      <c r="Y666" s="401" t="s">
        <v>2877</v>
      </c>
      <c r="Z666" s="607" t="s">
        <v>215</v>
      </c>
      <c r="AA666" s="1453" t="s">
        <v>128</v>
      </c>
      <c r="AB666" s="608">
        <v>714</v>
      </c>
      <c r="AC666" s="608">
        <f t="shared" si="370"/>
        <v>0</v>
      </c>
      <c r="AD666" s="608"/>
      <c r="AE666" s="564" t="s">
        <v>2389</v>
      </c>
      <c r="AF666" s="564"/>
      <c r="AG666" s="608">
        <f t="shared" si="412"/>
        <v>714</v>
      </c>
      <c r="AH666" s="608"/>
      <c r="AI666" s="608"/>
      <c r="AJ666" s="608"/>
      <c r="AK666" s="401">
        <f t="shared" si="414"/>
        <v>714</v>
      </c>
      <c r="AL666" s="609"/>
      <c r="AM666" s="609"/>
      <c r="AN666" s="609"/>
      <c r="AO666" s="609">
        <f t="shared" si="416"/>
        <v>714</v>
      </c>
      <c r="AP666" s="609"/>
      <c r="AQ666" s="609"/>
      <c r="AR666" s="609"/>
      <c r="AS666" s="609">
        <f t="shared" si="417"/>
        <v>34</v>
      </c>
      <c r="AT666" s="633"/>
      <c r="AU666" s="633"/>
      <c r="AV666" s="633"/>
      <c r="AW666" s="633"/>
      <c r="AX666" s="633"/>
      <c r="AY666" s="633"/>
      <c r="AZ666" s="633"/>
      <c r="BA666" s="633"/>
      <c r="BB666" s="633"/>
      <c r="BC666" s="633"/>
      <c r="BD666" s="633"/>
      <c r="BE666" s="633"/>
      <c r="BF666" s="633"/>
      <c r="BG666" s="633"/>
      <c r="BH666" s="633"/>
      <c r="BI666" s="633"/>
      <c r="BJ666" s="633"/>
      <c r="BK666" s="633"/>
      <c r="BL666" s="633"/>
      <c r="BM666" s="401">
        <f t="shared" si="404"/>
        <v>714</v>
      </c>
      <c r="BO666" s="1473"/>
      <c r="BP666" s="1473"/>
    </row>
    <row r="667" s="200" customFormat="1" ht="36" customHeight="1" spans="1:68">
      <c r="A667" s="533">
        <v>45519</v>
      </c>
      <c r="B667" s="527" t="s">
        <v>965</v>
      </c>
      <c r="C667" s="528" t="s">
        <v>117</v>
      </c>
      <c r="D667" s="534">
        <v>4500142845</v>
      </c>
      <c r="E667" s="1499" t="s">
        <v>2871</v>
      </c>
      <c r="F667" s="534" t="s">
        <v>2879</v>
      </c>
      <c r="G667" s="531" t="s">
        <v>215</v>
      </c>
      <c r="H667" s="532" t="s">
        <v>74</v>
      </c>
      <c r="I667" s="401">
        <v>168</v>
      </c>
      <c r="J667" s="562">
        <v>0</v>
      </c>
      <c r="K667" s="531">
        <v>42</v>
      </c>
      <c r="L667" s="401">
        <f t="shared" si="384"/>
        <v>4</v>
      </c>
      <c r="M667" s="563">
        <v>45601</v>
      </c>
      <c r="N667" s="563">
        <v>45597</v>
      </c>
      <c r="O667" s="564"/>
      <c r="P667" s="564" t="s">
        <v>92</v>
      </c>
      <c r="Q667" s="564" t="s">
        <v>2874</v>
      </c>
      <c r="R667" s="564">
        <v>45564</v>
      </c>
      <c r="S667" s="564" t="s">
        <v>77</v>
      </c>
      <c r="T667" s="580" t="s">
        <v>2875</v>
      </c>
      <c r="U667" s="1499" t="s">
        <v>2876</v>
      </c>
      <c r="V667" s="564" t="s">
        <v>971</v>
      </c>
      <c r="W667" s="592">
        <v>1.5017</v>
      </c>
      <c r="X667" s="593">
        <f t="shared" si="415"/>
        <v>252.2856</v>
      </c>
      <c r="Y667" s="401" t="s">
        <v>2877</v>
      </c>
      <c r="Z667" s="607" t="s">
        <v>215</v>
      </c>
      <c r="AA667" s="1453" t="s">
        <v>128</v>
      </c>
      <c r="AB667" s="608">
        <v>168</v>
      </c>
      <c r="AC667" s="608">
        <f t="shared" si="370"/>
        <v>0</v>
      </c>
      <c r="AD667" s="608"/>
      <c r="AE667" s="564" t="s">
        <v>2389</v>
      </c>
      <c r="AF667" s="564"/>
      <c r="AG667" s="608">
        <f t="shared" si="412"/>
        <v>168</v>
      </c>
      <c r="AH667" s="608"/>
      <c r="AI667" s="608"/>
      <c r="AJ667" s="608"/>
      <c r="AK667" s="401">
        <f t="shared" si="414"/>
        <v>168</v>
      </c>
      <c r="AL667" s="609"/>
      <c r="AM667" s="609"/>
      <c r="AN667" s="609"/>
      <c r="AO667" s="609">
        <f t="shared" si="416"/>
        <v>168</v>
      </c>
      <c r="AP667" s="609"/>
      <c r="AQ667" s="609"/>
      <c r="AR667" s="609"/>
      <c r="AS667" s="609">
        <f t="shared" si="417"/>
        <v>8</v>
      </c>
      <c r="AT667" s="633"/>
      <c r="AU667" s="633"/>
      <c r="AV667" s="633"/>
      <c r="AW667" s="633"/>
      <c r="AX667" s="633"/>
      <c r="AY667" s="633"/>
      <c r="AZ667" s="633"/>
      <c r="BA667" s="633"/>
      <c r="BB667" s="633"/>
      <c r="BC667" s="633"/>
      <c r="BD667" s="633"/>
      <c r="BE667" s="633"/>
      <c r="BF667" s="633"/>
      <c r="BG667" s="633"/>
      <c r="BH667" s="633"/>
      <c r="BI667" s="633"/>
      <c r="BJ667" s="633"/>
      <c r="BK667" s="633"/>
      <c r="BL667" s="633"/>
      <c r="BM667" s="401">
        <f t="shared" si="404"/>
        <v>168</v>
      </c>
      <c r="BO667" s="1473"/>
      <c r="BP667" s="1473"/>
    </row>
    <row r="668" s="200" customFormat="1" ht="36" customHeight="1" spans="1:68">
      <c r="A668" s="533">
        <v>45540</v>
      </c>
      <c r="B668" s="527" t="s">
        <v>965</v>
      </c>
      <c r="C668" s="528" t="s">
        <v>117</v>
      </c>
      <c r="D668" s="534">
        <v>4500142845</v>
      </c>
      <c r="E668" s="530" t="s">
        <v>2880</v>
      </c>
      <c r="F668" s="534" t="s">
        <v>2881</v>
      </c>
      <c r="G668" s="531" t="s">
        <v>215</v>
      </c>
      <c r="H668" s="532" t="s">
        <v>74</v>
      </c>
      <c r="I668" s="401">
        <v>210</v>
      </c>
      <c r="J668" s="562">
        <v>0</v>
      </c>
      <c r="K668" s="531">
        <v>42</v>
      </c>
      <c r="L668" s="401">
        <f t="shared" si="384"/>
        <v>5</v>
      </c>
      <c r="M668" s="563">
        <v>45601</v>
      </c>
      <c r="N668" s="563">
        <v>45597</v>
      </c>
      <c r="O668" s="564"/>
      <c r="P668" s="564" t="s">
        <v>92</v>
      </c>
      <c r="Q668" s="564" t="s">
        <v>2874</v>
      </c>
      <c r="R668" s="564">
        <v>45564</v>
      </c>
      <c r="S668" s="564" t="s">
        <v>77</v>
      </c>
      <c r="T668" s="580" t="s">
        <v>2875</v>
      </c>
      <c r="U668" s="530" t="s">
        <v>2876</v>
      </c>
      <c r="V668" s="564" t="s">
        <v>971</v>
      </c>
      <c r="W668" s="592">
        <v>1.5017</v>
      </c>
      <c r="X668" s="593">
        <f t="shared" si="415"/>
        <v>315.357</v>
      </c>
      <c r="Y668" s="401" t="s">
        <v>2877</v>
      </c>
      <c r="Z668" s="607" t="s">
        <v>215</v>
      </c>
      <c r="AA668" s="1453" t="s">
        <v>128</v>
      </c>
      <c r="AB668" s="608">
        <v>210</v>
      </c>
      <c r="AC668" s="608">
        <f t="shared" si="370"/>
        <v>0</v>
      </c>
      <c r="AD668" s="608"/>
      <c r="AE668" s="564"/>
      <c r="AF668" s="564"/>
      <c r="AG668" s="608">
        <f t="shared" si="412"/>
        <v>210</v>
      </c>
      <c r="AH668" s="608"/>
      <c r="AI668" s="608"/>
      <c r="AJ668" s="608"/>
      <c r="AK668" s="401">
        <f t="shared" si="414"/>
        <v>210</v>
      </c>
      <c r="AL668" s="609"/>
      <c r="AM668" s="609"/>
      <c r="AN668" s="609"/>
      <c r="AO668" s="609">
        <f t="shared" si="416"/>
        <v>210</v>
      </c>
      <c r="AP668" s="609"/>
      <c r="AQ668" s="609"/>
      <c r="AR668" s="609"/>
      <c r="AS668" s="609">
        <f t="shared" si="417"/>
        <v>10</v>
      </c>
      <c r="AT668" s="633"/>
      <c r="AU668" s="633"/>
      <c r="AV668" s="633"/>
      <c r="AW668" s="633"/>
      <c r="AX668" s="633"/>
      <c r="AY668" s="633"/>
      <c r="AZ668" s="633"/>
      <c r="BA668" s="633"/>
      <c r="BB668" s="633"/>
      <c r="BC668" s="633"/>
      <c r="BD668" s="633"/>
      <c r="BE668" s="633"/>
      <c r="BF668" s="633"/>
      <c r="BG668" s="633"/>
      <c r="BH668" s="633"/>
      <c r="BI668" s="633"/>
      <c r="BJ668" s="633"/>
      <c r="BK668" s="633"/>
      <c r="BL668" s="633"/>
      <c r="BM668" s="401">
        <f t="shared" si="404"/>
        <v>210</v>
      </c>
      <c r="BO668" s="1473"/>
      <c r="BP668" s="1473"/>
    </row>
    <row r="669" s="200" customFormat="1" ht="36" customHeight="1" spans="1:68">
      <c r="A669" s="533">
        <v>45545</v>
      </c>
      <c r="B669" s="527" t="s">
        <v>225</v>
      </c>
      <c r="C669" s="528" t="s">
        <v>213</v>
      </c>
      <c r="D669" s="534">
        <v>4500144795</v>
      </c>
      <c r="E669" s="530"/>
      <c r="F669" s="534" t="s">
        <v>2882</v>
      </c>
      <c r="G669" s="531" t="s">
        <v>2883</v>
      </c>
      <c r="H669" s="532" t="s">
        <v>1672</v>
      </c>
      <c r="I669" s="401">
        <v>8476</v>
      </c>
      <c r="J669" s="562">
        <v>0</v>
      </c>
      <c r="K669" s="531">
        <v>26</v>
      </c>
      <c r="L669" s="401">
        <v>326</v>
      </c>
      <c r="M669" s="563">
        <v>45600</v>
      </c>
      <c r="N669" s="1495">
        <v>45597</v>
      </c>
      <c r="O669" s="564" t="s">
        <v>2884</v>
      </c>
      <c r="P669" s="564" t="s">
        <v>92</v>
      </c>
      <c r="Q669" s="564" t="s">
        <v>2885</v>
      </c>
      <c r="R669" s="1607">
        <v>45545</v>
      </c>
      <c r="S669" s="1599" t="s">
        <v>77</v>
      </c>
      <c r="T669" s="1600" t="s">
        <v>2886</v>
      </c>
      <c r="U669" s="1499" t="s">
        <v>2887</v>
      </c>
      <c r="V669" s="564" t="s">
        <v>230</v>
      </c>
      <c r="W669" s="592">
        <v>35.3845</v>
      </c>
      <c r="X669" s="593">
        <f>W669*L669</f>
        <v>11535.347</v>
      </c>
      <c r="Y669" s="401" t="s">
        <v>2888</v>
      </c>
      <c r="Z669" s="607" t="s">
        <v>2883</v>
      </c>
      <c r="AA669" s="1453" t="s">
        <v>128</v>
      </c>
      <c r="AB669" s="608">
        <v>8476</v>
      </c>
      <c r="AC669" s="608">
        <f t="shared" si="370"/>
        <v>0</v>
      </c>
      <c r="AD669" s="608"/>
      <c r="AE669" s="564"/>
      <c r="AF669" s="564"/>
      <c r="AG669" s="608">
        <f t="shared" si="412"/>
        <v>8476</v>
      </c>
      <c r="AH669" s="608"/>
      <c r="AI669" s="608"/>
      <c r="AJ669" s="608"/>
      <c r="AK669" s="609">
        <f>AG669</f>
        <v>8476</v>
      </c>
      <c r="AL669" s="609"/>
      <c r="AM669" s="609"/>
      <c r="AN669" s="609"/>
      <c r="AO669" s="609">
        <f t="shared" si="416"/>
        <v>8476</v>
      </c>
      <c r="AP669" s="609"/>
      <c r="AQ669" s="609"/>
      <c r="AR669" s="609"/>
      <c r="AS669" s="609"/>
      <c r="AT669" s="633"/>
      <c r="AU669" s="633"/>
      <c r="AV669" s="633"/>
      <c r="AW669" s="633"/>
      <c r="AX669" s="633"/>
      <c r="AY669" s="633">
        <f>I669/13</f>
        <v>652</v>
      </c>
      <c r="AZ669" s="633"/>
      <c r="BA669" s="633"/>
      <c r="BB669" s="633"/>
      <c r="BC669" s="633"/>
      <c r="BD669" s="633"/>
      <c r="BE669" s="633"/>
      <c r="BF669" s="633"/>
      <c r="BG669" s="633"/>
      <c r="BH669" s="633"/>
      <c r="BI669" s="633"/>
      <c r="BJ669" s="633"/>
      <c r="BK669" s="633"/>
      <c r="BL669" s="633"/>
      <c r="BM669" s="401">
        <f t="shared" si="404"/>
        <v>8476</v>
      </c>
      <c r="BO669" s="1473"/>
      <c r="BP669" s="1473"/>
    </row>
    <row r="670" s="200" customFormat="1" ht="36" customHeight="1" spans="1:68">
      <c r="A670" s="533">
        <v>45561</v>
      </c>
      <c r="B670" s="527" t="s">
        <v>2623</v>
      </c>
      <c r="C670" s="528" t="s">
        <v>373</v>
      </c>
      <c r="D670" s="534">
        <v>4500146156</v>
      </c>
      <c r="E670" s="530" t="s">
        <v>2889</v>
      </c>
      <c r="F670" s="534" t="s">
        <v>2890</v>
      </c>
      <c r="G670" s="531" t="s">
        <v>73</v>
      </c>
      <c r="H670" s="532" t="s">
        <v>74</v>
      </c>
      <c r="I670" s="401">
        <v>504</v>
      </c>
      <c r="J670" s="562">
        <v>0</v>
      </c>
      <c r="K670" s="531">
        <v>24</v>
      </c>
      <c r="L670" s="401">
        <f t="shared" ref="L670:L722" si="418">I670/K670</f>
        <v>21</v>
      </c>
      <c r="M670" s="563">
        <v>45601</v>
      </c>
      <c r="N670" s="1495">
        <v>45600</v>
      </c>
      <c r="O670" s="564"/>
      <c r="P670" s="564" t="s">
        <v>92</v>
      </c>
      <c r="Q670" s="564" t="s">
        <v>2891</v>
      </c>
      <c r="R670" s="564" t="s">
        <v>1910</v>
      </c>
      <c r="S670" s="564" t="s">
        <v>123</v>
      </c>
      <c r="T670" s="564" t="s">
        <v>2892</v>
      </c>
      <c r="U670" s="530" t="s">
        <v>2893</v>
      </c>
      <c r="V670" s="564" t="s">
        <v>2629</v>
      </c>
      <c r="W670" s="592">
        <v>1.3645</v>
      </c>
      <c r="X670" s="593">
        <f t="shared" ref="X670:X673" si="419">I670*W670</f>
        <v>687.708</v>
      </c>
      <c r="Y670" s="401" t="s">
        <v>2894</v>
      </c>
      <c r="Z670" s="607" t="s">
        <v>188</v>
      </c>
      <c r="AA670" s="1453" t="s">
        <v>128</v>
      </c>
      <c r="AB670" s="608">
        <v>504</v>
      </c>
      <c r="AC670" s="608">
        <f t="shared" si="370"/>
        <v>0</v>
      </c>
      <c r="AD670" s="608"/>
      <c r="AE670" s="564"/>
      <c r="AF670" s="564"/>
      <c r="AG670" s="608">
        <f t="shared" si="412"/>
        <v>504</v>
      </c>
      <c r="AH670" s="608"/>
      <c r="AI670" s="608"/>
      <c r="AJ670" s="608"/>
      <c r="AK670" s="401"/>
      <c r="AL670" s="401">
        <f t="shared" ref="AL670:AL673" si="420">I670</f>
        <v>504</v>
      </c>
      <c r="AM670" s="609"/>
      <c r="AN670" s="609"/>
      <c r="AO670" s="609">
        <f t="shared" si="416"/>
        <v>504</v>
      </c>
      <c r="AP670" s="609"/>
      <c r="AQ670" s="609"/>
      <c r="AR670" s="609"/>
      <c r="AS670" s="609"/>
      <c r="AT670" s="633"/>
      <c r="AU670" s="633"/>
      <c r="AV670" s="633"/>
      <c r="AW670" s="633"/>
      <c r="AX670" s="633"/>
      <c r="AY670" s="633"/>
      <c r="AZ670" s="633"/>
      <c r="BA670" s="633"/>
      <c r="BB670" s="633"/>
      <c r="BC670" s="633"/>
      <c r="BD670" s="633"/>
      <c r="BE670" s="633"/>
      <c r="BF670" s="633"/>
      <c r="BG670" s="633"/>
      <c r="BH670" s="633"/>
      <c r="BI670" s="633"/>
      <c r="BJ670" s="633"/>
      <c r="BK670" s="633"/>
      <c r="BL670" s="633"/>
      <c r="BM670" s="401">
        <f t="shared" si="404"/>
        <v>504</v>
      </c>
      <c r="BO670" s="1473"/>
      <c r="BP670" s="1473"/>
    </row>
    <row r="671" s="200" customFormat="1" ht="36" customHeight="1" spans="1:68">
      <c r="A671" s="533">
        <v>45553</v>
      </c>
      <c r="B671" s="527" t="s">
        <v>449</v>
      </c>
      <c r="C671" s="528" t="s">
        <v>213</v>
      </c>
      <c r="D671" s="534">
        <v>4500145236</v>
      </c>
      <c r="E671" s="530" t="s">
        <v>2895</v>
      </c>
      <c r="F671" s="534" t="s">
        <v>2896</v>
      </c>
      <c r="G671" s="531" t="s">
        <v>73</v>
      </c>
      <c r="H671" s="532" t="s">
        <v>74</v>
      </c>
      <c r="I671" s="401">
        <v>504</v>
      </c>
      <c r="J671" s="562">
        <v>0</v>
      </c>
      <c r="K671" s="531">
        <v>24</v>
      </c>
      <c r="L671" s="401">
        <f t="shared" si="418"/>
        <v>21</v>
      </c>
      <c r="M671" s="563">
        <v>45604</v>
      </c>
      <c r="N671" s="563">
        <v>45600</v>
      </c>
      <c r="O671" s="564"/>
      <c r="P671" s="564" t="s">
        <v>92</v>
      </c>
      <c r="Q671" s="564" t="s">
        <v>2897</v>
      </c>
      <c r="R671" s="564" t="s">
        <v>1910</v>
      </c>
      <c r="S671" s="564" t="s">
        <v>123</v>
      </c>
      <c r="T671" s="564" t="s">
        <v>2898</v>
      </c>
      <c r="U671" s="530" t="s">
        <v>2899</v>
      </c>
      <c r="V671" s="564" t="s">
        <v>186</v>
      </c>
      <c r="W671" s="592">
        <v>1.3456</v>
      </c>
      <c r="X671" s="593">
        <f t="shared" si="419"/>
        <v>678.1824</v>
      </c>
      <c r="Y671" s="401" t="s">
        <v>2900</v>
      </c>
      <c r="Z671" s="607" t="s">
        <v>188</v>
      </c>
      <c r="AA671" s="1453" t="s">
        <v>128</v>
      </c>
      <c r="AB671" s="608">
        <v>504</v>
      </c>
      <c r="AC671" s="608">
        <f t="shared" si="370"/>
        <v>0</v>
      </c>
      <c r="AD671" s="608"/>
      <c r="AE671" s="564"/>
      <c r="AF671" s="564"/>
      <c r="AG671" s="608">
        <f t="shared" si="412"/>
        <v>504</v>
      </c>
      <c r="AH671" s="608"/>
      <c r="AI671" s="608"/>
      <c r="AJ671" s="608"/>
      <c r="AK671" s="401"/>
      <c r="AL671" s="401">
        <f t="shared" si="420"/>
        <v>504</v>
      </c>
      <c r="AM671" s="609"/>
      <c r="AN671" s="609"/>
      <c r="AO671" s="609">
        <f t="shared" si="416"/>
        <v>504</v>
      </c>
      <c r="AP671" s="609"/>
      <c r="AQ671" s="609"/>
      <c r="AR671" s="609"/>
      <c r="AS671" s="609"/>
      <c r="AT671" s="633"/>
      <c r="AU671" s="633"/>
      <c r="AV671" s="633"/>
      <c r="AW671" s="633"/>
      <c r="AX671" s="633"/>
      <c r="AY671" s="633"/>
      <c r="AZ671" s="633"/>
      <c r="BA671" s="633"/>
      <c r="BB671" s="633"/>
      <c r="BC671" s="633"/>
      <c r="BD671" s="633"/>
      <c r="BE671" s="633"/>
      <c r="BF671" s="633"/>
      <c r="BG671" s="633"/>
      <c r="BH671" s="633"/>
      <c r="BI671" s="633"/>
      <c r="BJ671" s="633"/>
      <c r="BK671" s="633"/>
      <c r="BL671" s="633"/>
      <c r="BM671" s="401">
        <f t="shared" si="404"/>
        <v>504</v>
      </c>
      <c r="BO671" s="1473"/>
      <c r="BP671" s="1473"/>
    </row>
    <row r="672" s="200" customFormat="1" ht="36" customHeight="1" spans="1:68">
      <c r="A672" s="533">
        <v>45553</v>
      </c>
      <c r="B672" s="527" t="s">
        <v>449</v>
      </c>
      <c r="C672" s="528" t="s">
        <v>213</v>
      </c>
      <c r="D672" s="534">
        <v>4500145236</v>
      </c>
      <c r="E672" s="530" t="s">
        <v>2901</v>
      </c>
      <c r="F672" s="534" t="s">
        <v>2902</v>
      </c>
      <c r="G672" s="531" t="s">
        <v>73</v>
      </c>
      <c r="H672" s="532" t="s">
        <v>74</v>
      </c>
      <c r="I672" s="401">
        <v>816</v>
      </c>
      <c r="J672" s="562">
        <v>0</v>
      </c>
      <c r="K672" s="531">
        <v>24</v>
      </c>
      <c r="L672" s="401">
        <f t="shared" si="418"/>
        <v>34</v>
      </c>
      <c r="M672" s="563">
        <v>45604</v>
      </c>
      <c r="N672" s="563">
        <v>45600</v>
      </c>
      <c r="O672" s="564"/>
      <c r="P672" s="564" t="s">
        <v>92</v>
      </c>
      <c r="Q672" s="564" t="s">
        <v>2897</v>
      </c>
      <c r="R672" s="564" t="s">
        <v>1910</v>
      </c>
      <c r="S672" s="564" t="s">
        <v>123</v>
      </c>
      <c r="T672" s="564" t="s">
        <v>2898</v>
      </c>
      <c r="U672" s="530" t="s">
        <v>2899</v>
      </c>
      <c r="V672" s="564" t="s">
        <v>186</v>
      </c>
      <c r="W672" s="592">
        <v>1.3595</v>
      </c>
      <c r="X672" s="593">
        <f t="shared" si="419"/>
        <v>1109.352</v>
      </c>
      <c r="Y672" s="401" t="s">
        <v>2903</v>
      </c>
      <c r="Z672" s="607" t="s">
        <v>188</v>
      </c>
      <c r="AA672" s="1453" t="s">
        <v>128</v>
      </c>
      <c r="AB672" s="608">
        <v>816</v>
      </c>
      <c r="AC672" s="608">
        <f t="shared" si="370"/>
        <v>0</v>
      </c>
      <c r="AD672" s="608"/>
      <c r="AE672" s="564"/>
      <c r="AF672" s="564"/>
      <c r="AG672" s="608">
        <f t="shared" si="412"/>
        <v>816</v>
      </c>
      <c r="AH672" s="608"/>
      <c r="AI672" s="608"/>
      <c r="AJ672" s="608"/>
      <c r="AK672" s="401"/>
      <c r="AL672" s="401">
        <f t="shared" si="420"/>
        <v>816</v>
      </c>
      <c r="AM672" s="609"/>
      <c r="AN672" s="609"/>
      <c r="AO672" s="609">
        <f t="shared" si="416"/>
        <v>816</v>
      </c>
      <c r="AP672" s="609"/>
      <c r="AQ672" s="609"/>
      <c r="AR672" s="609"/>
      <c r="AS672" s="609"/>
      <c r="AT672" s="633"/>
      <c r="AU672" s="633"/>
      <c r="AV672" s="633"/>
      <c r="AW672" s="633"/>
      <c r="AX672" s="633"/>
      <c r="AY672" s="633"/>
      <c r="AZ672" s="633"/>
      <c r="BA672" s="633"/>
      <c r="BB672" s="633"/>
      <c r="BC672" s="633"/>
      <c r="BD672" s="633"/>
      <c r="BE672" s="633"/>
      <c r="BF672" s="633"/>
      <c r="BG672" s="633"/>
      <c r="BH672" s="633"/>
      <c r="BI672" s="633"/>
      <c r="BJ672" s="633"/>
      <c r="BK672" s="633"/>
      <c r="BL672" s="633"/>
      <c r="BM672" s="401">
        <f t="shared" si="404"/>
        <v>816</v>
      </c>
      <c r="BO672" s="1473"/>
      <c r="BP672" s="1473"/>
    </row>
    <row r="673" s="200" customFormat="1" ht="36" customHeight="1" spans="1:68">
      <c r="A673" s="533">
        <v>45573</v>
      </c>
      <c r="B673" s="527" t="s">
        <v>1279</v>
      </c>
      <c r="C673" s="528" t="s">
        <v>1280</v>
      </c>
      <c r="D673" s="534">
        <v>4500146219</v>
      </c>
      <c r="E673" s="530" t="s">
        <v>2904</v>
      </c>
      <c r="F673" s="534" t="s">
        <v>2905</v>
      </c>
      <c r="G673" s="531" t="s">
        <v>96</v>
      </c>
      <c r="H673" s="532" t="s">
        <v>1479</v>
      </c>
      <c r="I673" s="401">
        <v>1200</v>
      </c>
      <c r="J673" s="562">
        <v>0</v>
      </c>
      <c r="K673" s="531">
        <v>50</v>
      </c>
      <c r="L673" s="401">
        <f t="shared" si="418"/>
        <v>24</v>
      </c>
      <c r="M673" s="563">
        <v>45610</v>
      </c>
      <c r="N673" s="563">
        <v>45607</v>
      </c>
      <c r="O673" s="564" t="s">
        <v>2906</v>
      </c>
      <c r="P673" s="564" t="s">
        <v>92</v>
      </c>
      <c r="Q673" s="564" t="s">
        <v>2907</v>
      </c>
      <c r="R673" s="564">
        <v>45577</v>
      </c>
      <c r="S673" s="564" t="s">
        <v>77</v>
      </c>
      <c r="T673" s="564" t="s">
        <v>2908</v>
      </c>
      <c r="U673" s="530" t="s">
        <v>2909</v>
      </c>
      <c r="V673" s="564" t="s">
        <v>1482</v>
      </c>
      <c r="W673" s="592">
        <v>1.4344</v>
      </c>
      <c r="X673" s="593">
        <f t="shared" si="419"/>
        <v>1721.28</v>
      </c>
      <c r="Y673" s="401" t="s">
        <v>2910</v>
      </c>
      <c r="Z673" s="607" t="s">
        <v>292</v>
      </c>
      <c r="AA673" s="1453" t="s">
        <v>128</v>
      </c>
      <c r="AB673" s="608">
        <v>1200</v>
      </c>
      <c r="AC673" s="608">
        <f t="shared" ref="AC673:AC722" si="421">AB673-I673</f>
        <v>0</v>
      </c>
      <c r="AD673" s="608"/>
      <c r="AE673" s="564"/>
      <c r="AF673" s="564"/>
      <c r="AG673" s="608">
        <f t="shared" si="412"/>
        <v>1200</v>
      </c>
      <c r="AH673" s="608"/>
      <c r="AI673" s="608"/>
      <c r="AJ673" s="608"/>
      <c r="AK673" s="401"/>
      <c r="AL673" s="609">
        <f t="shared" si="420"/>
        <v>1200</v>
      </c>
      <c r="AM673" s="609"/>
      <c r="AN673" s="609"/>
      <c r="AO673" s="609">
        <f t="shared" si="416"/>
        <v>1200</v>
      </c>
      <c r="AP673" s="609"/>
      <c r="AQ673" s="609"/>
      <c r="AR673" s="609"/>
      <c r="AS673" s="609"/>
      <c r="AT673" s="633"/>
      <c r="AU673" s="633"/>
      <c r="AV673" s="633"/>
      <c r="AW673" s="633"/>
      <c r="AX673" s="633"/>
      <c r="AY673" s="633"/>
      <c r="AZ673" s="633"/>
      <c r="BA673" s="633"/>
      <c r="BB673" s="633">
        <f>I673/25</f>
        <v>48</v>
      </c>
      <c r="BC673" s="633"/>
      <c r="BD673" s="633"/>
      <c r="BE673" s="633"/>
      <c r="BF673" s="633"/>
      <c r="BG673" s="633"/>
      <c r="BH673" s="633"/>
      <c r="BI673" s="633"/>
      <c r="BJ673" s="633"/>
      <c r="BK673" s="633"/>
      <c r="BL673" s="633"/>
      <c r="BM673" s="401">
        <f t="shared" si="404"/>
        <v>1200</v>
      </c>
      <c r="BO673" s="1473"/>
      <c r="BP673" s="1473"/>
    </row>
    <row r="674" s="200" customFormat="1" ht="36" customHeight="1" spans="1:68">
      <c r="A674" s="533">
        <v>45544</v>
      </c>
      <c r="B674" s="527" t="s">
        <v>2599</v>
      </c>
      <c r="C674" s="528" t="s">
        <v>500</v>
      </c>
      <c r="D674" s="534">
        <v>4500144871</v>
      </c>
      <c r="E674" s="530">
        <v>5200005389</v>
      </c>
      <c r="F674" s="534" t="s">
        <v>2911</v>
      </c>
      <c r="G674" s="531" t="s">
        <v>259</v>
      </c>
      <c r="H674" s="532" t="s">
        <v>74</v>
      </c>
      <c r="I674" s="401">
        <v>2400</v>
      </c>
      <c r="J674" s="562">
        <v>0</v>
      </c>
      <c r="K674" s="531">
        <v>12</v>
      </c>
      <c r="L674" s="401">
        <f t="shared" si="418"/>
        <v>200</v>
      </c>
      <c r="M674" s="563">
        <v>45614</v>
      </c>
      <c r="N674" s="563">
        <v>45610</v>
      </c>
      <c r="O674" s="564"/>
      <c r="P674" s="564" t="s">
        <v>92</v>
      </c>
      <c r="Q674" s="564" t="s">
        <v>2912</v>
      </c>
      <c r="R674" s="564" t="s">
        <v>2913</v>
      </c>
      <c r="S674" s="564" t="s">
        <v>77</v>
      </c>
      <c r="T674" s="564" t="s">
        <v>2914</v>
      </c>
      <c r="U674" s="530" t="s">
        <v>2915</v>
      </c>
      <c r="V674" s="596" t="s">
        <v>2604</v>
      </c>
      <c r="W674" s="592">
        <v>1.4214</v>
      </c>
      <c r="X674" s="593">
        <f>W674*L674</f>
        <v>284.28</v>
      </c>
      <c r="Y674" s="401" t="s">
        <v>2916</v>
      </c>
      <c r="Z674" s="607" t="s">
        <v>249</v>
      </c>
      <c r="AA674" s="1453" t="s">
        <v>2723</v>
      </c>
      <c r="AB674" s="608">
        <v>2400</v>
      </c>
      <c r="AC674" s="608">
        <f t="shared" si="421"/>
        <v>0</v>
      </c>
      <c r="AD674" s="608"/>
      <c r="AE674" s="564"/>
      <c r="AF674" s="564"/>
      <c r="AG674" s="608">
        <f t="shared" si="412"/>
        <v>2400</v>
      </c>
      <c r="AH674" s="608"/>
      <c r="AI674" s="608"/>
      <c r="AJ674" s="608"/>
      <c r="AK674" s="609"/>
      <c r="AL674" s="609">
        <f>AG674</f>
        <v>2400</v>
      </c>
      <c r="AM674" s="609"/>
      <c r="AN674" s="609"/>
      <c r="AO674" s="609">
        <f>AG674</f>
        <v>2400</v>
      </c>
      <c r="AP674" s="609"/>
      <c r="AQ674" s="609"/>
      <c r="AR674" s="609"/>
      <c r="AS674" s="609"/>
      <c r="AT674" s="633"/>
      <c r="AU674" s="633"/>
      <c r="AV674" s="633"/>
      <c r="AW674" s="633"/>
      <c r="AX674" s="633">
        <f>I674/12</f>
        <v>200</v>
      </c>
      <c r="AY674" s="633"/>
      <c r="AZ674" s="633"/>
      <c r="BA674" s="633"/>
      <c r="BB674" s="633"/>
      <c r="BC674" s="633"/>
      <c r="BD674" s="633"/>
      <c r="BE674" s="633"/>
      <c r="BF674" s="633"/>
      <c r="BG674" s="633"/>
      <c r="BH674" s="633"/>
      <c r="BI674" s="633"/>
      <c r="BJ674" s="633"/>
      <c r="BK674" s="633"/>
      <c r="BL674" s="633"/>
      <c r="BM674" s="401">
        <f t="shared" si="404"/>
        <v>2400</v>
      </c>
      <c r="BO674" s="1473"/>
      <c r="BP674" s="1473"/>
    </row>
    <row r="675" s="200" customFormat="1" ht="36" customHeight="1" spans="1:68">
      <c r="A675" s="533">
        <v>45560</v>
      </c>
      <c r="B675" s="527" t="s">
        <v>816</v>
      </c>
      <c r="C675" s="528" t="s">
        <v>117</v>
      </c>
      <c r="D675" s="534">
        <v>4500146044</v>
      </c>
      <c r="E675" s="530">
        <v>70048944</v>
      </c>
      <c r="F675" s="534" t="s">
        <v>2917</v>
      </c>
      <c r="G675" s="531" t="s">
        <v>628</v>
      </c>
      <c r="H675" s="532" t="s">
        <v>623</v>
      </c>
      <c r="I675" s="401">
        <v>1008</v>
      </c>
      <c r="J675" s="562">
        <v>0</v>
      </c>
      <c r="K675" s="531">
        <v>12</v>
      </c>
      <c r="L675" s="401">
        <f t="shared" si="418"/>
        <v>84</v>
      </c>
      <c r="M675" s="563">
        <v>45617</v>
      </c>
      <c r="N675" s="563">
        <v>45614</v>
      </c>
      <c r="O675" s="564" t="s">
        <v>2918</v>
      </c>
      <c r="P675" s="564" t="s">
        <v>92</v>
      </c>
      <c r="Q675" s="564" t="s">
        <v>2919</v>
      </c>
      <c r="R675" s="564">
        <v>45560</v>
      </c>
      <c r="S675" s="564" t="s">
        <v>77</v>
      </c>
      <c r="T675" s="1552" t="s">
        <v>2920</v>
      </c>
      <c r="U675" s="1551" t="s">
        <v>2921</v>
      </c>
      <c r="V675" s="596" t="s">
        <v>2458</v>
      </c>
      <c r="W675" s="592">
        <v>3.1012</v>
      </c>
      <c r="X675" s="593">
        <f t="shared" ref="X675:X682" si="422">I675*W675</f>
        <v>3126.0096</v>
      </c>
      <c r="Y675" s="401" t="s">
        <v>2922</v>
      </c>
      <c r="Z675" s="607" t="s">
        <v>822</v>
      </c>
      <c r="AA675" s="1453" t="s">
        <v>128</v>
      </c>
      <c r="AB675" s="608">
        <v>1008</v>
      </c>
      <c r="AC675" s="608">
        <f t="shared" si="421"/>
        <v>0</v>
      </c>
      <c r="AD675" s="608"/>
      <c r="AE675" s="564"/>
      <c r="AF675" s="564"/>
      <c r="AG675" s="608">
        <f>I675*2</f>
        <v>2016</v>
      </c>
      <c r="AH675" s="608"/>
      <c r="AI675" s="608"/>
      <c r="AJ675" s="608"/>
      <c r="AK675" s="401"/>
      <c r="AL675" s="609">
        <f>AG675</f>
        <v>2016</v>
      </c>
      <c r="AM675" s="609"/>
      <c r="AN675" s="609"/>
      <c r="AO675" s="615">
        <f>AG675</f>
        <v>2016</v>
      </c>
      <c r="AP675" s="609"/>
      <c r="AQ675" s="609"/>
      <c r="AR675" s="609"/>
      <c r="AS675" s="609"/>
      <c r="AT675" s="633"/>
      <c r="AU675" s="633"/>
      <c r="AV675" s="633"/>
      <c r="AW675" s="633"/>
      <c r="AX675" s="633"/>
      <c r="AY675" s="1526"/>
      <c r="AZ675" s="633"/>
      <c r="BA675" s="633"/>
      <c r="BB675" s="633"/>
      <c r="BC675" s="633"/>
      <c r="BD675" s="633"/>
      <c r="BE675" s="633"/>
      <c r="BF675" s="633"/>
      <c r="BG675" s="633"/>
      <c r="BH675" s="633"/>
      <c r="BI675" s="633"/>
      <c r="BJ675" s="633"/>
      <c r="BK675" s="633">
        <f>I675</f>
        <v>1008</v>
      </c>
      <c r="BL675" s="633">
        <f>I675</f>
        <v>1008</v>
      </c>
      <c r="BM675" s="401">
        <f t="shared" si="404"/>
        <v>2016</v>
      </c>
      <c r="BO675" s="1473"/>
      <c r="BP675" s="1473"/>
    </row>
    <row r="676" s="200" customFormat="1" ht="36" customHeight="1" spans="1:68">
      <c r="A676" s="533">
        <v>45582</v>
      </c>
      <c r="B676" s="527" t="s">
        <v>2923</v>
      </c>
      <c r="C676" s="528" t="s">
        <v>2924</v>
      </c>
      <c r="D676" s="534">
        <v>4500148003</v>
      </c>
      <c r="E676" s="530" t="s">
        <v>2925</v>
      </c>
      <c r="F676" s="534" t="s">
        <v>2926</v>
      </c>
      <c r="G676" s="531" t="s">
        <v>96</v>
      </c>
      <c r="H676" s="532" t="s">
        <v>74</v>
      </c>
      <c r="I676" s="401">
        <v>350</v>
      </c>
      <c r="J676" s="562">
        <v>0</v>
      </c>
      <c r="K676" s="531">
        <v>50</v>
      </c>
      <c r="L676" s="401">
        <f t="shared" si="418"/>
        <v>7</v>
      </c>
      <c r="M676" s="1495">
        <v>45611</v>
      </c>
      <c r="N676" s="1495">
        <v>45607</v>
      </c>
      <c r="O676" s="564"/>
      <c r="P676" s="564" t="s">
        <v>1262</v>
      </c>
      <c r="Q676" s="564" t="s">
        <v>2927</v>
      </c>
      <c r="R676" s="564" t="s">
        <v>2928</v>
      </c>
      <c r="S676" s="1599" t="s">
        <v>77</v>
      </c>
      <c r="T676" s="1600" t="s">
        <v>2929</v>
      </c>
      <c r="U676" s="1454" t="s">
        <v>2930</v>
      </c>
      <c r="V676" s="596" t="s">
        <v>585</v>
      </c>
      <c r="W676" s="592">
        <v>1.4225</v>
      </c>
      <c r="X676" s="593">
        <f t="shared" si="422"/>
        <v>497.875</v>
      </c>
      <c r="Y676" s="401" t="s">
        <v>2931</v>
      </c>
      <c r="Z676" s="607" t="s">
        <v>96</v>
      </c>
      <c r="AA676" s="1453" t="s">
        <v>128</v>
      </c>
      <c r="AB676" s="608">
        <v>350</v>
      </c>
      <c r="AC676" s="608">
        <f t="shared" si="421"/>
        <v>0</v>
      </c>
      <c r="AD676" s="608"/>
      <c r="AE676" s="564"/>
      <c r="AF676" s="564"/>
      <c r="AG676" s="608">
        <f t="shared" ref="AG676:AG682" si="423">I676</f>
        <v>350</v>
      </c>
      <c r="AH676" s="608"/>
      <c r="AI676" s="608"/>
      <c r="AJ676" s="608"/>
      <c r="AK676" s="609">
        <f>AG676</f>
        <v>350</v>
      </c>
      <c r="AL676" s="609"/>
      <c r="AM676" s="609"/>
      <c r="AN676" s="609"/>
      <c r="AO676" s="609">
        <f t="shared" ref="AO676:AO682" si="424">I676</f>
        <v>350</v>
      </c>
      <c r="AP676" s="609"/>
      <c r="AQ676" s="609"/>
      <c r="AR676" s="609"/>
      <c r="AS676" s="609"/>
      <c r="AT676" s="633"/>
      <c r="AU676" s="633"/>
      <c r="AV676" s="633"/>
      <c r="AW676" s="633"/>
      <c r="AX676" s="633"/>
      <c r="AY676" s="1526"/>
      <c r="AZ676" s="633"/>
      <c r="BA676" s="633">
        <f>I676/25</f>
        <v>14</v>
      </c>
      <c r="BB676" s="633"/>
      <c r="BC676" s="633"/>
      <c r="BD676" s="633"/>
      <c r="BE676" s="633"/>
      <c r="BF676" s="633"/>
      <c r="BG676" s="633"/>
      <c r="BH676" s="633"/>
      <c r="BI676" s="633"/>
      <c r="BJ676" s="633"/>
      <c r="BK676" s="633"/>
      <c r="BL676" s="633"/>
      <c r="BM676" s="401">
        <f t="shared" si="404"/>
        <v>350</v>
      </c>
      <c r="BO676" s="1473"/>
      <c r="BP676" s="1473"/>
    </row>
    <row r="677" s="200" customFormat="1" ht="36" customHeight="1" spans="1:68">
      <c r="A677" s="533">
        <v>45580</v>
      </c>
      <c r="B677" s="527" t="s">
        <v>746</v>
      </c>
      <c r="C677" s="528" t="s">
        <v>747</v>
      </c>
      <c r="D677" s="534">
        <v>4500147679</v>
      </c>
      <c r="E677" s="530" t="s">
        <v>2932</v>
      </c>
      <c r="F677" s="534" t="s">
        <v>2933</v>
      </c>
      <c r="G677" s="531" t="s">
        <v>96</v>
      </c>
      <c r="H677" s="532" t="s">
        <v>74</v>
      </c>
      <c r="I677" s="401">
        <v>1000</v>
      </c>
      <c r="J677" s="562">
        <v>0</v>
      </c>
      <c r="K677" s="531">
        <v>50</v>
      </c>
      <c r="L677" s="401">
        <f t="shared" si="418"/>
        <v>20</v>
      </c>
      <c r="M677" s="563">
        <v>45614</v>
      </c>
      <c r="N677" s="563">
        <v>45610</v>
      </c>
      <c r="O677" s="564"/>
      <c r="P677" s="564" t="s">
        <v>1690</v>
      </c>
      <c r="Q677" s="564" t="s">
        <v>2934</v>
      </c>
      <c r="R677" s="564">
        <v>45580</v>
      </c>
      <c r="S677" s="1599" t="s">
        <v>77</v>
      </c>
      <c r="T677" s="1600" t="s">
        <v>2935</v>
      </c>
      <c r="U677" s="530" t="s">
        <v>2936</v>
      </c>
      <c r="V677" s="596" t="s">
        <v>585</v>
      </c>
      <c r="W677" s="592">
        <v>1.4174</v>
      </c>
      <c r="X677" s="593">
        <f t="shared" si="422"/>
        <v>1417.4</v>
      </c>
      <c r="Y677" s="401" t="s">
        <v>2937</v>
      </c>
      <c r="Z677" s="607" t="s">
        <v>96</v>
      </c>
      <c r="AA677" s="1453" t="s">
        <v>128</v>
      </c>
      <c r="AB677" s="608">
        <v>1000</v>
      </c>
      <c r="AC677" s="608">
        <f t="shared" si="421"/>
        <v>0</v>
      </c>
      <c r="AD677" s="608"/>
      <c r="AE677" s="564"/>
      <c r="AF677" s="564"/>
      <c r="AG677" s="608">
        <f t="shared" si="423"/>
        <v>1000</v>
      </c>
      <c r="AH677" s="608"/>
      <c r="AI677" s="608"/>
      <c r="AJ677" s="608"/>
      <c r="AK677" s="609">
        <f>AG677</f>
        <v>1000</v>
      </c>
      <c r="AL677" s="609"/>
      <c r="AM677" s="609"/>
      <c r="AN677" s="609"/>
      <c r="AO677" s="609">
        <f t="shared" si="424"/>
        <v>1000</v>
      </c>
      <c r="AP677" s="609"/>
      <c r="AQ677" s="609"/>
      <c r="AR677" s="609"/>
      <c r="AS677" s="609"/>
      <c r="AT677" s="633"/>
      <c r="AU677" s="633"/>
      <c r="AV677" s="633"/>
      <c r="AW677" s="633"/>
      <c r="AX677" s="633"/>
      <c r="AY677" s="1526"/>
      <c r="AZ677" s="633"/>
      <c r="BA677" s="633">
        <f>I677/25</f>
        <v>40</v>
      </c>
      <c r="BB677" s="633"/>
      <c r="BC677" s="633"/>
      <c r="BD677" s="633"/>
      <c r="BE677" s="633"/>
      <c r="BF677" s="633"/>
      <c r="BG677" s="633"/>
      <c r="BH677" s="633"/>
      <c r="BI677" s="633"/>
      <c r="BJ677" s="633"/>
      <c r="BK677" s="633"/>
      <c r="BL677" s="633"/>
      <c r="BM677" s="401">
        <f t="shared" si="404"/>
        <v>1000</v>
      </c>
      <c r="BO677" s="1473"/>
      <c r="BP677" s="1473"/>
    </row>
    <row r="678" s="200" customFormat="1" ht="36" customHeight="1" spans="1:68">
      <c r="A678" s="533">
        <v>45565</v>
      </c>
      <c r="B678" s="527" t="s">
        <v>688</v>
      </c>
      <c r="C678" s="528" t="s">
        <v>689</v>
      </c>
      <c r="D678" s="534">
        <v>4500146703</v>
      </c>
      <c r="E678" s="530">
        <v>32446744</v>
      </c>
      <c r="F678" s="534" t="s">
        <v>2938</v>
      </c>
      <c r="G678" s="531" t="s">
        <v>1435</v>
      </c>
      <c r="H678" s="532" t="s">
        <v>1165</v>
      </c>
      <c r="I678" s="401">
        <v>2600</v>
      </c>
      <c r="J678" s="562">
        <v>0</v>
      </c>
      <c r="K678" s="531">
        <v>13</v>
      </c>
      <c r="L678" s="401">
        <f t="shared" si="418"/>
        <v>200</v>
      </c>
      <c r="M678" s="563">
        <v>45614</v>
      </c>
      <c r="N678" s="563">
        <v>45610</v>
      </c>
      <c r="O678" s="564"/>
      <c r="P678" s="564" t="s">
        <v>1690</v>
      </c>
      <c r="Q678" s="564" t="s">
        <v>2939</v>
      </c>
      <c r="R678" s="564">
        <v>45577</v>
      </c>
      <c r="S678" s="564" t="s">
        <v>77</v>
      </c>
      <c r="T678" s="564" t="s">
        <v>2940</v>
      </c>
      <c r="U678" s="1551" t="s">
        <v>2941</v>
      </c>
      <c r="V678" s="596" t="s">
        <v>695</v>
      </c>
      <c r="W678" s="592">
        <v>1.4076</v>
      </c>
      <c r="X678" s="593">
        <f t="shared" si="422"/>
        <v>3659.76</v>
      </c>
      <c r="Y678" s="401" t="s">
        <v>2942</v>
      </c>
      <c r="Z678" s="607" t="s">
        <v>697</v>
      </c>
      <c r="AA678" s="1453" t="s">
        <v>128</v>
      </c>
      <c r="AB678" s="608">
        <v>2600</v>
      </c>
      <c r="AC678" s="608">
        <f t="shared" si="421"/>
        <v>0</v>
      </c>
      <c r="AD678" s="608"/>
      <c r="AE678" s="564"/>
      <c r="AF678" s="564"/>
      <c r="AG678" s="608"/>
      <c r="AH678" s="614">
        <f t="shared" ref="AH678:AH680" si="425">I678</f>
        <v>2600</v>
      </c>
      <c r="AI678" s="608"/>
      <c r="AJ678" s="608"/>
      <c r="AK678" s="714"/>
      <c r="AL678" s="609">
        <f t="shared" ref="AL678:AL682" si="426">I678</f>
        <v>2600</v>
      </c>
      <c r="AM678" s="609"/>
      <c r="AN678" s="609"/>
      <c r="AO678" s="609">
        <f t="shared" si="424"/>
        <v>2600</v>
      </c>
      <c r="AP678" s="609"/>
      <c r="AQ678" s="609"/>
      <c r="AR678" s="609"/>
      <c r="AS678" s="609"/>
      <c r="AT678" s="633"/>
      <c r="AU678" s="633"/>
      <c r="AV678" s="633"/>
      <c r="AW678" s="633"/>
      <c r="AX678" s="633"/>
      <c r="AY678" s="1526"/>
      <c r="AZ678" s="633">
        <f t="shared" ref="AZ678:AZ682" si="427">I678/13</f>
        <v>200</v>
      </c>
      <c r="BA678" s="633"/>
      <c r="BB678" s="633"/>
      <c r="BC678" s="633"/>
      <c r="BD678" s="633"/>
      <c r="BE678" s="633"/>
      <c r="BF678" s="633"/>
      <c r="BG678" s="633"/>
      <c r="BH678" s="633"/>
      <c r="BI678" s="633"/>
      <c r="BJ678" s="633"/>
      <c r="BK678" s="633"/>
      <c r="BL678" s="633"/>
      <c r="BM678" s="401">
        <f t="shared" si="404"/>
        <v>2600</v>
      </c>
      <c r="BO678" s="1473"/>
      <c r="BP678" s="1473"/>
    </row>
    <row r="679" s="200" customFormat="1" ht="36" customHeight="1" spans="1:68">
      <c r="A679" s="533">
        <v>45577</v>
      </c>
      <c r="B679" s="527" t="s">
        <v>1686</v>
      </c>
      <c r="C679" s="528" t="s">
        <v>477</v>
      </c>
      <c r="D679" s="534">
        <v>4500147334</v>
      </c>
      <c r="E679" s="530">
        <v>30241085</v>
      </c>
      <c r="F679" s="534" t="s">
        <v>2943</v>
      </c>
      <c r="G679" s="531" t="s">
        <v>73</v>
      </c>
      <c r="H679" s="532" t="s">
        <v>1688</v>
      </c>
      <c r="I679" s="401">
        <v>7008</v>
      </c>
      <c r="J679" s="562">
        <v>0</v>
      </c>
      <c r="K679" s="531">
        <v>24</v>
      </c>
      <c r="L679" s="401">
        <f t="shared" si="418"/>
        <v>292</v>
      </c>
      <c r="M679" s="563">
        <v>45621</v>
      </c>
      <c r="N679" s="563">
        <v>45617</v>
      </c>
      <c r="O679" s="1474" t="s">
        <v>2944</v>
      </c>
      <c r="P679" s="564" t="s">
        <v>2945</v>
      </c>
      <c r="Q679" s="564" t="s">
        <v>2946</v>
      </c>
      <c r="R679" s="564">
        <v>45577</v>
      </c>
      <c r="S679" s="564" t="s">
        <v>77</v>
      </c>
      <c r="T679" s="564" t="s">
        <v>2947</v>
      </c>
      <c r="U679" s="1454" t="s">
        <v>2948</v>
      </c>
      <c r="V679" s="596" t="s">
        <v>1707</v>
      </c>
      <c r="W679" s="592">
        <v>1.3652</v>
      </c>
      <c r="X679" s="593">
        <f t="shared" si="422"/>
        <v>9567.3216</v>
      </c>
      <c r="Y679" s="401" t="s">
        <v>2949</v>
      </c>
      <c r="Z679" s="607" t="s">
        <v>1694</v>
      </c>
      <c r="AA679" s="1453" t="s">
        <v>128</v>
      </c>
      <c r="AB679" s="608">
        <f>7008+28</f>
        <v>7036</v>
      </c>
      <c r="AC679" s="608">
        <f t="shared" si="421"/>
        <v>28</v>
      </c>
      <c r="AD679" s="608"/>
      <c r="AE679" s="564"/>
      <c r="AF679" s="1568"/>
      <c r="AH679" s="608">
        <f t="shared" si="425"/>
        <v>7008</v>
      </c>
      <c r="AI679" s="608"/>
      <c r="AJ679" s="608"/>
      <c r="AK679" s="609">
        <f>I679</f>
        <v>7008</v>
      </c>
      <c r="AL679" s="609"/>
      <c r="AM679" s="609"/>
      <c r="AN679" s="609"/>
      <c r="AO679" s="609">
        <f t="shared" si="424"/>
        <v>7008</v>
      </c>
      <c r="AP679" s="609"/>
      <c r="AQ679" s="609"/>
      <c r="AR679" s="609"/>
      <c r="AS679" s="609"/>
      <c r="AT679" s="633"/>
      <c r="AU679" s="633"/>
      <c r="AV679" s="633"/>
      <c r="AW679" s="633"/>
      <c r="AX679" s="633"/>
      <c r="AY679" s="1526"/>
      <c r="AZ679" s="633"/>
      <c r="BA679" s="633"/>
      <c r="BB679" s="633"/>
      <c r="BC679" s="633"/>
      <c r="BD679" s="633"/>
      <c r="BE679" s="633"/>
      <c r="BF679" s="633"/>
      <c r="BG679" s="633"/>
      <c r="BH679" s="633"/>
      <c r="BI679" s="633"/>
      <c r="BJ679" s="633"/>
      <c r="BK679" s="633"/>
      <c r="BL679" s="633"/>
      <c r="BM679" s="401">
        <f t="shared" si="404"/>
        <v>7008</v>
      </c>
      <c r="BO679" s="1473"/>
      <c r="BP679" s="1473"/>
    </row>
    <row r="680" s="200" customFormat="1" ht="36" customHeight="1" spans="1:68">
      <c r="A680" s="533">
        <v>45583</v>
      </c>
      <c r="B680" s="527" t="s">
        <v>1492</v>
      </c>
      <c r="C680" s="528" t="s">
        <v>689</v>
      </c>
      <c r="D680" s="534">
        <v>4500148250</v>
      </c>
      <c r="E680" s="530">
        <v>1276</v>
      </c>
      <c r="F680" s="534" t="s">
        <v>2950</v>
      </c>
      <c r="G680" s="531" t="s">
        <v>877</v>
      </c>
      <c r="H680" s="532" t="s">
        <v>1165</v>
      </c>
      <c r="I680" s="1496">
        <v>1400</v>
      </c>
      <c r="J680" s="1496">
        <v>0</v>
      </c>
      <c r="K680" s="1496">
        <v>25</v>
      </c>
      <c r="L680" s="1496">
        <f t="shared" si="418"/>
        <v>56</v>
      </c>
      <c r="M680" s="563">
        <v>45622</v>
      </c>
      <c r="N680" s="563">
        <v>45618</v>
      </c>
      <c r="O680" s="564"/>
      <c r="P680" s="564" t="s">
        <v>1690</v>
      </c>
      <c r="Q680" s="564" t="s">
        <v>2951</v>
      </c>
      <c r="R680" s="564">
        <v>45583</v>
      </c>
      <c r="S680" s="564" t="s">
        <v>77</v>
      </c>
      <c r="T680" s="564" t="s">
        <v>2952</v>
      </c>
      <c r="U680" s="1454" t="s">
        <v>2953</v>
      </c>
      <c r="V680" s="596" t="s">
        <v>695</v>
      </c>
      <c r="W680" s="592">
        <v>1.4354</v>
      </c>
      <c r="X680" s="593">
        <f t="shared" si="422"/>
        <v>2009.56</v>
      </c>
      <c r="Y680" s="401" t="s">
        <v>2954</v>
      </c>
      <c r="Z680" s="607" t="s">
        <v>1499</v>
      </c>
      <c r="AA680" s="1453" t="s">
        <v>128</v>
      </c>
      <c r="AB680" s="608">
        <v>1400</v>
      </c>
      <c r="AC680" s="608">
        <f t="shared" si="421"/>
        <v>0</v>
      </c>
      <c r="AD680" s="608"/>
      <c r="AE680" s="564"/>
      <c r="AF680" s="1568"/>
      <c r="AH680" s="608">
        <f t="shared" si="425"/>
        <v>1400</v>
      </c>
      <c r="AI680" s="608"/>
      <c r="AJ680" s="608"/>
      <c r="AK680" s="714"/>
      <c r="AL680" s="401">
        <f t="shared" si="426"/>
        <v>1400</v>
      </c>
      <c r="AM680" s="609"/>
      <c r="AN680" s="609"/>
      <c r="AO680" s="609">
        <f t="shared" si="424"/>
        <v>1400</v>
      </c>
      <c r="AP680" s="609"/>
      <c r="AQ680" s="609"/>
      <c r="AR680" s="609"/>
      <c r="AS680" s="609"/>
      <c r="AT680" s="633"/>
      <c r="AU680" s="633"/>
      <c r="AV680" s="633"/>
      <c r="AW680" s="633"/>
      <c r="AX680" s="633"/>
      <c r="AY680" s="1526"/>
      <c r="AZ680" s="633"/>
      <c r="BA680" s="633"/>
      <c r="BB680" s="633">
        <f>I680/25</f>
        <v>56</v>
      </c>
      <c r="BC680" s="633"/>
      <c r="BD680" s="633"/>
      <c r="BE680" s="633"/>
      <c r="BF680" s="633"/>
      <c r="BG680" s="633"/>
      <c r="BH680" s="633"/>
      <c r="BI680" s="633"/>
      <c r="BJ680" s="633"/>
      <c r="BK680" s="633"/>
      <c r="BL680" s="633"/>
      <c r="BM680" s="401">
        <f t="shared" si="404"/>
        <v>1400</v>
      </c>
      <c r="BO680" s="1473"/>
      <c r="BP680" s="1473"/>
    </row>
    <row r="681" s="200" customFormat="1" ht="36" customHeight="1" spans="1:68">
      <c r="A681" s="533">
        <v>45546</v>
      </c>
      <c r="B681" s="527" t="s">
        <v>158</v>
      </c>
      <c r="C681" s="528" t="s">
        <v>117</v>
      </c>
      <c r="D681" s="534">
        <v>4500144981</v>
      </c>
      <c r="E681" s="530" t="s">
        <v>2955</v>
      </c>
      <c r="F681" s="534" t="s">
        <v>2956</v>
      </c>
      <c r="G681" s="531" t="s">
        <v>160</v>
      </c>
      <c r="H681" s="532" t="s">
        <v>74</v>
      </c>
      <c r="I681" s="401">
        <v>1677</v>
      </c>
      <c r="J681" s="562">
        <v>0</v>
      </c>
      <c r="K681" s="531">
        <v>13</v>
      </c>
      <c r="L681" s="401">
        <f t="shared" si="418"/>
        <v>129</v>
      </c>
      <c r="M681" s="563">
        <v>45628</v>
      </c>
      <c r="N681" s="563">
        <v>45624</v>
      </c>
      <c r="O681" s="564"/>
      <c r="P681" s="564" t="s">
        <v>92</v>
      </c>
      <c r="Q681" s="564" t="s">
        <v>2957</v>
      </c>
      <c r="R681" s="564">
        <v>45583</v>
      </c>
      <c r="S681" s="564" t="s">
        <v>77</v>
      </c>
      <c r="T681" s="564" t="s">
        <v>2958</v>
      </c>
      <c r="U681" s="1499" t="s">
        <v>2959</v>
      </c>
      <c r="V681" s="596" t="s">
        <v>2960</v>
      </c>
      <c r="W681" s="592">
        <v>1.4071</v>
      </c>
      <c r="X681" s="593">
        <f t="shared" si="422"/>
        <v>2359.7067</v>
      </c>
      <c r="Y681" s="401" t="s">
        <v>2961</v>
      </c>
      <c r="Z681" s="607" t="s">
        <v>239</v>
      </c>
      <c r="AA681" s="1453" t="s">
        <v>2723</v>
      </c>
      <c r="AB681" s="608">
        <v>1677</v>
      </c>
      <c r="AC681" s="608">
        <f t="shared" si="421"/>
        <v>0</v>
      </c>
      <c r="AD681" s="608"/>
      <c r="AE681" s="564"/>
      <c r="AF681" s="564"/>
      <c r="AG681" s="608">
        <f t="shared" si="423"/>
        <v>1677</v>
      </c>
      <c r="AH681" s="608"/>
      <c r="AI681" s="608"/>
      <c r="AJ681" s="608"/>
      <c r="AL681" s="609">
        <f t="shared" si="426"/>
        <v>1677</v>
      </c>
      <c r="AM681" s="609"/>
      <c r="AN681" s="609"/>
      <c r="AO681" s="609">
        <f t="shared" si="424"/>
        <v>1677</v>
      </c>
      <c r="AP681" s="609"/>
      <c r="AQ681" s="609"/>
      <c r="AR681" s="609"/>
      <c r="AS681" s="609"/>
      <c r="AT681" s="633"/>
      <c r="AU681" s="633"/>
      <c r="AV681" s="633"/>
      <c r="AW681" s="633"/>
      <c r="AX681" s="633"/>
      <c r="AZ681" s="633">
        <f t="shared" si="427"/>
        <v>129</v>
      </c>
      <c r="BA681" s="633"/>
      <c r="BB681" s="633"/>
      <c r="BC681" s="633"/>
      <c r="BD681" s="633"/>
      <c r="BE681" s="633"/>
      <c r="BF681" s="633"/>
      <c r="BG681" s="633"/>
      <c r="BH681" s="633"/>
      <c r="BI681" s="633"/>
      <c r="BJ681" s="633"/>
      <c r="BK681" s="633"/>
      <c r="BL681" s="633"/>
      <c r="BM681" s="401">
        <f t="shared" si="404"/>
        <v>1677</v>
      </c>
      <c r="BO681" s="1473"/>
      <c r="BP681" s="1473"/>
    </row>
    <row r="682" s="200" customFormat="1" ht="36" customHeight="1" spans="1:68">
      <c r="A682" s="533">
        <v>45546</v>
      </c>
      <c r="B682" s="527" t="s">
        <v>158</v>
      </c>
      <c r="C682" s="528" t="s">
        <v>117</v>
      </c>
      <c r="D682" s="534">
        <v>4500145013</v>
      </c>
      <c r="E682" s="530" t="s">
        <v>2962</v>
      </c>
      <c r="F682" s="534" t="s">
        <v>2963</v>
      </c>
      <c r="G682" s="531" t="s">
        <v>160</v>
      </c>
      <c r="H682" s="532" t="s">
        <v>74</v>
      </c>
      <c r="I682" s="401">
        <v>3120</v>
      </c>
      <c r="J682" s="562">
        <v>0</v>
      </c>
      <c r="K682" s="531">
        <v>13</v>
      </c>
      <c r="L682" s="401">
        <f t="shared" si="418"/>
        <v>240</v>
      </c>
      <c r="M682" s="563">
        <v>45628</v>
      </c>
      <c r="N682" s="563">
        <v>45624</v>
      </c>
      <c r="O682" s="564"/>
      <c r="P682" s="564" t="s">
        <v>92</v>
      </c>
      <c r="Q682" s="564" t="s">
        <v>2964</v>
      </c>
      <c r="R682" s="564">
        <v>45583</v>
      </c>
      <c r="S682" s="564" t="s">
        <v>77</v>
      </c>
      <c r="T682" s="564" t="s">
        <v>2958</v>
      </c>
      <c r="U682" s="1499" t="s">
        <v>2959</v>
      </c>
      <c r="V682" s="596" t="s">
        <v>2960</v>
      </c>
      <c r="W682" s="592">
        <v>1.4071</v>
      </c>
      <c r="X682" s="593">
        <f t="shared" si="422"/>
        <v>4390.152</v>
      </c>
      <c r="Y682" s="401" t="s">
        <v>2965</v>
      </c>
      <c r="Z682" s="607" t="s">
        <v>239</v>
      </c>
      <c r="AA682" s="1453" t="s">
        <v>2723</v>
      </c>
      <c r="AB682" s="608">
        <v>3120</v>
      </c>
      <c r="AC682" s="608">
        <f t="shared" si="421"/>
        <v>0</v>
      </c>
      <c r="AD682" s="608"/>
      <c r="AE682" s="564"/>
      <c r="AF682" s="564"/>
      <c r="AG682" s="608">
        <f t="shared" si="423"/>
        <v>3120</v>
      </c>
      <c r="AH682" s="608"/>
      <c r="AI682" s="608"/>
      <c r="AJ682" s="608"/>
      <c r="AL682" s="609">
        <f t="shared" si="426"/>
        <v>3120</v>
      </c>
      <c r="AM682" s="609"/>
      <c r="AN682" s="609"/>
      <c r="AO682" s="609">
        <f t="shared" si="424"/>
        <v>3120</v>
      </c>
      <c r="AP682" s="609"/>
      <c r="AQ682" s="609"/>
      <c r="AR682" s="609"/>
      <c r="AS682" s="609"/>
      <c r="AT682" s="633"/>
      <c r="AU682" s="633"/>
      <c r="AV682" s="633"/>
      <c r="AW682" s="633"/>
      <c r="AX682" s="633"/>
      <c r="AZ682" s="633">
        <f t="shared" si="427"/>
        <v>240</v>
      </c>
      <c r="BA682" s="633"/>
      <c r="BB682" s="633"/>
      <c r="BC682" s="633"/>
      <c r="BD682" s="633"/>
      <c r="BE682" s="633"/>
      <c r="BF682" s="633"/>
      <c r="BG682" s="633"/>
      <c r="BH682" s="633"/>
      <c r="BI682" s="633"/>
      <c r="BJ682" s="633"/>
      <c r="BK682" s="633"/>
      <c r="BL682" s="633"/>
      <c r="BM682" s="401">
        <f t="shared" si="404"/>
        <v>3120</v>
      </c>
      <c r="BO682" s="1473"/>
      <c r="BP682" s="1473"/>
    </row>
    <row r="683" s="3" customFormat="1" ht="36" customHeight="1" spans="1:71">
      <c r="A683" s="74">
        <v>45593</v>
      </c>
      <c r="B683" s="75"/>
      <c r="C683" s="76"/>
      <c r="D683" s="77" t="s">
        <v>2966</v>
      </c>
      <c r="E683" s="114"/>
      <c r="F683" s="77"/>
      <c r="G683" s="23" t="s">
        <v>73</v>
      </c>
      <c r="H683" s="24" t="s">
        <v>74</v>
      </c>
      <c r="I683" s="88">
        <v>3000</v>
      </c>
      <c r="J683" s="89">
        <v>0</v>
      </c>
      <c r="K683" s="23">
        <v>24</v>
      </c>
      <c r="L683" s="88">
        <f t="shared" si="418"/>
        <v>125</v>
      </c>
      <c r="M683" s="90">
        <v>45608</v>
      </c>
      <c r="N683" s="574">
        <v>45612</v>
      </c>
      <c r="O683" s="91"/>
      <c r="P683" s="91"/>
      <c r="Q683" s="91"/>
      <c r="R683" s="91">
        <v>45593</v>
      </c>
      <c r="S683" s="662" t="s">
        <v>77</v>
      </c>
      <c r="T683" s="662" t="s">
        <v>77</v>
      </c>
      <c r="U683" s="114" t="s">
        <v>2967</v>
      </c>
      <c r="V683" s="91" t="s">
        <v>2968</v>
      </c>
      <c r="W683" s="116"/>
      <c r="X683" s="117"/>
      <c r="Y683" s="88"/>
      <c r="Z683" s="470" t="s">
        <v>443</v>
      </c>
      <c r="AA683" s="154"/>
      <c r="AB683" s="155">
        <v>3000</v>
      </c>
      <c r="AC683" s="608">
        <f t="shared" si="421"/>
        <v>0</v>
      </c>
      <c r="AD683" s="155"/>
      <c r="AE683" s="91"/>
      <c r="AF683" s="91"/>
      <c r="AG683" s="155"/>
      <c r="AH683" s="155"/>
      <c r="AI683" s="155"/>
      <c r="AJ683" s="155"/>
      <c r="AK683" s="88"/>
      <c r="AL683" s="88"/>
      <c r="AM683" s="175"/>
      <c r="AN683" s="175"/>
      <c r="AO683" s="175"/>
      <c r="AP683" s="175"/>
      <c r="AQ683" s="175"/>
      <c r="AR683" s="175"/>
      <c r="AS683" s="175"/>
      <c r="AT683" s="181"/>
      <c r="AU683" s="181"/>
      <c r="AV683" s="181"/>
      <c r="AW683" s="181"/>
      <c r="AX683" s="181"/>
      <c r="AY683" s="181"/>
      <c r="AZ683" s="181"/>
      <c r="BA683" s="181"/>
      <c r="BB683" s="181"/>
      <c r="BC683" s="181"/>
      <c r="BD683" s="181"/>
      <c r="BE683" s="181"/>
      <c r="BF683" s="181"/>
      <c r="BG683" s="181"/>
      <c r="BH683" s="181"/>
      <c r="BI683" s="181"/>
      <c r="BJ683" s="181"/>
      <c r="BK683" s="181"/>
      <c r="BL683" s="181"/>
      <c r="BM683" s="401">
        <f t="shared" si="404"/>
        <v>0</v>
      </c>
      <c r="BN683" s="200">
        <f>BN682+BM683</f>
        <v>0</v>
      </c>
      <c r="BO683" s="1473"/>
      <c r="BP683" s="1473">
        <f>$BO$3+$BP$3-BN683</f>
        <v>0</v>
      </c>
      <c r="BQ683" s="200">
        <f>AS683+AT683+BA683+BB683</f>
        <v>0</v>
      </c>
      <c r="BR683" s="200">
        <f>BR682+BQ683</f>
        <v>0</v>
      </c>
      <c r="BS683" s="200">
        <f>$BS$3-BR683</f>
        <v>0</v>
      </c>
    </row>
    <row r="684" s="200" customFormat="1" ht="36" customHeight="1" spans="1:68">
      <c r="A684" s="533">
        <v>45576</v>
      </c>
      <c r="B684" s="527" t="s">
        <v>643</v>
      </c>
      <c r="C684" s="528" t="s">
        <v>351</v>
      </c>
      <c r="D684" s="534">
        <v>4500147239</v>
      </c>
      <c r="E684" s="530">
        <v>40221</v>
      </c>
      <c r="F684" s="534" t="s">
        <v>2969</v>
      </c>
      <c r="G684" s="531" t="s">
        <v>160</v>
      </c>
      <c r="H684" s="532" t="s">
        <v>74</v>
      </c>
      <c r="I684" s="401">
        <v>2509</v>
      </c>
      <c r="J684" s="562">
        <v>0</v>
      </c>
      <c r="K684" s="531">
        <v>13</v>
      </c>
      <c r="L684" s="401">
        <f t="shared" si="418"/>
        <v>193</v>
      </c>
      <c r="M684" s="563">
        <v>45615</v>
      </c>
      <c r="N684" s="1495">
        <v>45612</v>
      </c>
      <c r="O684" s="564"/>
      <c r="P684" s="564" t="s">
        <v>92</v>
      </c>
      <c r="Q684" s="564" t="s">
        <v>2970</v>
      </c>
      <c r="R684" s="564">
        <v>45576</v>
      </c>
      <c r="S684" s="564" t="s">
        <v>77</v>
      </c>
      <c r="T684" s="564" t="s">
        <v>2971</v>
      </c>
      <c r="U684" s="530" t="s">
        <v>2972</v>
      </c>
      <c r="V684" s="596" t="s">
        <v>647</v>
      </c>
      <c r="W684" s="592">
        <v>1.4071</v>
      </c>
      <c r="X684" s="593">
        <f t="shared" ref="X684:X689" si="428">I684*W684</f>
        <v>3530.4139</v>
      </c>
      <c r="Y684" s="401" t="s">
        <v>2973</v>
      </c>
      <c r="Z684" s="607" t="s">
        <v>239</v>
      </c>
      <c r="AA684" s="1453" t="s">
        <v>128</v>
      </c>
      <c r="AB684" s="608">
        <v>2509</v>
      </c>
      <c r="AC684" s="608">
        <f t="shared" si="421"/>
        <v>0</v>
      </c>
      <c r="AD684" s="608"/>
      <c r="AE684" s="564"/>
      <c r="AF684" s="564"/>
      <c r="AG684" s="608">
        <f t="shared" ref="AG684:AG691" si="429">I684</f>
        <v>2509</v>
      </c>
      <c r="AH684" s="614"/>
      <c r="AI684" s="608"/>
      <c r="AJ684" s="608"/>
      <c r="AK684" s="714"/>
      <c r="AL684" s="609">
        <f>I684</f>
        <v>2509</v>
      </c>
      <c r="AM684" s="609"/>
      <c r="AN684" s="609"/>
      <c r="AO684" s="609">
        <f t="shared" ref="AO684:AO687" si="430">I684</f>
        <v>2509</v>
      </c>
      <c r="AP684" s="609"/>
      <c r="AQ684" s="609"/>
      <c r="AR684" s="609"/>
      <c r="AS684" s="609"/>
      <c r="AT684" s="633"/>
      <c r="AU684" s="633"/>
      <c r="AV684" s="633"/>
      <c r="AW684" s="633"/>
      <c r="AX684" s="633"/>
      <c r="AY684" s="1526"/>
      <c r="AZ684" s="633">
        <f>I684/13</f>
        <v>193</v>
      </c>
      <c r="BA684" s="633"/>
      <c r="BB684" s="633"/>
      <c r="BC684" s="633"/>
      <c r="BD684" s="633"/>
      <c r="BE684" s="633"/>
      <c r="BF684" s="633"/>
      <c r="BG684" s="633"/>
      <c r="BH684" s="633"/>
      <c r="BI684" s="633"/>
      <c r="BJ684" s="633"/>
      <c r="BK684" s="633"/>
      <c r="BL684" s="633"/>
      <c r="BM684" s="401">
        <f t="shared" si="404"/>
        <v>2509</v>
      </c>
      <c r="BO684" s="1473"/>
      <c r="BP684" s="1473"/>
    </row>
    <row r="685" s="200" customFormat="1" ht="36" customHeight="1" spans="1:68">
      <c r="A685" s="533">
        <v>45294</v>
      </c>
      <c r="B685" s="527" t="s">
        <v>2617</v>
      </c>
      <c r="C685" s="528" t="s">
        <v>286</v>
      </c>
      <c r="D685" s="534">
        <v>4500122571</v>
      </c>
      <c r="E685" s="530"/>
      <c r="F685" s="534" t="s">
        <v>2974</v>
      </c>
      <c r="G685" s="531" t="s">
        <v>96</v>
      </c>
      <c r="H685" s="532" t="s">
        <v>74</v>
      </c>
      <c r="I685" s="401">
        <v>3150</v>
      </c>
      <c r="J685" s="562">
        <v>0</v>
      </c>
      <c r="K685" s="531">
        <v>50</v>
      </c>
      <c r="L685" s="401">
        <f t="shared" si="418"/>
        <v>63</v>
      </c>
      <c r="M685" s="1495">
        <v>45618</v>
      </c>
      <c r="N685" s="1495">
        <v>45614</v>
      </c>
      <c r="O685" s="564" t="s">
        <v>2975</v>
      </c>
      <c r="P685" s="564" t="s">
        <v>92</v>
      </c>
      <c r="Q685" s="564" t="s">
        <v>2946</v>
      </c>
      <c r="R685" s="564">
        <v>45579</v>
      </c>
      <c r="S685" s="564" t="s">
        <v>2976</v>
      </c>
      <c r="T685" s="564" t="s">
        <v>2977</v>
      </c>
      <c r="U685" s="1551" t="s">
        <v>2978</v>
      </c>
      <c r="V685" s="596" t="s">
        <v>290</v>
      </c>
      <c r="W685" s="592">
        <v>1.57</v>
      </c>
      <c r="X685" s="593">
        <f t="shared" si="428"/>
        <v>4945.5</v>
      </c>
      <c r="Y685" s="401" t="s">
        <v>2979</v>
      </c>
      <c r="Z685" s="607" t="s">
        <v>292</v>
      </c>
      <c r="AA685" s="1453" t="s">
        <v>128</v>
      </c>
      <c r="AB685" s="608">
        <v>3150</v>
      </c>
      <c r="AC685" s="608">
        <f t="shared" si="421"/>
        <v>0</v>
      </c>
      <c r="AD685" s="608"/>
      <c r="AE685" s="564" t="s">
        <v>2389</v>
      </c>
      <c r="AF685" s="564"/>
      <c r="AG685" s="608">
        <f t="shared" si="429"/>
        <v>3150</v>
      </c>
      <c r="AH685" s="608"/>
      <c r="AI685" s="608"/>
      <c r="AJ685" s="608"/>
      <c r="AK685" s="609"/>
      <c r="AL685" s="609">
        <f>I685</f>
        <v>3150</v>
      </c>
      <c r="AM685" s="609"/>
      <c r="AN685" s="609"/>
      <c r="AO685" s="609">
        <f t="shared" si="430"/>
        <v>3150</v>
      </c>
      <c r="AP685" s="609"/>
      <c r="AQ685" s="609"/>
      <c r="AR685" s="609"/>
      <c r="AS685" s="609"/>
      <c r="AT685" s="633"/>
      <c r="AU685" s="633"/>
      <c r="AV685" s="633"/>
      <c r="AW685" s="633"/>
      <c r="AX685" s="633"/>
      <c r="AY685" s="633"/>
      <c r="AZ685" s="633"/>
      <c r="BA685" s="633"/>
      <c r="BB685" s="633">
        <f>I685/25</f>
        <v>126</v>
      </c>
      <c r="BC685" s="633"/>
      <c r="BD685" s="633"/>
      <c r="BE685" s="633"/>
      <c r="BF685" s="633"/>
      <c r="BG685" s="633"/>
      <c r="BH685" s="633"/>
      <c r="BI685" s="633"/>
      <c r="BJ685" s="633"/>
      <c r="BK685" s="633"/>
      <c r="BL685" s="633"/>
      <c r="BM685" s="401">
        <f t="shared" si="404"/>
        <v>3150</v>
      </c>
      <c r="BO685" s="1473"/>
      <c r="BP685" s="1473"/>
    </row>
    <row r="686" s="200" customFormat="1" ht="36" customHeight="1" spans="1:68">
      <c r="A686" s="533">
        <v>45582</v>
      </c>
      <c r="B686" s="527" t="s">
        <v>816</v>
      </c>
      <c r="C686" s="528" t="s">
        <v>117</v>
      </c>
      <c r="D686" s="534">
        <v>4500147955</v>
      </c>
      <c r="E686" s="530">
        <v>60190421</v>
      </c>
      <c r="F686" s="534" t="s">
        <v>2980</v>
      </c>
      <c r="G686" s="531" t="s">
        <v>628</v>
      </c>
      <c r="H686" s="532" t="s">
        <v>623</v>
      </c>
      <c r="I686" s="401">
        <v>4800</v>
      </c>
      <c r="J686" s="562">
        <v>0</v>
      </c>
      <c r="K686" s="531">
        <v>12</v>
      </c>
      <c r="L686" s="401">
        <f t="shared" si="418"/>
        <v>400</v>
      </c>
      <c r="M686" s="563">
        <v>45625</v>
      </c>
      <c r="N686" s="563">
        <v>45621</v>
      </c>
      <c r="O686" s="564" t="s">
        <v>2981</v>
      </c>
      <c r="P686" s="401" t="s">
        <v>92</v>
      </c>
      <c r="Q686" s="564" t="s">
        <v>2957</v>
      </c>
      <c r="R686" s="564">
        <v>45582</v>
      </c>
      <c r="S686" s="1588" t="s">
        <v>77</v>
      </c>
      <c r="T686" s="1608" t="s">
        <v>2982</v>
      </c>
      <c r="U686" s="1551" t="s">
        <v>2983</v>
      </c>
      <c r="V686" s="596" t="s">
        <v>163</v>
      </c>
      <c r="W686" s="592">
        <v>3.054</v>
      </c>
      <c r="X686" s="593">
        <f t="shared" si="428"/>
        <v>14659.2</v>
      </c>
      <c r="Y686" s="401" t="s">
        <v>2984</v>
      </c>
      <c r="Z686" s="607" t="s">
        <v>822</v>
      </c>
      <c r="AA686" s="1453" t="s">
        <v>128</v>
      </c>
      <c r="AB686" s="608">
        <f>4596+204</f>
        <v>4800</v>
      </c>
      <c r="AC686" s="608">
        <f t="shared" si="421"/>
        <v>0</v>
      </c>
      <c r="AD686" s="608"/>
      <c r="AE686" s="564"/>
      <c r="AF686" s="564"/>
      <c r="AG686" s="608">
        <f>I686*2</f>
        <v>9600</v>
      </c>
      <c r="AH686" s="608"/>
      <c r="AI686" s="608"/>
      <c r="AJ686" s="608"/>
      <c r="AK686" s="609"/>
      <c r="AL686" s="609">
        <f>AG686</f>
        <v>9600</v>
      </c>
      <c r="AM686" s="609"/>
      <c r="AN686" s="609"/>
      <c r="AO686" s="615">
        <f t="shared" ref="AO686:AO690" si="431">AG686</f>
        <v>9600</v>
      </c>
      <c r="AP686" s="609"/>
      <c r="AQ686" s="175"/>
      <c r="AR686" s="175"/>
      <c r="AS686" s="175"/>
      <c r="AT686" s="181"/>
      <c r="AU686" s="181"/>
      <c r="AV686" s="181"/>
      <c r="AW686" s="181"/>
      <c r="AX686" s="181"/>
      <c r="AY686" s="1526"/>
      <c r="AZ686" s="633"/>
      <c r="BA686" s="633"/>
      <c r="BB686" s="633"/>
      <c r="BC686" s="633"/>
      <c r="BD686" s="633"/>
      <c r="BE686" s="633"/>
      <c r="BF686" s="633"/>
      <c r="BG686" s="633"/>
      <c r="BH686" s="633"/>
      <c r="BI686" s="633"/>
      <c r="BJ686" s="633"/>
      <c r="BK686" s="633">
        <f>I686</f>
        <v>4800</v>
      </c>
      <c r="BL686" s="633">
        <f>I686</f>
        <v>4800</v>
      </c>
      <c r="BM686" s="401">
        <f t="shared" si="404"/>
        <v>9600</v>
      </c>
      <c r="BO686" s="1473"/>
      <c r="BP686" s="1473"/>
    </row>
    <row r="687" s="200" customFormat="1" ht="36" customHeight="1" spans="1:68">
      <c r="A687" s="533">
        <v>45583</v>
      </c>
      <c r="B687" s="527" t="s">
        <v>1181</v>
      </c>
      <c r="C687" s="528" t="s">
        <v>117</v>
      </c>
      <c r="D687" s="534">
        <v>4500148281</v>
      </c>
      <c r="E687" s="530">
        <v>4545418</v>
      </c>
      <c r="F687" s="534" t="s">
        <v>2985</v>
      </c>
      <c r="G687" s="531" t="s">
        <v>96</v>
      </c>
      <c r="H687" s="532" t="s">
        <v>74</v>
      </c>
      <c r="I687" s="401">
        <v>2500</v>
      </c>
      <c r="J687" s="562">
        <v>0</v>
      </c>
      <c r="K687" s="531">
        <v>50</v>
      </c>
      <c r="L687" s="401">
        <f t="shared" si="418"/>
        <v>50</v>
      </c>
      <c r="M687" s="563">
        <v>45625</v>
      </c>
      <c r="N687" s="563">
        <v>45621</v>
      </c>
      <c r="O687" s="564"/>
      <c r="P687" s="564" t="s">
        <v>92</v>
      </c>
      <c r="Q687" s="564" t="s">
        <v>2946</v>
      </c>
      <c r="R687" s="564">
        <v>45583</v>
      </c>
      <c r="S687" s="564" t="s">
        <v>77</v>
      </c>
      <c r="T687" s="564" t="s">
        <v>77</v>
      </c>
      <c r="U687" s="1454" t="s">
        <v>2986</v>
      </c>
      <c r="V687" s="596" t="s">
        <v>971</v>
      </c>
      <c r="W687" s="592">
        <v>1.4174</v>
      </c>
      <c r="X687" s="593">
        <f t="shared" si="428"/>
        <v>3543.5</v>
      </c>
      <c r="Y687" s="401" t="s">
        <v>2987</v>
      </c>
      <c r="Z687" s="607" t="s">
        <v>96</v>
      </c>
      <c r="AA687" s="1453" t="s">
        <v>128</v>
      </c>
      <c r="AB687" s="608">
        <v>2500</v>
      </c>
      <c r="AC687" s="608">
        <f t="shared" si="421"/>
        <v>0</v>
      </c>
      <c r="AD687" s="608"/>
      <c r="AE687" s="564"/>
      <c r="AF687" s="564"/>
      <c r="AG687" s="608">
        <f t="shared" si="429"/>
        <v>2500</v>
      </c>
      <c r="AH687" s="608"/>
      <c r="AI687" s="608"/>
      <c r="AJ687" s="608"/>
      <c r="AK687" s="609">
        <f t="shared" ref="AK687:AK689" si="432">AG687</f>
        <v>2500</v>
      </c>
      <c r="AL687" s="609"/>
      <c r="AM687" s="609"/>
      <c r="AN687" s="609"/>
      <c r="AO687" s="609">
        <f t="shared" si="430"/>
        <v>2500</v>
      </c>
      <c r="AP687" s="609"/>
      <c r="AQ687" s="609"/>
      <c r="AR687" s="609"/>
      <c r="AS687" s="609"/>
      <c r="AT687" s="633"/>
      <c r="AU687" s="633"/>
      <c r="AV687" s="633"/>
      <c r="AW687" s="633"/>
      <c r="AX687" s="633"/>
      <c r="AY687" s="1526"/>
      <c r="AZ687" s="633"/>
      <c r="BA687" s="633">
        <f>I687/25</f>
        <v>100</v>
      </c>
      <c r="BB687" s="633"/>
      <c r="BC687" s="633"/>
      <c r="BD687" s="633"/>
      <c r="BE687" s="633"/>
      <c r="BF687" s="633"/>
      <c r="BG687" s="633"/>
      <c r="BH687" s="633"/>
      <c r="BI687" s="633"/>
      <c r="BJ687" s="633"/>
      <c r="BK687" s="633"/>
      <c r="BL687" s="633"/>
      <c r="BM687" s="401">
        <f t="shared" si="404"/>
        <v>2500</v>
      </c>
      <c r="BO687" s="1473"/>
      <c r="BP687" s="1473"/>
    </row>
    <row r="688" s="200" customFormat="1" ht="36" customHeight="1" spans="1:68">
      <c r="A688" s="533">
        <v>45589</v>
      </c>
      <c r="B688" s="527" t="s">
        <v>225</v>
      </c>
      <c r="C688" s="528" t="s">
        <v>213</v>
      </c>
      <c r="D688" s="534">
        <v>4500148687</v>
      </c>
      <c r="E688" s="530" t="s">
        <v>2988</v>
      </c>
      <c r="F688" s="534" t="s">
        <v>2989</v>
      </c>
      <c r="G688" s="531" t="s">
        <v>403</v>
      </c>
      <c r="H688" s="532" t="s">
        <v>74</v>
      </c>
      <c r="I688" s="401">
        <v>2340</v>
      </c>
      <c r="J688" s="562">
        <v>0</v>
      </c>
      <c r="K688" s="531">
        <v>52</v>
      </c>
      <c r="L688" s="401">
        <f t="shared" si="418"/>
        <v>45</v>
      </c>
      <c r="M688" s="563">
        <v>45625</v>
      </c>
      <c r="N688" s="563">
        <v>45621</v>
      </c>
      <c r="O688" s="564"/>
      <c r="P688" s="564" t="s">
        <v>92</v>
      </c>
      <c r="Q688" s="564" t="s">
        <v>2964</v>
      </c>
      <c r="R688" s="564">
        <v>45595</v>
      </c>
      <c r="S688" s="1599" t="s">
        <v>77</v>
      </c>
      <c r="T688" s="564" t="s">
        <v>2990</v>
      </c>
      <c r="U688" s="1454" t="s">
        <v>2991</v>
      </c>
      <c r="V688" s="596" t="s">
        <v>230</v>
      </c>
      <c r="W688" s="592">
        <v>1.4046</v>
      </c>
      <c r="X688" s="593">
        <f t="shared" si="428"/>
        <v>3286.764</v>
      </c>
      <c r="Y688" s="401" t="s">
        <v>2992</v>
      </c>
      <c r="Z688" s="607" t="s">
        <v>403</v>
      </c>
      <c r="AA688" s="1453" t="s">
        <v>128</v>
      </c>
      <c r="AB688" s="608">
        <v>2340</v>
      </c>
      <c r="AC688" s="608">
        <f t="shared" si="421"/>
        <v>0</v>
      </c>
      <c r="AD688" s="608"/>
      <c r="AE688" s="564"/>
      <c r="AF688" s="564"/>
      <c r="AG688" s="608">
        <f t="shared" si="429"/>
        <v>2340</v>
      </c>
      <c r="AH688" s="608"/>
      <c r="AI688" s="608"/>
      <c r="AJ688" s="608"/>
      <c r="AK688" s="609">
        <f t="shared" si="432"/>
        <v>2340</v>
      </c>
      <c r="AL688" s="609"/>
      <c r="AM688" s="609"/>
      <c r="AN688" s="609"/>
      <c r="AO688" s="609">
        <f t="shared" si="431"/>
        <v>2340</v>
      </c>
      <c r="AP688" s="609"/>
      <c r="AQ688" s="609"/>
      <c r="AR688" s="609"/>
      <c r="AS688" s="609"/>
      <c r="AT688" s="633"/>
      <c r="AU688" s="633"/>
      <c r="AV688" s="633"/>
      <c r="AW688" s="633"/>
      <c r="AX688" s="633"/>
      <c r="AY688" s="633">
        <f>AG688/13</f>
        <v>180</v>
      </c>
      <c r="AZ688" s="633"/>
      <c r="BA688" s="633"/>
      <c r="BB688" s="633"/>
      <c r="BC688" s="633"/>
      <c r="BD688" s="633"/>
      <c r="BE688" s="633"/>
      <c r="BF688" s="633"/>
      <c r="BG688" s="633"/>
      <c r="BH688" s="633"/>
      <c r="BI688" s="633"/>
      <c r="BJ688" s="633"/>
      <c r="BK688" s="633"/>
      <c r="BL688" s="633"/>
      <c r="BM688" s="401">
        <f t="shared" si="404"/>
        <v>2340</v>
      </c>
      <c r="BO688" s="1473"/>
      <c r="BP688" s="1473"/>
    </row>
    <row r="689" s="200" customFormat="1" ht="36" customHeight="1" spans="1:68">
      <c r="A689" s="533">
        <v>45589</v>
      </c>
      <c r="B689" s="527" t="s">
        <v>225</v>
      </c>
      <c r="C689" s="528" t="s">
        <v>213</v>
      </c>
      <c r="D689" s="534">
        <v>4500148687</v>
      </c>
      <c r="E689" s="530" t="s">
        <v>2993</v>
      </c>
      <c r="F689" s="534" t="s">
        <v>2994</v>
      </c>
      <c r="G689" s="531" t="s">
        <v>403</v>
      </c>
      <c r="H689" s="532" t="s">
        <v>74</v>
      </c>
      <c r="I689" s="401">
        <v>1144</v>
      </c>
      <c r="J689" s="562">
        <v>0</v>
      </c>
      <c r="K689" s="531">
        <v>52</v>
      </c>
      <c r="L689" s="401">
        <f t="shared" si="418"/>
        <v>22</v>
      </c>
      <c r="M689" s="563">
        <v>45625</v>
      </c>
      <c r="N689" s="563">
        <v>45621</v>
      </c>
      <c r="O689" s="564"/>
      <c r="P689" s="564" t="s">
        <v>92</v>
      </c>
      <c r="Q689" s="564" t="s">
        <v>2964</v>
      </c>
      <c r="R689" s="564">
        <v>45595</v>
      </c>
      <c r="S689" s="1599" t="s">
        <v>77</v>
      </c>
      <c r="T689" s="564" t="s">
        <v>2990</v>
      </c>
      <c r="U689" s="1454" t="s">
        <v>2991</v>
      </c>
      <c r="V689" s="596" t="s">
        <v>230</v>
      </c>
      <c r="W689" s="592">
        <v>1.4046</v>
      </c>
      <c r="X689" s="593">
        <f t="shared" si="428"/>
        <v>1606.8624</v>
      </c>
      <c r="Y689" s="401" t="s">
        <v>2992</v>
      </c>
      <c r="Z689" s="607" t="s">
        <v>403</v>
      </c>
      <c r="AA689" s="1453" t="s">
        <v>128</v>
      </c>
      <c r="AB689" s="608">
        <v>1144</v>
      </c>
      <c r="AC689" s="608">
        <f t="shared" si="421"/>
        <v>0</v>
      </c>
      <c r="AD689" s="608"/>
      <c r="AE689" s="564"/>
      <c r="AF689" s="564"/>
      <c r="AG689" s="608">
        <f t="shared" si="429"/>
        <v>1144</v>
      </c>
      <c r="AH689" s="608"/>
      <c r="AI689" s="608"/>
      <c r="AJ689" s="608"/>
      <c r="AK689" s="609">
        <f t="shared" si="432"/>
        <v>1144</v>
      </c>
      <c r="AL689" s="609"/>
      <c r="AM689" s="609"/>
      <c r="AN689" s="609"/>
      <c r="AO689" s="609">
        <f t="shared" si="431"/>
        <v>1144</v>
      </c>
      <c r="AP689" s="609"/>
      <c r="AQ689" s="609"/>
      <c r="AR689" s="609"/>
      <c r="AS689" s="609"/>
      <c r="AT689" s="633"/>
      <c r="AU689" s="633"/>
      <c r="AV689" s="633"/>
      <c r="AW689" s="633"/>
      <c r="AX689" s="633"/>
      <c r="AY689" s="633">
        <f>AG689/13</f>
        <v>88</v>
      </c>
      <c r="AZ689" s="633"/>
      <c r="BA689" s="633"/>
      <c r="BB689" s="633"/>
      <c r="BC689" s="633"/>
      <c r="BD689" s="633"/>
      <c r="BE689" s="633"/>
      <c r="BF689" s="633"/>
      <c r="BG689" s="633"/>
      <c r="BH689" s="633"/>
      <c r="BI689" s="633"/>
      <c r="BJ689" s="633"/>
      <c r="BK689" s="633"/>
      <c r="BL689" s="633"/>
      <c r="BM689" s="401">
        <f t="shared" si="404"/>
        <v>1144</v>
      </c>
      <c r="BO689" s="1473"/>
      <c r="BP689" s="1473"/>
    </row>
    <row r="690" s="200" customFormat="1" ht="36" customHeight="1" spans="1:68">
      <c r="A690" s="533">
        <v>45589</v>
      </c>
      <c r="B690" s="527" t="s">
        <v>1296</v>
      </c>
      <c r="C690" s="528" t="s">
        <v>351</v>
      </c>
      <c r="D690" s="534">
        <v>4500148922</v>
      </c>
      <c r="E690" s="530" t="s">
        <v>2995</v>
      </c>
      <c r="F690" s="534" t="s">
        <v>2996</v>
      </c>
      <c r="G690" s="531" t="s">
        <v>245</v>
      </c>
      <c r="H690" s="532" t="s">
        <v>74</v>
      </c>
      <c r="I690" s="401">
        <v>996</v>
      </c>
      <c r="J690" s="562">
        <v>0</v>
      </c>
      <c r="K690" s="531">
        <v>12</v>
      </c>
      <c r="L690" s="401">
        <f t="shared" si="418"/>
        <v>83</v>
      </c>
      <c r="M690" s="563">
        <v>45625</v>
      </c>
      <c r="N690" s="563">
        <v>45621</v>
      </c>
      <c r="P690" s="564" t="s">
        <v>1262</v>
      </c>
      <c r="Q690" s="564" t="s">
        <v>2997</v>
      </c>
      <c r="R690" s="564">
        <v>45595</v>
      </c>
      <c r="S690" s="564" t="s">
        <v>77</v>
      </c>
      <c r="T690" s="1588" t="s">
        <v>2998</v>
      </c>
      <c r="U690" s="1454" t="s">
        <v>2999</v>
      </c>
      <c r="V690" s="596" t="s">
        <v>647</v>
      </c>
      <c r="W690" s="592">
        <v>1.4096</v>
      </c>
      <c r="X690" s="593">
        <f>W690*L690</f>
        <v>116.9968</v>
      </c>
      <c r="Y690" s="401" t="s">
        <v>3000</v>
      </c>
      <c r="Z690" s="607" t="s">
        <v>249</v>
      </c>
      <c r="AA690" s="1453" t="s">
        <v>2359</v>
      </c>
      <c r="AB690" s="608">
        <v>996</v>
      </c>
      <c r="AC690" s="608">
        <f t="shared" si="421"/>
        <v>0</v>
      </c>
      <c r="AD690" s="608"/>
      <c r="AE690" s="564"/>
      <c r="AF690" s="564"/>
      <c r="AG690" s="608">
        <f t="shared" si="429"/>
        <v>996</v>
      </c>
      <c r="AH690" s="608"/>
      <c r="AI690" s="608"/>
      <c r="AJ690" s="609"/>
      <c r="AL690" s="609">
        <f t="shared" ref="AL690:AL694" si="433">I690</f>
        <v>996</v>
      </c>
      <c r="AM690" s="609"/>
      <c r="AN690" s="609"/>
      <c r="AO690" s="609">
        <f t="shared" si="431"/>
        <v>996</v>
      </c>
      <c r="AP690" s="609"/>
      <c r="AQ690" s="175"/>
      <c r="AR690" s="175"/>
      <c r="AS690" s="175"/>
      <c r="AT690" s="181"/>
      <c r="AU690" s="181"/>
      <c r="AV690" s="181"/>
      <c r="AW690" s="3"/>
      <c r="AX690" s="181">
        <f>I690/12</f>
        <v>83</v>
      </c>
      <c r="AY690" s="1526"/>
      <c r="AZ690" s="633"/>
      <c r="BA690" s="633"/>
      <c r="BB690" s="633"/>
      <c r="BC690" s="633"/>
      <c r="BD690" s="633"/>
      <c r="BE690" s="633"/>
      <c r="BF690" s="633"/>
      <c r="BG690" s="633"/>
      <c r="BH690" s="633"/>
      <c r="BI690" s="633"/>
      <c r="BJ690" s="633"/>
      <c r="BK690" s="633"/>
      <c r="BL690" s="633"/>
      <c r="BM690" s="401">
        <f t="shared" si="404"/>
        <v>996</v>
      </c>
      <c r="BO690" s="1473"/>
      <c r="BP690" s="1473"/>
    </row>
    <row r="691" s="200" customFormat="1" ht="36" customHeight="1" spans="1:68">
      <c r="A691" s="533">
        <v>45589</v>
      </c>
      <c r="B691" s="527" t="s">
        <v>1296</v>
      </c>
      <c r="C691" s="528" t="s">
        <v>351</v>
      </c>
      <c r="D691" s="534">
        <v>4500148922</v>
      </c>
      <c r="E691" s="530" t="s">
        <v>2995</v>
      </c>
      <c r="F691" s="534" t="s">
        <v>3001</v>
      </c>
      <c r="G691" s="531" t="s">
        <v>107</v>
      </c>
      <c r="H691" s="532" t="s">
        <v>74</v>
      </c>
      <c r="I691" s="511">
        <v>1200</v>
      </c>
      <c r="J691" s="562">
        <v>0</v>
      </c>
      <c r="K691" s="531">
        <v>30</v>
      </c>
      <c r="L691" s="401">
        <f t="shared" si="418"/>
        <v>40</v>
      </c>
      <c r="M691" s="563">
        <v>45625</v>
      </c>
      <c r="N691" s="563">
        <v>45621</v>
      </c>
      <c r="O691" s="564"/>
      <c r="P691" s="564" t="s">
        <v>92</v>
      </c>
      <c r="Q691" s="564" t="s">
        <v>2997</v>
      </c>
      <c r="R691" s="564">
        <v>45595</v>
      </c>
      <c r="S691" s="564" t="s">
        <v>77</v>
      </c>
      <c r="T691" s="1588" t="s">
        <v>3002</v>
      </c>
      <c r="U691" s="1454" t="s">
        <v>3003</v>
      </c>
      <c r="V691" s="596" t="s">
        <v>647</v>
      </c>
      <c r="W691" s="592">
        <v>57.6474</v>
      </c>
      <c r="X691" s="593">
        <f>W691*L691</f>
        <v>2305.896</v>
      </c>
      <c r="Y691" s="401" t="s">
        <v>3000</v>
      </c>
      <c r="Z691" s="607" t="s">
        <v>423</v>
      </c>
      <c r="AA691" s="1453" t="s">
        <v>128</v>
      </c>
      <c r="AB691" s="608">
        <v>1200</v>
      </c>
      <c r="AC691" s="608">
        <f t="shared" si="421"/>
        <v>0</v>
      </c>
      <c r="AD691" s="608"/>
      <c r="AE691" s="564"/>
      <c r="AF691" s="564"/>
      <c r="AG691" s="608">
        <f t="shared" si="429"/>
        <v>1200</v>
      </c>
      <c r="AH691" s="608"/>
      <c r="AI691" s="608"/>
      <c r="AJ691" s="608"/>
      <c r="AK691" s="714"/>
      <c r="AL691" s="609">
        <f t="shared" si="433"/>
        <v>1200</v>
      </c>
      <c r="AM691" s="609"/>
      <c r="AN691" s="609"/>
      <c r="AO691" s="609">
        <f t="shared" ref="AO691:AO696" si="434">I691</f>
        <v>1200</v>
      </c>
      <c r="AP691" s="609"/>
      <c r="AQ691" s="175"/>
      <c r="AR691" s="175"/>
      <c r="AS691" s="175"/>
      <c r="AT691" s="181"/>
      <c r="AU691" s="181"/>
      <c r="AV691" s="181"/>
      <c r="AW691" s="181"/>
      <c r="AX691" s="181"/>
      <c r="AY691" s="1526"/>
      <c r="AZ691" s="633"/>
      <c r="BA691" s="633"/>
      <c r="BB691" s="633"/>
      <c r="BC691" s="633"/>
      <c r="BD691" s="633"/>
      <c r="BE691" s="633"/>
      <c r="BF691" s="633"/>
      <c r="BG691" s="633">
        <f>I691/30</f>
        <v>40</v>
      </c>
      <c r="BH691" s="633">
        <f>BG691</f>
        <v>40</v>
      </c>
      <c r="BI691" s="633"/>
      <c r="BJ691" s="633"/>
      <c r="BK691" s="633"/>
      <c r="BL691" s="633"/>
      <c r="BM691" s="401">
        <f t="shared" si="404"/>
        <v>1200</v>
      </c>
      <c r="BO691" s="1473"/>
      <c r="BP691" s="1473"/>
    </row>
    <row r="692" s="200" customFormat="1" ht="36" customHeight="1" spans="1:68">
      <c r="A692" s="533">
        <v>45594</v>
      </c>
      <c r="B692" s="527" t="s">
        <v>250</v>
      </c>
      <c r="C692" s="528" t="s">
        <v>180</v>
      </c>
      <c r="D692" s="534">
        <v>4500149216</v>
      </c>
      <c r="E692" s="530">
        <v>5200005606</v>
      </c>
      <c r="F692" s="534" t="s">
        <v>3004</v>
      </c>
      <c r="G692" s="531" t="s">
        <v>1172</v>
      </c>
      <c r="H692" s="532" t="s">
        <v>74</v>
      </c>
      <c r="I692" s="1496">
        <v>3000</v>
      </c>
      <c r="J692" s="1496">
        <v>0</v>
      </c>
      <c r="K692" s="1496">
        <v>25</v>
      </c>
      <c r="L692" s="1496">
        <f t="shared" si="418"/>
        <v>120</v>
      </c>
      <c r="M692" s="563">
        <v>45625</v>
      </c>
      <c r="N692" s="563">
        <v>45621</v>
      </c>
      <c r="O692" s="564"/>
      <c r="P692" s="564" t="s">
        <v>1690</v>
      </c>
      <c r="Q692" s="564" t="s">
        <v>2946</v>
      </c>
      <c r="R692" s="564">
        <v>45594</v>
      </c>
      <c r="S692" s="1599" t="s">
        <v>77</v>
      </c>
      <c r="T692" s="1588" t="s">
        <v>3005</v>
      </c>
      <c r="U692" s="1454" t="s">
        <v>3006</v>
      </c>
      <c r="V692" s="596" t="s">
        <v>3007</v>
      </c>
      <c r="W692" s="592">
        <v>1.4171</v>
      </c>
      <c r="X692" s="593">
        <f t="shared" ref="X692:X722" si="435">I692*W692</f>
        <v>4251.3</v>
      </c>
      <c r="Y692" s="401" t="s">
        <v>3008</v>
      </c>
      <c r="Z692" s="607" t="s">
        <v>877</v>
      </c>
      <c r="AA692" s="1453" t="s">
        <v>128</v>
      </c>
      <c r="AB692" s="608">
        <v>3000</v>
      </c>
      <c r="AC692" s="608">
        <f t="shared" si="421"/>
        <v>0</v>
      </c>
      <c r="AD692" s="608"/>
      <c r="AE692" s="564"/>
      <c r="AF692" s="564"/>
      <c r="AG692" s="608"/>
      <c r="AH692" s="608">
        <f t="shared" ref="AH692:AH694" si="436">I692</f>
        <v>3000</v>
      </c>
      <c r="AI692" s="608"/>
      <c r="AJ692" s="608"/>
      <c r="AK692" s="714"/>
      <c r="AL692" s="609">
        <f t="shared" si="433"/>
        <v>3000</v>
      </c>
      <c r="AM692" s="615"/>
      <c r="AN692" s="615"/>
      <c r="AO692" s="609">
        <f t="shared" si="434"/>
        <v>3000</v>
      </c>
      <c r="AP692" s="609"/>
      <c r="AQ692" s="609"/>
      <c r="AR692" s="609"/>
      <c r="AS692" s="609"/>
      <c r="AT692" s="633"/>
      <c r="AU692" s="633"/>
      <c r="AV692" s="633"/>
      <c r="AW692" s="633"/>
      <c r="AX692" s="633"/>
      <c r="AY692" s="1526"/>
      <c r="AZ692" s="633"/>
      <c r="BA692" s="633"/>
      <c r="BB692" s="633">
        <f t="shared" ref="BB692:BB696" si="437">I692/25</f>
        <v>120</v>
      </c>
      <c r="BC692" s="633"/>
      <c r="BD692" s="633"/>
      <c r="BE692" s="633"/>
      <c r="BF692" s="633"/>
      <c r="BG692" s="633"/>
      <c r="BH692" s="633"/>
      <c r="BI692" s="633"/>
      <c r="BJ692" s="633"/>
      <c r="BK692" s="633"/>
      <c r="BL692" s="633"/>
      <c r="BM692" s="401">
        <f t="shared" si="404"/>
        <v>3000</v>
      </c>
      <c r="BO692" s="1473"/>
      <c r="BP692" s="1473"/>
    </row>
    <row r="693" s="200" customFormat="1" ht="36" customHeight="1" spans="1:68">
      <c r="A693" s="533">
        <v>45586</v>
      </c>
      <c r="B693" s="527" t="s">
        <v>1161</v>
      </c>
      <c r="C693" s="528" t="s">
        <v>1162</v>
      </c>
      <c r="D693" s="534">
        <v>4500147832</v>
      </c>
      <c r="E693" s="530">
        <v>5200005551</v>
      </c>
      <c r="F693" s="534" t="s">
        <v>3009</v>
      </c>
      <c r="G693" s="531" t="s">
        <v>1164</v>
      </c>
      <c r="H693" s="532" t="s">
        <v>1165</v>
      </c>
      <c r="I693" s="401">
        <v>1001</v>
      </c>
      <c r="J693" s="562">
        <v>0</v>
      </c>
      <c r="K693" s="531">
        <v>13</v>
      </c>
      <c r="L693" s="401">
        <f t="shared" si="418"/>
        <v>77</v>
      </c>
      <c r="M693" s="563">
        <v>45628</v>
      </c>
      <c r="N693" s="563">
        <v>45624</v>
      </c>
      <c r="O693" s="564"/>
      <c r="P693" s="564" t="s">
        <v>92</v>
      </c>
      <c r="Q693" s="564" t="s">
        <v>3010</v>
      </c>
      <c r="R693" s="564">
        <v>45600</v>
      </c>
      <c r="S693" s="1599" t="s">
        <v>77</v>
      </c>
      <c r="T693" s="1600" t="s">
        <v>3011</v>
      </c>
      <c r="U693" s="530" t="s">
        <v>3012</v>
      </c>
      <c r="V693" s="596" t="s">
        <v>3013</v>
      </c>
      <c r="W693" s="592">
        <v>1.3906</v>
      </c>
      <c r="X693" s="593">
        <f t="shared" si="435"/>
        <v>1391.9906</v>
      </c>
      <c r="Y693" s="401" t="s">
        <v>3014</v>
      </c>
      <c r="Z693" s="607" t="s">
        <v>862</v>
      </c>
      <c r="AA693" s="1453" t="s">
        <v>128</v>
      </c>
      <c r="AB693" s="608">
        <v>1001</v>
      </c>
      <c r="AC693" s="608">
        <f t="shared" si="421"/>
        <v>0</v>
      </c>
      <c r="AD693" s="608"/>
      <c r="AE693" s="564"/>
      <c r="AF693" s="564"/>
      <c r="AG693" s="608"/>
      <c r="AH693" s="614">
        <f t="shared" si="436"/>
        <v>1001</v>
      </c>
      <c r="AI693" s="608"/>
      <c r="AJ693" s="608"/>
      <c r="AL693" s="609">
        <f t="shared" si="433"/>
        <v>1001</v>
      </c>
      <c r="AM693" s="609"/>
      <c r="AN693" s="609"/>
      <c r="AO693" s="609">
        <f t="shared" si="434"/>
        <v>1001</v>
      </c>
      <c r="AP693" s="609"/>
      <c r="AQ693" s="609"/>
      <c r="AR693" s="609"/>
      <c r="AS693" s="609"/>
      <c r="AT693" s="633"/>
      <c r="AU693" s="633"/>
      <c r="AV693" s="633"/>
      <c r="AW693" s="633"/>
      <c r="AX693" s="633"/>
      <c r="AZ693" s="633">
        <f>I693/13</f>
        <v>77</v>
      </c>
      <c r="BA693" s="633"/>
      <c r="BB693" s="633"/>
      <c r="BC693" s="633"/>
      <c r="BD693" s="633"/>
      <c r="BE693" s="633"/>
      <c r="BF693" s="633"/>
      <c r="BG693" s="633"/>
      <c r="BH693" s="633"/>
      <c r="BI693" s="633"/>
      <c r="BJ693" s="633"/>
      <c r="BK693" s="633"/>
      <c r="BL693" s="633"/>
      <c r="BM693" s="401">
        <f t="shared" si="404"/>
        <v>1001</v>
      </c>
      <c r="BO693" s="1473"/>
      <c r="BP693" s="1473"/>
    </row>
    <row r="694" s="200" customFormat="1" ht="36" customHeight="1" spans="1:68">
      <c r="A694" s="533">
        <v>45586</v>
      </c>
      <c r="B694" s="527" t="s">
        <v>1161</v>
      </c>
      <c r="C694" s="528" t="s">
        <v>1162</v>
      </c>
      <c r="D694" s="534">
        <v>4500147832</v>
      </c>
      <c r="E694" s="530">
        <v>5200005551</v>
      </c>
      <c r="F694" s="534" t="s">
        <v>3015</v>
      </c>
      <c r="G694" s="531" t="s">
        <v>1172</v>
      </c>
      <c r="H694" s="532" t="s">
        <v>1165</v>
      </c>
      <c r="I694" s="1496">
        <v>1200</v>
      </c>
      <c r="J694" s="1496">
        <v>0</v>
      </c>
      <c r="K694" s="1496">
        <v>25</v>
      </c>
      <c r="L694" s="1496">
        <f t="shared" si="418"/>
        <v>48</v>
      </c>
      <c r="M694" s="563">
        <v>45628</v>
      </c>
      <c r="N694" s="563">
        <v>45624</v>
      </c>
      <c r="O694" s="564"/>
      <c r="P694" s="564" t="s">
        <v>92</v>
      </c>
      <c r="Q694" s="564" t="s">
        <v>3010</v>
      </c>
      <c r="R694" s="564">
        <v>45600</v>
      </c>
      <c r="S694" s="1599" t="s">
        <v>77</v>
      </c>
      <c r="T694" s="1600" t="s">
        <v>3016</v>
      </c>
      <c r="U694" s="530" t="s">
        <v>3017</v>
      </c>
      <c r="V694" s="596" t="s">
        <v>3013</v>
      </c>
      <c r="W694" s="592">
        <v>1.4354</v>
      </c>
      <c r="X694" s="593">
        <f t="shared" si="435"/>
        <v>1722.48</v>
      </c>
      <c r="Y694" s="401" t="s">
        <v>3014</v>
      </c>
      <c r="Z694" s="607" t="s">
        <v>877</v>
      </c>
      <c r="AA694" s="1453" t="s">
        <v>128</v>
      </c>
      <c r="AB694" s="608">
        <v>1200</v>
      </c>
      <c r="AC694" s="608">
        <f t="shared" si="421"/>
        <v>0</v>
      </c>
      <c r="AD694" s="608"/>
      <c r="AE694" s="564"/>
      <c r="AF694" s="564"/>
      <c r="AG694" s="608"/>
      <c r="AH694" s="608">
        <f t="shared" si="436"/>
        <v>1200</v>
      </c>
      <c r="AI694" s="608"/>
      <c r="AJ694" s="608"/>
      <c r="AL694" s="609">
        <f t="shared" si="433"/>
        <v>1200</v>
      </c>
      <c r="AM694" s="609"/>
      <c r="AN694" s="609"/>
      <c r="AO694" s="609">
        <f t="shared" si="434"/>
        <v>1200</v>
      </c>
      <c r="AP694" s="609"/>
      <c r="AQ694" s="609"/>
      <c r="AR694" s="609"/>
      <c r="AS694" s="609"/>
      <c r="AT694" s="633"/>
      <c r="AU694" s="633"/>
      <c r="AV694" s="633"/>
      <c r="AW694" s="633"/>
      <c r="AX694" s="633"/>
      <c r="AZ694" s="633"/>
      <c r="BA694" s="633"/>
      <c r="BB694" s="633">
        <f t="shared" si="437"/>
        <v>48</v>
      </c>
      <c r="BC694" s="633"/>
      <c r="BD694" s="633"/>
      <c r="BE694" s="633"/>
      <c r="BF694" s="633"/>
      <c r="BG694" s="633"/>
      <c r="BH694" s="633"/>
      <c r="BI694" s="633"/>
      <c r="BJ694" s="633"/>
      <c r="BK694" s="633"/>
      <c r="BL694" s="633"/>
      <c r="BM694" s="401">
        <f t="shared" si="404"/>
        <v>1200</v>
      </c>
      <c r="BO694" s="1473"/>
      <c r="BP694" s="1473"/>
    </row>
    <row r="695" s="200" customFormat="1" ht="36" customHeight="1" spans="1:68">
      <c r="A695" s="533">
        <v>45594</v>
      </c>
      <c r="B695" s="527" t="s">
        <v>823</v>
      </c>
      <c r="C695" s="528" t="s">
        <v>117</v>
      </c>
      <c r="D695" s="534">
        <v>4500149379</v>
      </c>
      <c r="E695" s="1606" t="s">
        <v>3018</v>
      </c>
      <c r="F695" s="534" t="s">
        <v>3019</v>
      </c>
      <c r="G695" s="531" t="s">
        <v>826</v>
      </c>
      <c r="H695" s="532" t="s">
        <v>74</v>
      </c>
      <c r="I695" s="1496">
        <v>2500</v>
      </c>
      <c r="J695" s="1496">
        <v>0</v>
      </c>
      <c r="K695" s="1496">
        <v>25</v>
      </c>
      <c r="L695" s="1496">
        <f t="shared" si="418"/>
        <v>100</v>
      </c>
      <c r="M695" s="563">
        <v>45629</v>
      </c>
      <c r="N695" s="563">
        <v>45625</v>
      </c>
      <c r="O695" s="564"/>
      <c r="P695" s="564" t="s">
        <v>92</v>
      </c>
      <c r="Q695" s="564" t="s">
        <v>3020</v>
      </c>
      <c r="R695" s="564">
        <v>45594</v>
      </c>
      <c r="S695" s="1599" t="s">
        <v>77</v>
      </c>
      <c r="T695" s="1599" t="s">
        <v>77</v>
      </c>
      <c r="U695" s="530" t="s">
        <v>828</v>
      </c>
      <c r="V695" s="596" t="s">
        <v>829</v>
      </c>
      <c r="W695" s="592">
        <v>1.435</v>
      </c>
      <c r="X695" s="593">
        <f t="shared" si="435"/>
        <v>3587.5</v>
      </c>
      <c r="Y695" s="401" t="s">
        <v>3021</v>
      </c>
      <c r="Z695" s="607" t="s">
        <v>826</v>
      </c>
      <c r="AA695" s="1453" t="s">
        <v>128</v>
      </c>
      <c r="AB695" s="608">
        <v>2500</v>
      </c>
      <c r="AC695" s="608">
        <f t="shared" si="421"/>
        <v>0</v>
      </c>
      <c r="AD695" s="608"/>
      <c r="AE695" s="564"/>
      <c r="AF695" s="564"/>
      <c r="AG695" s="608">
        <f t="shared" ref="AG695:AG711" si="438">I695</f>
        <v>2500</v>
      </c>
      <c r="AH695" s="608"/>
      <c r="AI695" s="608"/>
      <c r="AJ695" s="608"/>
      <c r="AK695" s="609">
        <f>I695</f>
        <v>2500</v>
      </c>
      <c r="AL695" s="609"/>
      <c r="AM695" s="609"/>
      <c r="AN695" s="609"/>
      <c r="AO695" s="609">
        <f t="shared" si="434"/>
        <v>2500</v>
      </c>
      <c r="AP695" s="609"/>
      <c r="AQ695" s="609"/>
      <c r="AR695" s="609"/>
      <c r="AS695" s="609"/>
      <c r="AT695" s="633"/>
      <c r="AU695" s="633"/>
      <c r="AV695" s="633"/>
      <c r="AW695" s="633"/>
      <c r="AX695" s="633"/>
      <c r="AZ695" s="633"/>
      <c r="BA695" s="633">
        <f>I695/25</f>
        <v>100</v>
      </c>
      <c r="BB695" s="633"/>
      <c r="BC695" s="633"/>
      <c r="BD695" s="633"/>
      <c r="BE695" s="633"/>
      <c r="BF695" s="633"/>
      <c r="BG695" s="633"/>
      <c r="BH695" s="633"/>
      <c r="BI695" s="633"/>
      <c r="BJ695" s="633"/>
      <c r="BK695" s="633"/>
      <c r="BL695" s="633"/>
      <c r="BM695" s="401">
        <f t="shared" si="404"/>
        <v>2500</v>
      </c>
      <c r="BO695" s="1473"/>
      <c r="BP695" s="1473"/>
    </row>
    <row r="696" s="200" customFormat="1" ht="36" customHeight="1" spans="1:68">
      <c r="A696" s="533">
        <v>45581</v>
      </c>
      <c r="B696" s="527" t="s">
        <v>2617</v>
      </c>
      <c r="C696" s="528" t="s">
        <v>286</v>
      </c>
      <c r="D696" s="534">
        <v>4500147888</v>
      </c>
      <c r="E696" s="530" t="s">
        <v>3022</v>
      </c>
      <c r="F696" s="534" t="s">
        <v>3023</v>
      </c>
      <c r="G696" s="531" t="s">
        <v>96</v>
      </c>
      <c r="H696" s="532" t="s">
        <v>2619</v>
      </c>
      <c r="I696" s="401">
        <v>15700</v>
      </c>
      <c r="J696" s="562">
        <v>0</v>
      </c>
      <c r="K696" s="531">
        <v>50</v>
      </c>
      <c r="L696" s="401">
        <f t="shared" si="418"/>
        <v>314</v>
      </c>
      <c r="M696" s="563">
        <v>45631</v>
      </c>
      <c r="N696" s="563">
        <v>45628</v>
      </c>
      <c r="O696" s="564" t="s">
        <v>3024</v>
      </c>
      <c r="P696" s="564" t="s">
        <v>92</v>
      </c>
      <c r="Q696" s="564" t="s">
        <v>3025</v>
      </c>
      <c r="R696" s="564">
        <v>45596</v>
      </c>
      <c r="S696" s="564" t="s">
        <v>77</v>
      </c>
      <c r="T696" s="1600" t="s">
        <v>3026</v>
      </c>
      <c r="U696" s="1609" t="s">
        <v>3027</v>
      </c>
      <c r="V696" s="596" t="s">
        <v>290</v>
      </c>
      <c r="W696" s="592">
        <v>1.4243</v>
      </c>
      <c r="X696" s="593">
        <f t="shared" si="435"/>
        <v>22361.51</v>
      </c>
      <c r="Y696" s="401" t="s">
        <v>3028</v>
      </c>
      <c r="Z696" s="607" t="s">
        <v>292</v>
      </c>
      <c r="AA696" s="1453" t="s">
        <v>128</v>
      </c>
      <c r="AB696" s="608">
        <f>14750+950</f>
        <v>15700</v>
      </c>
      <c r="AC696" s="608">
        <f t="shared" si="421"/>
        <v>0</v>
      </c>
      <c r="AD696" s="608"/>
      <c r="AE696" s="564"/>
      <c r="AF696" s="564"/>
      <c r="AG696" s="608">
        <f t="shared" si="438"/>
        <v>15700</v>
      </c>
      <c r="AH696" s="608"/>
      <c r="AI696" s="608"/>
      <c r="AJ696" s="608"/>
      <c r="AL696" s="613">
        <f t="shared" ref="AL696:AL699" si="439">I696</f>
        <v>15700</v>
      </c>
      <c r="AM696" s="609"/>
      <c r="AN696" s="609"/>
      <c r="AO696" s="609">
        <f t="shared" si="434"/>
        <v>15700</v>
      </c>
      <c r="AP696" s="609"/>
      <c r="AQ696" s="609"/>
      <c r="AR696" s="609"/>
      <c r="AS696" s="609"/>
      <c r="AT696" s="633"/>
      <c r="AU696" s="633"/>
      <c r="AV696" s="633"/>
      <c r="AW696" s="633"/>
      <c r="AX696" s="633"/>
      <c r="AZ696" s="633"/>
      <c r="BA696" s="633"/>
      <c r="BB696" s="633">
        <f t="shared" si="437"/>
        <v>628</v>
      </c>
      <c r="BC696" s="633"/>
      <c r="BD696" s="633"/>
      <c r="BE696" s="633"/>
      <c r="BF696" s="633"/>
      <c r="BG696" s="633"/>
      <c r="BH696" s="633"/>
      <c r="BI696" s="633"/>
      <c r="BJ696" s="633"/>
      <c r="BK696" s="633"/>
      <c r="BL696" s="633"/>
      <c r="BM696" s="401">
        <f t="shared" si="404"/>
        <v>15700</v>
      </c>
      <c r="BO696" s="1473"/>
      <c r="BP696" s="1473"/>
    </row>
    <row r="697" s="200" customFormat="1" ht="36" customHeight="1" spans="1:68">
      <c r="A697" s="533">
        <v>45587</v>
      </c>
      <c r="B697" s="527" t="s">
        <v>816</v>
      </c>
      <c r="C697" s="528" t="s">
        <v>117</v>
      </c>
      <c r="D697" s="534">
        <v>4500148506</v>
      </c>
      <c r="E697" s="530">
        <v>70048946</v>
      </c>
      <c r="F697" s="534" t="s">
        <v>3029</v>
      </c>
      <c r="G697" s="531" t="s">
        <v>628</v>
      </c>
      <c r="H697" s="532" t="s">
        <v>623</v>
      </c>
      <c r="I697" s="401">
        <v>600</v>
      </c>
      <c r="J697" s="562">
        <v>0</v>
      </c>
      <c r="K697" s="531">
        <v>12</v>
      </c>
      <c r="L697" s="401">
        <f t="shared" si="418"/>
        <v>50</v>
      </c>
      <c r="M697" s="563">
        <v>45631</v>
      </c>
      <c r="N697" s="563">
        <v>45628</v>
      </c>
      <c r="O697" s="564" t="s">
        <v>2918</v>
      </c>
      <c r="P697" s="1502" t="s">
        <v>1262</v>
      </c>
      <c r="Q697" s="564" t="s">
        <v>3030</v>
      </c>
      <c r="R697" s="564">
        <v>45587</v>
      </c>
      <c r="S697" s="1588" t="s">
        <v>77</v>
      </c>
      <c r="T697" s="1608" t="s">
        <v>3031</v>
      </c>
      <c r="U697" s="1551" t="s">
        <v>3032</v>
      </c>
      <c r="V697" s="596" t="s">
        <v>2458</v>
      </c>
      <c r="W697" s="592">
        <v>3.1012</v>
      </c>
      <c r="X697" s="593">
        <f t="shared" si="435"/>
        <v>1860.72</v>
      </c>
      <c r="Y697" s="401" t="s">
        <v>3033</v>
      </c>
      <c r="Z697" s="607" t="s">
        <v>822</v>
      </c>
      <c r="AA697" s="1453" t="s">
        <v>128</v>
      </c>
      <c r="AB697" s="608">
        <v>600</v>
      </c>
      <c r="AC697" s="608">
        <f t="shared" si="421"/>
        <v>0</v>
      </c>
      <c r="AD697" s="608"/>
      <c r="AE697" s="564"/>
      <c r="AF697" s="564"/>
      <c r="AG697" s="608">
        <f>I697*2</f>
        <v>1200</v>
      </c>
      <c r="AH697" s="608"/>
      <c r="AI697" s="608"/>
      <c r="AJ697" s="608"/>
      <c r="AK697" s="401"/>
      <c r="AL697" s="609">
        <f>AG697</f>
        <v>1200</v>
      </c>
      <c r="AM697" s="609"/>
      <c r="AN697" s="609"/>
      <c r="AO697" s="615">
        <f t="shared" ref="AO697:AO704" si="440">AG697</f>
        <v>1200</v>
      </c>
      <c r="AP697" s="609"/>
      <c r="AQ697" s="609"/>
      <c r="AR697" s="609"/>
      <c r="AS697" s="609"/>
      <c r="AT697" s="633"/>
      <c r="AU697" s="633"/>
      <c r="AV697" s="633"/>
      <c r="AW697" s="633"/>
      <c r="AX697" s="633"/>
      <c r="AZ697" s="633"/>
      <c r="BA697" s="633"/>
      <c r="BB697" s="633"/>
      <c r="BC697" s="633"/>
      <c r="BD697" s="633"/>
      <c r="BE697" s="633"/>
      <c r="BF697" s="633"/>
      <c r="BG697" s="633"/>
      <c r="BH697" s="633"/>
      <c r="BI697" s="633"/>
      <c r="BJ697" s="633"/>
      <c r="BK697" s="633">
        <f>I697</f>
        <v>600</v>
      </c>
      <c r="BL697" s="633">
        <f>I697</f>
        <v>600</v>
      </c>
      <c r="BM697" s="401">
        <f t="shared" si="404"/>
        <v>1200</v>
      </c>
      <c r="BO697" s="1473"/>
      <c r="BP697" s="1473"/>
    </row>
    <row r="698" s="200" customFormat="1" ht="36" customHeight="1" spans="1:68">
      <c r="A698" s="533">
        <v>45590</v>
      </c>
      <c r="B698" s="527" t="s">
        <v>660</v>
      </c>
      <c r="C698" s="528" t="s">
        <v>373</v>
      </c>
      <c r="D698" s="534">
        <v>4500149082</v>
      </c>
      <c r="E698" s="530"/>
      <c r="F698" s="534" t="s">
        <v>3034</v>
      </c>
      <c r="G698" s="531" t="s">
        <v>160</v>
      </c>
      <c r="H698" s="532" t="s">
        <v>74</v>
      </c>
      <c r="I698" s="401">
        <v>728</v>
      </c>
      <c r="J698" s="562">
        <v>0</v>
      </c>
      <c r="K698" s="531">
        <v>13</v>
      </c>
      <c r="L698" s="401">
        <f t="shared" si="418"/>
        <v>56</v>
      </c>
      <c r="M698" s="563">
        <v>45631</v>
      </c>
      <c r="N698" s="563">
        <v>45628</v>
      </c>
      <c r="O698" s="564"/>
      <c r="P698" s="564" t="s">
        <v>1262</v>
      </c>
      <c r="Q698" s="564" t="s">
        <v>3035</v>
      </c>
      <c r="R698" s="564" t="s">
        <v>3036</v>
      </c>
      <c r="S698" s="1588" t="s">
        <v>77</v>
      </c>
      <c r="T698" s="1608" t="s">
        <v>3037</v>
      </c>
      <c r="U698" s="1551" t="s">
        <v>3038</v>
      </c>
      <c r="V698" s="596" t="s">
        <v>2535</v>
      </c>
      <c r="W698" s="592">
        <v>1.3952</v>
      </c>
      <c r="X698" s="593">
        <f t="shared" si="435"/>
        <v>1015.7056</v>
      </c>
      <c r="Y698" s="401" t="s">
        <v>3039</v>
      </c>
      <c r="Z698" s="607" t="s">
        <v>239</v>
      </c>
      <c r="AA698" s="1453" t="s">
        <v>128</v>
      </c>
      <c r="AB698" s="608">
        <v>728</v>
      </c>
      <c r="AC698" s="608">
        <f t="shared" si="421"/>
        <v>0</v>
      </c>
      <c r="AD698" s="608"/>
      <c r="AE698" s="564"/>
      <c r="AF698" s="564"/>
      <c r="AG698" s="608">
        <f t="shared" si="438"/>
        <v>728</v>
      </c>
      <c r="AH698" s="608"/>
      <c r="AI698" s="608"/>
      <c r="AJ698" s="608"/>
      <c r="AK698" s="401"/>
      <c r="AL698" s="609">
        <f t="shared" si="439"/>
        <v>728</v>
      </c>
      <c r="AM698" s="609"/>
      <c r="AN698" s="609"/>
      <c r="AO698" s="609">
        <f t="shared" ref="AO698:AO700" si="441">I698</f>
        <v>728</v>
      </c>
      <c r="AP698" s="609"/>
      <c r="AQ698" s="609"/>
      <c r="AR698" s="609"/>
      <c r="AS698" s="609"/>
      <c r="AT698" s="633"/>
      <c r="AU698" s="633"/>
      <c r="AV698" s="633"/>
      <c r="AW698" s="633"/>
      <c r="AX698" s="633"/>
      <c r="AY698" s="401"/>
      <c r="AZ698" s="633">
        <f>I698/13</f>
        <v>56</v>
      </c>
      <c r="BA698" s="633"/>
      <c r="BB698" s="633"/>
      <c r="BC698" s="633"/>
      <c r="BD698" s="633"/>
      <c r="BE698" s="633"/>
      <c r="BF698" s="633"/>
      <c r="BG698" s="633"/>
      <c r="BH698" s="633"/>
      <c r="BI698" s="633"/>
      <c r="BJ698" s="633"/>
      <c r="BK698" s="633"/>
      <c r="BL698" s="633"/>
      <c r="BM698" s="401">
        <f t="shared" si="404"/>
        <v>728</v>
      </c>
      <c r="BO698" s="1473"/>
      <c r="BP698" s="1473"/>
    </row>
    <row r="699" s="200" customFormat="1" ht="36" customHeight="1" spans="1:68">
      <c r="A699" s="533">
        <v>45600</v>
      </c>
      <c r="B699" s="527" t="s">
        <v>507</v>
      </c>
      <c r="C699" s="528" t="s">
        <v>213</v>
      </c>
      <c r="D699" s="534">
        <v>4500149887</v>
      </c>
      <c r="E699" s="530" t="s">
        <v>3040</v>
      </c>
      <c r="F699" s="534" t="s">
        <v>3041</v>
      </c>
      <c r="G699" s="531" t="s">
        <v>160</v>
      </c>
      <c r="H699" s="532" t="s">
        <v>74</v>
      </c>
      <c r="I699" s="401">
        <v>6500</v>
      </c>
      <c r="J699" s="562">
        <v>0</v>
      </c>
      <c r="K699" s="531">
        <v>13</v>
      </c>
      <c r="L699" s="401">
        <f t="shared" si="418"/>
        <v>500</v>
      </c>
      <c r="M699" s="1495">
        <v>45632</v>
      </c>
      <c r="N699" s="1495">
        <v>45631</v>
      </c>
      <c r="O699" s="564"/>
      <c r="P699" s="564" t="s">
        <v>92</v>
      </c>
      <c r="Q699" s="564" t="s">
        <v>3042</v>
      </c>
      <c r="R699" s="564">
        <v>45601</v>
      </c>
      <c r="S699" s="564" t="s">
        <v>77</v>
      </c>
      <c r="T699" s="564" t="s">
        <v>3043</v>
      </c>
      <c r="U699" s="1551" t="s">
        <v>3044</v>
      </c>
      <c r="V699" s="1610" t="s">
        <v>3045</v>
      </c>
      <c r="W699" s="592">
        <v>1.4021</v>
      </c>
      <c r="X699" s="593">
        <f t="shared" si="435"/>
        <v>9113.65</v>
      </c>
      <c r="Y699" s="401" t="s">
        <v>3046</v>
      </c>
      <c r="Z699" s="607" t="s">
        <v>239</v>
      </c>
      <c r="AA699" s="1453" t="s">
        <v>128</v>
      </c>
      <c r="AB699" s="608">
        <v>6500</v>
      </c>
      <c r="AC699" s="608">
        <f t="shared" si="421"/>
        <v>0</v>
      </c>
      <c r="AD699" s="608"/>
      <c r="AE699" s="564"/>
      <c r="AF699" s="564"/>
      <c r="AG699" s="608">
        <f t="shared" si="438"/>
        <v>6500</v>
      </c>
      <c r="AH699" s="608"/>
      <c r="AI699" s="401"/>
      <c r="AJ699" s="608"/>
      <c r="AK699" s="401"/>
      <c r="AL699" s="609">
        <f t="shared" si="439"/>
        <v>6500</v>
      </c>
      <c r="AM699" s="609"/>
      <c r="AN699" s="609"/>
      <c r="AO699" s="609">
        <f t="shared" si="441"/>
        <v>6500</v>
      </c>
      <c r="AP699" s="609"/>
      <c r="AQ699" s="609"/>
      <c r="AR699" s="609"/>
      <c r="AS699" s="609"/>
      <c r="AT699" s="633"/>
      <c r="AU699" s="633"/>
      <c r="AV699" s="633"/>
      <c r="AW699" s="633"/>
      <c r="AX699" s="633"/>
      <c r="AY699" s="633"/>
      <c r="AZ699" s="633">
        <f>I699/13</f>
        <v>500</v>
      </c>
      <c r="BA699" s="633"/>
      <c r="BB699" s="633"/>
      <c r="BC699" s="633"/>
      <c r="BD699" s="633"/>
      <c r="BE699" s="633"/>
      <c r="BF699" s="633"/>
      <c r="BG699" s="633"/>
      <c r="BH699" s="633"/>
      <c r="BI699" s="633"/>
      <c r="BJ699" s="633"/>
      <c r="BK699" s="633"/>
      <c r="BL699" s="633"/>
      <c r="BM699" s="401">
        <f t="shared" si="404"/>
        <v>6500</v>
      </c>
      <c r="BO699" s="1473"/>
      <c r="BP699" s="1473"/>
    </row>
    <row r="700" s="200" customFormat="1" ht="36" customHeight="1" spans="1:68">
      <c r="A700" s="533">
        <v>45593</v>
      </c>
      <c r="B700" s="527" t="s">
        <v>189</v>
      </c>
      <c r="C700" s="528" t="s">
        <v>190</v>
      </c>
      <c r="D700" s="534">
        <v>4500149297</v>
      </c>
      <c r="E700" s="530">
        <v>20433235</v>
      </c>
      <c r="F700" s="534" t="s">
        <v>3047</v>
      </c>
      <c r="G700" s="531" t="s">
        <v>160</v>
      </c>
      <c r="H700" s="532" t="s">
        <v>74</v>
      </c>
      <c r="I700" s="401">
        <v>1547</v>
      </c>
      <c r="J700" s="562">
        <v>0</v>
      </c>
      <c r="K700" s="531">
        <v>13</v>
      </c>
      <c r="L700" s="401">
        <f t="shared" si="418"/>
        <v>119</v>
      </c>
      <c r="M700" s="563">
        <v>45635</v>
      </c>
      <c r="N700" s="563">
        <v>45631</v>
      </c>
      <c r="O700" s="564"/>
      <c r="P700" s="564" t="s">
        <v>92</v>
      </c>
      <c r="Q700" s="564" t="s">
        <v>3048</v>
      </c>
      <c r="R700" s="564">
        <v>45610</v>
      </c>
      <c r="S700" s="1588" t="s">
        <v>123</v>
      </c>
      <c r="T700" s="1608" t="s">
        <v>3049</v>
      </c>
      <c r="U700" s="530" t="s">
        <v>3050</v>
      </c>
      <c r="V700" s="596" t="s">
        <v>1011</v>
      </c>
      <c r="W700" s="592">
        <v>1.4432</v>
      </c>
      <c r="X700" s="593">
        <f t="shared" si="435"/>
        <v>2232.6304</v>
      </c>
      <c r="Y700" s="401" t="s">
        <v>3051</v>
      </c>
      <c r="Z700" s="607" t="s">
        <v>160</v>
      </c>
      <c r="AA700" s="1453" t="s">
        <v>128</v>
      </c>
      <c r="AB700" s="608">
        <v>1547</v>
      </c>
      <c r="AC700" s="608">
        <f t="shared" si="421"/>
        <v>0</v>
      </c>
      <c r="AD700" s="608"/>
      <c r="AE700" s="564"/>
      <c r="AF700" s="564"/>
      <c r="AG700" s="608">
        <f t="shared" si="438"/>
        <v>1547</v>
      </c>
      <c r="AH700" s="608"/>
      <c r="AI700" s="608"/>
      <c r="AJ700" s="608"/>
      <c r="AK700" s="609">
        <f>I700</f>
        <v>1547</v>
      </c>
      <c r="AL700" s="609"/>
      <c r="AM700" s="609"/>
      <c r="AN700" s="609"/>
      <c r="AO700" s="609">
        <f t="shared" si="441"/>
        <v>1547</v>
      </c>
      <c r="AP700" s="609"/>
      <c r="AQ700" s="609"/>
      <c r="AR700" s="609"/>
      <c r="AS700" s="609"/>
      <c r="AT700" s="633"/>
      <c r="AU700" s="633"/>
      <c r="AV700" s="633"/>
      <c r="AW700" s="633"/>
      <c r="AX700" s="633"/>
      <c r="AY700" s="633">
        <f>I700/13</f>
        <v>119</v>
      </c>
      <c r="AZ700" s="633"/>
      <c r="BA700" s="633"/>
      <c r="BB700" s="633"/>
      <c r="BC700" s="633"/>
      <c r="BD700" s="633"/>
      <c r="BE700" s="633"/>
      <c r="BF700" s="633"/>
      <c r="BG700" s="633"/>
      <c r="BH700" s="633"/>
      <c r="BI700" s="633"/>
      <c r="BJ700" s="633"/>
      <c r="BK700" s="633"/>
      <c r="BL700" s="633"/>
      <c r="BM700" s="401">
        <f t="shared" si="404"/>
        <v>1547</v>
      </c>
      <c r="BO700" s="1473"/>
      <c r="BP700" s="1473"/>
    </row>
    <row r="701" s="200" customFormat="1" ht="36" customHeight="1" spans="1:68">
      <c r="A701" s="533">
        <v>45611</v>
      </c>
      <c r="B701" s="527" t="s">
        <v>322</v>
      </c>
      <c r="C701" s="528" t="s">
        <v>190</v>
      </c>
      <c r="D701" s="534">
        <v>4500151367</v>
      </c>
      <c r="E701" s="1499" t="s">
        <v>3052</v>
      </c>
      <c r="F701" s="534" t="s">
        <v>3053</v>
      </c>
      <c r="G701" s="531" t="s">
        <v>403</v>
      </c>
      <c r="H701" s="532" t="s">
        <v>74</v>
      </c>
      <c r="I701" s="401">
        <v>1404</v>
      </c>
      <c r="J701" s="562">
        <v>0</v>
      </c>
      <c r="K701" s="531">
        <v>52</v>
      </c>
      <c r="L701" s="401">
        <f t="shared" si="418"/>
        <v>27</v>
      </c>
      <c r="M701" s="563">
        <v>45636</v>
      </c>
      <c r="N701" s="563">
        <v>45632</v>
      </c>
      <c r="O701" s="564" t="s">
        <v>3054</v>
      </c>
      <c r="P701" s="564" t="s">
        <v>121</v>
      </c>
      <c r="Q701" s="564" t="s">
        <v>3055</v>
      </c>
      <c r="R701" s="564">
        <v>45611</v>
      </c>
      <c r="S701" s="1599" t="s">
        <v>77</v>
      </c>
      <c r="T701" s="1600" t="s">
        <v>534</v>
      </c>
      <c r="U701" s="1551" t="s">
        <v>3056</v>
      </c>
      <c r="V701" s="1610" t="s">
        <v>3057</v>
      </c>
      <c r="W701" s="592">
        <v>1.3863</v>
      </c>
      <c r="X701" s="593">
        <f t="shared" si="435"/>
        <v>1946.3652</v>
      </c>
      <c r="Y701" s="401" t="s">
        <v>3058</v>
      </c>
      <c r="Z701" s="607" t="s">
        <v>403</v>
      </c>
      <c r="AA701" s="1453" t="s">
        <v>128</v>
      </c>
      <c r="AB701" s="608">
        <v>1404</v>
      </c>
      <c r="AC701" s="608">
        <f t="shared" si="421"/>
        <v>0</v>
      </c>
      <c r="AD701" s="608"/>
      <c r="AE701" s="564"/>
      <c r="AF701" s="564"/>
      <c r="AG701" s="608">
        <f t="shared" si="438"/>
        <v>1404</v>
      </c>
      <c r="AH701" s="608"/>
      <c r="AI701" s="608"/>
      <c r="AJ701" s="608"/>
      <c r="AK701" s="609">
        <f t="shared" ref="AK701:AK704" si="442">AG701</f>
        <v>1404</v>
      </c>
      <c r="AL701" s="609"/>
      <c r="AM701" s="609"/>
      <c r="AN701" s="609"/>
      <c r="AO701" s="609">
        <f t="shared" si="440"/>
        <v>1404</v>
      </c>
      <c r="AP701" s="609"/>
      <c r="AR701" s="609"/>
      <c r="AS701" s="714"/>
      <c r="AT701" s="633"/>
      <c r="AU701" s="633"/>
      <c r="AV701" s="633"/>
      <c r="AW701" s="633"/>
      <c r="AX701" s="633"/>
      <c r="AY701" s="633">
        <f t="shared" ref="AY701:AY704" si="443">AG701/13</f>
        <v>108</v>
      </c>
      <c r="AZ701" s="633"/>
      <c r="BA701" s="633"/>
      <c r="BB701" s="633"/>
      <c r="BC701" s="633"/>
      <c r="BD701" s="633"/>
      <c r="BE701" s="633"/>
      <c r="BF701" s="633"/>
      <c r="BG701" s="633"/>
      <c r="BH701" s="633"/>
      <c r="BI701" s="633"/>
      <c r="BJ701" s="633"/>
      <c r="BK701" s="633"/>
      <c r="BL701" s="633"/>
      <c r="BM701" s="401">
        <f t="shared" si="404"/>
        <v>1404</v>
      </c>
      <c r="BO701" s="1473"/>
      <c r="BP701" s="1473"/>
    </row>
    <row r="702" s="200" customFormat="1" ht="36" customHeight="1" spans="1:68">
      <c r="A702" s="533">
        <v>45611</v>
      </c>
      <c r="B702" s="527" t="s">
        <v>322</v>
      </c>
      <c r="C702" s="528" t="s">
        <v>190</v>
      </c>
      <c r="D702" s="534">
        <v>4500151367</v>
      </c>
      <c r="E702" s="1499" t="s">
        <v>3059</v>
      </c>
      <c r="F702" s="534" t="s">
        <v>3060</v>
      </c>
      <c r="G702" s="531" t="s">
        <v>403</v>
      </c>
      <c r="H702" s="532" t="s">
        <v>74</v>
      </c>
      <c r="I702" s="401">
        <v>1196</v>
      </c>
      <c r="J702" s="562">
        <v>0</v>
      </c>
      <c r="K702" s="531">
        <v>52</v>
      </c>
      <c r="L702" s="401">
        <f t="shared" si="418"/>
        <v>23</v>
      </c>
      <c r="M702" s="563">
        <v>45636</v>
      </c>
      <c r="N702" s="563">
        <v>45632</v>
      </c>
      <c r="O702" s="564" t="s">
        <v>3054</v>
      </c>
      <c r="P702" s="564" t="s">
        <v>121</v>
      </c>
      <c r="Q702" s="564" t="s">
        <v>3061</v>
      </c>
      <c r="R702" s="564">
        <v>45611</v>
      </c>
      <c r="S702" s="1599" t="s">
        <v>77</v>
      </c>
      <c r="T702" s="1600" t="s">
        <v>534</v>
      </c>
      <c r="U702" s="1551" t="s">
        <v>3056</v>
      </c>
      <c r="V702" s="1610" t="s">
        <v>3057</v>
      </c>
      <c r="W702" s="592">
        <v>1.4432</v>
      </c>
      <c r="X702" s="593">
        <f t="shared" si="435"/>
        <v>1726.0672</v>
      </c>
      <c r="Y702" s="401" t="s">
        <v>3058</v>
      </c>
      <c r="Z702" s="607" t="s">
        <v>403</v>
      </c>
      <c r="AA702" s="1453" t="s">
        <v>128</v>
      </c>
      <c r="AB702" s="608">
        <v>1196</v>
      </c>
      <c r="AC702" s="608">
        <f t="shared" si="421"/>
        <v>0</v>
      </c>
      <c r="AD702" s="608"/>
      <c r="AE702" s="564"/>
      <c r="AF702" s="564"/>
      <c r="AG702" s="608">
        <f t="shared" si="438"/>
        <v>1196</v>
      </c>
      <c r="AH702" s="608"/>
      <c r="AI702" s="608"/>
      <c r="AJ702" s="608"/>
      <c r="AK702" s="609">
        <f t="shared" si="442"/>
        <v>1196</v>
      </c>
      <c r="AL702" s="609"/>
      <c r="AM702" s="609"/>
      <c r="AN702" s="609"/>
      <c r="AO702" s="609">
        <f t="shared" si="440"/>
        <v>1196</v>
      </c>
      <c r="AP702" s="609"/>
      <c r="AR702" s="609"/>
      <c r="AS702" s="714"/>
      <c r="AT702" s="633"/>
      <c r="AU702" s="633"/>
      <c r="AV702" s="633"/>
      <c r="AW702" s="633"/>
      <c r="AX702" s="633"/>
      <c r="AY702" s="633">
        <f t="shared" si="443"/>
        <v>92</v>
      </c>
      <c r="AZ702" s="633"/>
      <c r="BA702" s="633"/>
      <c r="BB702" s="633"/>
      <c r="BC702" s="633"/>
      <c r="BD702" s="633"/>
      <c r="BE702" s="633"/>
      <c r="BF702" s="633"/>
      <c r="BG702" s="633"/>
      <c r="BH702" s="633"/>
      <c r="BI702" s="633"/>
      <c r="BJ702" s="633"/>
      <c r="BK702" s="633"/>
      <c r="BL702" s="633"/>
      <c r="BM702" s="401">
        <f t="shared" si="404"/>
        <v>1196</v>
      </c>
      <c r="BO702" s="1473"/>
      <c r="BP702" s="1473"/>
    </row>
    <row r="703" s="200" customFormat="1" ht="36" customHeight="1" spans="1:68">
      <c r="A703" s="533">
        <v>45611</v>
      </c>
      <c r="B703" s="527" t="s">
        <v>322</v>
      </c>
      <c r="C703" s="528" t="s">
        <v>190</v>
      </c>
      <c r="D703" s="534">
        <v>4500151367</v>
      </c>
      <c r="E703" s="1499" t="s">
        <v>3062</v>
      </c>
      <c r="F703" s="534" t="s">
        <v>3063</v>
      </c>
      <c r="G703" s="531" t="s">
        <v>403</v>
      </c>
      <c r="H703" s="532" t="s">
        <v>74</v>
      </c>
      <c r="I703" s="401">
        <v>988</v>
      </c>
      <c r="J703" s="562">
        <v>0</v>
      </c>
      <c r="K703" s="531">
        <v>52</v>
      </c>
      <c r="L703" s="401">
        <f t="shared" si="418"/>
        <v>19</v>
      </c>
      <c r="M703" s="563">
        <v>45636</v>
      </c>
      <c r="N703" s="563">
        <v>45632</v>
      </c>
      <c r="O703" s="564" t="s">
        <v>3054</v>
      </c>
      <c r="P703" s="564" t="s">
        <v>121</v>
      </c>
      <c r="Q703" s="564" t="s">
        <v>3064</v>
      </c>
      <c r="R703" s="564">
        <v>45611</v>
      </c>
      <c r="S703" s="1599" t="s">
        <v>77</v>
      </c>
      <c r="T703" s="1600" t="s">
        <v>534</v>
      </c>
      <c r="U703" s="1551" t="s">
        <v>3056</v>
      </c>
      <c r="V703" s="1610" t="s">
        <v>3057</v>
      </c>
      <c r="W703" s="592">
        <v>1.4432</v>
      </c>
      <c r="X703" s="593">
        <f t="shared" si="435"/>
        <v>1425.8816</v>
      </c>
      <c r="Y703" s="401" t="s">
        <v>3065</v>
      </c>
      <c r="Z703" s="607" t="s">
        <v>403</v>
      </c>
      <c r="AA703" s="1453" t="s">
        <v>128</v>
      </c>
      <c r="AB703" s="608">
        <v>988</v>
      </c>
      <c r="AC703" s="608">
        <f t="shared" si="421"/>
        <v>0</v>
      </c>
      <c r="AD703" s="608"/>
      <c r="AE703" s="564"/>
      <c r="AF703" s="564"/>
      <c r="AG703" s="608">
        <f t="shared" si="438"/>
        <v>988</v>
      </c>
      <c r="AH703" s="608"/>
      <c r="AI703" s="608"/>
      <c r="AJ703" s="608"/>
      <c r="AK703" s="609">
        <f t="shared" si="442"/>
        <v>988</v>
      </c>
      <c r="AL703" s="609"/>
      <c r="AM703" s="609"/>
      <c r="AN703" s="609"/>
      <c r="AO703" s="609">
        <f t="shared" si="440"/>
        <v>988</v>
      </c>
      <c r="AP703" s="609"/>
      <c r="AR703" s="609"/>
      <c r="AS703" s="714"/>
      <c r="AT703" s="633"/>
      <c r="AU703" s="633"/>
      <c r="AV703" s="633"/>
      <c r="AW703" s="633"/>
      <c r="AX703" s="633"/>
      <c r="AY703" s="633">
        <f t="shared" si="443"/>
        <v>76</v>
      </c>
      <c r="AZ703" s="633"/>
      <c r="BA703" s="633"/>
      <c r="BB703" s="633"/>
      <c r="BC703" s="633"/>
      <c r="BD703" s="633"/>
      <c r="BE703" s="633"/>
      <c r="BF703" s="633"/>
      <c r="BG703" s="633"/>
      <c r="BH703" s="633"/>
      <c r="BI703" s="633"/>
      <c r="BJ703" s="633"/>
      <c r="BK703" s="633"/>
      <c r="BL703" s="633"/>
      <c r="BM703" s="401">
        <f t="shared" si="404"/>
        <v>988</v>
      </c>
      <c r="BO703" s="1473"/>
      <c r="BP703" s="1473"/>
    </row>
    <row r="704" s="200" customFormat="1" ht="36" customHeight="1" spans="1:68">
      <c r="A704" s="533">
        <v>45611</v>
      </c>
      <c r="B704" s="527" t="s">
        <v>322</v>
      </c>
      <c r="C704" s="528" t="s">
        <v>190</v>
      </c>
      <c r="D704" s="534">
        <v>4500151367</v>
      </c>
      <c r="E704" s="1499" t="s">
        <v>3066</v>
      </c>
      <c r="F704" s="534" t="s">
        <v>3067</v>
      </c>
      <c r="G704" s="531" t="s">
        <v>403</v>
      </c>
      <c r="H704" s="532" t="s">
        <v>74</v>
      </c>
      <c r="I704" s="401">
        <v>416</v>
      </c>
      <c r="J704" s="562">
        <v>0</v>
      </c>
      <c r="K704" s="531">
        <v>52</v>
      </c>
      <c r="L704" s="401">
        <f t="shared" si="418"/>
        <v>8</v>
      </c>
      <c r="M704" s="563">
        <v>45636</v>
      </c>
      <c r="N704" s="563">
        <v>45632</v>
      </c>
      <c r="O704" s="564" t="s">
        <v>3054</v>
      </c>
      <c r="P704" s="564" t="s">
        <v>121</v>
      </c>
      <c r="Q704" s="564" t="s">
        <v>3068</v>
      </c>
      <c r="R704" s="564">
        <v>45611</v>
      </c>
      <c r="S704" s="1599" t="s">
        <v>77</v>
      </c>
      <c r="T704" s="1600" t="s">
        <v>534</v>
      </c>
      <c r="U704" s="1551" t="s">
        <v>3056</v>
      </c>
      <c r="V704" s="1610" t="s">
        <v>3057</v>
      </c>
      <c r="W704" s="592">
        <v>1.4432</v>
      </c>
      <c r="X704" s="593">
        <f t="shared" si="435"/>
        <v>600.3712</v>
      </c>
      <c r="Y704" s="401" t="s">
        <v>3069</v>
      </c>
      <c r="Z704" s="607" t="s">
        <v>403</v>
      </c>
      <c r="AA704" s="1453" t="s">
        <v>128</v>
      </c>
      <c r="AB704" s="608">
        <v>416</v>
      </c>
      <c r="AC704" s="608">
        <f t="shared" si="421"/>
        <v>0</v>
      </c>
      <c r="AD704" s="608"/>
      <c r="AE704" s="564"/>
      <c r="AF704" s="564"/>
      <c r="AG704" s="608">
        <f t="shared" si="438"/>
        <v>416</v>
      </c>
      <c r="AH704" s="608"/>
      <c r="AI704" s="608"/>
      <c r="AJ704" s="608"/>
      <c r="AK704" s="609">
        <f t="shared" si="442"/>
        <v>416</v>
      </c>
      <c r="AL704" s="609"/>
      <c r="AM704" s="609"/>
      <c r="AN704" s="609"/>
      <c r="AO704" s="609">
        <f t="shared" si="440"/>
        <v>416</v>
      </c>
      <c r="AP704" s="609"/>
      <c r="AR704" s="609"/>
      <c r="AS704" s="714"/>
      <c r="AT704" s="633"/>
      <c r="AU704" s="633"/>
      <c r="AV704" s="633"/>
      <c r="AW704" s="633"/>
      <c r="AX704" s="633"/>
      <c r="AY704" s="633">
        <f t="shared" si="443"/>
        <v>32</v>
      </c>
      <c r="AZ704" s="633"/>
      <c r="BA704" s="633"/>
      <c r="BB704" s="633"/>
      <c r="BC704" s="633"/>
      <c r="BD704" s="633"/>
      <c r="BE704" s="633"/>
      <c r="BF704" s="633"/>
      <c r="BG704" s="633"/>
      <c r="BH704" s="633"/>
      <c r="BI704" s="633"/>
      <c r="BJ704" s="633"/>
      <c r="BK704" s="633"/>
      <c r="BL704" s="633"/>
      <c r="BM704" s="401">
        <f t="shared" si="404"/>
        <v>416</v>
      </c>
      <c r="BO704" s="1473"/>
      <c r="BP704" s="1473"/>
    </row>
    <row r="705" s="200" customFormat="1" ht="36" customHeight="1" spans="1:68">
      <c r="A705" s="533">
        <v>45607</v>
      </c>
      <c r="B705" s="527" t="s">
        <v>933</v>
      </c>
      <c r="C705" s="528" t="s">
        <v>934</v>
      </c>
      <c r="D705" s="534">
        <v>4500150993</v>
      </c>
      <c r="E705" s="530">
        <v>5000001686</v>
      </c>
      <c r="F705" s="534" t="s">
        <v>3070</v>
      </c>
      <c r="G705" s="531" t="s">
        <v>160</v>
      </c>
      <c r="H705" s="532" t="s">
        <v>74</v>
      </c>
      <c r="I705" s="401">
        <v>1209</v>
      </c>
      <c r="J705" s="562">
        <v>0</v>
      </c>
      <c r="K705" s="531">
        <v>13</v>
      </c>
      <c r="L705" s="401">
        <f t="shared" si="418"/>
        <v>93</v>
      </c>
      <c r="M705" s="563">
        <v>45638</v>
      </c>
      <c r="N705" s="563">
        <v>45635</v>
      </c>
      <c r="O705" s="564"/>
      <c r="P705" s="564" t="s">
        <v>92</v>
      </c>
      <c r="Q705" s="564" t="s">
        <v>3071</v>
      </c>
      <c r="R705" s="564" t="s">
        <v>3072</v>
      </c>
      <c r="S705" s="1599" t="s">
        <v>77</v>
      </c>
      <c r="T705" s="1600" t="s">
        <v>3073</v>
      </c>
      <c r="U705" s="1454" t="s">
        <v>3074</v>
      </c>
      <c r="V705" s="1610" t="s">
        <v>938</v>
      </c>
      <c r="W705" s="592">
        <v>1.3901</v>
      </c>
      <c r="X705" s="593">
        <f t="shared" si="435"/>
        <v>1680.6309</v>
      </c>
      <c r="Y705" s="401" t="s">
        <v>3075</v>
      </c>
      <c r="Z705" s="607" t="s">
        <v>940</v>
      </c>
      <c r="AA705" s="1453" t="s">
        <v>128</v>
      </c>
      <c r="AB705" s="608">
        <v>1209</v>
      </c>
      <c r="AC705" s="608">
        <f t="shared" si="421"/>
        <v>0</v>
      </c>
      <c r="AD705" s="608"/>
      <c r="AE705" s="564"/>
      <c r="AF705" s="564"/>
      <c r="AG705" s="608">
        <f t="shared" si="438"/>
        <v>1209</v>
      </c>
      <c r="AH705" s="608"/>
      <c r="AI705" s="608"/>
      <c r="AJ705" s="608"/>
      <c r="AK705" s="609">
        <f t="shared" ref="AK705:AK711" si="444">I705</f>
        <v>1209</v>
      </c>
      <c r="AL705" s="401"/>
      <c r="AM705" s="609"/>
      <c r="AN705" s="609"/>
      <c r="AO705" s="714"/>
      <c r="AP705" s="609"/>
      <c r="AR705" s="609">
        <f>I705</f>
        <v>1209</v>
      </c>
      <c r="AS705" s="714"/>
      <c r="AT705" s="633"/>
      <c r="AU705" s="633"/>
      <c r="AV705" s="633"/>
      <c r="AW705" s="633"/>
      <c r="AX705" s="633"/>
      <c r="AY705" s="633">
        <f>I705/13</f>
        <v>93</v>
      </c>
      <c r="AZ705" s="633"/>
      <c r="BA705" s="633"/>
      <c r="BB705" s="633"/>
      <c r="BC705" s="633"/>
      <c r="BD705" s="633"/>
      <c r="BE705" s="633"/>
      <c r="BF705" s="633"/>
      <c r="BG705" s="633"/>
      <c r="BH705" s="633"/>
      <c r="BI705" s="633"/>
      <c r="BJ705" s="633"/>
      <c r="BK705" s="633"/>
      <c r="BL705" s="633"/>
      <c r="BM705" s="401">
        <f t="shared" si="404"/>
        <v>1209</v>
      </c>
      <c r="BO705" s="1473"/>
      <c r="BP705" s="1473"/>
    </row>
    <row r="706" s="200" customFormat="1" ht="36" customHeight="1" spans="1:68">
      <c r="A706" s="533">
        <v>45590</v>
      </c>
      <c r="B706" s="527" t="s">
        <v>3076</v>
      </c>
      <c r="C706" s="528" t="s">
        <v>3077</v>
      </c>
      <c r="D706" s="1611">
        <v>4500148916</v>
      </c>
      <c r="E706" s="530" t="s">
        <v>1581</v>
      </c>
      <c r="F706" s="534" t="s">
        <v>3078</v>
      </c>
      <c r="G706" s="531" t="s">
        <v>3079</v>
      </c>
      <c r="H706" s="532" t="s">
        <v>74</v>
      </c>
      <c r="I706" s="401">
        <v>1470</v>
      </c>
      <c r="J706" s="562">
        <v>0</v>
      </c>
      <c r="K706" s="531">
        <v>42</v>
      </c>
      <c r="L706" s="401">
        <f t="shared" si="418"/>
        <v>35</v>
      </c>
      <c r="M706" s="563">
        <v>45639</v>
      </c>
      <c r="N706" s="563">
        <v>45635</v>
      </c>
      <c r="O706" s="564" t="s">
        <v>3080</v>
      </c>
      <c r="P706" s="564" t="s">
        <v>92</v>
      </c>
      <c r="Q706" s="564" t="s">
        <v>3081</v>
      </c>
      <c r="R706" s="564">
        <v>45597</v>
      </c>
      <c r="S706" s="1599" t="s">
        <v>77</v>
      </c>
      <c r="T706" s="1600" t="s">
        <v>3082</v>
      </c>
      <c r="U706" s="1551" t="s">
        <v>3083</v>
      </c>
      <c r="V706" s="1610" t="s">
        <v>1294</v>
      </c>
      <c r="W706" s="592">
        <v>1.552</v>
      </c>
      <c r="X706" s="593">
        <f t="shared" si="435"/>
        <v>2281.44</v>
      </c>
      <c r="Y706" s="401" t="s">
        <v>3084</v>
      </c>
      <c r="Z706" s="607" t="s">
        <v>3079</v>
      </c>
      <c r="AA706" s="1453" t="s">
        <v>128</v>
      </c>
      <c r="AB706" s="608">
        <v>1470</v>
      </c>
      <c r="AC706" s="608">
        <f t="shared" si="421"/>
        <v>0</v>
      </c>
      <c r="AD706" s="608"/>
      <c r="AE706" s="564"/>
      <c r="AF706" s="564"/>
      <c r="AG706" s="608">
        <f t="shared" si="438"/>
        <v>1470</v>
      </c>
      <c r="AH706" s="608"/>
      <c r="AI706" s="608"/>
      <c r="AJ706" s="608"/>
      <c r="AK706" s="401">
        <f t="shared" si="444"/>
        <v>1470</v>
      </c>
      <c r="AL706" s="401"/>
      <c r="AM706" s="609"/>
      <c r="AN706" s="609"/>
      <c r="AP706" s="609">
        <f t="shared" ref="AP706:AP710" si="445">I706</f>
        <v>1470</v>
      </c>
      <c r="AQ706" s="609"/>
      <c r="AR706" s="609"/>
      <c r="AT706" s="1558">
        <f t="shared" ref="AT706:AT709" si="446">I706/21</f>
        <v>70</v>
      </c>
      <c r="AU706" s="633"/>
      <c r="AV706" s="633"/>
      <c r="AW706" s="633"/>
      <c r="AX706" s="633"/>
      <c r="AY706" s="1526"/>
      <c r="AZ706" s="633"/>
      <c r="BA706" s="633"/>
      <c r="BB706" s="633"/>
      <c r="BC706" s="633"/>
      <c r="BD706" s="633"/>
      <c r="BE706" s="633"/>
      <c r="BF706" s="633"/>
      <c r="BG706" s="633"/>
      <c r="BH706" s="633"/>
      <c r="BI706" s="633"/>
      <c r="BJ706" s="633"/>
      <c r="BK706" s="633"/>
      <c r="BL706" s="633"/>
      <c r="BM706" s="401">
        <f t="shared" si="404"/>
        <v>1470</v>
      </c>
      <c r="BO706" s="1473"/>
      <c r="BP706" s="1473"/>
    </row>
    <row r="707" s="200" customFormat="1" ht="36" customHeight="1" spans="1:68">
      <c r="A707" s="533">
        <v>45590</v>
      </c>
      <c r="B707" s="527" t="s">
        <v>1559</v>
      </c>
      <c r="C707" s="528" t="s">
        <v>1560</v>
      </c>
      <c r="D707" s="1611">
        <v>4500148906</v>
      </c>
      <c r="E707" s="530" t="s">
        <v>1561</v>
      </c>
      <c r="F707" s="534" t="s">
        <v>3085</v>
      </c>
      <c r="G707" s="531" t="s">
        <v>3079</v>
      </c>
      <c r="H707" s="532" t="s">
        <v>74</v>
      </c>
      <c r="I707" s="401">
        <v>4830</v>
      </c>
      <c r="J707" s="562">
        <v>0</v>
      </c>
      <c r="K707" s="531">
        <v>42</v>
      </c>
      <c r="L707" s="401">
        <f t="shared" si="418"/>
        <v>115</v>
      </c>
      <c r="M707" s="563">
        <v>45639</v>
      </c>
      <c r="N707" s="563">
        <v>45635</v>
      </c>
      <c r="O707" s="564" t="s">
        <v>3080</v>
      </c>
      <c r="P707" s="564" t="s">
        <v>92</v>
      </c>
      <c r="Q707" s="564" t="s">
        <v>3086</v>
      </c>
      <c r="R707" s="564">
        <v>45597</v>
      </c>
      <c r="S707" s="1599" t="s">
        <v>77</v>
      </c>
      <c r="T707" s="1600" t="s">
        <v>3082</v>
      </c>
      <c r="U707" s="1551" t="s">
        <v>3087</v>
      </c>
      <c r="V707" s="1610" t="s">
        <v>1294</v>
      </c>
      <c r="W707" s="592">
        <v>1.552</v>
      </c>
      <c r="X707" s="593">
        <f t="shared" si="435"/>
        <v>7496.16</v>
      </c>
      <c r="Y707" s="401" t="s">
        <v>3088</v>
      </c>
      <c r="Z707" s="607" t="s">
        <v>3079</v>
      </c>
      <c r="AA707" s="1453" t="s">
        <v>128</v>
      </c>
      <c r="AB707" s="608">
        <v>4830</v>
      </c>
      <c r="AC707" s="608">
        <f t="shared" si="421"/>
        <v>0</v>
      </c>
      <c r="AD707" s="608"/>
      <c r="AE707" s="564"/>
      <c r="AF707" s="564"/>
      <c r="AG707" s="608">
        <f t="shared" si="438"/>
        <v>4830</v>
      </c>
      <c r="AH707" s="608"/>
      <c r="AI707" s="608"/>
      <c r="AJ707" s="608"/>
      <c r="AK707" s="401">
        <f t="shared" si="444"/>
        <v>4830</v>
      </c>
      <c r="AL707" s="401"/>
      <c r="AM707" s="609"/>
      <c r="AN707" s="609"/>
      <c r="AO707" s="609"/>
      <c r="AP707" s="609">
        <f t="shared" si="445"/>
        <v>4830</v>
      </c>
      <c r="AQ707" s="609"/>
      <c r="AR707" s="609"/>
      <c r="AT707" s="1558">
        <f t="shared" si="446"/>
        <v>230</v>
      </c>
      <c r="AU707" s="633"/>
      <c r="AV707" s="633"/>
      <c r="AW707" s="633"/>
      <c r="AX707" s="633"/>
      <c r="AY707" s="1526"/>
      <c r="AZ707" s="633"/>
      <c r="BA707" s="633"/>
      <c r="BB707" s="633"/>
      <c r="BC707" s="633"/>
      <c r="BD707" s="633"/>
      <c r="BE707" s="633"/>
      <c r="BF707" s="633"/>
      <c r="BG707" s="633"/>
      <c r="BH707" s="633"/>
      <c r="BI707" s="633"/>
      <c r="BJ707" s="633"/>
      <c r="BK707" s="633"/>
      <c r="BL707" s="633"/>
      <c r="BM707" s="401">
        <f t="shared" si="404"/>
        <v>4830</v>
      </c>
      <c r="BO707" s="1473"/>
      <c r="BP707" s="1473"/>
    </row>
    <row r="708" s="200" customFormat="1" ht="36" customHeight="1" spans="1:68">
      <c r="A708" s="533">
        <v>45590</v>
      </c>
      <c r="B708" s="527" t="s">
        <v>1559</v>
      </c>
      <c r="C708" s="528" t="s">
        <v>1560</v>
      </c>
      <c r="D708" s="1611">
        <v>4500148906</v>
      </c>
      <c r="E708" s="530" t="s">
        <v>1561</v>
      </c>
      <c r="F708" s="534" t="s">
        <v>3089</v>
      </c>
      <c r="G708" s="531" t="s">
        <v>3090</v>
      </c>
      <c r="H708" s="532" t="s">
        <v>74</v>
      </c>
      <c r="I708" s="511">
        <v>1200</v>
      </c>
      <c r="J708" s="562">
        <v>0</v>
      </c>
      <c r="K708" s="531">
        <v>60</v>
      </c>
      <c r="L708" s="401">
        <f t="shared" si="418"/>
        <v>20</v>
      </c>
      <c r="M708" s="563">
        <v>45639</v>
      </c>
      <c r="N708" s="563">
        <v>45635</v>
      </c>
      <c r="O708" s="564" t="s">
        <v>3080</v>
      </c>
      <c r="P708" s="564" t="s">
        <v>92</v>
      </c>
      <c r="Q708" s="564" t="s">
        <v>3086</v>
      </c>
      <c r="R708" s="564">
        <v>45597</v>
      </c>
      <c r="S708" s="1599" t="s">
        <v>77</v>
      </c>
      <c r="T708" s="1600" t="s">
        <v>3082</v>
      </c>
      <c r="U708" s="1551" t="s">
        <v>3091</v>
      </c>
      <c r="V708" s="1610" t="s">
        <v>1294</v>
      </c>
      <c r="W708" s="592">
        <v>1.552</v>
      </c>
      <c r="X708" s="593">
        <f t="shared" si="435"/>
        <v>1862.4</v>
      </c>
      <c r="Y708" s="401" t="s">
        <v>3088</v>
      </c>
      <c r="Z708" s="607" t="s">
        <v>3090</v>
      </c>
      <c r="AA708" s="1453" t="s">
        <v>128</v>
      </c>
      <c r="AB708" s="608">
        <v>1200</v>
      </c>
      <c r="AC708" s="608">
        <f t="shared" si="421"/>
        <v>0</v>
      </c>
      <c r="AD708" s="608"/>
      <c r="AE708" s="564"/>
      <c r="AF708" s="564"/>
      <c r="AG708" s="608">
        <f t="shared" si="438"/>
        <v>1200</v>
      </c>
      <c r="AH708" s="608"/>
      <c r="AI708" s="608"/>
      <c r="AJ708" s="608"/>
      <c r="AK708" s="401">
        <f t="shared" si="444"/>
        <v>1200</v>
      </c>
      <c r="AL708" s="401"/>
      <c r="AM708" s="609"/>
      <c r="AN708" s="609"/>
      <c r="AO708" s="609"/>
      <c r="AP708" s="609">
        <f t="shared" si="445"/>
        <v>1200</v>
      </c>
      <c r="AQ708" s="609"/>
      <c r="AR708" s="609"/>
      <c r="AS708" s="609"/>
      <c r="AT708" s="633"/>
      <c r="AU708" s="633"/>
      <c r="AV708" s="633"/>
      <c r="AW708" s="633"/>
      <c r="AX708" s="633"/>
      <c r="AY708" s="1526"/>
      <c r="AZ708" s="633"/>
      <c r="BA708" s="633"/>
      <c r="BB708" s="633"/>
      <c r="BC708" s="633"/>
      <c r="BD708" s="633"/>
      <c r="BE708" s="1569">
        <f>I708/60</f>
        <v>20</v>
      </c>
      <c r="BF708" s="633"/>
      <c r="BG708" s="633"/>
      <c r="BH708" s="633"/>
      <c r="BI708" s="633"/>
      <c r="BJ708" s="633"/>
      <c r="BK708" s="633"/>
      <c r="BL708" s="633"/>
      <c r="BM708" s="401">
        <f t="shared" ref="BM708:BM771" si="447">AG708+AH708+AI708</f>
        <v>1200</v>
      </c>
      <c r="BO708" s="1473"/>
      <c r="BP708" s="1473"/>
    </row>
    <row r="709" s="200" customFormat="1" ht="36" customHeight="1" spans="1:68">
      <c r="A709" s="533">
        <v>45590</v>
      </c>
      <c r="B709" s="527" t="s">
        <v>3076</v>
      </c>
      <c r="C709" s="528" t="s">
        <v>3092</v>
      </c>
      <c r="D709" s="1611">
        <v>4500148795</v>
      </c>
      <c r="E709" s="530" t="s">
        <v>1571</v>
      </c>
      <c r="F709" s="534" t="s">
        <v>3093</v>
      </c>
      <c r="G709" s="531" t="s">
        <v>3079</v>
      </c>
      <c r="H709" s="532" t="s">
        <v>74</v>
      </c>
      <c r="I709" s="401">
        <v>210</v>
      </c>
      <c r="J709" s="562">
        <v>0</v>
      </c>
      <c r="K709" s="531">
        <v>42</v>
      </c>
      <c r="L709" s="401">
        <f t="shared" si="418"/>
        <v>5</v>
      </c>
      <c r="M709" s="563">
        <v>45639</v>
      </c>
      <c r="N709" s="563">
        <v>45635</v>
      </c>
      <c r="O709" s="564" t="s">
        <v>3080</v>
      </c>
      <c r="P709" s="564" t="s">
        <v>92</v>
      </c>
      <c r="Q709" s="564" t="s">
        <v>3081</v>
      </c>
      <c r="R709" s="564">
        <v>45597</v>
      </c>
      <c r="S709" s="1599" t="s">
        <v>77</v>
      </c>
      <c r="T709" s="1600" t="s">
        <v>3082</v>
      </c>
      <c r="U709" s="1551" t="s">
        <v>3094</v>
      </c>
      <c r="V709" s="1610" t="s">
        <v>1294</v>
      </c>
      <c r="W709" s="592">
        <v>1.5571</v>
      </c>
      <c r="X709" s="593">
        <f t="shared" si="435"/>
        <v>326.991</v>
      </c>
      <c r="Y709" s="401" t="s">
        <v>3095</v>
      </c>
      <c r="Z709" s="607" t="s">
        <v>3079</v>
      </c>
      <c r="AA709" s="1453" t="s">
        <v>128</v>
      </c>
      <c r="AB709" s="608">
        <v>210</v>
      </c>
      <c r="AC709" s="608">
        <f t="shared" si="421"/>
        <v>0</v>
      </c>
      <c r="AD709" s="608"/>
      <c r="AE709" s="564"/>
      <c r="AF709" s="564"/>
      <c r="AG709" s="608">
        <f t="shared" si="438"/>
        <v>210</v>
      </c>
      <c r="AH709" s="608"/>
      <c r="AI709" s="401"/>
      <c r="AJ709" s="608"/>
      <c r="AK709" s="401">
        <f t="shared" si="444"/>
        <v>210</v>
      </c>
      <c r="AL709" s="401"/>
      <c r="AM709" s="609"/>
      <c r="AN709" s="609"/>
      <c r="AO709" s="609"/>
      <c r="AP709" s="609">
        <f t="shared" si="445"/>
        <v>210</v>
      </c>
      <c r="AQ709" s="609"/>
      <c r="AR709" s="609"/>
      <c r="AT709" s="1558">
        <f t="shared" si="446"/>
        <v>10</v>
      </c>
      <c r="AU709" s="633"/>
      <c r="AV709" s="633"/>
      <c r="AW709" s="633"/>
      <c r="AX709" s="633"/>
      <c r="AY709" s="1526"/>
      <c r="AZ709" s="633"/>
      <c r="BA709" s="633"/>
      <c r="BB709" s="633"/>
      <c r="BC709" s="633"/>
      <c r="BD709" s="633"/>
      <c r="BE709" s="633"/>
      <c r="BF709" s="633"/>
      <c r="BG709" s="633"/>
      <c r="BH709" s="633"/>
      <c r="BI709" s="633"/>
      <c r="BJ709" s="633"/>
      <c r="BK709" s="633"/>
      <c r="BL709" s="633"/>
      <c r="BM709" s="401">
        <f t="shared" si="447"/>
        <v>210</v>
      </c>
      <c r="BO709" s="1473"/>
      <c r="BP709" s="1473"/>
    </row>
    <row r="710" s="200" customFormat="1" ht="36" customHeight="1" spans="1:68">
      <c r="A710" s="533">
        <v>45590</v>
      </c>
      <c r="B710" s="527" t="s">
        <v>3076</v>
      </c>
      <c r="C710" s="528" t="s">
        <v>3092</v>
      </c>
      <c r="D710" s="1611">
        <v>4500148795</v>
      </c>
      <c r="E710" s="530" t="s">
        <v>1571</v>
      </c>
      <c r="F710" s="534" t="s">
        <v>3096</v>
      </c>
      <c r="G710" s="531" t="s">
        <v>3090</v>
      </c>
      <c r="H710" s="532" t="s">
        <v>74</v>
      </c>
      <c r="I710" s="511">
        <v>1800</v>
      </c>
      <c r="J710" s="562">
        <v>0</v>
      </c>
      <c r="K710" s="531">
        <v>60</v>
      </c>
      <c r="L710" s="401">
        <f t="shared" si="418"/>
        <v>30</v>
      </c>
      <c r="M710" s="563">
        <v>45639</v>
      </c>
      <c r="N710" s="563">
        <v>45635</v>
      </c>
      <c r="O710" s="564" t="s">
        <v>3080</v>
      </c>
      <c r="P710" s="564" t="s">
        <v>92</v>
      </c>
      <c r="Q710" s="564" t="s">
        <v>3081</v>
      </c>
      <c r="R710" s="564">
        <v>45597</v>
      </c>
      <c r="S710" s="1599" t="s">
        <v>77</v>
      </c>
      <c r="T710" s="1600" t="s">
        <v>3082</v>
      </c>
      <c r="U710" s="1551" t="s">
        <v>3097</v>
      </c>
      <c r="V710" s="1610" t="s">
        <v>1294</v>
      </c>
      <c r="W710" s="592">
        <v>106.1213</v>
      </c>
      <c r="X710" s="593">
        <f t="shared" si="435"/>
        <v>191018.34</v>
      </c>
      <c r="Y710" s="401" t="s">
        <v>3095</v>
      </c>
      <c r="Z710" s="607" t="s">
        <v>3090</v>
      </c>
      <c r="AA710" s="1453" t="s">
        <v>128</v>
      </c>
      <c r="AB710" s="608">
        <v>1800</v>
      </c>
      <c r="AC710" s="608">
        <f t="shared" si="421"/>
        <v>0</v>
      </c>
      <c r="AD710" s="608"/>
      <c r="AE710" s="564"/>
      <c r="AF710" s="564"/>
      <c r="AG710" s="608">
        <f t="shared" si="438"/>
        <v>1800</v>
      </c>
      <c r="AH710" s="608"/>
      <c r="AI710" s="401"/>
      <c r="AJ710" s="608"/>
      <c r="AK710" s="401">
        <f t="shared" si="444"/>
        <v>1800</v>
      </c>
      <c r="AL710" s="401"/>
      <c r="AM710" s="609"/>
      <c r="AN710" s="609"/>
      <c r="AO710" s="609"/>
      <c r="AP710" s="609">
        <f t="shared" si="445"/>
        <v>1800</v>
      </c>
      <c r="AQ710" s="609"/>
      <c r="AR710" s="609"/>
      <c r="AS710" s="609"/>
      <c r="AT710" s="633"/>
      <c r="AU710" s="633"/>
      <c r="AV710" s="633"/>
      <c r="AW710" s="633"/>
      <c r="AX710" s="633"/>
      <c r="AY710" s="1526"/>
      <c r="AZ710" s="633"/>
      <c r="BA710" s="633"/>
      <c r="BB710" s="633"/>
      <c r="BC710" s="633"/>
      <c r="BD710" s="633"/>
      <c r="BE710" s="1569">
        <f>I710/60</f>
        <v>30</v>
      </c>
      <c r="BF710" s="633"/>
      <c r="BG710" s="633"/>
      <c r="BH710" s="633"/>
      <c r="BI710" s="633"/>
      <c r="BJ710" s="633"/>
      <c r="BK710" s="633"/>
      <c r="BL710" s="633"/>
      <c r="BM710" s="401">
        <f t="shared" si="447"/>
        <v>1800</v>
      </c>
      <c r="BO710" s="1473"/>
      <c r="BP710" s="1473"/>
    </row>
    <row r="711" s="200" customFormat="1" ht="36" customHeight="1" spans="1:68">
      <c r="A711" s="533">
        <v>45594</v>
      </c>
      <c r="B711" s="527" t="s">
        <v>823</v>
      </c>
      <c r="C711" s="528" t="s">
        <v>117</v>
      </c>
      <c r="D711" s="534">
        <v>4500149379</v>
      </c>
      <c r="E711" s="1606" t="s">
        <v>3098</v>
      </c>
      <c r="F711" s="534" t="s">
        <v>3099</v>
      </c>
      <c r="G711" s="531" t="s">
        <v>826</v>
      </c>
      <c r="H711" s="532" t="s">
        <v>74</v>
      </c>
      <c r="I711" s="1496">
        <v>2500</v>
      </c>
      <c r="J711" s="1496">
        <v>0</v>
      </c>
      <c r="K711" s="1496">
        <v>25</v>
      </c>
      <c r="L711" s="1496">
        <f t="shared" si="418"/>
        <v>100</v>
      </c>
      <c r="M711" s="563">
        <v>45642</v>
      </c>
      <c r="N711" s="563">
        <v>45638</v>
      </c>
      <c r="O711" s="564"/>
      <c r="P711" s="564" t="s">
        <v>92</v>
      </c>
      <c r="Q711" s="564" t="s">
        <v>3100</v>
      </c>
      <c r="R711" s="564">
        <v>45594</v>
      </c>
      <c r="S711" s="1599" t="s">
        <v>77</v>
      </c>
      <c r="T711" s="1599" t="s">
        <v>77</v>
      </c>
      <c r="U711" s="530" t="s">
        <v>828</v>
      </c>
      <c r="V711" s="596" t="s">
        <v>829</v>
      </c>
      <c r="W711" s="592">
        <v>1.435</v>
      </c>
      <c r="X711" s="593">
        <f t="shared" si="435"/>
        <v>3587.5</v>
      </c>
      <c r="Y711" s="401" t="s">
        <v>3101</v>
      </c>
      <c r="Z711" s="607" t="s">
        <v>826</v>
      </c>
      <c r="AA711" s="1453" t="s">
        <v>128</v>
      </c>
      <c r="AB711" s="608">
        <v>2500</v>
      </c>
      <c r="AC711" s="608">
        <f t="shared" si="421"/>
        <v>0</v>
      </c>
      <c r="AD711" s="608"/>
      <c r="AE711" s="564"/>
      <c r="AF711" s="564"/>
      <c r="AG711" s="608">
        <f t="shared" si="438"/>
        <v>2500</v>
      </c>
      <c r="AH711" s="608"/>
      <c r="AI711" s="608"/>
      <c r="AJ711" s="608"/>
      <c r="AK711" s="609">
        <f t="shared" si="444"/>
        <v>2500</v>
      </c>
      <c r="AL711" s="401"/>
      <c r="AM711" s="609"/>
      <c r="AN711" s="609"/>
      <c r="AO711" s="609">
        <f t="shared" ref="AO711:AO716" si="448">I711</f>
        <v>2500</v>
      </c>
      <c r="AP711" s="609"/>
      <c r="AQ711" s="609"/>
      <c r="AR711" s="609"/>
      <c r="AS711" s="609"/>
      <c r="AT711" s="633"/>
      <c r="AU711" s="633"/>
      <c r="AV711" s="633"/>
      <c r="AW711" s="633"/>
      <c r="AX711" s="633"/>
      <c r="AY711" s="1526"/>
      <c r="AZ711" s="633"/>
      <c r="BA711" s="633">
        <f>I711/25</f>
        <v>100</v>
      </c>
      <c r="BB711" s="633"/>
      <c r="BC711" s="633"/>
      <c r="BD711" s="633"/>
      <c r="BE711" s="633"/>
      <c r="BF711" s="633"/>
      <c r="BG711" s="633"/>
      <c r="BH711" s="633"/>
      <c r="BI711" s="633"/>
      <c r="BJ711" s="633"/>
      <c r="BK711" s="633"/>
      <c r="BL711" s="633"/>
      <c r="BM711" s="401">
        <f t="shared" si="447"/>
        <v>2500</v>
      </c>
      <c r="BO711" s="1473"/>
      <c r="BP711" s="1473"/>
    </row>
    <row r="712" s="200" customFormat="1" ht="36" customHeight="1" spans="1:68">
      <c r="A712" s="533">
        <v>45601</v>
      </c>
      <c r="B712" s="527" t="s">
        <v>3102</v>
      </c>
      <c r="C712" s="528" t="s">
        <v>117</v>
      </c>
      <c r="D712" s="534">
        <v>4500150165</v>
      </c>
      <c r="E712" s="1606">
        <v>70054026</v>
      </c>
      <c r="F712" s="534" t="s">
        <v>3103</v>
      </c>
      <c r="G712" s="531" t="s">
        <v>628</v>
      </c>
      <c r="H712" s="532" t="s">
        <v>623</v>
      </c>
      <c r="I712" s="401">
        <v>1008</v>
      </c>
      <c r="J712" s="562">
        <v>0</v>
      </c>
      <c r="K712" s="531">
        <v>12</v>
      </c>
      <c r="L712" s="401">
        <f t="shared" si="418"/>
        <v>84</v>
      </c>
      <c r="M712" s="563">
        <v>45642</v>
      </c>
      <c r="N712" s="563">
        <v>45638</v>
      </c>
      <c r="O712" s="564"/>
      <c r="P712" s="564" t="s">
        <v>1262</v>
      </c>
      <c r="Q712" s="564" t="s">
        <v>3104</v>
      </c>
      <c r="R712" s="564">
        <v>45601</v>
      </c>
      <c r="S712" s="1588" t="s">
        <v>77</v>
      </c>
      <c r="T712" s="1631" t="s">
        <v>3105</v>
      </c>
      <c r="U712" s="530" t="s">
        <v>3106</v>
      </c>
      <c r="V712" s="596" t="s">
        <v>2458</v>
      </c>
      <c r="W712" s="592">
        <v>3.1012</v>
      </c>
      <c r="X712" s="593">
        <f t="shared" si="435"/>
        <v>3126.0096</v>
      </c>
      <c r="Y712" s="401" t="s">
        <v>3107</v>
      </c>
      <c r="Z712" s="607" t="s">
        <v>729</v>
      </c>
      <c r="AA712" s="1453" t="s">
        <v>128</v>
      </c>
      <c r="AB712" s="608">
        <v>1008</v>
      </c>
      <c r="AC712" s="608">
        <f t="shared" si="421"/>
        <v>0</v>
      </c>
      <c r="AD712" s="608"/>
      <c r="AE712" s="564"/>
      <c r="AF712" s="564"/>
      <c r="AG712" s="608">
        <f>I712*2</f>
        <v>2016</v>
      </c>
      <c r="AH712" s="608"/>
      <c r="AI712" s="608"/>
      <c r="AJ712" s="608"/>
      <c r="AK712" s="609"/>
      <c r="AL712" s="609">
        <f>AG712</f>
        <v>2016</v>
      </c>
      <c r="AM712" s="609"/>
      <c r="AN712" s="609"/>
      <c r="AO712" s="615">
        <f>AG712</f>
        <v>2016</v>
      </c>
      <c r="AP712" s="609"/>
      <c r="AQ712" s="609"/>
      <c r="AR712" s="609"/>
      <c r="AS712" s="609"/>
      <c r="AT712" s="633"/>
      <c r="AU712" s="633"/>
      <c r="AV712" s="633"/>
      <c r="AW712" s="633"/>
      <c r="AX712" s="633"/>
      <c r="AY712" s="1526"/>
      <c r="AZ712" s="633"/>
      <c r="BA712" s="633"/>
      <c r="BB712" s="633"/>
      <c r="BC712" s="633"/>
      <c r="BD712" s="633"/>
      <c r="BE712" s="633"/>
      <c r="BF712" s="633"/>
      <c r="BG712" s="633"/>
      <c r="BH712" s="633"/>
      <c r="BI712" s="633"/>
      <c r="BJ712" s="633"/>
      <c r="BK712" s="633">
        <f>I712</f>
        <v>1008</v>
      </c>
      <c r="BL712" s="633">
        <f>I712</f>
        <v>1008</v>
      </c>
      <c r="BM712" s="401">
        <f t="shared" si="447"/>
        <v>2016</v>
      </c>
      <c r="BO712" s="1473"/>
      <c r="BP712" s="1473"/>
    </row>
    <row r="713" s="200" customFormat="1" ht="36" customHeight="1" spans="1:68">
      <c r="A713" s="533">
        <v>45603</v>
      </c>
      <c r="B713" s="527" t="s">
        <v>232</v>
      </c>
      <c r="C713" s="528" t="s">
        <v>233</v>
      </c>
      <c r="D713" s="534">
        <v>4500150583</v>
      </c>
      <c r="E713" s="1606">
        <v>20447636</v>
      </c>
      <c r="F713" s="534" t="s">
        <v>3108</v>
      </c>
      <c r="G713" s="531" t="s">
        <v>160</v>
      </c>
      <c r="H713" s="532" t="s">
        <v>74</v>
      </c>
      <c r="I713" s="401">
        <v>247</v>
      </c>
      <c r="J713" s="562">
        <v>0</v>
      </c>
      <c r="K713" s="531">
        <v>13</v>
      </c>
      <c r="L713" s="401">
        <f t="shared" si="418"/>
        <v>19</v>
      </c>
      <c r="M713" s="563">
        <v>45642</v>
      </c>
      <c r="N713" s="563">
        <v>45638</v>
      </c>
      <c r="O713" s="564"/>
      <c r="P713" s="564" t="s">
        <v>92</v>
      </c>
      <c r="Q713" s="564" t="s">
        <v>3109</v>
      </c>
      <c r="R713" s="564">
        <v>45603</v>
      </c>
      <c r="S713" s="1588" t="s">
        <v>123</v>
      </c>
      <c r="T713" s="1608" t="s">
        <v>3110</v>
      </c>
      <c r="U713" s="530" t="s">
        <v>3111</v>
      </c>
      <c r="V713" s="596" t="s">
        <v>1011</v>
      </c>
      <c r="W713" s="592">
        <v>1.4483</v>
      </c>
      <c r="X713" s="593">
        <f t="shared" si="435"/>
        <v>357.7301</v>
      </c>
      <c r="Y713" s="401" t="s">
        <v>3112</v>
      </c>
      <c r="Z713" s="607" t="s">
        <v>160</v>
      </c>
      <c r="AA713" s="1453" t="s">
        <v>128</v>
      </c>
      <c r="AB713" s="608">
        <v>247</v>
      </c>
      <c r="AC713" s="608">
        <f t="shared" si="421"/>
        <v>0</v>
      </c>
      <c r="AD713" s="608"/>
      <c r="AE713" s="564"/>
      <c r="AF713" s="564"/>
      <c r="AG713" s="608">
        <f t="shared" ref="AG713:AG716" si="449">I713</f>
        <v>247</v>
      </c>
      <c r="AH713" s="608"/>
      <c r="AI713" s="608"/>
      <c r="AJ713" s="608"/>
      <c r="AK713" s="609">
        <f>I713</f>
        <v>247</v>
      </c>
      <c r="AL713" s="609"/>
      <c r="AM713" s="609"/>
      <c r="AN713" s="609"/>
      <c r="AO713" s="609">
        <f t="shared" si="448"/>
        <v>247</v>
      </c>
      <c r="AP713" s="609"/>
      <c r="AQ713" s="609"/>
      <c r="AR713" s="609"/>
      <c r="AS713" s="609"/>
      <c r="AT713" s="633"/>
      <c r="AU713" s="633"/>
      <c r="AV713" s="633"/>
      <c r="AW713" s="633"/>
      <c r="AX713" s="633"/>
      <c r="AY713" s="633">
        <f>I713/13</f>
        <v>19</v>
      </c>
      <c r="AZ713" s="633"/>
      <c r="BA713" s="633"/>
      <c r="BB713" s="633"/>
      <c r="BC713" s="633"/>
      <c r="BD713" s="633"/>
      <c r="BE713" s="633"/>
      <c r="BF713" s="633"/>
      <c r="BG713" s="633"/>
      <c r="BH713" s="633"/>
      <c r="BI713" s="633"/>
      <c r="BJ713" s="633"/>
      <c r="BK713" s="633"/>
      <c r="BL713" s="633"/>
      <c r="BM713" s="401">
        <f t="shared" si="447"/>
        <v>247</v>
      </c>
      <c r="BO713" s="1473"/>
      <c r="BP713" s="1473"/>
    </row>
    <row r="714" s="200" customFormat="1" ht="36" customHeight="1" spans="1:68">
      <c r="A714" s="533">
        <v>45603</v>
      </c>
      <c r="B714" s="527" t="s">
        <v>189</v>
      </c>
      <c r="C714" s="528" t="s">
        <v>190</v>
      </c>
      <c r="D714" s="534">
        <v>4500150582</v>
      </c>
      <c r="E714" s="1606">
        <v>20447635</v>
      </c>
      <c r="F714" s="534" t="s">
        <v>3113</v>
      </c>
      <c r="G714" s="531" t="s">
        <v>160</v>
      </c>
      <c r="H714" s="532" t="s">
        <v>74</v>
      </c>
      <c r="I714" s="401">
        <v>1261</v>
      </c>
      <c r="J714" s="562">
        <v>0</v>
      </c>
      <c r="K714" s="531">
        <v>13</v>
      </c>
      <c r="L714" s="401">
        <f t="shared" si="418"/>
        <v>97</v>
      </c>
      <c r="M714" s="563">
        <v>45642</v>
      </c>
      <c r="N714" s="563">
        <v>45638</v>
      </c>
      <c r="O714" s="564"/>
      <c r="P714" s="564" t="s">
        <v>92</v>
      </c>
      <c r="Q714" s="564" t="s">
        <v>3109</v>
      </c>
      <c r="R714" s="564">
        <v>45603</v>
      </c>
      <c r="S714" s="1588" t="s">
        <v>123</v>
      </c>
      <c r="T714" s="1608" t="s">
        <v>3110</v>
      </c>
      <c r="U714" s="530" t="s">
        <v>3114</v>
      </c>
      <c r="V714" s="596" t="s">
        <v>1011</v>
      </c>
      <c r="W714" s="592">
        <v>1.4432</v>
      </c>
      <c r="X714" s="593">
        <f t="shared" si="435"/>
        <v>1819.8752</v>
      </c>
      <c r="Y714" s="401" t="s">
        <v>3115</v>
      </c>
      <c r="Z714" s="607" t="s">
        <v>160</v>
      </c>
      <c r="AA714" s="1453" t="s">
        <v>128</v>
      </c>
      <c r="AB714" s="608">
        <v>1261</v>
      </c>
      <c r="AC714" s="608">
        <f t="shared" si="421"/>
        <v>0</v>
      </c>
      <c r="AD714" s="608"/>
      <c r="AE714" s="564"/>
      <c r="AF714" s="564"/>
      <c r="AG714" s="608">
        <f t="shared" si="449"/>
        <v>1261</v>
      </c>
      <c r="AH714" s="608"/>
      <c r="AI714" s="608"/>
      <c r="AJ714" s="608"/>
      <c r="AK714" s="609">
        <f>I714</f>
        <v>1261</v>
      </c>
      <c r="AL714" s="609"/>
      <c r="AM714" s="609"/>
      <c r="AN714" s="609"/>
      <c r="AO714" s="609">
        <f t="shared" si="448"/>
        <v>1261</v>
      </c>
      <c r="AP714" s="609"/>
      <c r="AQ714" s="609"/>
      <c r="AR714" s="609"/>
      <c r="AS714" s="609"/>
      <c r="AT714" s="633"/>
      <c r="AU714" s="633"/>
      <c r="AV714" s="633"/>
      <c r="AW714" s="633"/>
      <c r="AX714" s="633"/>
      <c r="AY714" s="633">
        <f>I714/13</f>
        <v>97</v>
      </c>
      <c r="AZ714" s="633"/>
      <c r="BA714" s="633"/>
      <c r="BB714" s="633"/>
      <c r="BC714" s="633"/>
      <c r="BD714" s="633"/>
      <c r="BE714" s="633"/>
      <c r="BF714" s="633"/>
      <c r="BG714" s="633"/>
      <c r="BH714" s="633"/>
      <c r="BI714" s="633"/>
      <c r="BJ714" s="633"/>
      <c r="BK714" s="633"/>
      <c r="BL714" s="633"/>
      <c r="BM714" s="401">
        <f t="shared" si="447"/>
        <v>1261</v>
      </c>
      <c r="BO714" s="1473"/>
      <c r="BP714" s="1473"/>
    </row>
    <row r="715" s="200" customFormat="1" ht="36" customHeight="1" spans="1:68">
      <c r="A715" s="533">
        <v>45604</v>
      </c>
      <c r="B715" s="527" t="s">
        <v>1194</v>
      </c>
      <c r="C715" s="528" t="s">
        <v>1119</v>
      </c>
      <c r="D715" s="534">
        <v>4500150625</v>
      </c>
      <c r="E715" s="1606"/>
      <c r="F715" s="534" t="s">
        <v>3116</v>
      </c>
      <c r="G715" s="531" t="s">
        <v>1196</v>
      </c>
      <c r="H715" s="532" t="s">
        <v>74</v>
      </c>
      <c r="I715" s="401">
        <v>210</v>
      </c>
      <c r="J715" s="562">
        <v>0</v>
      </c>
      <c r="K715" s="531">
        <v>42</v>
      </c>
      <c r="L715" s="401">
        <f t="shared" si="418"/>
        <v>5</v>
      </c>
      <c r="M715" s="563">
        <v>45645</v>
      </c>
      <c r="N715" s="563">
        <v>45642</v>
      </c>
      <c r="O715" s="564"/>
      <c r="P715" s="564" t="s">
        <v>1262</v>
      </c>
      <c r="Q715" s="564" t="s">
        <v>3117</v>
      </c>
      <c r="R715" s="564">
        <v>45616</v>
      </c>
      <c r="S715" s="1588" t="s">
        <v>77</v>
      </c>
      <c r="T715" s="1631" t="s">
        <v>3118</v>
      </c>
      <c r="U715" s="1499" t="s">
        <v>3119</v>
      </c>
      <c r="V715" s="596" t="s">
        <v>3120</v>
      </c>
      <c r="W715" s="592">
        <v>1.4595</v>
      </c>
      <c r="X715" s="593">
        <f t="shared" si="435"/>
        <v>306.495</v>
      </c>
      <c r="Y715" s="401" t="s">
        <v>3121</v>
      </c>
      <c r="Z715" s="607" t="s">
        <v>697</v>
      </c>
      <c r="AA715" s="1453" t="s">
        <v>128</v>
      </c>
      <c r="AB715" s="608">
        <v>210</v>
      </c>
      <c r="AC715" s="608">
        <f t="shared" si="421"/>
        <v>0</v>
      </c>
      <c r="AD715" s="608"/>
      <c r="AE715" s="564"/>
      <c r="AF715" s="564"/>
      <c r="AG715" s="608"/>
      <c r="AH715" s="608">
        <f>I715</f>
        <v>210</v>
      </c>
      <c r="AI715" s="608"/>
      <c r="AJ715" s="608"/>
      <c r="AK715" s="714"/>
      <c r="AL715" s="609">
        <f t="shared" ref="AL715:AL719" si="450">I715</f>
        <v>210</v>
      </c>
      <c r="AM715" s="609"/>
      <c r="AN715" s="609"/>
      <c r="AO715" s="609">
        <f t="shared" si="448"/>
        <v>210</v>
      </c>
      <c r="AP715" s="609"/>
      <c r="AQ715" s="609"/>
      <c r="AR715" s="609"/>
      <c r="AS715" s="609"/>
      <c r="AT715" s="609">
        <f>I715/21</f>
        <v>10</v>
      </c>
      <c r="AU715" s="609"/>
      <c r="AV715" s="633"/>
      <c r="AW715" s="633"/>
      <c r="AX715" s="633"/>
      <c r="AY715" s="633"/>
      <c r="AZ715" s="633"/>
      <c r="BA715" s="633"/>
      <c r="BB715" s="633"/>
      <c r="BC715" s="633"/>
      <c r="BD715" s="633"/>
      <c r="BE715" s="633"/>
      <c r="BF715" s="633"/>
      <c r="BG715" s="633"/>
      <c r="BH715" s="633"/>
      <c r="BI715" s="633"/>
      <c r="BJ715" s="633"/>
      <c r="BK715" s="633"/>
      <c r="BL715" s="633"/>
      <c r="BM715" s="401">
        <f t="shared" si="447"/>
        <v>210</v>
      </c>
      <c r="BO715" s="1473"/>
      <c r="BP715" s="1473"/>
    </row>
    <row r="716" s="200" customFormat="1" ht="36" customHeight="1" spans="1:71">
      <c r="A716" s="533">
        <v>45608</v>
      </c>
      <c r="B716" s="527" t="s">
        <v>1500</v>
      </c>
      <c r="C716" s="528" t="s">
        <v>351</v>
      </c>
      <c r="D716" s="534">
        <v>4500151018</v>
      </c>
      <c r="E716" s="530" t="s">
        <v>3122</v>
      </c>
      <c r="F716" s="534" t="s">
        <v>3123</v>
      </c>
      <c r="G716" s="531" t="s">
        <v>160</v>
      </c>
      <c r="H716" s="532" t="s">
        <v>74</v>
      </c>
      <c r="I716" s="401">
        <v>1495</v>
      </c>
      <c r="J716" s="562">
        <v>0</v>
      </c>
      <c r="K716" s="531">
        <v>13</v>
      </c>
      <c r="L716" s="401">
        <f t="shared" si="418"/>
        <v>115</v>
      </c>
      <c r="M716" s="563">
        <v>45651</v>
      </c>
      <c r="N716" s="563">
        <v>45647</v>
      </c>
      <c r="O716" s="564"/>
      <c r="P716" s="564" t="s">
        <v>92</v>
      </c>
      <c r="Q716" s="564" t="s">
        <v>3124</v>
      </c>
      <c r="R716" s="564">
        <v>45621</v>
      </c>
      <c r="S716" s="1599" t="s">
        <v>77</v>
      </c>
      <c r="T716" s="1600" t="s">
        <v>3125</v>
      </c>
      <c r="U716" s="530" t="s">
        <v>3126</v>
      </c>
      <c r="V716" s="596" t="s">
        <v>647</v>
      </c>
      <c r="W716" s="592">
        <v>1.4071</v>
      </c>
      <c r="X716" s="593">
        <f t="shared" si="435"/>
        <v>2103.6145</v>
      </c>
      <c r="Y716" s="401"/>
      <c r="Z716" s="607" t="s">
        <v>239</v>
      </c>
      <c r="AA716" s="1453" t="s">
        <v>128</v>
      </c>
      <c r="AB716" s="608">
        <v>1495</v>
      </c>
      <c r="AC716" s="608">
        <f t="shared" si="421"/>
        <v>0</v>
      </c>
      <c r="AD716" s="608"/>
      <c r="AE716" s="564"/>
      <c r="AF716" s="564" t="s">
        <v>3127</v>
      </c>
      <c r="AG716" s="608">
        <f t="shared" si="449"/>
        <v>1495</v>
      </c>
      <c r="AH716" s="608"/>
      <c r="AI716" s="608"/>
      <c r="AJ716" s="608"/>
      <c r="AL716" s="613">
        <f t="shared" si="450"/>
        <v>1495</v>
      </c>
      <c r="AM716" s="609"/>
      <c r="AN716" s="609"/>
      <c r="AO716" s="609">
        <f t="shared" si="448"/>
        <v>1495</v>
      </c>
      <c r="AP716" s="609"/>
      <c r="AQ716" s="609"/>
      <c r="AR716" s="609"/>
      <c r="AS716" s="609"/>
      <c r="AT716" s="633"/>
      <c r="AU716" s="633"/>
      <c r="AV716" s="633"/>
      <c r="AW716" s="633"/>
      <c r="AX716" s="633"/>
      <c r="AY716" s="401"/>
      <c r="AZ716" s="633">
        <f>I716/13</f>
        <v>115</v>
      </c>
      <c r="BA716" s="633"/>
      <c r="BB716" s="633"/>
      <c r="BC716" s="633"/>
      <c r="BD716" s="633"/>
      <c r="BE716" s="633"/>
      <c r="BF716" s="633"/>
      <c r="BG716" s="633"/>
      <c r="BH716" s="633"/>
      <c r="BI716" s="633"/>
      <c r="BJ716" s="633"/>
      <c r="BK716" s="633"/>
      <c r="BL716" s="633"/>
      <c r="BM716" s="401">
        <f t="shared" si="447"/>
        <v>1495</v>
      </c>
      <c r="BN716" s="200">
        <f t="shared" ref="BN709:BN772" si="451">BN715+BM716</f>
        <v>1495</v>
      </c>
      <c r="BO716" s="1473"/>
      <c r="BP716" s="1473">
        <f t="shared" ref="BP716:BP722" si="452">$BO$3+$BP$3-BN716</f>
        <v>-1495</v>
      </c>
      <c r="BQ716" s="200">
        <f t="shared" ref="BQ708:BQ771" si="453">AS716+AT716+BA716+BB716</f>
        <v>0</v>
      </c>
      <c r="BR716" s="200">
        <f t="shared" ref="BR709:BR772" si="454">BR715+BQ716</f>
        <v>0</v>
      </c>
      <c r="BS716" s="200">
        <f t="shared" ref="BS716:BS722" si="455">$BS$3-BR716</f>
        <v>0</v>
      </c>
    </row>
    <row r="717" s="200" customFormat="1" ht="36" customHeight="1" spans="1:71">
      <c r="A717" s="1477">
        <v>45586</v>
      </c>
      <c r="B717" s="527" t="s">
        <v>816</v>
      </c>
      <c r="C717" s="528" t="s">
        <v>117</v>
      </c>
      <c r="D717" s="534">
        <v>4500148421</v>
      </c>
      <c r="E717" s="530">
        <v>60190475</v>
      </c>
      <c r="F717" s="534" t="s">
        <v>3128</v>
      </c>
      <c r="G717" s="531" t="s">
        <v>628</v>
      </c>
      <c r="H717" s="532" t="s">
        <v>623</v>
      </c>
      <c r="I717" s="401">
        <v>6000</v>
      </c>
      <c r="J717" s="562">
        <v>0</v>
      </c>
      <c r="K717" s="531">
        <v>12</v>
      </c>
      <c r="L717" s="401">
        <f t="shared" si="418"/>
        <v>500</v>
      </c>
      <c r="M717" s="563">
        <v>45653</v>
      </c>
      <c r="N717" s="563">
        <v>45649</v>
      </c>
      <c r="O717" s="564"/>
      <c r="P717" s="564" t="s">
        <v>92</v>
      </c>
      <c r="Q717" s="564" t="s">
        <v>3129</v>
      </c>
      <c r="R717" s="564">
        <v>45588</v>
      </c>
      <c r="S717" s="1588" t="s">
        <v>77</v>
      </c>
      <c r="T717" s="1608" t="s">
        <v>3130</v>
      </c>
      <c r="U717" s="530" t="s">
        <v>3131</v>
      </c>
      <c r="V717" s="596" t="s">
        <v>163</v>
      </c>
      <c r="W717" s="592">
        <v>3.0438</v>
      </c>
      <c r="X717" s="593">
        <f t="shared" si="435"/>
        <v>18262.8</v>
      </c>
      <c r="Y717" s="401"/>
      <c r="Z717" s="607" t="s">
        <v>822</v>
      </c>
      <c r="AA717" s="1453" t="s">
        <v>128</v>
      </c>
      <c r="AB717" s="608">
        <v>6000</v>
      </c>
      <c r="AC717" s="608">
        <f t="shared" si="421"/>
        <v>0</v>
      </c>
      <c r="AD717" s="608"/>
      <c r="AE717" s="564"/>
      <c r="AF717" s="564" t="s">
        <v>3127</v>
      </c>
      <c r="AG717" s="608">
        <f>I717*2</f>
        <v>12000</v>
      </c>
      <c r="AH717" s="608"/>
      <c r="AI717" s="608"/>
      <c r="AJ717" s="608"/>
      <c r="AK717" s="401"/>
      <c r="AL717" s="609">
        <f>AG717</f>
        <v>12000</v>
      </c>
      <c r="AM717" s="609"/>
      <c r="AN717" s="609"/>
      <c r="AO717" s="615">
        <f>AG717</f>
        <v>12000</v>
      </c>
      <c r="AP717" s="609"/>
      <c r="AQ717" s="609"/>
      <c r="AR717" s="609"/>
      <c r="AS717" s="609"/>
      <c r="AT717" s="633"/>
      <c r="AU717" s="633"/>
      <c r="AV717" s="633"/>
      <c r="AW717" s="633"/>
      <c r="AX717" s="633"/>
      <c r="AY717" s="1526"/>
      <c r="AZ717" s="633"/>
      <c r="BA717" s="633"/>
      <c r="BB717" s="633"/>
      <c r="BC717" s="633"/>
      <c r="BD717" s="633"/>
      <c r="BE717" s="633"/>
      <c r="BF717" s="633"/>
      <c r="BG717" s="633"/>
      <c r="BH717" s="633"/>
      <c r="BI717" s="633"/>
      <c r="BJ717" s="633"/>
      <c r="BK717" s="633">
        <f>I717</f>
        <v>6000</v>
      </c>
      <c r="BL717" s="633">
        <f>I717</f>
        <v>6000</v>
      </c>
      <c r="BM717" s="401">
        <f t="shared" si="447"/>
        <v>12000</v>
      </c>
      <c r="BN717" s="200">
        <f t="shared" si="451"/>
        <v>13495</v>
      </c>
      <c r="BO717" s="1473"/>
      <c r="BP717" s="1473">
        <f t="shared" si="452"/>
        <v>-13495</v>
      </c>
      <c r="BQ717" s="200">
        <f t="shared" si="453"/>
        <v>0</v>
      </c>
      <c r="BR717" s="200">
        <f t="shared" si="454"/>
        <v>0</v>
      </c>
      <c r="BS717" s="200">
        <f t="shared" si="455"/>
        <v>0</v>
      </c>
    </row>
    <row r="718" s="200" customFormat="1" ht="36" customHeight="1" spans="1:71">
      <c r="A718" s="533">
        <v>45614</v>
      </c>
      <c r="B718" s="527" t="s">
        <v>3132</v>
      </c>
      <c r="C718" s="528" t="s">
        <v>286</v>
      </c>
      <c r="D718" s="534">
        <v>4500151559</v>
      </c>
      <c r="E718" s="530" t="s">
        <v>3133</v>
      </c>
      <c r="F718" s="534" t="s">
        <v>3134</v>
      </c>
      <c r="G718" s="531" t="s">
        <v>73</v>
      </c>
      <c r="H718" s="532" t="s">
        <v>74</v>
      </c>
      <c r="I718" s="401">
        <v>24</v>
      </c>
      <c r="J718" s="562">
        <v>0</v>
      </c>
      <c r="K718" s="531">
        <v>24</v>
      </c>
      <c r="L718" s="401">
        <f t="shared" si="418"/>
        <v>1</v>
      </c>
      <c r="M718" s="563">
        <v>45649</v>
      </c>
      <c r="N718" s="563">
        <v>45645</v>
      </c>
      <c r="O718" s="564"/>
      <c r="P718" s="564" t="s">
        <v>1262</v>
      </c>
      <c r="Q718" s="564" t="s">
        <v>3135</v>
      </c>
      <c r="R718" s="564" t="s">
        <v>3136</v>
      </c>
      <c r="S718" s="564" t="s">
        <v>123</v>
      </c>
      <c r="T718" s="1600" t="s">
        <v>3137</v>
      </c>
      <c r="U718" s="530" t="s">
        <v>3138</v>
      </c>
      <c r="V718" s="530" t="s">
        <v>1631</v>
      </c>
      <c r="W718" s="592">
        <v>1.3938</v>
      </c>
      <c r="X718" s="593">
        <f t="shared" si="435"/>
        <v>33.4512</v>
      </c>
      <c r="Y718" s="401"/>
      <c r="Z718" s="607" t="s">
        <v>188</v>
      </c>
      <c r="AA718" s="1453" t="s">
        <v>128</v>
      </c>
      <c r="AB718" s="608">
        <v>240</v>
      </c>
      <c r="AC718" s="608">
        <f t="shared" si="421"/>
        <v>216</v>
      </c>
      <c r="AD718" s="608"/>
      <c r="AE718" s="564"/>
      <c r="AF718" s="564" t="s">
        <v>3127</v>
      </c>
      <c r="AG718" s="608">
        <f t="shared" ref="AG718:AG722" si="456">I718</f>
        <v>24</v>
      </c>
      <c r="AH718" s="608"/>
      <c r="AI718" s="608"/>
      <c r="AJ718" s="608"/>
      <c r="AK718" s="609"/>
      <c r="AL718" s="401">
        <f t="shared" si="450"/>
        <v>24</v>
      </c>
      <c r="AM718" s="609"/>
      <c r="AN718" s="609"/>
      <c r="AO718" s="609">
        <f>I718</f>
        <v>24</v>
      </c>
      <c r="AP718" s="609"/>
      <c r="AQ718" s="609"/>
      <c r="AR718" s="609"/>
      <c r="AS718" s="609"/>
      <c r="AT718" s="633"/>
      <c r="AU718" s="633"/>
      <c r="AV718" s="633"/>
      <c r="AW718" s="633"/>
      <c r="AX718" s="633"/>
      <c r="AY718" s="1526"/>
      <c r="AZ718" s="633"/>
      <c r="BA718" s="633"/>
      <c r="BB718" s="633"/>
      <c r="BC718" s="633"/>
      <c r="BD718" s="633"/>
      <c r="BE718" s="633"/>
      <c r="BF718" s="633"/>
      <c r="BG718" s="633"/>
      <c r="BH718" s="633"/>
      <c r="BI718" s="633"/>
      <c r="BJ718" s="633"/>
      <c r="BK718" s="633"/>
      <c r="BL718" s="633"/>
      <c r="BM718" s="401">
        <f t="shared" si="447"/>
        <v>24</v>
      </c>
      <c r="BN718" s="200">
        <f t="shared" si="451"/>
        <v>13519</v>
      </c>
      <c r="BO718" s="1473"/>
      <c r="BP718" s="1473">
        <f t="shared" si="452"/>
        <v>-13519</v>
      </c>
      <c r="BQ718" s="200">
        <f t="shared" si="453"/>
        <v>0</v>
      </c>
      <c r="BR718" s="200">
        <f t="shared" si="454"/>
        <v>0</v>
      </c>
      <c r="BS718" s="200">
        <f t="shared" si="455"/>
        <v>0</v>
      </c>
    </row>
    <row r="719" s="200" customFormat="1" ht="36" customHeight="1" spans="1:71">
      <c r="A719" s="533">
        <v>45614</v>
      </c>
      <c r="B719" s="527" t="s">
        <v>3132</v>
      </c>
      <c r="C719" s="528" t="s">
        <v>286</v>
      </c>
      <c r="D719" s="534">
        <v>4500151559</v>
      </c>
      <c r="E719" s="530" t="s">
        <v>3139</v>
      </c>
      <c r="F719" s="534" t="s">
        <v>3140</v>
      </c>
      <c r="G719" s="531" t="s">
        <v>73</v>
      </c>
      <c r="H719" s="532" t="s">
        <v>74</v>
      </c>
      <c r="I719" s="401">
        <v>384</v>
      </c>
      <c r="J719" s="562">
        <v>0</v>
      </c>
      <c r="K719" s="531">
        <v>24</v>
      </c>
      <c r="L719" s="401">
        <f t="shared" si="418"/>
        <v>16</v>
      </c>
      <c r="M719" s="563">
        <v>45649</v>
      </c>
      <c r="N719" s="563">
        <v>45645</v>
      </c>
      <c r="O719" s="564"/>
      <c r="P719" s="564" t="s">
        <v>1262</v>
      </c>
      <c r="Q719" s="564" t="s">
        <v>3135</v>
      </c>
      <c r="R719" s="564" t="s">
        <v>3136</v>
      </c>
      <c r="S719" s="564" t="s">
        <v>123</v>
      </c>
      <c r="T719" s="1600" t="s">
        <v>3137</v>
      </c>
      <c r="U719" s="530" t="s">
        <v>3138</v>
      </c>
      <c r="V719" s="530" t="s">
        <v>1631</v>
      </c>
      <c r="W719" s="592">
        <v>1.3938</v>
      </c>
      <c r="X719" s="593">
        <f t="shared" si="435"/>
        <v>535.2192</v>
      </c>
      <c r="Y719" s="401"/>
      <c r="Z719" s="607" t="s">
        <v>188</v>
      </c>
      <c r="AA719" s="1453" t="s">
        <v>128</v>
      </c>
      <c r="AB719" s="608">
        <v>384</v>
      </c>
      <c r="AC719" s="608">
        <f t="shared" si="421"/>
        <v>0</v>
      </c>
      <c r="AD719" s="608"/>
      <c r="AE719" s="564"/>
      <c r="AF719" s="564" t="s">
        <v>3127</v>
      </c>
      <c r="AG719" s="608">
        <f t="shared" si="456"/>
        <v>384</v>
      </c>
      <c r="AH719" s="608"/>
      <c r="AI719" s="608"/>
      <c r="AJ719" s="608"/>
      <c r="AK719" s="609"/>
      <c r="AL719" s="401">
        <f t="shared" si="450"/>
        <v>384</v>
      </c>
      <c r="AM719" s="609"/>
      <c r="AN719" s="609"/>
      <c r="AO719" s="609">
        <f>I719</f>
        <v>384</v>
      </c>
      <c r="AP719" s="609"/>
      <c r="AQ719" s="609"/>
      <c r="AR719" s="609"/>
      <c r="AS719" s="609"/>
      <c r="AT719" s="633"/>
      <c r="AU719" s="633"/>
      <c r="AV719" s="633"/>
      <c r="AW719" s="633"/>
      <c r="AX719" s="633"/>
      <c r="AY719" s="1526"/>
      <c r="AZ719" s="633"/>
      <c r="BA719" s="633"/>
      <c r="BB719" s="633"/>
      <c r="BC719" s="633"/>
      <c r="BD719" s="633"/>
      <c r="BE719" s="633"/>
      <c r="BF719" s="633"/>
      <c r="BG719" s="633"/>
      <c r="BH719" s="633"/>
      <c r="BI719" s="633"/>
      <c r="BJ719" s="633"/>
      <c r="BK719" s="633"/>
      <c r="BL719" s="633"/>
      <c r="BM719" s="401">
        <f t="shared" si="447"/>
        <v>384</v>
      </c>
      <c r="BN719" s="200">
        <f t="shared" si="451"/>
        <v>13903</v>
      </c>
      <c r="BO719" s="1473"/>
      <c r="BP719" s="1473">
        <f t="shared" si="452"/>
        <v>-13903</v>
      </c>
      <c r="BQ719" s="200">
        <f t="shared" si="453"/>
        <v>0</v>
      </c>
      <c r="BR719" s="200">
        <f t="shared" si="454"/>
        <v>0</v>
      </c>
      <c r="BS719" s="200">
        <f t="shared" si="455"/>
        <v>0</v>
      </c>
    </row>
    <row r="720" s="200" customFormat="1" ht="36" customHeight="1" spans="1:71">
      <c r="A720" s="533">
        <v>45621</v>
      </c>
      <c r="B720" s="527" t="s">
        <v>587</v>
      </c>
      <c r="C720" s="528" t="s">
        <v>117</v>
      </c>
      <c r="D720" s="534">
        <v>4500152220</v>
      </c>
      <c r="E720" s="1499" t="s">
        <v>3141</v>
      </c>
      <c r="F720" s="534" t="s">
        <v>3142</v>
      </c>
      <c r="G720" s="531" t="s">
        <v>120</v>
      </c>
      <c r="H720" s="532" t="s">
        <v>74</v>
      </c>
      <c r="I720" s="401">
        <v>966</v>
      </c>
      <c r="J720" s="562">
        <v>0</v>
      </c>
      <c r="K720" s="531">
        <v>21</v>
      </c>
      <c r="L720" s="401">
        <f t="shared" si="418"/>
        <v>46</v>
      </c>
      <c r="M720" s="563">
        <v>45649</v>
      </c>
      <c r="N720" s="563">
        <v>45645</v>
      </c>
      <c r="O720" s="564" t="s">
        <v>3143</v>
      </c>
      <c r="P720" s="564" t="s">
        <v>92</v>
      </c>
      <c r="Q720" s="564" t="s">
        <v>3144</v>
      </c>
      <c r="R720" s="564">
        <v>45621</v>
      </c>
      <c r="S720" s="564" t="s">
        <v>123</v>
      </c>
      <c r="T720" s="580" t="s">
        <v>3145</v>
      </c>
      <c r="U720" s="530" t="s">
        <v>3146</v>
      </c>
      <c r="V720" s="530" t="s">
        <v>634</v>
      </c>
      <c r="W720" s="592">
        <v>1.4585</v>
      </c>
      <c r="X720" s="593">
        <f t="shared" si="435"/>
        <v>1408.911</v>
      </c>
      <c r="Y720" s="401"/>
      <c r="Z720" s="607" t="s">
        <v>2616</v>
      </c>
      <c r="AA720" s="1453" t="s">
        <v>128</v>
      </c>
      <c r="AB720" s="608">
        <v>966</v>
      </c>
      <c r="AC720" s="608">
        <f t="shared" si="421"/>
        <v>0</v>
      </c>
      <c r="AD720" s="608"/>
      <c r="AE720" s="564"/>
      <c r="AF720" s="564" t="s">
        <v>3127</v>
      </c>
      <c r="AG720" s="608">
        <f t="shared" si="456"/>
        <v>966</v>
      </c>
      <c r="AH720" s="608"/>
      <c r="AI720" s="608"/>
      <c r="AJ720" s="608"/>
      <c r="AK720" s="609">
        <f t="shared" ref="AK720:AK722" si="457">I720</f>
        <v>966</v>
      </c>
      <c r="AL720" s="609"/>
      <c r="AM720" s="609"/>
      <c r="AN720" s="609"/>
      <c r="AP720" s="609"/>
      <c r="AQ720" s="615">
        <f t="shared" ref="AQ720:AQ722" si="458">I720</f>
        <v>966</v>
      </c>
      <c r="AR720" s="609"/>
      <c r="AS720" s="609"/>
      <c r="AT720" s="633"/>
      <c r="AU720" s="609">
        <f t="shared" ref="AU720:AU722" si="459">I720/21</f>
        <v>46</v>
      </c>
      <c r="AV720" s="633"/>
      <c r="AW720" s="633"/>
      <c r="AX720" s="633"/>
      <c r="AY720" s="1526"/>
      <c r="AZ720" s="633"/>
      <c r="BA720" s="633"/>
      <c r="BB720" s="633"/>
      <c r="BC720" s="633"/>
      <c r="BD720" s="633"/>
      <c r="BE720" s="633"/>
      <c r="BF720" s="633"/>
      <c r="BG720" s="633"/>
      <c r="BH720" s="633"/>
      <c r="BI720" s="633"/>
      <c r="BJ720" s="633"/>
      <c r="BK720" s="633"/>
      <c r="BL720" s="633"/>
      <c r="BM720" s="401">
        <f t="shared" si="447"/>
        <v>966</v>
      </c>
      <c r="BN720" s="200">
        <f t="shared" si="451"/>
        <v>14869</v>
      </c>
      <c r="BO720" s="1473"/>
      <c r="BP720" s="1473">
        <f t="shared" si="452"/>
        <v>-14869</v>
      </c>
      <c r="BQ720" s="200">
        <f t="shared" si="453"/>
        <v>0</v>
      </c>
      <c r="BR720" s="200">
        <f t="shared" si="454"/>
        <v>0</v>
      </c>
      <c r="BS720" s="200">
        <f t="shared" si="455"/>
        <v>0</v>
      </c>
    </row>
    <row r="721" s="200" customFormat="1" ht="36" customHeight="1" spans="1:71">
      <c r="A721" s="533">
        <v>45621</v>
      </c>
      <c r="B721" s="527" t="s">
        <v>587</v>
      </c>
      <c r="C721" s="528" t="s">
        <v>117</v>
      </c>
      <c r="D721" s="534">
        <v>4500152220</v>
      </c>
      <c r="E721" s="1499" t="s">
        <v>3147</v>
      </c>
      <c r="F721" s="534" t="s">
        <v>3148</v>
      </c>
      <c r="G721" s="531" t="s">
        <v>120</v>
      </c>
      <c r="H721" s="532" t="s">
        <v>74</v>
      </c>
      <c r="I721" s="401">
        <v>1197</v>
      </c>
      <c r="J721" s="562">
        <v>0</v>
      </c>
      <c r="K721" s="531">
        <v>21</v>
      </c>
      <c r="L721" s="401">
        <f t="shared" si="418"/>
        <v>57</v>
      </c>
      <c r="M721" s="563">
        <v>45649</v>
      </c>
      <c r="N721" s="563">
        <v>45645</v>
      </c>
      <c r="O721" s="564" t="s">
        <v>3143</v>
      </c>
      <c r="P721" s="564" t="s">
        <v>92</v>
      </c>
      <c r="Q721" s="564" t="s">
        <v>3149</v>
      </c>
      <c r="R721" s="564">
        <v>45621</v>
      </c>
      <c r="S721" s="564" t="s">
        <v>123</v>
      </c>
      <c r="T721" s="580" t="s">
        <v>3145</v>
      </c>
      <c r="U721" s="530" t="s">
        <v>3146</v>
      </c>
      <c r="V721" s="530" t="s">
        <v>634</v>
      </c>
      <c r="W721" s="592">
        <v>1.4585</v>
      </c>
      <c r="X721" s="593">
        <f t="shared" si="435"/>
        <v>1745.8245</v>
      </c>
      <c r="Y721" s="401"/>
      <c r="Z721" s="607" t="s">
        <v>2616</v>
      </c>
      <c r="AA721" s="1453" t="s">
        <v>128</v>
      </c>
      <c r="AB721" s="608">
        <v>1197</v>
      </c>
      <c r="AC721" s="608">
        <f t="shared" si="421"/>
        <v>0</v>
      </c>
      <c r="AD721" s="608"/>
      <c r="AE721" s="564"/>
      <c r="AF721" s="564" t="s">
        <v>3127</v>
      </c>
      <c r="AG721" s="608">
        <f t="shared" si="456"/>
        <v>1197</v>
      </c>
      <c r="AH721" s="608"/>
      <c r="AI721" s="608"/>
      <c r="AJ721" s="608"/>
      <c r="AK721" s="609">
        <f t="shared" si="457"/>
        <v>1197</v>
      </c>
      <c r="AL721" s="609"/>
      <c r="AM721" s="609"/>
      <c r="AN721" s="609"/>
      <c r="AO721" s="615"/>
      <c r="AP721" s="609"/>
      <c r="AQ721" s="615">
        <f t="shared" si="458"/>
        <v>1197</v>
      </c>
      <c r="AR721" s="609"/>
      <c r="AS721" s="609"/>
      <c r="AT721" s="633"/>
      <c r="AU721" s="609">
        <f t="shared" si="459"/>
        <v>57</v>
      </c>
      <c r="AV721" s="633"/>
      <c r="AW721" s="633"/>
      <c r="AX721" s="633"/>
      <c r="AY721" s="1526"/>
      <c r="AZ721" s="633"/>
      <c r="BA721" s="633"/>
      <c r="BB721" s="633"/>
      <c r="BC721" s="633"/>
      <c r="BD721" s="633"/>
      <c r="BE721" s="633"/>
      <c r="BF721" s="633"/>
      <c r="BG721" s="633"/>
      <c r="BH721" s="633"/>
      <c r="BI721" s="633"/>
      <c r="BJ721" s="633"/>
      <c r="BK721" s="633"/>
      <c r="BL721" s="633"/>
      <c r="BM721" s="401">
        <f t="shared" si="447"/>
        <v>1197</v>
      </c>
      <c r="BN721" s="200">
        <f t="shared" si="451"/>
        <v>16066</v>
      </c>
      <c r="BO721" s="1473"/>
      <c r="BP721" s="1473">
        <f t="shared" si="452"/>
        <v>-16066</v>
      </c>
      <c r="BQ721" s="200">
        <f t="shared" si="453"/>
        <v>0</v>
      </c>
      <c r="BR721" s="200">
        <f t="shared" si="454"/>
        <v>0</v>
      </c>
      <c r="BS721" s="200">
        <f t="shared" si="455"/>
        <v>0</v>
      </c>
    </row>
    <row r="722" s="200" customFormat="1" ht="36" customHeight="1" spans="1:71">
      <c r="A722" s="533">
        <v>45621</v>
      </c>
      <c r="B722" s="527" t="s">
        <v>587</v>
      </c>
      <c r="C722" s="528" t="s">
        <v>117</v>
      </c>
      <c r="D722" s="534">
        <v>4500152220</v>
      </c>
      <c r="E722" s="1499" t="s">
        <v>3150</v>
      </c>
      <c r="F722" s="534" t="s">
        <v>3151</v>
      </c>
      <c r="G722" s="531" t="s">
        <v>120</v>
      </c>
      <c r="H722" s="532" t="s">
        <v>74</v>
      </c>
      <c r="I722" s="401">
        <v>987</v>
      </c>
      <c r="J722" s="562">
        <v>0</v>
      </c>
      <c r="K722" s="531">
        <v>21</v>
      </c>
      <c r="L722" s="401">
        <f t="shared" si="418"/>
        <v>47</v>
      </c>
      <c r="M722" s="563">
        <v>45649</v>
      </c>
      <c r="N722" s="563">
        <v>45645</v>
      </c>
      <c r="O722" s="564" t="s">
        <v>3143</v>
      </c>
      <c r="P722" s="564" t="s">
        <v>92</v>
      </c>
      <c r="Q722" s="564" t="s">
        <v>3152</v>
      </c>
      <c r="R722" s="564">
        <v>45621</v>
      </c>
      <c r="S722" s="564" t="s">
        <v>123</v>
      </c>
      <c r="T722" s="580" t="s">
        <v>3145</v>
      </c>
      <c r="U722" s="530" t="s">
        <v>3153</v>
      </c>
      <c r="V722" s="530" t="s">
        <v>634</v>
      </c>
      <c r="W722" s="592">
        <v>1.4585</v>
      </c>
      <c r="X722" s="593">
        <f t="shared" si="435"/>
        <v>1439.5395</v>
      </c>
      <c r="Y722" s="401"/>
      <c r="Z722" s="607" t="s">
        <v>2616</v>
      </c>
      <c r="AA722" s="1453" t="s">
        <v>128</v>
      </c>
      <c r="AB722" s="608">
        <v>987</v>
      </c>
      <c r="AC722" s="608">
        <f t="shared" si="421"/>
        <v>0</v>
      </c>
      <c r="AD722" s="608"/>
      <c r="AE722" s="564"/>
      <c r="AF722" s="564" t="s">
        <v>3127</v>
      </c>
      <c r="AG722" s="608">
        <f t="shared" si="456"/>
        <v>987</v>
      </c>
      <c r="AH722" s="608"/>
      <c r="AI722" s="608"/>
      <c r="AJ722" s="608"/>
      <c r="AK722" s="609">
        <f t="shared" si="457"/>
        <v>987</v>
      </c>
      <c r="AL722" s="609"/>
      <c r="AM722" s="609"/>
      <c r="AN722" s="609"/>
      <c r="AO722" s="615"/>
      <c r="AP722" s="609"/>
      <c r="AQ722" s="615">
        <f t="shared" si="458"/>
        <v>987</v>
      </c>
      <c r="AR722" s="609"/>
      <c r="AS722" s="609"/>
      <c r="AT722" s="633"/>
      <c r="AU722" s="609">
        <f t="shared" si="459"/>
        <v>47</v>
      </c>
      <c r="AV722" s="633"/>
      <c r="AW722" s="633"/>
      <c r="AX722" s="633"/>
      <c r="AY722" s="1526"/>
      <c r="AZ722" s="633"/>
      <c r="BA722" s="633"/>
      <c r="BB722" s="633"/>
      <c r="BC722" s="633"/>
      <c r="BD722" s="633"/>
      <c r="BE722" s="633"/>
      <c r="BF722" s="633"/>
      <c r="BG722" s="633"/>
      <c r="BH722" s="633"/>
      <c r="BI722" s="633"/>
      <c r="BJ722" s="633"/>
      <c r="BK722" s="633"/>
      <c r="BL722" s="633"/>
      <c r="BM722" s="401">
        <f t="shared" si="447"/>
        <v>987</v>
      </c>
      <c r="BN722" s="200">
        <f t="shared" si="451"/>
        <v>17053</v>
      </c>
      <c r="BO722" s="1473"/>
      <c r="BP722" s="1473">
        <f t="shared" si="452"/>
        <v>-17053</v>
      </c>
      <c r="BQ722" s="200">
        <f t="shared" si="453"/>
        <v>0</v>
      </c>
      <c r="BR722" s="200">
        <f t="shared" si="454"/>
        <v>0</v>
      </c>
      <c r="BS722" s="200">
        <f t="shared" si="455"/>
        <v>0</v>
      </c>
    </row>
    <row r="723" s="691" customFormat="1" ht="36" customHeight="1" spans="1:71">
      <c r="A723" s="776">
        <v>45647</v>
      </c>
      <c r="B723" s="721"/>
      <c r="C723" s="722"/>
      <c r="D723" s="777" t="s">
        <v>3154</v>
      </c>
      <c r="E723" s="1612"/>
      <c r="F723" s="777"/>
      <c r="G723" s="483" t="s">
        <v>3155</v>
      </c>
      <c r="H723" s="725"/>
      <c r="I723" s="1622" t="s">
        <v>3156</v>
      </c>
      <c r="J723" s="1622"/>
      <c r="K723" s="1622"/>
      <c r="L723" s="1622"/>
      <c r="M723" s="738">
        <v>45649</v>
      </c>
      <c r="N723" s="738">
        <v>45645</v>
      </c>
      <c r="O723" s="739"/>
      <c r="P723" s="739" t="s">
        <v>3157</v>
      </c>
      <c r="Q723" s="739"/>
      <c r="R723" s="739"/>
      <c r="S723" s="1632"/>
      <c r="T723" s="1633"/>
      <c r="U723" s="724" t="s">
        <v>3158</v>
      </c>
      <c r="V723" s="800" t="s">
        <v>2968</v>
      </c>
      <c r="W723" s="749"/>
      <c r="X723" s="750"/>
      <c r="Y723" s="735" t="s">
        <v>3159</v>
      </c>
      <c r="Z723" s="754" t="s">
        <v>443</v>
      </c>
      <c r="AA723" s="1652"/>
      <c r="AB723" s="755"/>
      <c r="AC723" s="755"/>
      <c r="AD723" s="755"/>
      <c r="AE723" s="739"/>
      <c r="AF723" s="739"/>
      <c r="AG723" s="755"/>
      <c r="AH723" s="755"/>
      <c r="AI723" s="755"/>
      <c r="AJ723" s="755"/>
      <c r="AK723" s="814"/>
      <c r="AM723" s="814"/>
      <c r="AN723" s="814"/>
      <c r="AO723" s="757"/>
      <c r="AP723" s="814"/>
      <c r="AQ723" s="757"/>
      <c r="AR723" s="814"/>
      <c r="AS723" s="814"/>
      <c r="AT723" s="764"/>
      <c r="AU723" s="764"/>
      <c r="AV723" s="764"/>
      <c r="AW723" s="764"/>
      <c r="AX723" s="764"/>
      <c r="AY723" s="1660"/>
      <c r="AZ723" s="764"/>
      <c r="BA723" s="764"/>
      <c r="BB723" s="764"/>
      <c r="BC723" s="764"/>
      <c r="BD723" s="764"/>
      <c r="BE723" s="764"/>
      <c r="BF723" s="764"/>
      <c r="BG723" s="764"/>
      <c r="BH723" s="764"/>
      <c r="BI723" s="764"/>
      <c r="BJ723" s="764"/>
      <c r="BK723" s="764"/>
      <c r="BL723" s="764"/>
      <c r="BM723" s="401">
        <f t="shared" si="447"/>
        <v>0</v>
      </c>
      <c r="BN723" s="200"/>
      <c r="BO723" s="1473"/>
      <c r="BP723" s="1473"/>
      <c r="BQ723" s="200"/>
      <c r="BR723" s="200"/>
      <c r="BS723" s="200"/>
    </row>
    <row r="724" s="200" customFormat="1" ht="36" customHeight="1" spans="1:68">
      <c r="A724" s="533">
        <v>45615</v>
      </c>
      <c r="B724" s="527" t="s">
        <v>523</v>
      </c>
      <c r="C724" s="528" t="s">
        <v>351</v>
      </c>
      <c r="D724" s="534">
        <v>4500151774</v>
      </c>
      <c r="E724" s="1606">
        <v>9650907698</v>
      </c>
      <c r="F724" s="534" t="s">
        <v>3160</v>
      </c>
      <c r="G724" s="531" t="s">
        <v>826</v>
      </c>
      <c r="H724" s="532" t="s">
        <v>74</v>
      </c>
      <c r="I724" s="1496">
        <v>2000</v>
      </c>
      <c r="J724" s="1496">
        <v>0</v>
      </c>
      <c r="K724" s="1496">
        <v>25</v>
      </c>
      <c r="L724" s="1496">
        <f t="shared" ref="L724:L786" si="460">I724/K724</f>
        <v>80</v>
      </c>
      <c r="M724" s="563">
        <v>45643</v>
      </c>
      <c r="N724" s="1495">
        <v>45640</v>
      </c>
      <c r="O724" s="1474" t="s">
        <v>3161</v>
      </c>
      <c r="P724" s="564" t="s">
        <v>92</v>
      </c>
      <c r="Q724" s="564" t="s">
        <v>3162</v>
      </c>
      <c r="R724" s="564">
        <v>45615</v>
      </c>
      <c r="S724" s="1588" t="s">
        <v>77</v>
      </c>
      <c r="T724" s="1608" t="s">
        <v>77</v>
      </c>
      <c r="U724" s="530" t="s">
        <v>3163</v>
      </c>
      <c r="V724" s="596" t="s">
        <v>529</v>
      </c>
      <c r="W724" s="592">
        <v>1.4166</v>
      </c>
      <c r="X724" s="593">
        <f t="shared" ref="X724:X729" si="461">I724*W724</f>
        <v>2833.2</v>
      </c>
      <c r="Y724" s="401" t="s">
        <v>3164</v>
      </c>
      <c r="Z724" s="607" t="s">
        <v>945</v>
      </c>
      <c r="AA724" s="1453" t="s">
        <v>128</v>
      </c>
      <c r="AB724" s="608">
        <v>2000</v>
      </c>
      <c r="AC724" s="608">
        <f t="shared" ref="AC724:AC731" si="462">AB724-I724</f>
        <v>0</v>
      </c>
      <c r="AD724" s="608"/>
      <c r="AE724" s="564"/>
      <c r="AF724" s="564"/>
      <c r="AG724" s="608">
        <f t="shared" ref="AG724:AG740" si="463">I724</f>
        <v>2000</v>
      </c>
      <c r="AH724" s="608"/>
      <c r="AI724" s="608"/>
      <c r="AJ724" s="608"/>
      <c r="AK724" s="609"/>
      <c r="AM724" s="609"/>
      <c r="AN724" s="609">
        <f>I724</f>
        <v>2000</v>
      </c>
      <c r="AO724" s="609">
        <f t="shared" ref="AO724:AO733" si="464">I724</f>
        <v>2000</v>
      </c>
      <c r="AP724" s="609"/>
      <c r="AQ724" s="609"/>
      <c r="AR724" s="609"/>
      <c r="AS724" s="609"/>
      <c r="AT724" s="633"/>
      <c r="AU724" s="633"/>
      <c r="AV724" s="633"/>
      <c r="AW724" s="633"/>
      <c r="AX724" s="633"/>
      <c r="AY724" s="633"/>
      <c r="AZ724" s="633"/>
      <c r="BA724" s="633"/>
      <c r="BB724" s="633">
        <f>I724/25</f>
        <v>80</v>
      </c>
      <c r="BC724" s="633"/>
      <c r="BD724" s="633"/>
      <c r="BE724" s="633"/>
      <c r="BF724" s="633"/>
      <c r="BG724" s="633"/>
      <c r="BH724" s="633"/>
      <c r="BI724" s="633"/>
      <c r="BJ724" s="633"/>
      <c r="BK724" s="633"/>
      <c r="BL724" s="633"/>
      <c r="BM724" s="401">
        <f t="shared" si="447"/>
        <v>2000</v>
      </c>
      <c r="BO724" s="1473"/>
      <c r="BP724" s="1473"/>
    </row>
    <row r="725" s="200" customFormat="1" ht="36" customHeight="1" spans="1:68">
      <c r="A725" s="533">
        <v>45615</v>
      </c>
      <c r="B725" s="527" t="s">
        <v>523</v>
      </c>
      <c r="C725" s="528" t="s">
        <v>351</v>
      </c>
      <c r="D725" s="534">
        <v>4500151774</v>
      </c>
      <c r="E725" s="1606">
        <v>9650907699</v>
      </c>
      <c r="F725" s="534" t="s">
        <v>3165</v>
      </c>
      <c r="G725" s="531" t="s">
        <v>826</v>
      </c>
      <c r="H725" s="532" t="s">
        <v>74</v>
      </c>
      <c r="I725" s="1496">
        <v>2000</v>
      </c>
      <c r="J725" s="1496">
        <v>0</v>
      </c>
      <c r="K725" s="1496">
        <v>25</v>
      </c>
      <c r="L725" s="1496">
        <f t="shared" si="460"/>
        <v>80</v>
      </c>
      <c r="M725" s="563">
        <v>45643</v>
      </c>
      <c r="N725" s="1495">
        <v>45640</v>
      </c>
      <c r="O725" s="1474" t="s">
        <v>3161</v>
      </c>
      <c r="P725" s="564" t="s">
        <v>92</v>
      </c>
      <c r="Q725" s="564" t="s">
        <v>3166</v>
      </c>
      <c r="R725" s="564">
        <v>45615</v>
      </c>
      <c r="S725" s="1588" t="s">
        <v>77</v>
      </c>
      <c r="T725" s="1608" t="s">
        <v>77</v>
      </c>
      <c r="U725" s="530" t="s">
        <v>3163</v>
      </c>
      <c r="V725" s="596" t="s">
        <v>529</v>
      </c>
      <c r="W725" s="592">
        <v>1.4166</v>
      </c>
      <c r="X725" s="593">
        <f t="shared" si="461"/>
        <v>2833.2</v>
      </c>
      <c r="Y725" s="401" t="s">
        <v>3167</v>
      </c>
      <c r="Z725" s="607" t="s">
        <v>945</v>
      </c>
      <c r="AA725" s="1453" t="s">
        <v>128</v>
      </c>
      <c r="AB725" s="608">
        <v>2000</v>
      </c>
      <c r="AC725" s="608">
        <f t="shared" si="462"/>
        <v>0</v>
      </c>
      <c r="AD725" s="608"/>
      <c r="AE725" s="564"/>
      <c r="AF725" s="564"/>
      <c r="AG725" s="608">
        <f t="shared" si="463"/>
        <v>2000</v>
      </c>
      <c r="AH725" s="608"/>
      <c r="AI725" s="608"/>
      <c r="AJ725" s="608"/>
      <c r="AK725" s="609"/>
      <c r="AM725" s="609"/>
      <c r="AN725" s="609">
        <f>I725</f>
        <v>2000</v>
      </c>
      <c r="AO725" s="609">
        <f t="shared" si="464"/>
        <v>2000</v>
      </c>
      <c r="AP725" s="609"/>
      <c r="AQ725" s="609"/>
      <c r="AR725" s="609"/>
      <c r="AS725" s="609"/>
      <c r="AT725" s="633"/>
      <c r="AU725" s="633"/>
      <c r="AV725" s="633"/>
      <c r="AW725" s="633"/>
      <c r="AX725" s="633"/>
      <c r="AY725" s="633"/>
      <c r="AZ725" s="633"/>
      <c r="BA725" s="633"/>
      <c r="BB725" s="633">
        <f>I725/25</f>
        <v>80</v>
      </c>
      <c r="BC725" s="633"/>
      <c r="BD725" s="633"/>
      <c r="BE725" s="633"/>
      <c r="BF725" s="633"/>
      <c r="BG725" s="633"/>
      <c r="BH725" s="633"/>
      <c r="BI725" s="633"/>
      <c r="BJ725" s="633"/>
      <c r="BK725" s="633"/>
      <c r="BL725" s="633"/>
      <c r="BM725" s="401">
        <f t="shared" si="447"/>
        <v>2000</v>
      </c>
      <c r="BO725" s="1473"/>
      <c r="BP725" s="1473"/>
    </row>
    <row r="726" s="200" customFormat="1" ht="36" customHeight="1" spans="1:71">
      <c r="A726" s="1477">
        <v>45607</v>
      </c>
      <c r="B726" s="527" t="s">
        <v>116</v>
      </c>
      <c r="C726" s="528" t="s">
        <v>117</v>
      </c>
      <c r="D726" s="534">
        <v>4500150926</v>
      </c>
      <c r="E726" s="530" t="s">
        <v>3168</v>
      </c>
      <c r="F726" s="534" t="s">
        <v>3169</v>
      </c>
      <c r="G726" s="531" t="s">
        <v>120</v>
      </c>
      <c r="H726" s="532" t="s">
        <v>74</v>
      </c>
      <c r="I726" s="401">
        <v>3675</v>
      </c>
      <c r="J726" s="562">
        <v>0</v>
      </c>
      <c r="K726" s="531">
        <v>21</v>
      </c>
      <c r="L726" s="401">
        <f t="shared" si="460"/>
        <v>175</v>
      </c>
      <c r="M726" s="563">
        <v>45653</v>
      </c>
      <c r="N726" s="563">
        <v>45649</v>
      </c>
      <c r="O726" s="564"/>
      <c r="P726" s="564" t="s">
        <v>92</v>
      </c>
      <c r="Q726" s="564"/>
      <c r="R726" s="564">
        <v>45621</v>
      </c>
      <c r="S726" s="1588" t="s">
        <v>123</v>
      </c>
      <c r="T726" s="1608" t="s">
        <v>3170</v>
      </c>
      <c r="U726" s="530" t="s">
        <v>3171</v>
      </c>
      <c r="V726" s="596" t="s">
        <v>126</v>
      </c>
      <c r="W726" s="592">
        <v>1.4397</v>
      </c>
      <c r="X726" s="593">
        <f>W726*L726</f>
        <v>251.9475</v>
      </c>
      <c r="Y726" s="401"/>
      <c r="Z726" s="607" t="s">
        <v>120</v>
      </c>
      <c r="AA726" s="1453" t="s">
        <v>128</v>
      </c>
      <c r="AB726" s="608">
        <v>3675</v>
      </c>
      <c r="AC726" s="608">
        <f t="shared" si="462"/>
        <v>0</v>
      </c>
      <c r="AD726" s="608"/>
      <c r="AE726" s="564"/>
      <c r="AF726" s="564" t="s">
        <v>3127</v>
      </c>
      <c r="AG726" s="608">
        <f t="shared" si="463"/>
        <v>3675</v>
      </c>
      <c r="AH726" s="608"/>
      <c r="AI726" s="608"/>
      <c r="AJ726" s="608"/>
      <c r="AK726" s="609">
        <f>AG726</f>
        <v>3675</v>
      </c>
      <c r="AL726" s="609"/>
      <c r="AM726" s="609"/>
      <c r="AN726" s="609"/>
      <c r="AO726" s="615">
        <f t="shared" si="464"/>
        <v>3675</v>
      </c>
      <c r="AP726" s="609"/>
      <c r="AR726" s="609"/>
      <c r="AS726" s="609">
        <f>I726/21</f>
        <v>175</v>
      </c>
      <c r="AT726" s="633"/>
      <c r="AV726" s="633"/>
      <c r="AW726" s="633"/>
      <c r="AX726" s="633"/>
      <c r="AY726" s="1526"/>
      <c r="AZ726" s="633"/>
      <c r="BA726" s="633"/>
      <c r="BB726" s="633"/>
      <c r="BC726" s="633"/>
      <c r="BD726" s="633"/>
      <c r="BE726" s="633"/>
      <c r="BF726" s="633"/>
      <c r="BG726" s="633"/>
      <c r="BH726" s="633"/>
      <c r="BI726" s="633"/>
      <c r="BJ726" s="633"/>
      <c r="BK726" s="633"/>
      <c r="BL726" s="633"/>
      <c r="BM726" s="401">
        <f t="shared" si="447"/>
        <v>3675</v>
      </c>
      <c r="BN726" s="200">
        <f t="shared" si="451"/>
        <v>3675</v>
      </c>
      <c r="BO726" s="1473"/>
      <c r="BP726" s="1473">
        <f>$BO$3+$BP$3-BN726</f>
        <v>-3675</v>
      </c>
      <c r="BQ726" s="200">
        <f t="shared" si="453"/>
        <v>175</v>
      </c>
      <c r="BR726" s="200">
        <f t="shared" si="454"/>
        <v>175</v>
      </c>
      <c r="BS726" s="200">
        <f>$BS$3-BR726</f>
        <v>-175</v>
      </c>
    </row>
    <row r="727" s="200" customFormat="1" ht="36" customHeight="1" spans="1:68">
      <c r="A727" s="533">
        <v>45615</v>
      </c>
      <c r="B727" s="527" t="s">
        <v>363</v>
      </c>
      <c r="C727" s="528" t="s">
        <v>117</v>
      </c>
      <c r="D727" s="534">
        <v>4500151696</v>
      </c>
      <c r="E727" s="1499" t="s">
        <v>3172</v>
      </c>
      <c r="F727" s="534" t="s">
        <v>3173</v>
      </c>
      <c r="G727" s="531" t="s">
        <v>73</v>
      </c>
      <c r="H727" s="532" t="s">
        <v>74</v>
      </c>
      <c r="I727" s="401">
        <v>1008</v>
      </c>
      <c r="J727" s="562">
        <v>0</v>
      </c>
      <c r="K727" s="531">
        <v>24</v>
      </c>
      <c r="L727" s="401">
        <f t="shared" si="460"/>
        <v>42</v>
      </c>
      <c r="M727" s="563">
        <v>45650</v>
      </c>
      <c r="N727" s="1495">
        <v>45650</v>
      </c>
      <c r="O727" s="564"/>
      <c r="P727" s="564" t="s">
        <v>92</v>
      </c>
      <c r="Q727" s="564" t="s">
        <v>3174</v>
      </c>
      <c r="R727" s="564">
        <v>45622</v>
      </c>
      <c r="S727" s="564" t="s">
        <v>123</v>
      </c>
      <c r="T727" s="1600" t="s">
        <v>3175</v>
      </c>
      <c r="U727" s="1499" t="s">
        <v>3176</v>
      </c>
      <c r="V727" s="596" t="s">
        <v>521</v>
      </c>
      <c r="W727" s="592">
        <v>1.3456</v>
      </c>
      <c r="X727" s="593">
        <f t="shared" si="461"/>
        <v>1356.3648</v>
      </c>
      <c r="Y727" s="401" t="s">
        <v>3177</v>
      </c>
      <c r="Z727" s="607" t="s">
        <v>73</v>
      </c>
      <c r="AA727" s="1453" t="s">
        <v>128</v>
      </c>
      <c r="AB727" s="608">
        <v>1008</v>
      </c>
      <c r="AC727" s="608">
        <f t="shared" si="462"/>
        <v>0</v>
      </c>
      <c r="AD727" s="608"/>
      <c r="AE727" s="564"/>
      <c r="AF727" s="564"/>
      <c r="AG727" s="608">
        <f t="shared" si="463"/>
        <v>1008</v>
      </c>
      <c r="AH727" s="608"/>
      <c r="AI727" s="608"/>
      <c r="AJ727" s="608"/>
      <c r="AK727" s="609">
        <f t="shared" ref="AK727:AK730" si="465">I727</f>
        <v>1008</v>
      </c>
      <c r="AL727" s="609"/>
      <c r="AM727" s="609"/>
      <c r="AN727" s="609"/>
      <c r="AO727" s="609">
        <f t="shared" si="464"/>
        <v>1008</v>
      </c>
      <c r="AP727" s="609"/>
      <c r="AQ727" s="609"/>
      <c r="AR727" s="609"/>
      <c r="AS727" s="609"/>
      <c r="AT727" s="633"/>
      <c r="AU727" s="633"/>
      <c r="AV727" s="633"/>
      <c r="AW727" s="633"/>
      <c r="AX727" s="633"/>
      <c r="AZ727" s="633"/>
      <c r="BA727" s="633"/>
      <c r="BB727" s="633"/>
      <c r="BC727" s="633"/>
      <c r="BD727" s="633"/>
      <c r="BE727" s="633"/>
      <c r="BF727" s="633"/>
      <c r="BG727" s="633"/>
      <c r="BH727" s="633"/>
      <c r="BI727" s="633"/>
      <c r="BJ727" s="633"/>
      <c r="BK727" s="633"/>
      <c r="BL727" s="633"/>
      <c r="BM727" s="401">
        <f t="shared" si="447"/>
        <v>1008</v>
      </c>
      <c r="BO727" s="1473"/>
      <c r="BP727" s="1473"/>
    </row>
    <row r="728" s="200" customFormat="1" ht="36" customHeight="1" spans="1:68">
      <c r="A728" s="533">
        <v>45615</v>
      </c>
      <c r="B728" s="527" t="s">
        <v>363</v>
      </c>
      <c r="C728" s="528" t="s">
        <v>117</v>
      </c>
      <c r="D728" s="534">
        <v>4500151696</v>
      </c>
      <c r="E728" s="1499" t="s">
        <v>3178</v>
      </c>
      <c r="F728" s="534" t="s">
        <v>3179</v>
      </c>
      <c r="G728" s="531" t="s">
        <v>73</v>
      </c>
      <c r="H728" s="532" t="s">
        <v>74</v>
      </c>
      <c r="I728" s="401">
        <v>216</v>
      </c>
      <c r="J728" s="562">
        <v>0</v>
      </c>
      <c r="K728" s="531">
        <v>24</v>
      </c>
      <c r="L728" s="401">
        <f t="shared" si="460"/>
        <v>9</v>
      </c>
      <c r="M728" s="563">
        <v>45650</v>
      </c>
      <c r="N728" s="1495">
        <v>45650</v>
      </c>
      <c r="O728" s="564"/>
      <c r="P728" s="564" t="s">
        <v>92</v>
      </c>
      <c r="Q728" s="564" t="s">
        <v>3174</v>
      </c>
      <c r="R728" s="564">
        <v>45622</v>
      </c>
      <c r="S728" s="564" t="s">
        <v>123</v>
      </c>
      <c r="T728" s="1600" t="s">
        <v>3180</v>
      </c>
      <c r="U728" s="1609" t="s">
        <v>3181</v>
      </c>
      <c r="V728" s="596" t="s">
        <v>521</v>
      </c>
      <c r="W728" s="592">
        <v>1.3456</v>
      </c>
      <c r="X728" s="593">
        <f t="shared" si="461"/>
        <v>290.6496</v>
      </c>
      <c r="Y728" s="401" t="s">
        <v>3177</v>
      </c>
      <c r="Z728" s="607" t="s">
        <v>73</v>
      </c>
      <c r="AA728" s="1453" t="s">
        <v>128</v>
      </c>
      <c r="AB728" s="608">
        <v>216</v>
      </c>
      <c r="AC728" s="608">
        <f t="shared" si="462"/>
        <v>0</v>
      </c>
      <c r="AD728" s="608"/>
      <c r="AE728" s="564"/>
      <c r="AF728" s="564"/>
      <c r="AG728" s="608">
        <f t="shared" si="463"/>
        <v>216</v>
      </c>
      <c r="AH728" s="608"/>
      <c r="AI728" s="608"/>
      <c r="AJ728" s="608"/>
      <c r="AK728" s="609">
        <f t="shared" si="465"/>
        <v>216</v>
      </c>
      <c r="AL728" s="609"/>
      <c r="AM728" s="609"/>
      <c r="AN728" s="609"/>
      <c r="AO728" s="609">
        <f t="shared" si="464"/>
        <v>216</v>
      </c>
      <c r="AP728" s="609"/>
      <c r="AQ728" s="609"/>
      <c r="AR728" s="609"/>
      <c r="AS728" s="609"/>
      <c r="AT728" s="633"/>
      <c r="AU728" s="633"/>
      <c r="AV728" s="633"/>
      <c r="AW728" s="633"/>
      <c r="AX728" s="633"/>
      <c r="AZ728" s="633"/>
      <c r="BA728" s="633"/>
      <c r="BB728" s="633"/>
      <c r="BC728" s="633"/>
      <c r="BD728" s="633"/>
      <c r="BE728" s="633"/>
      <c r="BF728" s="633"/>
      <c r="BG728" s="633"/>
      <c r="BH728" s="633"/>
      <c r="BI728" s="633"/>
      <c r="BJ728" s="633"/>
      <c r="BK728" s="633"/>
      <c r="BL728" s="633"/>
      <c r="BM728" s="401">
        <f t="shared" si="447"/>
        <v>216</v>
      </c>
      <c r="BO728" s="1473"/>
      <c r="BP728" s="1473"/>
    </row>
    <row r="729" s="200" customFormat="1" ht="36" customHeight="1" spans="1:68">
      <c r="A729" s="533">
        <v>45615</v>
      </c>
      <c r="B729" s="527" t="s">
        <v>1860</v>
      </c>
      <c r="C729" s="528" t="s">
        <v>117</v>
      </c>
      <c r="D729" s="534">
        <v>4500151785</v>
      </c>
      <c r="E729" s="530"/>
      <c r="F729" s="534" t="s">
        <v>3182</v>
      </c>
      <c r="G729" s="531" t="s">
        <v>826</v>
      </c>
      <c r="H729" s="532" t="s">
        <v>74</v>
      </c>
      <c r="I729" s="1496">
        <v>250</v>
      </c>
      <c r="J729" s="1496">
        <v>0</v>
      </c>
      <c r="K729" s="1496">
        <v>25</v>
      </c>
      <c r="L729" s="1496">
        <f t="shared" si="460"/>
        <v>10</v>
      </c>
      <c r="M729" s="563">
        <v>45651</v>
      </c>
      <c r="N729" s="563">
        <v>45647</v>
      </c>
      <c r="O729" s="564"/>
      <c r="P729" s="564" t="s">
        <v>1262</v>
      </c>
      <c r="Q729" s="564" t="s">
        <v>3183</v>
      </c>
      <c r="R729" s="564">
        <v>45625</v>
      </c>
      <c r="S729" s="564" t="s">
        <v>77</v>
      </c>
      <c r="T729" s="564" t="s">
        <v>77</v>
      </c>
      <c r="U729" s="530" t="s">
        <v>3184</v>
      </c>
      <c r="V729" s="530" t="s">
        <v>521</v>
      </c>
      <c r="W729" s="592">
        <v>1.44</v>
      </c>
      <c r="X729" s="593">
        <f t="shared" si="461"/>
        <v>360</v>
      </c>
      <c r="Y729" s="401" t="s">
        <v>3185</v>
      </c>
      <c r="Z729" s="607" t="s">
        <v>826</v>
      </c>
      <c r="AA729" s="1453" t="s">
        <v>128</v>
      </c>
      <c r="AB729" s="608">
        <v>250</v>
      </c>
      <c r="AC729" s="608">
        <f t="shared" si="462"/>
        <v>0</v>
      </c>
      <c r="AD729" s="608"/>
      <c r="AE729" s="564"/>
      <c r="AF729" s="564"/>
      <c r="AG729" s="608">
        <f t="shared" si="463"/>
        <v>250</v>
      </c>
      <c r="AH729" s="608"/>
      <c r="AI729" s="608"/>
      <c r="AJ729" s="608"/>
      <c r="AK729" s="609">
        <f t="shared" si="465"/>
        <v>250</v>
      </c>
      <c r="AL729" s="609"/>
      <c r="AM729" s="609"/>
      <c r="AN729" s="609"/>
      <c r="AO729" s="609">
        <f t="shared" si="464"/>
        <v>250</v>
      </c>
      <c r="AP729" s="609"/>
      <c r="AQ729" s="609"/>
      <c r="AR729" s="609"/>
      <c r="AS729" s="609"/>
      <c r="AT729" s="633"/>
      <c r="AU729" s="633"/>
      <c r="AV729" s="633"/>
      <c r="AW729" s="633"/>
      <c r="AX729" s="633"/>
      <c r="AY729" s="1526"/>
      <c r="AZ729" s="633"/>
      <c r="BA729" s="633">
        <f>I729/25</f>
        <v>10</v>
      </c>
      <c r="BB729" s="633"/>
      <c r="BC729" s="633"/>
      <c r="BD729" s="633"/>
      <c r="BE729" s="633"/>
      <c r="BF729" s="633"/>
      <c r="BG729" s="633"/>
      <c r="BH729" s="633"/>
      <c r="BI729" s="633"/>
      <c r="BJ729" s="633"/>
      <c r="BK729" s="633"/>
      <c r="BL729" s="633"/>
      <c r="BM729" s="401">
        <f t="shared" si="447"/>
        <v>250</v>
      </c>
      <c r="BO729" s="1473"/>
      <c r="BP729" s="1473"/>
    </row>
    <row r="730" s="200" customFormat="1" ht="36" customHeight="1" spans="1:68">
      <c r="A730" s="533">
        <v>45615</v>
      </c>
      <c r="B730" s="527" t="s">
        <v>1860</v>
      </c>
      <c r="C730" s="528" t="s">
        <v>117</v>
      </c>
      <c r="D730" s="534">
        <v>4500151785</v>
      </c>
      <c r="E730" s="530"/>
      <c r="F730" s="534" t="s">
        <v>3186</v>
      </c>
      <c r="G730" s="531" t="s">
        <v>386</v>
      </c>
      <c r="H730" s="532" t="s">
        <v>74</v>
      </c>
      <c r="I730" s="511">
        <v>240</v>
      </c>
      <c r="J730" s="562">
        <v>0</v>
      </c>
      <c r="K730" s="531">
        <v>60</v>
      </c>
      <c r="L730" s="401">
        <f t="shared" si="460"/>
        <v>4</v>
      </c>
      <c r="M730" s="563">
        <v>45651</v>
      </c>
      <c r="N730" s="563">
        <v>45647</v>
      </c>
      <c r="O730" s="564"/>
      <c r="P730" s="564" t="s">
        <v>1262</v>
      </c>
      <c r="Q730" s="564" t="s">
        <v>3183</v>
      </c>
      <c r="R730" s="564">
        <v>45625</v>
      </c>
      <c r="S730" s="564" t="s">
        <v>77</v>
      </c>
      <c r="T730" s="564" t="s">
        <v>77</v>
      </c>
      <c r="U730" s="530" t="s">
        <v>3184</v>
      </c>
      <c r="V730" s="530" t="s">
        <v>521</v>
      </c>
      <c r="W730" s="592">
        <v>100.5413</v>
      </c>
      <c r="X730" s="593">
        <f>W730*I730</f>
        <v>24129.912</v>
      </c>
      <c r="Y730" s="401" t="s">
        <v>3185</v>
      </c>
      <c r="Z730" s="607" t="s">
        <v>386</v>
      </c>
      <c r="AA730" s="1453" t="s">
        <v>128</v>
      </c>
      <c r="AB730" s="608">
        <v>240</v>
      </c>
      <c r="AC730" s="608">
        <f t="shared" si="462"/>
        <v>0</v>
      </c>
      <c r="AD730" s="608"/>
      <c r="AE730" s="564"/>
      <c r="AF730" s="564"/>
      <c r="AG730" s="608">
        <f t="shared" si="463"/>
        <v>240</v>
      </c>
      <c r="AH730" s="608"/>
      <c r="AI730" s="608"/>
      <c r="AJ730" s="608"/>
      <c r="AK730" s="401">
        <f t="shared" si="465"/>
        <v>240</v>
      </c>
      <c r="AL730" s="609"/>
      <c r="AM730" s="609"/>
      <c r="AN730" s="609"/>
      <c r="AO730" s="609">
        <f t="shared" si="464"/>
        <v>240</v>
      </c>
      <c r="AP730" s="609"/>
      <c r="AQ730" s="609"/>
      <c r="AR730" s="609"/>
      <c r="AS730" s="609"/>
      <c r="AT730" s="633"/>
      <c r="AU730" s="633"/>
      <c r="AV730" s="633"/>
      <c r="AW730" s="633"/>
      <c r="AX730" s="633"/>
      <c r="AY730" s="1526"/>
      <c r="AZ730" s="633"/>
      <c r="BA730" s="633"/>
      <c r="BB730" s="633"/>
      <c r="BC730" s="633"/>
      <c r="BD730" s="633">
        <f>I730/60</f>
        <v>4</v>
      </c>
      <c r="BE730" s="633"/>
      <c r="BF730" s="633"/>
      <c r="BG730" s="633"/>
      <c r="BH730" s="633"/>
      <c r="BI730" s="633"/>
      <c r="BJ730" s="633"/>
      <c r="BK730" s="633"/>
      <c r="BL730" s="633"/>
      <c r="BM730" s="401">
        <f t="shared" si="447"/>
        <v>240</v>
      </c>
      <c r="BO730" s="1473"/>
      <c r="BP730" s="1473"/>
    </row>
    <row r="731" s="200" customFormat="1" ht="36" customHeight="1" spans="1:71">
      <c r="A731" s="1477">
        <v>45621</v>
      </c>
      <c r="B731" s="527" t="s">
        <v>3187</v>
      </c>
      <c r="C731" s="528" t="s">
        <v>3188</v>
      </c>
      <c r="D731" s="534">
        <v>4500152280</v>
      </c>
      <c r="E731" s="530"/>
      <c r="F731" s="534" t="s">
        <v>3189</v>
      </c>
      <c r="G731" s="531" t="s">
        <v>96</v>
      </c>
      <c r="H731" s="532" t="s">
        <v>74</v>
      </c>
      <c r="I731" s="401">
        <v>400</v>
      </c>
      <c r="J731" s="562">
        <v>0</v>
      </c>
      <c r="K731" s="531">
        <v>50</v>
      </c>
      <c r="L731" s="401">
        <f t="shared" si="460"/>
        <v>8</v>
      </c>
      <c r="M731" s="563">
        <v>45660</v>
      </c>
      <c r="N731" s="563">
        <v>45656</v>
      </c>
      <c r="O731" s="564"/>
      <c r="P731" s="564" t="s">
        <v>1262</v>
      </c>
      <c r="Q731" s="564"/>
      <c r="R731" s="564">
        <v>45623</v>
      </c>
      <c r="S731" s="1588" t="s">
        <v>77</v>
      </c>
      <c r="T731" s="580" t="s">
        <v>77</v>
      </c>
      <c r="U731" s="530" t="s">
        <v>3190</v>
      </c>
      <c r="V731" s="596" t="s">
        <v>618</v>
      </c>
      <c r="W731" s="592">
        <v>1.4395</v>
      </c>
      <c r="X731" s="593">
        <f t="shared" ref="X731:X735" si="466">I731*W731</f>
        <v>575.8</v>
      </c>
      <c r="Y731" s="401"/>
      <c r="Z731" s="607" t="s">
        <v>96</v>
      </c>
      <c r="AA731" s="1453" t="s">
        <v>128</v>
      </c>
      <c r="AB731" s="608">
        <v>400</v>
      </c>
      <c r="AC731" s="608">
        <f t="shared" si="462"/>
        <v>0</v>
      </c>
      <c r="AD731" s="608"/>
      <c r="AE731" s="564"/>
      <c r="AF731" s="564" t="s">
        <v>659</v>
      </c>
      <c r="AG731" s="608">
        <f t="shared" si="463"/>
        <v>400</v>
      </c>
      <c r="AH731" s="608"/>
      <c r="AI731" s="608"/>
      <c r="AJ731" s="608"/>
      <c r="AK731" s="609">
        <f t="shared" ref="AK731:AK735" si="467">AG731</f>
        <v>400</v>
      </c>
      <c r="AL731" s="609"/>
      <c r="AM731" s="609"/>
      <c r="AN731" s="609"/>
      <c r="AO731" s="609">
        <f t="shared" si="464"/>
        <v>400</v>
      </c>
      <c r="AP731" s="609"/>
      <c r="AQ731" s="609"/>
      <c r="AR731" s="609"/>
      <c r="AS731" s="609"/>
      <c r="AT731" s="633"/>
      <c r="AU731" s="633"/>
      <c r="AV731" s="633"/>
      <c r="AW731" s="633"/>
      <c r="AX731" s="633"/>
      <c r="AY731" s="1526"/>
      <c r="AZ731" s="633"/>
      <c r="BA731" s="633">
        <f>I731/25</f>
        <v>16</v>
      </c>
      <c r="BB731" s="633"/>
      <c r="BC731" s="633"/>
      <c r="BD731" s="633"/>
      <c r="BE731" s="633"/>
      <c r="BF731" s="633"/>
      <c r="BG731" s="633"/>
      <c r="BH731" s="633"/>
      <c r="BI731" s="633"/>
      <c r="BJ731" s="633"/>
      <c r="BK731" s="633"/>
      <c r="BL731" s="633"/>
      <c r="BM731" s="401">
        <f t="shared" si="447"/>
        <v>400</v>
      </c>
      <c r="BN731" s="200">
        <f t="shared" si="451"/>
        <v>400</v>
      </c>
      <c r="BO731" s="1473"/>
      <c r="BP731" s="1473">
        <f t="shared" ref="BP731:BP778" si="468">$BO$3+$BP$3-BN731</f>
        <v>-400</v>
      </c>
      <c r="BQ731" s="200">
        <f t="shared" si="453"/>
        <v>16</v>
      </c>
      <c r="BR731" s="200">
        <f t="shared" si="454"/>
        <v>16</v>
      </c>
      <c r="BS731" s="200">
        <f t="shared" ref="BS731:BS778" si="469">$BS$3-BR731</f>
        <v>-16</v>
      </c>
    </row>
    <row r="732" s="200" customFormat="1" ht="36" customHeight="1" spans="1:71">
      <c r="A732" s="1477">
        <v>45643</v>
      </c>
      <c r="B732" s="527" t="s">
        <v>3191</v>
      </c>
      <c r="C732" s="528" t="s">
        <v>3192</v>
      </c>
      <c r="D732" s="534" t="s">
        <v>3193</v>
      </c>
      <c r="E732" s="530"/>
      <c r="F732" s="564" t="s">
        <v>3194</v>
      </c>
      <c r="G732" s="531" t="s">
        <v>3195</v>
      </c>
      <c r="H732" s="532" t="s">
        <v>74</v>
      </c>
      <c r="I732" s="401">
        <v>31962</v>
      </c>
      <c r="J732" s="562">
        <v>0</v>
      </c>
      <c r="K732" s="531">
        <v>24</v>
      </c>
      <c r="L732" s="401">
        <f t="shared" si="460"/>
        <v>1331.75</v>
      </c>
      <c r="M732" s="563">
        <v>45667</v>
      </c>
      <c r="N732" s="563">
        <v>45663</v>
      </c>
      <c r="O732" s="564" t="s">
        <v>1221</v>
      </c>
      <c r="P732" s="1623" t="s">
        <v>92</v>
      </c>
      <c r="Q732" s="564" t="s">
        <v>3196</v>
      </c>
      <c r="R732" s="564" t="s">
        <v>3197</v>
      </c>
      <c r="S732" s="1599" t="s">
        <v>77</v>
      </c>
      <c r="T732" s="1600" t="s">
        <v>3198</v>
      </c>
      <c r="U732" s="530" t="s">
        <v>3199</v>
      </c>
      <c r="V732" s="596" t="s">
        <v>3200</v>
      </c>
      <c r="W732" s="592">
        <v>1.3304</v>
      </c>
      <c r="X732" s="593">
        <f t="shared" si="466"/>
        <v>42522.2448</v>
      </c>
      <c r="Z732" s="607" t="s">
        <v>188</v>
      </c>
      <c r="AA732" s="1453" t="s">
        <v>128</v>
      </c>
      <c r="AB732" s="608"/>
      <c r="AC732" s="608"/>
      <c r="AD732" s="608"/>
      <c r="AE732" s="564"/>
      <c r="AF732" s="594" t="s">
        <v>3201</v>
      </c>
      <c r="AG732" s="608">
        <f t="shared" si="463"/>
        <v>31962</v>
      </c>
      <c r="AH732" s="608"/>
      <c r="AI732" s="608"/>
      <c r="AJ732" s="608"/>
      <c r="AK732" s="609"/>
      <c r="AL732" s="401">
        <f t="shared" ref="AL732:AL737" si="470">I732</f>
        <v>31962</v>
      </c>
      <c r="AM732" s="609"/>
      <c r="AN732" s="609"/>
      <c r="AO732" s="609">
        <f t="shared" si="464"/>
        <v>31962</v>
      </c>
      <c r="AP732" s="609"/>
      <c r="AQ732" s="714"/>
      <c r="AR732" s="609"/>
      <c r="AS732" s="714"/>
      <c r="AT732" s="633"/>
      <c r="AU732" s="633"/>
      <c r="AV732" s="633"/>
      <c r="AW732" s="633"/>
      <c r="AX732" s="633"/>
      <c r="AY732" s="1526"/>
      <c r="AZ732" s="633"/>
      <c r="BA732" s="633"/>
      <c r="BB732" s="633"/>
      <c r="BC732" s="633"/>
      <c r="BD732" s="633"/>
      <c r="BE732" s="633"/>
      <c r="BF732" s="633"/>
      <c r="BG732" s="633"/>
      <c r="BH732" s="633"/>
      <c r="BI732" s="633"/>
      <c r="BJ732" s="633"/>
      <c r="BK732" s="633"/>
      <c r="BL732" s="633"/>
      <c r="BM732" s="401">
        <f t="shared" si="447"/>
        <v>31962</v>
      </c>
      <c r="BN732" s="200">
        <f t="shared" si="451"/>
        <v>32362</v>
      </c>
      <c r="BO732" s="1473"/>
      <c r="BP732" s="1473">
        <f t="shared" si="468"/>
        <v>-32362</v>
      </c>
      <c r="BQ732" s="200">
        <f t="shared" si="453"/>
        <v>0</v>
      </c>
      <c r="BR732" s="200">
        <f t="shared" si="454"/>
        <v>16</v>
      </c>
      <c r="BS732" s="200">
        <f t="shared" si="469"/>
        <v>-16</v>
      </c>
    </row>
    <row r="733" s="1438" customFormat="1" ht="36" customHeight="1" spans="1:71">
      <c r="A733" s="1613">
        <v>45604</v>
      </c>
      <c r="B733" s="1614" t="s">
        <v>243</v>
      </c>
      <c r="C733" s="1615" t="s">
        <v>213</v>
      </c>
      <c r="D733" s="1616">
        <v>4500150696</v>
      </c>
      <c r="E733" s="1617"/>
      <c r="F733" s="1616" t="s">
        <v>3202</v>
      </c>
      <c r="G733" s="1618" t="s">
        <v>3203</v>
      </c>
      <c r="H733" s="1619" t="s">
        <v>833</v>
      </c>
      <c r="I733" s="1624">
        <v>975</v>
      </c>
      <c r="J733" s="1625" t="s">
        <v>3204</v>
      </c>
      <c r="K733" s="1618">
        <v>975</v>
      </c>
      <c r="L733" s="1624">
        <f t="shared" si="460"/>
        <v>1</v>
      </c>
      <c r="M733" s="1626">
        <v>45656</v>
      </c>
      <c r="N733" s="1626">
        <v>45652</v>
      </c>
      <c r="O733" s="1623"/>
      <c r="P733" s="1623" t="s">
        <v>92</v>
      </c>
      <c r="Q733" s="1623"/>
      <c r="R733" s="1623">
        <v>45625</v>
      </c>
      <c r="S733" s="1634" t="s">
        <v>123</v>
      </c>
      <c r="T733" s="1635" t="s">
        <v>3205</v>
      </c>
      <c r="U733" s="1617" t="s">
        <v>3206</v>
      </c>
      <c r="V733" s="1636" t="s">
        <v>3207</v>
      </c>
      <c r="W733" s="1637">
        <v>1294.836</v>
      </c>
      <c r="X733" s="1638">
        <f t="shared" ref="X733:X737" si="471">W733*L733</f>
        <v>1294.836</v>
      </c>
      <c r="Y733" s="1624"/>
      <c r="Z733" s="1653" t="s">
        <v>3203</v>
      </c>
      <c r="AA733" s="1654" t="s">
        <v>128</v>
      </c>
      <c r="AB733" s="1655">
        <v>975</v>
      </c>
      <c r="AC733" s="1655">
        <f t="shared" ref="AC733:AC778" si="472">AB733-I733</f>
        <v>0</v>
      </c>
      <c r="AD733" s="1655"/>
      <c r="AE733" s="1623"/>
      <c r="AF733" s="1623" t="s">
        <v>3127</v>
      </c>
      <c r="AG733" s="1655">
        <f t="shared" si="463"/>
        <v>975</v>
      </c>
      <c r="AH733" s="1655"/>
      <c r="AI733" s="1655"/>
      <c r="AJ733" s="1655"/>
      <c r="AL733" s="1657">
        <f t="shared" si="470"/>
        <v>975</v>
      </c>
      <c r="AM733" s="1657"/>
      <c r="AN733" s="1657"/>
      <c r="AO733" s="1657">
        <f t="shared" si="464"/>
        <v>975</v>
      </c>
      <c r="AP733" s="1657"/>
      <c r="AQ733" s="1657"/>
      <c r="AR733" s="1657"/>
      <c r="AS733" s="1657"/>
      <c r="AT733" s="1658"/>
      <c r="AU733" s="1658"/>
      <c r="AV733" s="1658"/>
      <c r="AW733" s="1658"/>
      <c r="AX733" s="1658"/>
      <c r="AZ733" s="1658">
        <f t="shared" ref="AZ733:AZ737" si="473">I733/13</f>
        <v>75</v>
      </c>
      <c r="BA733" s="1658"/>
      <c r="BB733" s="1658"/>
      <c r="BC733" s="1658"/>
      <c r="BD733" s="1658"/>
      <c r="BE733" s="1658"/>
      <c r="BF733" s="1658"/>
      <c r="BG733" s="1658"/>
      <c r="BH733" s="1658"/>
      <c r="BI733" s="1658"/>
      <c r="BJ733" s="1658"/>
      <c r="BK733" s="1658"/>
      <c r="BL733" s="1658"/>
      <c r="BM733" s="401">
        <f t="shared" si="447"/>
        <v>975</v>
      </c>
      <c r="BN733" s="200">
        <f t="shared" si="451"/>
        <v>33337</v>
      </c>
      <c r="BO733" s="1473"/>
      <c r="BP733" s="1473">
        <f t="shared" si="468"/>
        <v>-33337</v>
      </c>
      <c r="BQ733" s="200">
        <f t="shared" si="453"/>
        <v>0</v>
      </c>
      <c r="BR733" s="200">
        <f t="shared" si="454"/>
        <v>16</v>
      </c>
      <c r="BS733" s="200">
        <f t="shared" si="469"/>
        <v>-16</v>
      </c>
    </row>
    <row r="734" s="1438" customFormat="1" ht="36" customHeight="1" spans="1:71">
      <c r="A734" s="1613">
        <v>45604</v>
      </c>
      <c r="B734" s="1614" t="s">
        <v>225</v>
      </c>
      <c r="C734" s="1615" t="s">
        <v>213</v>
      </c>
      <c r="D734" s="1616">
        <v>4500150141</v>
      </c>
      <c r="E734" s="1617" t="s">
        <v>3208</v>
      </c>
      <c r="F734" s="1616" t="s">
        <v>3209</v>
      </c>
      <c r="G734" s="1618" t="s">
        <v>403</v>
      </c>
      <c r="H734" s="1619" t="s">
        <v>74</v>
      </c>
      <c r="I734" s="1624">
        <v>2496</v>
      </c>
      <c r="J734" s="1625">
        <v>0</v>
      </c>
      <c r="K734" s="1618">
        <v>52</v>
      </c>
      <c r="L734" s="1624">
        <f t="shared" si="460"/>
        <v>48</v>
      </c>
      <c r="M734" s="1626">
        <v>45657</v>
      </c>
      <c r="N734" s="1626">
        <v>45653</v>
      </c>
      <c r="O734" s="1623" t="s">
        <v>3210</v>
      </c>
      <c r="P734" s="1623" t="s">
        <v>92</v>
      </c>
      <c r="Q734" s="1623" t="s">
        <v>3211</v>
      </c>
      <c r="R734" s="1623">
        <v>45610</v>
      </c>
      <c r="S734" s="1634" t="s">
        <v>77</v>
      </c>
      <c r="T734" s="1635" t="s">
        <v>2990</v>
      </c>
      <c r="U734" s="1639" t="s">
        <v>3212</v>
      </c>
      <c r="V734" s="1636" t="s">
        <v>230</v>
      </c>
      <c r="W734" s="1637">
        <v>1.4046</v>
      </c>
      <c r="X734" s="1638">
        <f t="shared" si="466"/>
        <v>3505.8816</v>
      </c>
      <c r="Y734" s="1624"/>
      <c r="Z734" s="1653" t="s">
        <v>403</v>
      </c>
      <c r="AA734" s="1654" t="s">
        <v>128</v>
      </c>
      <c r="AB734" s="1655">
        <v>2496</v>
      </c>
      <c r="AC734" s="1655">
        <f t="shared" si="472"/>
        <v>0</v>
      </c>
      <c r="AD734" s="1655"/>
      <c r="AE734" s="1623"/>
      <c r="AF734" s="1623" t="s">
        <v>3127</v>
      </c>
      <c r="AG734" s="1655">
        <f t="shared" si="463"/>
        <v>2496</v>
      </c>
      <c r="AH734" s="1655"/>
      <c r="AI734" s="1655"/>
      <c r="AJ734" s="1655"/>
      <c r="AK734" s="1657">
        <f t="shared" si="467"/>
        <v>2496</v>
      </c>
      <c r="AL734" s="1657"/>
      <c r="AM734" s="1657"/>
      <c r="AN734" s="1657"/>
      <c r="AO734" s="1657">
        <f>AG734</f>
        <v>2496</v>
      </c>
      <c r="AP734" s="1657"/>
      <c r="AQ734" s="1657"/>
      <c r="AR734" s="1657"/>
      <c r="AS734" s="1657"/>
      <c r="AT734" s="1658"/>
      <c r="AU734" s="1658"/>
      <c r="AV734" s="1658"/>
      <c r="AW734" s="1658"/>
      <c r="AX734" s="1658"/>
      <c r="AY734" s="1658">
        <f>AG734/13</f>
        <v>192</v>
      </c>
      <c r="AZ734" s="1658"/>
      <c r="BA734" s="1658"/>
      <c r="BB734" s="1658"/>
      <c r="BC734" s="1658"/>
      <c r="BD734" s="1658"/>
      <c r="BE734" s="1658"/>
      <c r="BF734" s="1658"/>
      <c r="BG734" s="1658"/>
      <c r="BH734" s="1658"/>
      <c r="BI734" s="1658"/>
      <c r="BJ734" s="1658"/>
      <c r="BK734" s="1658"/>
      <c r="BL734" s="1658"/>
      <c r="BM734" s="401">
        <f t="shared" si="447"/>
        <v>2496</v>
      </c>
      <c r="BN734" s="200">
        <f t="shared" si="451"/>
        <v>35833</v>
      </c>
      <c r="BO734" s="1473"/>
      <c r="BP734" s="1473">
        <f t="shared" si="468"/>
        <v>-35833</v>
      </c>
      <c r="BQ734" s="200">
        <f t="shared" si="453"/>
        <v>0</v>
      </c>
      <c r="BR734" s="200">
        <f t="shared" si="454"/>
        <v>16</v>
      </c>
      <c r="BS734" s="200">
        <f t="shared" si="469"/>
        <v>-16</v>
      </c>
    </row>
    <row r="735" s="1438" customFormat="1" ht="36" customHeight="1" spans="1:71">
      <c r="A735" s="1613">
        <v>45618</v>
      </c>
      <c r="B735" s="1614" t="s">
        <v>3213</v>
      </c>
      <c r="C735" s="1615" t="s">
        <v>3214</v>
      </c>
      <c r="D735" s="1616">
        <v>4500152087</v>
      </c>
      <c r="E735" s="1617" t="s">
        <v>3215</v>
      </c>
      <c r="F735" s="1616" t="s">
        <v>3216</v>
      </c>
      <c r="G735" s="1618" t="s">
        <v>96</v>
      </c>
      <c r="H735" s="1619" t="s">
        <v>74</v>
      </c>
      <c r="I735" s="1624">
        <v>3600</v>
      </c>
      <c r="J735" s="1625">
        <v>0</v>
      </c>
      <c r="K735" s="1618">
        <v>50</v>
      </c>
      <c r="L735" s="1624">
        <f t="shared" si="460"/>
        <v>72</v>
      </c>
      <c r="M735" s="1626">
        <v>45660</v>
      </c>
      <c r="N735" s="1626">
        <v>45656</v>
      </c>
      <c r="O735" s="1623"/>
      <c r="P735" s="1623" t="s">
        <v>92</v>
      </c>
      <c r="Q735" s="1623" t="s">
        <v>3217</v>
      </c>
      <c r="R735" s="1623">
        <v>45623</v>
      </c>
      <c r="S735" s="1640" t="s">
        <v>77</v>
      </c>
      <c r="T735" s="1641" t="s">
        <v>3218</v>
      </c>
      <c r="U735" s="1617" t="s">
        <v>3219</v>
      </c>
      <c r="V735" s="1636" t="s">
        <v>618</v>
      </c>
      <c r="W735" s="1637">
        <v>1.4344</v>
      </c>
      <c r="X735" s="1638">
        <f t="shared" si="466"/>
        <v>5163.84</v>
      </c>
      <c r="Y735" s="1624"/>
      <c r="Z735" s="1653" t="s">
        <v>96</v>
      </c>
      <c r="AA735" s="1654" t="s">
        <v>128</v>
      </c>
      <c r="AB735" s="1655">
        <v>3600</v>
      </c>
      <c r="AC735" s="1655">
        <f t="shared" si="472"/>
        <v>0</v>
      </c>
      <c r="AD735" s="1655"/>
      <c r="AE735" s="1623"/>
      <c r="AF735" s="1623" t="s">
        <v>659</v>
      </c>
      <c r="AG735" s="1655">
        <f t="shared" si="463"/>
        <v>3600</v>
      </c>
      <c r="AH735" s="1655"/>
      <c r="AI735" s="1655"/>
      <c r="AJ735" s="1655"/>
      <c r="AK735" s="1657">
        <f t="shared" si="467"/>
        <v>3600</v>
      </c>
      <c r="AL735" s="1657"/>
      <c r="AM735" s="1657"/>
      <c r="AN735" s="1657"/>
      <c r="AO735" s="1657">
        <f t="shared" ref="AO735:AO743" si="474">I735</f>
        <v>3600</v>
      </c>
      <c r="AP735" s="1657"/>
      <c r="AQ735" s="1657"/>
      <c r="AR735" s="1657"/>
      <c r="AS735" s="1657"/>
      <c r="AT735" s="1658"/>
      <c r="AU735" s="1658"/>
      <c r="AV735" s="1658"/>
      <c r="AW735" s="1658"/>
      <c r="AX735" s="1658"/>
      <c r="AY735" s="1661"/>
      <c r="AZ735" s="1658"/>
      <c r="BA735" s="1658">
        <f>I735/25</f>
        <v>144</v>
      </c>
      <c r="BB735" s="1658"/>
      <c r="BC735" s="1658"/>
      <c r="BD735" s="1658"/>
      <c r="BE735" s="1658"/>
      <c r="BF735" s="1658"/>
      <c r="BG735" s="1658"/>
      <c r="BH735" s="1658"/>
      <c r="BI735" s="1658"/>
      <c r="BJ735" s="1658"/>
      <c r="BK735" s="1658"/>
      <c r="BL735" s="1658"/>
      <c r="BM735" s="401">
        <f t="shared" si="447"/>
        <v>3600</v>
      </c>
      <c r="BN735" s="200">
        <f t="shared" si="451"/>
        <v>39433</v>
      </c>
      <c r="BO735" s="1473"/>
      <c r="BP735" s="1473">
        <f t="shared" si="468"/>
        <v>-39433</v>
      </c>
      <c r="BQ735" s="200">
        <f t="shared" si="453"/>
        <v>144</v>
      </c>
      <c r="BR735" s="200">
        <f t="shared" si="454"/>
        <v>160</v>
      </c>
      <c r="BS735" s="200">
        <f t="shared" si="469"/>
        <v>-160</v>
      </c>
    </row>
    <row r="736" s="1438" customFormat="1" ht="36" customHeight="1" spans="1:71">
      <c r="A736" s="1620">
        <v>45579</v>
      </c>
      <c r="B736" s="1614" t="s">
        <v>243</v>
      </c>
      <c r="C736" s="1615" t="s">
        <v>213</v>
      </c>
      <c r="D736" s="1616">
        <v>4500147530</v>
      </c>
      <c r="E736" s="1617">
        <v>2950866070</v>
      </c>
      <c r="F736" s="1616" t="s">
        <v>3220</v>
      </c>
      <c r="G736" s="1618" t="s">
        <v>3203</v>
      </c>
      <c r="H736" s="1619" t="s">
        <v>833</v>
      </c>
      <c r="I736" s="1624">
        <v>1950</v>
      </c>
      <c r="J736" s="1625">
        <v>0</v>
      </c>
      <c r="K736" s="1618">
        <v>975</v>
      </c>
      <c r="L736" s="1624">
        <f t="shared" si="460"/>
        <v>2</v>
      </c>
      <c r="M736" s="1627">
        <v>45657</v>
      </c>
      <c r="N736" s="1627">
        <v>45656</v>
      </c>
      <c r="O736" s="1623"/>
      <c r="P736" s="1623" t="s">
        <v>92</v>
      </c>
      <c r="Q736" s="1623"/>
      <c r="R736" s="1623">
        <v>45636</v>
      </c>
      <c r="S736" s="1634" t="s">
        <v>123</v>
      </c>
      <c r="T736" s="1635" t="s">
        <v>3205</v>
      </c>
      <c r="U736" s="1617" t="s">
        <v>3221</v>
      </c>
      <c r="V736" s="1636" t="s">
        <v>218</v>
      </c>
      <c r="W736" s="1637">
        <v>1289.8635</v>
      </c>
      <c r="X736" s="1638">
        <f t="shared" si="471"/>
        <v>2579.727</v>
      </c>
      <c r="Y736" s="1624"/>
      <c r="Z736" s="1653" t="s">
        <v>3203</v>
      </c>
      <c r="AA736" s="1654" t="s">
        <v>128</v>
      </c>
      <c r="AB736" s="1655">
        <f>1924+26</f>
        <v>1950</v>
      </c>
      <c r="AC736" s="1655">
        <f t="shared" si="472"/>
        <v>0</v>
      </c>
      <c r="AD736" s="1655"/>
      <c r="AE736" s="1623"/>
      <c r="AF736" s="1623" t="s">
        <v>3127</v>
      </c>
      <c r="AG736" s="1655">
        <f t="shared" si="463"/>
        <v>1950</v>
      </c>
      <c r="AH736" s="1655"/>
      <c r="AI736" s="1655"/>
      <c r="AJ736" s="1655"/>
      <c r="AL736" s="1657">
        <f t="shared" si="470"/>
        <v>1950</v>
      </c>
      <c r="AM736" s="1657"/>
      <c r="AN736" s="1657"/>
      <c r="AO736" s="1657">
        <f t="shared" si="474"/>
        <v>1950</v>
      </c>
      <c r="AP736" s="1657"/>
      <c r="AQ736" s="1657"/>
      <c r="AR736" s="1657"/>
      <c r="AS736" s="1657"/>
      <c r="AT736" s="1658"/>
      <c r="AU736" s="1658"/>
      <c r="AV736" s="1658"/>
      <c r="AW736" s="1658"/>
      <c r="AX736" s="1658"/>
      <c r="AZ736" s="1658">
        <f t="shared" si="473"/>
        <v>150</v>
      </c>
      <c r="BA736" s="1658"/>
      <c r="BB736" s="1658"/>
      <c r="BC736" s="1658"/>
      <c r="BD736" s="1658"/>
      <c r="BE736" s="1658"/>
      <c r="BF736" s="1658"/>
      <c r="BG736" s="1658"/>
      <c r="BH736" s="1658"/>
      <c r="BI736" s="1658"/>
      <c r="BJ736" s="1658"/>
      <c r="BK736" s="1658"/>
      <c r="BL736" s="1658"/>
      <c r="BM736" s="401">
        <f t="shared" si="447"/>
        <v>1950</v>
      </c>
      <c r="BN736" s="200">
        <f t="shared" si="451"/>
        <v>41383</v>
      </c>
      <c r="BO736" s="1473"/>
      <c r="BP736" s="1473">
        <f t="shared" si="468"/>
        <v>-41383</v>
      </c>
      <c r="BQ736" s="200">
        <f t="shared" si="453"/>
        <v>0</v>
      </c>
      <c r="BR736" s="200">
        <f t="shared" si="454"/>
        <v>160</v>
      </c>
      <c r="BS736" s="200">
        <f t="shared" si="469"/>
        <v>-160</v>
      </c>
    </row>
    <row r="737" s="1438" customFormat="1" ht="36" customHeight="1" spans="1:71">
      <c r="A737" s="1620">
        <v>45555</v>
      </c>
      <c r="B737" s="1614" t="s">
        <v>243</v>
      </c>
      <c r="C737" s="1615" t="s">
        <v>213</v>
      </c>
      <c r="D737" s="1616">
        <v>4500145734</v>
      </c>
      <c r="E737" s="1617">
        <v>2950866059</v>
      </c>
      <c r="F737" s="1616" t="s">
        <v>3222</v>
      </c>
      <c r="G737" s="1618" t="s">
        <v>3203</v>
      </c>
      <c r="H737" s="1619" t="s">
        <v>833</v>
      </c>
      <c r="I737" s="1624">
        <v>1950</v>
      </c>
      <c r="J737" s="1625">
        <v>0</v>
      </c>
      <c r="K737" s="1618">
        <v>975</v>
      </c>
      <c r="L737" s="1624">
        <f t="shared" si="460"/>
        <v>2</v>
      </c>
      <c r="M737" s="1627">
        <v>45657</v>
      </c>
      <c r="N737" s="1627">
        <v>45656</v>
      </c>
      <c r="O737" s="1623"/>
      <c r="P737" s="1623" t="s">
        <v>92</v>
      </c>
      <c r="Q737" s="1623"/>
      <c r="R737" s="1623">
        <v>45636</v>
      </c>
      <c r="S737" s="1634" t="s">
        <v>123</v>
      </c>
      <c r="T737" s="1635" t="s">
        <v>3223</v>
      </c>
      <c r="U737" s="1617" t="s">
        <v>3224</v>
      </c>
      <c r="V737" s="1617" t="s">
        <v>218</v>
      </c>
      <c r="W737" s="1637">
        <v>1289.8635</v>
      </c>
      <c r="X737" s="1638">
        <f t="shared" si="471"/>
        <v>2579.727</v>
      </c>
      <c r="Y737" s="1624"/>
      <c r="Z737" s="1653" t="s">
        <v>3203</v>
      </c>
      <c r="AA737" s="1654" t="s">
        <v>128</v>
      </c>
      <c r="AB737" s="1655">
        <v>1950</v>
      </c>
      <c r="AC737" s="1655">
        <f t="shared" si="472"/>
        <v>0</v>
      </c>
      <c r="AD737" s="1655"/>
      <c r="AE737" s="1623"/>
      <c r="AF737" s="1656" t="s">
        <v>3127</v>
      </c>
      <c r="AG737" s="1655">
        <f t="shared" si="463"/>
        <v>1950</v>
      </c>
      <c r="AH737" s="1655"/>
      <c r="AI737" s="1655"/>
      <c r="AJ737" s="1655"/>
      <c r="AK737" s="1657"/>
      <c r="AL737" s="1657">
        <f t="shared" si="470"/>
        <v>1950</v>
      </c>
      <c r="AM737" s="1657"/>
      <c r="AN737" s="1657"/>
      <c r="AO737" s="1657">
        <f t="shared" si="474"/>
        <v>1950</v>
      </c>
      <c r="AP737" s="1657"/>
      <c r="AQ737" s="1657"/>
      <c r="AR737" s="1657"/>
      <c r="AS737" s="1657"/>
      <c r="AT737" s="1658"/>
      <c r="AU737" s="1658"/>
      <c r="AV737" s="1658"/>
      <c r="AW737" s="1658"/>
      <c r="AX737" s="1658"/>
      <c r="AY737" s="1658"/>
      <c r="AZ737" s="1658">
        <f t="shared" si="473"/>
        <v>150</v>
      </c>
      <c r="BA737" s="1658"/>
      <c r="BB737" s="1658"/>
      <c r="BC737" s="1658"/>
      <c r="BD737" s="1658"/>
      <c r="BE737" s="1658"/>
      <c r="BF737" s="1658"/>
      <c r="BG737" s="1658"/>
      <c r="BH737" s="1658"/>
      <c r="BI737" s="1658"/>
      <c r="BJ737" s="1658"/>
      <c r="BK737" s="1658"/>
      <c r="BL737" s="1658"/>
      <c r="BM737" s="401">
        <f t="shared" si="447"/>
        <v>1950</v>
      </c>
      <c r="BN737" s="200">
        <f t="shared" si="451"/>
        <v>43333</v>
      </c>
      <c r="BO737" s="1473"/>
      <c r="BP737" s="1473">
        <f t="shared" si="468"/>
        <v>-43333</v>
      </c>
      <c r="BQ737" s="200">
        <f t="shared" si="453"/>
        <v>0</v>
      </c>
      <c r="BR737" s="200">
        <f t="shared" si="454"/>
        <v>160</v>
      </c>
      <c r="BS737" s="200">
        <f t="shared" si="469"/>
        <v>-160</v>
      </c>
    </row>
    <row r="738" s="1438" customFormat="1" ht="36" customHeight="1" spans="1:71">
      <c r="A738" s="1613">
        <v>45618</v>
      </c>
      <c r="B738" s="1614" t="s">
        <v>116</v>
      </c>
      <c r="C738" s="1615" t="s">
        <v>117</v>
      </c>
      <c r="D738" s="1616">
        <v>4500152133</v>
      </c>
      <c r="E738" s="1617" t="s">
        <v>3225</v>
      </c>
      <c r="F738" s="1616" t="s">
        <v>3226</v>
      </c>
      <c r="G738" s="1618" t="s">
        <v>120</v>
      </c>
      <c r="H738" s="1619" t="s">
        <v>74</v>
      </c>
      <c r="I738" s="1624">
        <v>5061</v>
      </c>
      <c r="J738" s="1625">
        <v>0</v>
      </c>
      <c r="K738" s="1618">
        <v>21</v>
      </c>
      <c r="L738" s="1624">
        <f t="shared" si="460"/>
        <v>241</v>
      </c>
      <c r="M738" s="1626">
        <v>45657</v>
      </c>
      <c r="N738" s="1627">
        <v>45657</v>
      </c>
      <c r="O738" s="1623"/>
      <c r="P738" s="1623" t="s">
        <v>92</v>
      </c>
      <c r="Q738" s="1623"/>
      <c r="R738" s="1623">
        <v>45630</v>
      </c>
      <c r="S738" s="1640" t="s">
        <v>123</v>
      </c>
      <c r="T738" s="1642" t="s">
        <v>3227</v>
      </c>
      <c r="U738" s="1617" t="s">
        <v>3228</v>
      </c>
      <c r="V738" s="1636" t="s">
        <v>126</v>
      </c>
      <c r="W738" s="1637">
        <v>1.4585</v>
      </c>
      <c r="X738" s="1638">
        <f t="shared" ref="X738:X743" si="475">I738*W738</f>
        <v>7381.4685</v>
      </c>
      <c r="Y738" s="1624"/>
      <c r="Z738" s="1653" t="s">
        <v>120</v>
      </c>
      <c r="AA738" s="1654" t="s">
        <v>128</v>
      </c>
      <c r="AB738" s="1655">
        <v>5061</v>
      </c>
      <c r="AC738" s="1655">
        <f t="shared" si="472"/>
        <v>0</v>
      </c>
      <c r="AD738" s="1655"/>
      <c r="AE738" s="1623"/>
      <c r="AF738" s="1623" t="s">
        <v>3127</v>
      </c>
      <c r="AG738" s="1655">
        <f t="shared" si="463"/>
        <v>5061</v>
      </c>
      <c r="AH738" s="1655"/>
      <c r="AI738" s="1655"/>
      <c r="AJ738" s="1655"/>
      <c r="AK738" s="1657">
        <f t="shared" ref="AK738:AK740" si="476">I738</f>
        <v>5061</v>
      </c>
      <c r="AL738" s="1657"/>
      <c r="AM738" s="1657"/>
      <c r="AN738" s="1657"/>
      <c r="AO738" s="1659">
        <f t="shared" si="474"/>
        <v>5061</v>
      </c>
      <c r="AP738" s="1657"/>
      <c r="AQ738" s="1657"/>
      <c r="AR738" s="1657"/>
      <c r="AS738" s="1657">
        <v>241</v>
      </c>
      <c r="AT738" s="1658"/>
      <c r="AU738" s="1658"/>
      <c r="AV738" s="1658"/>
      <c r="AW738" s="1658"/>
      <c r="AX738" s="1658"/>
      <c r="AY738" s="1661"/>
      <c r="AZ738" s="1658"/>
      <c r="BA738" s="1658"/>
      <c r="BB738" s="1658"/>
      <c r="BC738" s="1658"/>
      <c r="BD738" s="1658"/>
      <c r="BE738" s="1658"/>
      <c r="BF738" s="1658"/>
      <c r="BG738" s="1658"/>
      <c r="BH738" s="1658"/>
      <c r="BI738" s="1658"/>
      <c r="BJ738" s="1658"/>
      <c r="BK738" s="1658"/>
      <c r="BL738" s="1658"/>
      <c r="BM738" s="401">
        <f t="shared" si="447"/>
        <v>5061</v>
      </c>
      <c r="BN738" s="200">
        <f t="shared" si="451"/>
        <v>48394</v>
      </c>
      <c r="BO738" s="1473"/>
      <c r="BP738" s="1473">
        <f t="shared" si="468"/>
        <v>-48394</v>
      </c>
      <c r="BQ738" s="200">
        <f t="shared" si="453"/>
        <v>241</v>
      </c>
      <c r="BR738" s="200">
        <f t="shared" si="454"/>
        <v>401</v>
      </c>
      <c r="BS738" s="200">
        <f t="shared" si="469"/>
        <v>-401</v>
      </c>
    </row>
    <row r="739" s="1438" customFormat="1" ht="36" customHeight="1" spans="1:71">
      <c r="A739" s="1613">
        <v>45621</v>
      </c>
      <c r="B739" s="1614" t="s">
        <v>232</v>
      </c>
      <c r="C739" s="1615" t="s">
        <v>233</v>
      </c>
      <c r="D739" s="1616">
        <v>4500152293</v>
      </c>
      <c r="E739" s="1617">
        <v>20478301</v>
      </c>
      <c r="F739" s="1616" t="s">
        <v>3229</v>
      </c>
      <c r="G739" s="1618" t="s">
        <v>160</v>
      </c>
      <c r="H739" s="1619" t="s">
        <v>74</v>
      </c>
      <c r="I739" s="1624">
        <v>1313</v>
      </c>
      <c r="J739" s="1625">
        <v>0</v>
      </c>
      <c r="K739" s="1618">
        <v>13</v>
      </c>
      <c r="L739" s="1624">
        <f t="shared" si="460"/>
        <v>101</v>
      </c>
      <c r="M739" s="1626">
        <v>45663</v>
      </c>
      <c r="N739" s="1627">
        <v>45663</v>
      </c>
      <c r="O739" s="1623"/>
      <c r="P739" s="1623" t="s">
        <v>92</v>
      </c>
      <c r="Q739" s="1623"/>
      <c r="R739" s="1623">
        <v>45629</v>
      </c>
      <c r="S739" s="1640" t="s">
        <v>123</v>
      </c>
      <c r="T739" s="1642" t="s">
        <v>3230</v>
      </c>
      <c r="U739" s="1617" t="s">
        <v>3231</v>
      </c>
      <c r="V739" s="1636" t="s">
        <v>1011</v>
      </c>
      <c r="W739" s="1637">
        <v>1.4432</v>
      </c>
      <c r="X739" s="1638">
        <f t="shared" si="475"/>
        <v>1894.9216</v>
      </c>
      <c r="Y739" s="1624"/>
      <c r="Z739" s="1653" t="s">
        <v>160</v>
      </c>
      <c r="AA739" s="1654" t="s">
        <v>128</v>
      </c>
      <c r="AB739" s="1655">
        <v>1313</v>
      </c>
      <c r="AC739" s="1655">
        <f t="shared" si="472"/>
        <v>0</v>
      </c>
      <c r="AD739" s="1655"/>
      <c r="AE739" s="1623"/>
      <c r="AF739" s="1623" t="s">
        <v>659</v>
      </c>
      <c r="AG739" s="1655">
        <f t="shared" si="463"/>
        <v>1313</v>
      </c>
      <c r="AH739" s="1655"/>
      <c r="AI739" s="1655"/>
      <c r="AJ739" s="1655"/>
      <c r="AK739" s="1657">
        <f t="shared" si="476"/>
        <v>1313</v>
      </c>
      <c r="AL739" s="1657"/>
      <c r="AM739" s="1657"/>
      <c r="AN739" s="1657"/>
      <c r="AO739" s="1659">
        <f t="shared" si="474"/>
        <v>1313</v>
      </c>
      <c r="AP739" s="1657"/>
      <c r="AQ739" s="1657"/>
      <c r="AR739" s="1657"/>
      <c r="AS739" s="1657"/>
      <c r="AT739" s="1658"/>
      <c r="AU739" s="1658"/>
      <c r="AV739" s="1658"/>
      <c r="AW739" s="1658"/>
      <c r="AX739" s="1658"/>
      <c r="AY739" s="1658">
        <f>I739/13</f>
        <v>101</v>
      </c>
      <c r="AZ739" s="1658"/>
      <c r="BA739" s="1658"/>
      <c r="BB739" s="1658"/>
      <c r="BC739" s="1658"/>
      <c r="BD739" s="1658"/>
      <c r="BE739" s="1658"/>
      <c r="BF739" s="1658"/>
      <c r="BG739" s="1658"/>
      <c r="BH739" s="1658"/>
      <c r="BI739" s="1658"/>
      <c r="BJ739" s="1658"/>
      <c r="BK739" s="1658"/>
      <c r="BL739" s="1658"/>
      <c r="BM739" s="401">
        <f t="shared" si="447"/>
        <v>1313</v>
      </c>
      <c r="BN739" s="200">
        <f t="shared" si="451"/>
        <v>49707</v>
      </c>
      <c r="BO739" s="1473"/>
      <c r="BP739" s="1473">
        <f t="shared" si="468"/>
        <v>-49707</v>
      </c>
      <c r="BQ739" s="200">
        <f t="shared" si="453"/>
        <v>0</v>
      </c>
      <c r="BR739" s="200">
        <f t="shared" si="454"/>
        <v>401</v>
      </c>
      <c r="BS739" s="200">
        <f t="shared" si="469"/>
        <v>-401</v>
      </c>
    </row>
    <row r="740" s="1438" customFormat="1" ht="36" customHeight="1" spans="1:71">
      <c r="A740" s="1613">
        <v>45621</v>
      </c>
      <c r="B740" s="1614" t="s">
        <v>189</v>
      </c>
      <c r="C740" s="1615" t="s">
        <v>190</v>
      </c>
      <c r="D740" s="1616">
        <v>4500152292</v>
      </c>
      <c r="E740" s="1617">
        <v>20357441</v>
      </c>
      <c r="F740" s="1616" t="s">
        <v>3232</v>
      </c>
      <c r="G740" s="1618" t="s">
        <v>160</v>
      </c>
      <c r="H740" s="1619" t="s">
        <v>74</v>
      </c>
      <c r="I740" s="1624">
        <v>195</v>
      </c>
      <c r="J740" s="1625">
        <v>0</v>
      </c>
      <c r="K740" s="1618">
        <v>13</v>
      </c>
      <c r="L740" s="1624">
        <f t="shared" si="460"/>
        <v>15</v>
      </c>
      <c r="M740" s="1626">
        <v>45663</v>
      </c>
      <c r="N740" s="1627">
        <v>45663</v>
      </c>
      <c r="O740" s="1623"/>
      <c r="P740" s="1623" t="s">
        <v>92</v>
      </c>
      <c r="Q740" s="1623"/>
      <c r="R740" s="1623">
        <v>45629</v>
      </c>
      <c r="S740" s="1640" t="s">
        <v>123</v>
      </c>
      <c r="T740" s="1642" t="s">
        <v>3230</v>
      </c>
      <c r="U740" s="1617" t="s">
        <v>3233</v>
      </c>
      <c r="V740" s="1636" t="s">
        <v>1011</v>
      </c>
      <c r="W740" s="1637">
        <v>1.4483</v>
      </c>
      <c r="X740" s="1638">
        <f t="shared" si="475"/>
        <v>282.4185</v>
      </c>
      <c r="Y740" s="1624"/>
      <c r="Z740" s="1653" t="s">
        <v>160</v>
      </c>
      <c r="AA740" s="1654" t="s">
        <v>128</v>
      </c>
      <c r="AB740" s="1655">
        <v>195</v>
      </c>
      <c r="AC740" s="1655">
        <f t="shared" si="472"/>
        <v>0</v>
      </c>
      <c r="AD740" s="1655"/>
      <c r="AE740" s="1623"/>
      <c r="AF740" s="1623" t="s">
        <v>659</v>
      </c>
      <c r="AG740" s="1655">
        <f t="shared" si="463"/>
        <v>195</v>
      </c>
      <c r="AH740" s="1655"/>
      <c r="AI740" s="1655"/>
      <c r="AJ740" s="1655"/>
      <c r="AK740" s="1657">
        <f t="shared" si="476"/>
        <v>195</v>
      </c>
      <c r="AL740" s="1657"/>
      <c r="AM740" s="1657"/>
      <c r="AN740" s="1657"/>
      <c r="AO740" s="1659">
        <f t="shared" si="474"/>
        <v>195</v>
      </c>
      <c r="AP740" s="1657"/>
      <c r="AQ740" s="1657"/>
      <c r="AR740" s="1657"/>
      <c r="AS740" s="1657"/>
      <c r="AT740" s="1658"/>
      <c r="AU740" s="1658"/>
      <c r="AV740" s="1658"/>
      <c r="AW740" s="1658"/>
      <c r="AX740" s="1658"/>
      <c r="AY740" s="1658">
        <f>I740/13</f>
        <v>15</v>
      </c>
      <c r="AZ740" s="1658"/>
      <c r="BA740" s="1658"/>
      <c r="BB740" s="1658"/>
      <c r="BC740" s="1658"/>
      <c r="BD740" s="1658"/>
      <c r="BE740" s="1658"/>
      <c r="BF740" s="1658"/>
      <c r="BG740" s="1658"/>
      <c r="BH740" s="1658"/>
      <c r="BI740" s="1658"/>
      <c r="BJ740" s="1658"/>
      <c r="BK740" s="1658"/>
      <c r="BL740" s="1658"/>
      <c r="BM740" s="401">
        <f t="shared" si="447"/>
        <v>195</v>
      </c>
      <c r="BN740" s="200">
        <f t="shared" si="451"/>
        <v>49902</v>
      </c>
      <c r="BO740" s="1473"/>
      <c r="BP740" s="1473">
        <f t="shared" si="468"/>
        <v>-49902</v>
      </c>
      <c r="BQ740" s="200">
        <f t="shared" si="453"/>
        <v>0</v>
      </c>
      <c r="BR740" s="200">
        <f t="shared" si="454"/>
        <v>401</v>
      </c>
      <c r="BS740" s="200">
        <f t="shared" si="469"/>
        <v>-401</v>
      </c>
    </row>
    <row r="741" s="200" customFormat="1" ht="36" customHeight="1" spans="1:71">
      <c r="A741" s="533">
        <v>45610</v>
      </c>
      <c r="B741" s="527" t="s">
        <v>250</v>
      </c>
      <c r="C741" s="528" t="s">
        <v>180</v>
      </c>
      <c r="D741" s="534">
        <v>4500151118</v>
      </c>
      <c r="E741" s="530">
        <v>5200005699</v>
      </c>
      <c r="F741" s="534" t="s">
        <v>3234</v>
      </c>
      <c r="G741" s="531" t="s">
        <v>1172</v>
      </c>
      <c r="H741" s="532" t="s">
        <v>1165</v>
      </c>
      <c r="I741" s="1496">
        <v>2000</v>
      </c>
      <c r="J741" s="1496">
        <v>0</v>
      </c>
      <c r="K741" s="1496">
        <v>25</v>
      </c>
      <c r="L741" s="1496">
        <f t="shared" si="460"/>
        <v>80</v>
      </c>
      <c r="M741" s="563">
        <v>45651</v>
      </c>
      <c r="N741" s="1495">
        <v>45651</v>
      </c>
      <c r="O741" s="564" t="s">
        <v>3235</v>
      </c>
      <c r="P741" s="564" t="s">
        <v>92</v>
      </c>
      <c r="Q741" s="564" t="s">
        <v>3129</v>
      </c>
      <c r="R741" s="564">
        <v>45618</v>
      </c>
      <c r="S741" s="1599" t="s">
        <v>77</v>
      </c>
      <c r="T741" s="1600" t="s">
        <v>3236</v>
      </c>
      <c r="U741" s="1609" t="s">
        <v>3237</v>
      </c>
      <c r="V741" s="596" t="s">
        <v>3007</v>
      </c>
      <c r="W741" s="592">
        <v>1.4171</v>
      </c>
      <c r="X741" s="593">
        <f t="shared" si="475"/>
        <v>2834.2</v>
      </c>
      <c r="Y741" s="401"/>
      <c r="Z741" s="607" t="s">
        <v>877</v>
      </c>
      <c r="AA741" s="1453" t="s">
        <v>128</v>
      </c>
      <c r="AB741" s="608">
        <v>2000</v>
      </c>
      <c r="AC741" s="608">
        <f t="shared" si="472"/>
        <v>0</v>
      </c>
      <c r="AD741" s="608"/>
      <c r="AE741" s="564"/>
      <c r="AF741" s="564" t="s">
        <v>3127</v>
      </c>
      <c r="AG741" s="608"/>
      <c r="AH741" s="608">
        <f>I741</f>
        <v>2000</v>
      </c>
      <c r="AI741" s="608"/>
      <c r="AJ741" s="608"/>
      <c r="AL741" s="609">
        <f>I741</f>
        <v>2000</v>
      </c>
      <c r="AM741" s="609"/>
      <c r="AN741" s="609"/>
      <c r="AO741" s="609">
        <f t="shared" si="474"/>
        <v>2000</v>
      </c>
      <c r="AP741" s="609"/>
      <c r="AQ741" s="609"/>
      <c r="AR741" s="609"/>
      <c r="AS741" s="609"/>
      <c r="AT741" s="633"/>
      <c r="AU741" s="633"/>
      <c r="AV741" s="633"/>
      <c r="AW741" s="633"/>
      <c r="AX741" s="633"/>
      <c r="AZ741" s="633"/>
      <c r="BA741" s="633"/>
      <c r="BB741" s="633">
        <f>I741/25</f>
        <v>80</v>
      </c>
      <c r="BC741" s="633"/>
      <c r="BD741" s="633"/>
      <c r="BE741" s="633"/>
      <c r="BF741" s="633"/>
      <c r="BG741" s="633"/>
      <c r="BH741" s="633"/>
      <c r="BI741" s="633"/>
      <c r="BJ741" s="633"/>
      <c r="BK741" s="633"/>
      <c r="BL741" s="633"/>
      <c r="BM741" s="401">
        <f t="shared" si="447"/>
        <v>2000</v>
      </c>
      <c r="BN741" s="200">
        <f t="shared" si="451"/>
        <v>51902</v>
      </c>
      <c r="BO741" s="1473"/>
      <c r="BP741" s="1473">
        <f t="shared" si="468"/>
        <v>-51902</v>
      </c>
      <c r="BQ741" s="200">
        <f t="shared" si="453"/>
        <v>80</v>
      </c>
      <c r="BR741" s="200">
        <f t="shared" si="454"/>
        <v>481</v>
      </c>
      <c r="BS741" s="200">
        <f t="shared" si="469"/>
        <v>-481</v>
      </c>
    </row>
    <row r="742" s="200" customFormat="1" ht="36" customHeight="1" spans="1:71">
      <c r="A742" s="1477">
        <v>45611</v>
      </c>
      <c r="B742" s="527" t="s">
        <v>383</v>
      </c>
      <c r="C742" s="528" t="s">
        <v>384</v>
      </c>
      <c r="D742" s="534">
        <v>4500151401</v>
      </c>
      <c r="E742" s="530">
        <v>2024101316</v>
      </c>
      <c r="F742" s="534" t="s">
        <v>3238</v>
      </c>
      <c r="G742" s="531" t="s">
        <v>215</v>
      </c>
      <c r="H742" s="532" t="s">
        <v>74</v>
      </c>
      <c r="I742" s="401">
        <v>2436</v>
      </c>
      <c r="J742" s="562">
        <v>0</v>
      </c>
      <c r="K742" s="531">
        <v>42</v>
      </c>
      <c r="L742" s="401">
        <f t="shared" si="460"/>
        <v>58</v>
      </c>
      <c r="M742" s="563">
        <v>45657</v>
      </c>
      <c r="N742" s="563">
        <v>45653</v>
      </c>
      <c r="O742" s="564" t="s">
        <v>3239</v>
      </c>
      <c r="P742" s="564" t="s">
        <v>92</v>
      </c>
      <c r="Q742" s="564"/>
      <c r="R742" s="564">
        <v>45617</v>
      </c>
      <c r="S742" s="1588" t="s">
        <v>77</v>
      </c>
      <c r="T742" s="1600" t="s">
        <v>3240</v>
      </c>
      <c r="U742" s="1499" t="s">
        <v>3241</v>
      </c>
      <c r="V742" s="596" t="s">
        <v>2800</v>
      </c>
      <c r="W742" s="592">
        <v>1.4539</v>
      </c>
      <c r="X742" s="593">
        <f t="shared" si="475"/>
        <v>3541.7004</v>
      </c>
      <c r="Y742" s="401"/>
      <c r="Z742" s="607" t="s">
        <v>220</v>
      </c>
      <c r="AA742" s="1453" t="s">
        <v>2723</v>
      </c>
      <c r="AB742" s="608"/>
      <c r="AC742" s="608">
        <f t="shared" si="472"/>
        <v>-2436</v>
      </c>
      <c r="AD742" s="608"/>
      <c r="AE742" s="564"/>
      <c r="AF742" s="564" t="s">
        <v>3242</v>
      </c>
      <c r="AG742" s="608">
        <f t="shared" ref="AG742:AG748" si="477">I742</f>
        <v>2436</v>
      </c>
      <c r="AH742" s="608"/>
      <c r="AI742" s="608"/>
      <c r="AJ742" s="608"/>
      <c r="AK742" s="609"/>
      <c r="AL742" s="609">
        <f>AG742</f>
        <v>2436</v>
      </c>
      <c r="AM742" s="609"/>
      <c r="AN742" s="609"/>
      <c r="AO742" s="609">
        <f t="shared" si="474"/>
        <v>2436</v>
      </c>
      <c r="AP742" s="609"/>
      <c r="AQ742" s="609"/>
      <c r="AR742" s="609"/>
      <c r="AS742" s="609"/>
      <c r="AT742" s="633">
        <f>AG742/21</f>
        <v>116</v>
      </c>
      <c r="AU742" s="633"/>
      <c r="AV742" s="633"/>
      <c r="AW742" s="633"/>
      <c r="AX742" s="633"/>
      <c r="AY742" s="1526"/>
      <c r="AZ742" s="633"/>
      <c r="BA742" s="633"/>
      <c r="BB742" s="633"/>
      <c r="BC742" s="633"/>
      <c r="BD742" s="633"/>
      <c r="BE742" s="633"/>
      <c r="BF742" s="633"/>
      <c r="BG742" s="633"/>
      <c r="BH742" s="633"/>
      <c r="BI742" s="633"/>
      <c r="BJ742" s="633"/>
      <c r="BK742" s="633"/>
      <c r="BL742" s="633"/>
      <c r="BM742" s="401">
        <f t="shared" si="447"/>
        <v>2436</v>
      </c>
      <c r="BN742" s="200">
        <f t="shared" si="451"/>
        <v>54338</v>
      </c>
      <c r="BO742" s="1473"/>
      <c r="BP742" s="1473">
        <f t="shared" si="468"/>
        <v>-54338</v>
      </c>
      <c r="BQ742" s="200">
        <f t="shared" si="453"/>
        <v>116</v>
      </c>
      <c r="BR742" s="200">
        <f t="shared" si="454"/>
        <v>597</v>
      </c>
      <c r="BS742" s="200">
        <f t="shared" si="469"/>
        <v>-597</v>
      </c>
    </row>
    <row r="743" s="200" customFormat="1" ht="36" customHeight="1" spans="1:71">
      <c r="A743" s="1477">
        <v>45616</v>
      </c>
      <c r="B743" s="527" t="s">
        <v>2763</v>
      </c>
      <c r="C743" s="528" t="s">
        <v>384</v>
      </c>
      <c r="D743" s="534">
        <v>4500151832</v>
      </c>
      <c r="E743" s="530">
        <v>4500054541</v>
      </c>
      <c r="F743" s="534" t="s">
        <v>3243</v>
      </c>
      <c r="G743" s="531" t="s">
        <v>215</v>
      </c>
      <c r="H743" s="532" t="s">
        <v>74</v>
      </c>
      <c r="I743" s="401">
        <v>1932</v>
      </c>
      <c r="J743" s="562">
        <v>0</v>
      </c>
      <c r="K743" s="531">
        <v>42</v>
      </c>
      <c r="L743" s="401">
        <f t="shared" si="460"/>
        <v>46</v>
      </c>
      <c r="M743" s="563">
        <v>45657</v>
      </c>
      <c r="N743" s="563">
        <v>45653</v>
      </c>
      <c r="O743" s="564" t="s">
        <v>3239</v>
      </c>
      <c r="P743" s="1502" t="s">
        <v>1262</v>
      </c>
      <c r="Q743" s="564" t="s">
        <v>3144</v>
      </c>
      <c r="R743" s="564">
        <v>45616</v>
      </c>
      <c r="S743" s="1588" t="s">
        <v>77</v>
      </c>
      <c r="T743" s="1600" t="s">
        <v>3240</v>
      </c>
      <c r="U743" s="1499" t="s">
        <v>3244</v>
      </c>
      <c r="V743" s="596" t="s">
        <v>2800</v>
      </c>
      <c r="W743" s="592">
        <v>1.4539</v>
      </c>
      <c r="X743" s="593">
        <f t="shared" si="475"/>
        <v>2808.9348</v>
      </c>
      <c r="Y743" s="401"/>
      <c r="Z743" s="607" t="s">
        <v>220</v>
      </c>
      <c r="AA743" s="154" t="s">
        <v>2723</v>
      </c>
      <c r="AB743" s="608">
        <v>1932</v>
      </c>
      <c r="AC743" s="608">
        <f t="shared" si="472"/>
        <v>0</v>
      </c>
      <c r="AD743" s="608"/>
      <c r="AE743" s="564"/>
      <c r="AF743" s="564" t="s">
        <v>3127</v>
      </c>
      <c r="AG743" s="608">
        <f t="shared" si="477"/>
        <v>1932</v>
      </c>
      <c r="AH743" s="608"/>
      <c r="AI743" s="608"/>
      <c r="AJ743" s="608"/>
      <c r="AK743" s="609"/>
      <c r="AL743" s="609">
        <f>AG743</f>
        <v>1932</v>
      </c>
      <c r="AM743" s="609"/>
      <c r="AN743" s="609"/>
      <c r="AO743" s="609">
        <f t="shared" si="474"/>
        <v>1932</v>
      </c>
      <c r="AP743" s="609"/>
      <c r="AQ743" s="609"/>
      <c r="AR743" s="609"/>
      <c r="AS743" s="609"/>
      <c r="AT743" s="633">
        <f>AG743/21</f>
        <v>92</v>
      </c>
      <c r="AU743" s="633"/>
      <c r="AV743" s="633"/>
      <c r="AW743" s="633"/>
      <c r="AX743" s="633"/>
      <c r="AY743" s="1526"/>
      <c r="AZ743" s="633"/>
      <c r="BA743" s="633"/>
      <c r="BB743" s="633"/>
      <c r="BC743" s="633"/>
      <c r="BD743" s="633"/>
      <c r="BE743" s="633"/>
      <c r="BF743" s="633"/>
      <c r="BG743" s="633"/>
      <c r="BH743" s="633"/>
      <c r="BI743" s="633"/>
      <c r="BJ743" s="633"/>
      <c r="BK743" s="633"/>
      <c r="BL743" s="633"/>
      <c r="BM743" s="401">
        <f t="shared" si="447"/>
        <v>1932</v>
      </c>
      <c r="BN743" s="200">
        <f t="shared" si="451"/>
        <v>56270</v>
      </c>
      <c r="BO743" s="1473"/>
      <c r="BP743" s="1473">
        <f t="shared" si="468"/>
        <v>-56270</v>
      </c>
      <c r="BQ743" s="200">
        <f t="shared" si="453"/>
        <v>92</v>
      </c>
      <c r="BR743" s="200">
        <f t="shared" si="454"/>
        <v>689</v>
      </c>
      <c r="BS743" s="200">
        <f t="shared" si="469"/>
        <v>-689</v>
      </c>
    </row>
    <row r="744" s="3" customFormat="1" ht="36" customHeight="1" spans="1:71">
      <c r="A744" s="647">
        <v>45623</v>
      </c>
      <c r="B744" s="75" t="s">
        <v>1892</v>
      </c>
      <c r="C744" s="76" t="s">
        <v>117</v>
      </c>
      <c r="D744" s="77">
        <v>4500152559</v>
      </c>
      <c r="E744" s="1685" t="s">
        <v>3245</v>
      </c>
      <c r="F744" s="114" t="s">
        <v>3246</v>
      </c>
      <c r="G744" s="23" t="s">
        <v>1895</v>
      </c>
      <c r="H744" s="24" t="s">
        <v>1672</v>
      </c>
      <c r="I744" s="189">
        <v>510</v>
      </c>
      <c r="J744" s="467">
        <v>0</v>
      </c>
      <c r="K744" s="467">
        <v>30</v>
      </c>
      <c r="L744" s="469">
        <f t="shared" si="460"/>
        <v>17</v>
      </c>
      <c r="M744" s="90">
        <v>45660</v>
      </c>
      <c r="N744" s="90">
        <v>45656</v>
      </c>
      <c r="O744" s="91"/>
      <c r="P744" s="91"/>
      <c r="Q744" s="91"/>
      <c r="R744" s="91">
        <v>45630</v>
      </c>
      <c r="S744" s="663" t="s">
        <v>123</v>
      </c>
      <c r="T744" s="113" t="s">
        <v>3247</v>
      </c>
      <c r="U744" s="1643" t="s">
        <v>3248</v>
      </c>
      <c r="V744" s="115" t="s">
        <v>3249</v>
      </c>
      <c r="W744" s="1644">
        <v>75.5207</v>
      </c>
      <c r="X744" s="1645">
        <f t="shared" ref="X744:X748" si="478">W744*L744</f>
        <v>1283.8519</v>
      </c>
      <c r="Y744" s="88"/>
      <c r="Z744" s="470" t="s">
        <v>1895</v>
      </c>
      <c r="AA744" s="154" t="s">
        <v>128</v>
      </c>
      <c r="AB744" s="155">
        <v>510</v>
      </c>
      <c r="AC744" s="608">
        <f t="shared" si="472"/>
        <v>0</v>
      </c>
      <c r="AD744" s="155"/>
      <c r="AE744" s="91"/>
      <c r="AF744" s="91"/>
      <c r="AG744" s="155">
        <f t="shared" si="477"/>
        <v>510</v>
      </c>
      <c r="AH744" s="155"/>
      <c r="AI744" s="155"/>
      <c r="AJ744" s="155"/>
      <c r="AK744" s="175">
        <f t="shared" ref="AK744:AK749" si="479">AG744</f>
        <v>510</v>
      </c>
      <c r="AL744" s="175"/>
      <c r="AM744" s="175"/>
      <c r="AN744" s="175"/>
      <c r="AO744" s="175">
        <f t="shared" ref="AO744:AO749" si="480">AG744</f>
        <v>510</v>
      </c>
      <c r="AP744" s="175"/>
      <c r="AQ744" s="814"/>
      <c r="AR744" s="814"/>
      <c r="AS744" s="814"/>
      <c r="AT744" s="764"/>
      <c r="AU744" s="764"/>
      <c r="AV744" s="764"/>
      <c r="AW744" s="764"/>
      <c r="AX744" s="764"/>
      <c r="AY744" s="1591"/>
      <c r="AZ744" s="181"/>
      <c r="BA744" s="181"/>
      <c r="BB744" s="181"/>
      <c r="BC744" s="181"/>
      <c r="BD744" s="181"/>
      <c r="BE744" s="181"/>
      <c r="BF744" s="181"/>
      <c r="BG744" s="181"/>
      <c r="BH744" s="181"/>
      <c r="BI744" s="181"/>
      <c r="BJ744" s="181"/>
      <c r="BK744" s="181"/>
      <c r="BL744" s="181"/>
      <c r="BM744" s="401">
        <f t="shared" si="447"/>
        <v>510</v>
      </c>
      <c r="BN744" s="200">
        <f t="shared" si="451"/>
        <v>56780</v>
      </c>
      <c r="BO744" s="1473"/>
      <c r="BP744" s="1473">
        <f t="shared" si="468"/>
        <v>-56780</v>
      </c>
      <c r="BQ744" s="200">
        <f t="shared" si="453"/>
        <v>0</v>
      </c>
      <c r="BR744" s="200">
        <f t="shared" si="454"/>
        <v>689</v>
      </c>
      <c r="BS744" s="200">
        <f t="shared" si="469"/>
        <v>-689</v>
      </c>
    </row>
    <row r="745" s="3" customFormat="1" ht="36" customHeight="1" spans="1:71">
      <c r="A745" s="647">
        <v>45623</v>
      </c>
      <c r="B745" s="75" t="s">
        <v>1892</v>
      </c>
      <c r="C745" s="76" t="s">
        <v>117</v>
      </c>
      <c r="D745" s="77">
        <v>4500152559</v>
      </c>
      <c r="E745" s="1685" t="s">
        <v>3250</v>
      </c>
      <c r="F745" s="114" t="s">
        <v>3251</v>
      </c>
      <c r="G745" s="23" t="s">
        <v>1895</v>
      </c>
      <c r="H745" s="24" t="s">
        <v>1672</v>
      </c>
      <c r="I745" s="189">
        <v>420</v>
      </c>
      <c r="J745" s="467">
        <v>0</v>
      </c>
      <c r="K745" s="467">
        <v>30</v>
      </c>
      <c r="L745" s="469">
        <f t="shared" si="460"/>
        <v>14</v>
      </c>
      <c r="M745" s="90">
        <v>45660</v>
      </c>
      <c r="N745" s="90">
        <v>45656</v>
      </c>
      <c r="O745" s="91"/>
      <c r="P745" s="91"/>
      <c r="Q745" s="91"/>
      <c r="R745" s="91">
        <v>45630</v>
      </c>
      <c r="S745" s="663" t="s">
        <v>123</v>
      </c>
      <c r="T745" s="113" t="s">
        <v>3247</v>
      </c>
      <c r="U745" s="1643" t="s">
        <v>3248</v>
      </c>
      <c r="V745" s="115" t="s">
        <v>3249</v>
      </c>
      <c r="W745" s="1644">
        <v>75.5207</v>
      </c>
      <c r="X745" s="1645">
        <f t="shared" si="478"/>
        <v>1057.2898</v>
      </c>
      <c r="Y745" s="88"/>
      <c r="Z745" s="470" t="s">
        <v>1895</v>
      </c>
      <c r="AA745" s="154" t="s">
        <v>128</v>
      </c>
      <c r="AB745" s="155">
        <v>420</v>
      </c>
      <c r="AC745" s="608">
        <f t="shared" si="472"/>
        <v>0</v>
      </c>
      <c r="AD745" s="155"/>
      <c r="AE745" s="91"/>
      <c r="AF745" s="91"/>
      <c r="AG745" s="155">
        <f t="shared" si="477"/>
        <v>420</v>
      </c>
      <c r="AH745" s="155"/>
      <c r="AI745" s="155"/>
      <c r="AJ745" s="155"/>
      <c r="AK745" s="175">
        <f t="shared" si="479"/>
        <v>420</v>
      </c>
      <c r="AL745" s="175"/>
      <c r="AM745" s="175"/>
      <c r="AN745" s="175"/>
      <c r="AO745" s="175">
        <f t="shared" si="480"/>
        <v>420</v>
      </c>
      <c r="AP745" s="175"/>
      <c r="AQ745" s="814"/>
      <c r="AR745" s="814"/>
      <c r="AS745" s="814"/>
      <c r="AT745" s="764"/>
      <c r="AU745" s="764"/>
      <c r="AV745" s="764"/>
      <c r="AW745" s="764"/>
      <c r="AX745" s="764"/>
      <c r="AY745" s="1591"/>
      <c r="AZ745" s="181"/>
      <c r="BA745" s="181"/>
      <c r="BB745" s="181"/>
      <c r="BC745" s="181"/>
      <c r="BD745" s="181"/>
      <c r="BE745" s="181"/>
      <c r="BF745" s="181"/>
      <c r="BG745" s="181"/>
      <c r="BH745" s="181"/>
      <c r="BI745" s="181"/>
      <c r="BJ745" s="181"/>
      <c r="BK745" s="181"/>
      <c r="BL745" s="181"/>
      <c r="BM745" s="401">
        <f t="shared" si="447"/>
        <v>420</v>
      </c>
      <c r="BN745" s="200">
        <f t="shared" si="451"/>
        <v>57200</v>
      </c>
      <c r="BO745" s="1473"/>
      <c r="BP745" s="1473">
        <f t="shared" si="468"/>
        <v>-57200</v>
      </c>
      <c r="BQ745" s="200">
        <f t="shared" si="453"/>
        <v>0</v>
      </c>
      <c r="BR745" s="200">
        <f t="shared" si="454"/>
        <v>689</v>
      </c>
      <c r="BS745" s="200">
        <f t="shared" si="469"/>
        <v>-689</v>
      </c>
    </row>
    <row r="746" s="3" customFormat="1" ht="36" customHeight="1" spans="1:71">
      <c r="A746" s="647">
        <v>45623</v>
      </c>
      <c r="B746" s="75" t="s">
        <v>1892</v>
      </c>
      <c r="C746" s="76" t="s">
        <v>117</v>
      </c>
      <c r="D746" s="77">
        <v>4500152559</v>
      </c>
      <c r="E746" s="467">
        <v>92242913</v>
      </c>
      <c r="F746" s="114" t="s">
        <v>3252</v>
      </c>
      <c r="G746" s="23" t="s">
        <v>1895</v>
      </c>
      <c r="H746" s="24" t="s">
        <v>1672</v>
      </c>
      <c r="I746" s="189">
        <v>960</v>
      </c>
      <c r="J746" s="467">
        <v>0</v>
      </c>
      <c r="K746" s="467">
        <v>30</v>
      </c>
      <c r="L746" s="469">
        <f t="shared" si="460"/>
        <v>32</v>
      </c>
      <c r="M746" s="90">
        <v>45660</v>
      </c>
      <c r="N746" s="90">
        <v>45656</v>
      </c>
      <c r="O746" s="91"/>
      <c r="P746" s="91"/>
      <c r="Q746" s="91"/>
      <c r="R746" s="91">
        <v>45630</v>
      </c>
      <c r="S746" s="663" t="s">
        <v>123</v>
      </c>
      <c r="T746" s="113" t="s">
        <v>3253</v>
      </c>
      <c r="U746" s="1643" t="s">
        <v>3248</v>
      </c>
      <c r="V746" s="115" t="s">
        <v>3249</v>
      </c>
      <c r="W746" s="1644">
        <v>75.5207</v>
      </c>
      <c r="X746" s="1645">
        <f t="shared" si="478"/>
        <v>2416.6624</v>
      </c>
      <c r="Y746" s="88"/>
      <c r="Z746" s="470" t="s">
        <v>1895</v>
      </c>
      <c r="AA746" s="154" t="s">
        <v>128</v>
      </c>
      <c r="AB746" s="155">
        <v>960</v>
      </c>
      <c r="AC746" s="608">
        <f t="shared" si="472"/>
        <v>0</v>
      </c>
      <c r="AD746" s="155"/>
      <c r="AE746" s="91"/>
      <c r="AF746" s="91"/>
      <c r="AG746" s="155">
        <f t="shared" si="477"/>
        <v>960</v>
      </c>
      <c r="AH746" s="155"/>
      <c r="AI746" s="155"/>
      <c r="AJ746" s="155"/>
      <c r="AK746" s="175">
        <f t="shared" si="479"/>
        <v>960</v>
      </c>
      <c r="AL746" s="175"/>
      <c r="AM746" s="175"/>
      <c r="AN746" s="175"/>
      <c r="AO746" s="175">
        <f t="shared" si="480"/>
        <v>960</v>
      </c>
      <c r="AP746" s="175"/>
      <c r="AQ746" s="814"/>
      <c r="AR746" s="814"/>
      <c r="AS746" s="814"/>
      <c r="AT746" s="764"/>
      <c r="AU746" s="764"/>
      <c r="AV746" s="764"/>
      <c r="AW746" s="764"/>
      <c r="AX746" s="764"/>
      <c r="AY746" s="1591"/>
      <c r="AZ746" s="181"/>
      <c r="BA746" s="181"/>
      <c r="BB746" s="181"/>
      <c r="BC746" s="181"/>
      <c r="BD746" s="181"/>
      <c r="BE746" s="181"/>
      <c r="BF746" s="181"/>
      <c r="BG746" s="181"/>
      <c r="BH746" s="181"/>
      <c r="BI746" s="181"/>
      <c r="BJ746" s="181"/>
      <c r="BK746" s="181"/>
      <c r="BL746" s="181"/>
      <c r="BM746" s="401">
        <f t="shared" si="447"/>
        <v>960</v>
      </c>
      <c r="BN746" s="200">
        <f t="shared" si="451"/>
        <v>58160</v>
      </c>
      <c r="BO746" s="1473"/>
      <c r="BP746" s="1473">
        <f t="shared" si="468"/>
        <v>-58160</v>
      </c>
      <c r="BQ746" s="200">
        <f t="shared" si="453"/>
        <v>0</v>
      </c>
      <c r="BR746" s="200">
        <f t="shared" si="454"/>
        <v>689</v>
      </c>
      <c r="BS746" s="200">
        <f t="shared" si="469"/>
        <v>-689</v>
      </c>
    </row>
    <row r="747" s="3" customFormat="1" ht="36" customHeight="1" spans="1:71">
      <c r="A747" s="647">
        <v>45623</v>
      </c>
      <c r="B747" s="75" t="s">
        <v>1892</v>
      </c>
      <c r="C747" s="76" t="s">
        <v>117</v>
      </c>
      <c r="D747" s="77">
        <v>4500152559</v>
      </c>
      <c r="E747" s="467">
        <v>92242911</v>
      </c>
      <c r="F747" s="114" t="s">
        <v>3254</v>
      </c>
      <c r="G747" s="23" t="s">
        <v>1895</v>
      </c>
      <c r="H747" s="24" t="s">
        <v>1672</v>
      </c>
      <c r="I747" s="189">
        <v>1110</v>
      </c>
      <c r="J747" s="467">
        <v>0</v>
      </c>
      <c r="K747" s="467">
        <v>30</v>
      </c>
      <c r="L747" s="469">
        <f t="shared" si="460"/>
        <v>37</v>
      </c>
      <c r="M747" s="90">
        <v>45660</v>
      </c>
      <c r="N747" s="90">
        <v>45656</v>
      </c>
      <c r="O747" s="91"/>
      <c r="P747" s="91"/>
      <c r="Q747" s="91"/>
      <c r="R747" s="91">
        <v>45630</v>
      </c>
      <c r="S747" s="663" t="s">
        <v>123</v>
      </c>
      <c r="T747" s="113" t="s">
        <v>3253</v>
      </c>
      <c r="U747" s="1643" t="s">
        <v>3248</v>
      </c>
      <c r="V747" s="115" t="s">
        <v>3249</v>
      </c>
      <c r="W747" s="1644">
        <v>75.3677</v>
      </c>
      <c r="X747" s="1645">
        <f t="shared" si="478"/>
        <v>2788.6049</v>
      </c>
      <c r="Y747" s="88"/>
      <c r="Z747" s="470" t="s">
        <v>1895</v>
      </c>
      <c r="AA747" s="154" t="s">
        <v>128</v>
      </c>
      <c r="AB747" s="155">
        <v>1110</v>
      </c>
      <c r="AC747" s="608">
        <f t="shared" si="472"/>
        <v>0</v>
      </c>
      <c r="AD747" s="155"/>
      <c r="AE747" s="91"/>
      <c r="AF747" s="91"/>
      <c r="AG747" s="155">
        <f t="shared" si="477"/>
        <v>1110</v>
      </c>
      <c r="AH747" s="155"/>
      <c r="AI747" s="155"/>
      <c r="AJ747" s="155"/>
      <c r="AK747" s="175">
        <f t="shared" si="479"/>
        <v>1110</v>
      </c>
      <c r="AL747" s="175"/>
      <c r="AM747" s="175"/>
      <c r="AN747" s="175"/>
      <c r="AO747" s="175">
        <f t="shared" si="480"/>
        <v>1110</v>
      </c>
      <c r="AP747" s="175"/>
      <c r="AQ747" s="814"/>
      <c r="AR747" s="814"/>
      <c r="AS747" s="814"/>
      <c r="AT747" s="764"/>
      <c r="AU747" s="764"/>
      <c r="AV747" s="764"/>
      <c r="AW747" s="764"/>
      <c r="AX747" s="764"/>
      <c r="AY747" s="1591"/>
      <c r="AZ747" s="181"/>
      <c r="BA747" s="181"/>
      <c r="BB747" s="181"/>
      <c r="BC747" s="181"/>
      <c r="BD747" s="181"/>
      <c r="BE747" s="181"/>
      <c r="BF747" s="181"/>
      <c r="BG747" s="181"/>
      <c r="BH747" s="181"/>
      <c r="BI747" s="181"/>
      <c r="BJ747" s="181"/>
      <c r="BK747" s="181"/>
      <c r="BL747" s="181"/>
      <c r="BM747" s="401">
        <f t="shared" si="447"/>
        <v>1110</v>
      </c>
      <c r="BN747" s="200">
        <f t="shared" si="451"/>
        <v>59270</v>
      </c>
      <c r="BO747" s="1473"/>
      <c r="BP747" s="1473">
        <f t="shared" si="468"/>
        <v>-59270</v>
      </c>
      <c r="BQ747" s="200">
        <f t="shared" si="453"/>
        <v>0</v>
      </c>
      <c r="BR747" s="200">
        <f t="shared" si="454"/>
        <v>689</v>
      </c>
      <c r="BS747" s="200">
        <f t="shared" si="469"/>
        <v>-689</v>
      </c>
    </row>
    <row r="748" s="3" customFormat="1" ht="36" customHeight="1" spans="1:71">
      <c r="A748" s="647">
        <v>45623</v>
      </c>
      <c r="B748" s="75" t="s">
        <v>1892</v>
      </c>
      <c r="C748" s="76" t="s">
        <v>117</v>
      </c>
      <c r="D748" s="77">
        <v>4500152559</v>
      </c>
      <c r="E748" s="467">
        <v>92242912</v>
      </c>
      <c r="F748" s="114" t="s">
        <v>3255</v>
      </c>
      <c r="G748" s="23" t="s">
        <v>1895</v>
      </c>
      <c r="H748" s="24" t="s">
        <v>1672</v>
      </c>
      <c r="I748" s="189">
        <v>750</v>
      </c>
      <c r="J748" s="467">
        <v>0</v>
      </c>
      <c r="K748" s="467">
        <v>30</v>
      </c>
      <c r="L748" s="469">
        <f t="shared" si="460"/>
        <v>25</v>
      </c>
      <c r="M748" s="90">
        <v>45660</v>
      </c>
      <c r="N748" s="90">
        <v>45656</v>
      </c>
      <c r="O748" s="91"/>
      <c r="P748" s="91"/>
      <c r="Q748" s="91"/>
      <c r="R748" s="91">
        <v>45630</v>
      </c>
      <c r="S748" s="663" t="s">
        <v>123</v>
      </c>
      <c r="T748" s="113" t="s">
        <v>3253</v>
      </c>
      <c r="U748" s="1643" t="s">
        <v>3248</v>
      </c>
      <c r="V748" s="115" t="s">
        <v>3249</v>
      </c>
      <c r="W748" s="1644">
        <v>75.5207</v>
      </c>
      <c r="X748" s="1645">
        <f t="shared" si="478"/>
        <v>1888.0175</v>
      </c>
      <c r="Y748" s="88"/>
      <c r="Z748" s="470" t="s">
        <v>1895</v>
      </c>
      <c r="AA748" s="154" t="s">
        <v>128</v>
      </c>
      <c r="AB748" s="155">
        <v>750</v>
      </c>
      <c r="AC748" s="608">
        <f t="shared" si="472"/>
        <v>0</v>
      </c>
      <c r="AD748" s="155"/>
      <c r="AE748" s="91"/>
      <c r="AF748" s="91"/>
      <c r="AG748" s="155">
        <f t="shared" si="477"/>
        <v>750</v>
      </c>
      <c r="AH748" s="155"/>
      <c r="AI748" s="155"/>
      <c r="AJ748" s="155"/>
      <c r="AK748" s="175">
        <f t="shared" si="479"/>
        <v>750</v>
      </c>
      <c r="AL748" s="175"/>
      <c r="AM748" s="175"/>
      <c r="AN748" s="175"/>
      <c r="AO748" s="175">
        <f t="shared" si="480"/>
        <v>750</v>
      </c>
      <c r="AP748" s="175"/>
      <c r="AQ748" s="814"/>
      <c r="AR748" s="814"/>
      <c r="AS748" s="814"/>
      <c r="AT748" s="764"/>
      <c r="AU748" s="764"/>
      <c r="AV748" s="764"/>
      <c r="AW748" s="764"/>
      <c r="AX748" s="764"/>
      <c r="AY748" s="1591"/>
      <c r="AZ748" s="181"/>
      <c r="BA748" s="181"/>
      <c r="BB748" s="181"/>
      <c r="BC748" s="181"/>
      <c r="BD748" s="181"/>
      <c r="BE748" s="181"/>
      <c r="BF748" s="181"/>
      <c r="BG748" s="181"/>
      <c r="BH748" s="181"/>
      <c r="BI748" s="181"/>
      <c r="BJ748" s="181"/>
      <c r="BK748" s="181"/>
      <c r="BL748" s="181"/>
      <c r="BM748" s="401">
        <f t="shared" si="447"/>
        <v>750</v>
      </c>
      <c r="BN748" s="200">
        <f t="shared" si="451"/>
        <v>60020</v>
      </c>
      <c r="BO748" s="1473"/>
      <c r="BP748" s="1473">
        <f t="shared" si="468"/>
        <v>-60020</v>
      </c>
      <c r="BQ748" s="200">
        <f t="shared" si="453"/>
        <v>0</v>
      </c>
      <c r="BR748" s="200">
        <f t="shared" si="454"/>
        <v>689</v>
      </c>
      <c r="BS748" s="200">
        <f t="shared" si="469"/>
        <v>-689</v>
      </c>
    </row>
    <row r="749" s="3" customFormat="1" ht="36" customHeight="1" spans="1:71">
      <c r="A749" s="647">
        <v>45614</v>
      </c>
      <c r="B749" s="75" t="s">
        <v>3256</v>
      </c>
      <c r="C749" s="76" t="s">
        <v>117</v>
      </c>
      <c r="D749" s="77">
        <v>4500151479</v>
      </c>
      <c r="E749" s="114">
        <v>383017709</v>
      </c>
      <c r="F749" s="77" t="s">
        <v>3257</v>
      </c>
      <c r="G749" s="23" t="s">
        <v>628</v>
      </c>
      <c r="H749" s="24" t="s">
        <v>623</v>
      </c>
      <c r="I749" s="88">
        <v>2400</v>
      </c>
      <c r="J749" s="89">
        <v>0</v>
      </c>
      <c r="K749" s="23">
        <v>12</v>
      </c>
      <c r="L749" s="88">
        <f t="shared" si="460"/>
        <v>200</v>
      </c>
      <c r="M749" s="574">
        <v>45663</v>
      </c>
      <c r="N749" s="574">
        <v>45659</v>
      </c>
      <c r="O749" s="91"/>
      <c r="P749" s="91"/>
      <c r="Q749" s="91"/>
      <c r="R749" s="91">
        <v>45614</v>
      </c>
      <c r="S749" s="663" t="s">
        <v>77</v>
      </c>
      <c r="T749" s="1646" t="s">
        <v>3258</v>
      </c>
      <c r="U749" s="114" t="s">
        <v>3259</v>
      </c>
      <c r="V749" s="139" t="s">
        <v>1864</v>
      </c>
      <c r="W749" s="116">
        <v>3.1012</v>
      </c>
      <c r="X749" s="117">
        <f t="shared" ref="X749:X777" si="481">I749*W749</f>
        <v>7442.88</v>
      </c>
      <c r="Y749" s="88"/>
      <c r="Z749" s="470" t="s">
        <v>822</v>
      </c>
      <c r="AA749" s="154" t="s">
        <v>128</v>
      </c>
      <c r="AB749" s="155"/>
      <c r="AC749" s="608">
        <f t="shared" si="472"/>
        <v>-2400</v>
      </c>
      <c r="AD749" s="155"/>
      <c r="AE749" s="91"/>
      <c r="AF749" s="91"/>
      <c r="AG749" s="155">
        <f>I749*2</f>
        <v>4800</v>
      </c>
      <c r="AH749" s="155"/>
      <c r="AI749" s="155"/>
      <c r="AJ749" s="155"/>
      <c r="AK749" s="175">
        <f t="shared" si="479"/>
        <v>4800</v>
      </c>
      <c r="AL749" s="175"/>
      <c r="AM749" s="175"/>
      <c r="AN749" s="175"/>
      <c r="AO749" s="628">
        <f t="shared" si="480"/>
        <v>4800</v>
      </c>
      <c r="AP749" s="175"/>
      <c r="AQ749" s="175"/>
      <c r="AR749" s="175"/>
      <c r="AS749" s="175"/>
      <c r="AT749" s="181"/>
      <c r="AU749" s="181"/>
      <c r="AV749" s="181"/>
      <c r="AW749" s="181"/>
      <c r="AX749" s="181"/>
      <c r="AY749" s="1591"/>
      <c r="AZ749" s="181"/>
      <c r="BA749" s="181"/>
      <c r="BB749" s="181"/>
      <c r="BC749" s="181"/>
      <c r="BD749" s="181"/>
      <c r="BE749" s="181"/>
      <c r="BF749" s="181"/>
      <c r="BG749" s="181"/>
      <c r="BH749" s="181"/>
      <c r="BI749" s="181"/>
      <c r="BJ749" s="181"/>
      <c r="BK749" s="181">
        <f>I749</f>
        <v>2400</v>
      </c>
      <c r="BL749" s="181">
        <f>I749</f>
        <v>2400</v>
      </c>
      <c r="BM749" s="401">
        <f t="shared" si="447"/>
        <v>4800</v>
      </c>
      <c r="BN749" s="200">
        <f t="shared" si="451"/>
        <v>64820</v>
      </c>
      <c r="BO749" s="1473"/>
      <c r="BP749" s="1473">
        <f t="shared" si="468"/>
        <v>-64820</v>
      </c>
      <c r="BQ749" s="200">
        <f t="shared" si="453"/>
        <v>0</v>
      </c>
      <c r="BR749" s="200">
        <f t="shared" si="454"/>
        <v>689</v>
      </c>
      <c r="BS749" s="200">
        <f t="shared" si="469"/>
        <v>-689</v>
      </c>
    </row>
    <row r="750" s="200" customFormat="1" ht="36" customHeight="1" spans="1:71">
      <c r="A750" s="1477">
        <v>45615</v>
      </c>
      <c r="B750" s="527" t="s">
        <v>1080</v>
      </c>
      <c r="C750" s="528" t="s">
        <v>117</v>
      </c>
      <c r="D750" s="534">
        <v>4500151635</v>
      </c>
      <c r="E750" s="530">
        <v>4357</v>
      </c>
      <c r="F750" s="534" t="s">
        <v>3260</v>
      </c>
      <c r="G750" s="531" t="s">
        <v>160</v>
      </c>
      <c r="H750" s="532" t="s">
        <v>74</v>
      </c>
      <c r="I750" s="1514">
        <v>5369</v>
      </c>
      <c r="J750" s="562">
        <v>0</v>
      </c>
      <c r="K750" s="531">
        <v>13</v>
      </c>
      <c r="L750" s="401">
        <f t="shared" si="460"/>
        <v>413</v>
      </c>
      <c r="M750" s="563">
        <v>45665</v>
      </c>
      <c r="N750" s="1495">
        <v>45663</v>
      </c>
      <c r="O750" s="564"/>
      <c r="P750" s="200" t="s">
        <v>92</v>
      </c>
      <c r="Q750" s="564"/>
      <c r="R750" s="564">
        <v>45623</v>
      </c>
      <c r="S750" s="1588" t="s">
        <v>123</v>
      </c>
      <c r="T750" s="580" t="s">
        <v>3261</v>
      </c>
      <c r="U750" s="530" t="s">
        <v>3262</v>
      </c>
      <c r="V750" s="596" t="s">
        <v>3263</v>
      </c>
      <c r="W750" s="592">
        <v>1.4021</v>
      </c>
      <c r="X750" s="593">
        <f t="shared" si="481"/>
        <v>7527.8749</v>
      </c>
      <c r="Y750" s="401"/>
      <c r="Z750" s="607" t="s">
        <v>160</v>
      </c>
      <c r="AA750" s="1453" t="s">
        <v>128</v>
      </c>
      <c r="AB750" s="608">
        <v>5369</v>
      </c>
      <c r="AC750" s="608">
        <f t="shared" si="472"/>
        <v>0</v>
      </c>
      <c r="AD750" s="608"/>
      <c r="AE750" s="564"/>
      <c r="AF750" s="564"/>
      <c r="AG750" s="608">
        <f t="shared" ref="AG750:AG756" si="482">I750</f>
        <v>5369</v>
      </c>
      <c r="AH750" s="608"/>
      <c r="AI750" s="608"/>
      <c r="AJ750" s="608"/>
      <c r="AK750" s="609">
        <f t="shared" ref="AK750:AK756" si="483">I750</f>
        <v>5369</v>
      </c>
      <c r="AL750" s="609"/>
      <c r="AM750" s="609"/>
      <c r="AN750" s="609"/>
      <c r="AO750" s="609">
        <f t="shared" ref="AO750:AO754" si="484">I750</f>
        <v>5369</v>
      </c>
      <c r="AP750" s="609"/>
      <c r="AQ750" s="609"/>
      <c r="AR750" s="609"/>
      <c r="AS750" s="609"/>
      <c r="AT750" s="633"/>
      <c r="AU750" s="633"/>
      <c r="AV750" s="633"/>
      <c r="AW750" s="633"/>
      <c r="AX750" s="633"/>
      <c r="AY750" s="633">
        <f>I750/13</f>
        <v>413</v>
      </c>
      <c r="AZ750" s="633"/>
      <c r="BA750" s="633"/>
      <c r="BB750" s="633"/>
      <c r="BC750" s="633"/>
      <c r="BD750" s="633"/>
      <c r="BE750" s="633"/>
      <c r="BF750" s="633"/>
      <c r="BG750" s="633"/>
      <c r="BH750" s="633"/>
      <c r="BI750" s="633"/>
      <c r="BJ750" s="633"/>
      <c r="BK750" s="633"/>
      <c r="BL750" s="633"/>
      <c r="BM750" s="401">
        <f t="shared" si="447"/>
        <v>5369</v>
      </c>
      <c r="BN750" s="200">
        <f t="shared" si="451"/>
        <v>70189</v>
      </c>
      <c r="BO750" s="1473"/>
      <c r="BP750" s="1473">
        <f t="shared" si="468"/>
        <v>-70189</v>
      </c>
      <c r="BQ750" s="200">
        <f t="shared" si="453"/>
        <v>0</v>
      </c>
      <c r="BR750" s="200">
        <f t="shared" si="454"/>
        <v>689</v>
      </c>
      <c r="BS750" s="200">
        <f t="shared" si="469"/>
        <v>-689</v>
      </c>
    </row>
    <row r="751" s="3" customFormat="1" ht="36" customHeight="1" spans="1:71">
      <c r="A751" s="74">
        <v>45603</v>
      </c>
      <c r="B751" s="75" t="s">
        <v>3264</v>
      </c>
      <c r="C751" s="76" t="s">
        <v>373</v>
      </c>
      <c r="D751" s="77">
        <v>4500150460</v>
      </c>
      <c r="E751" s="114"/>
      <c r="F751" s="77" t="s">
        <v>3265</v>
      </c>
      <c r="G751" s="23" t="s">
        <v>107</v>
      </c>
      <c r="H751" s="24" t="s">
        <v>74</v>
      </c>
      <c r="I751" s="170">
        <v>2010</v>
      </c>
      <c r="J751" s="89">
        <v>0</v>
      </c>
      <c r="K751" s="23">
        <v>30</v>
      </c>
      <c r="L751" s="88">
        <f t="shared" si="460"/>
        <v>67</v>
      </c>
      <c r="M751" s="574">
        <v>45667</v>
      </c>
      <c r="N751" s="574">
        <v>45663</v>
      </c>
      <c r="O751" s="91"/>
      <c r="P751" s="91" t="s">
        <v>3266</v>
      </c>
      <c r="Q751" s="87"/>
      <c r="R751" s="91">
        <v>45630</v>
      </c>
      <c r="S751" s="91" t="s">
        <v>77</v>
      </c>
      <c r="T751" s="1647" t="s">
        <v>3267</v>
      </c>
      <c r="U751" s="189" t="s">
        <v>3268</v>
      </c>
      <c r="V751" s="115" t="s">
        <v>3007</v>
      </c>
      <c r="W751" s="116">
        <v>57.6474</v>
      </c>
      <c r="X751" s="117">
        <f>W751*L751</f>
        <v>3862.3758</v>
      </c>
      <c r="Y751" s="88"/>
      <c r="Z751" s="470" t="s">
        <v>423</v>
      </c>
      <c r="AA751" s="154" t="s">
        <v>128</v>
      </c>
      <c r="AB751" s="155"/>
      <c r="AC751" s="608">
        <f t="shared" si="472"/>
        <v>-2010</v>
      </c>
      <c r="AD751" s="155"/>
      <c r="AE751" s="91"/>
      <c r="AF751" s="91" t="s">
        <v>3242</v>
      </c>
      <c r="AG751" s="155">
        <f t="shared" si="482"/>
        <v>2010</v>
      </c>
      <c r="AH751" s="155"/>
      <c r="AI751" s="155"/>
      <c r="AJ751" s="155"/>
      <c r="AK751" s="408"/>
      <c r="AL751" s="175">
        <f t="shared" ref="AL751:AL753" si="485">I751</f>
        <v>2010</v>
      </c>
      <c r="AM751" s="175"/>
      <c r="AN751" s="175"/>
      <c r="AO751" s="175">
        <f t="shared" si="484"/>
        <v>2010</v>
      </c>
      <c r="AP751" s="175"/>
      <c r="AQ751" s="175"/>
      <c r="AR751" s="175"/>
      <c r="AS751" s="175"/>
      <c r="AT751" s="181"/>
      <c r="AU751" s="181"/>
      <c r="AV751" s="181"/>
      <c r="AW751" s="181"/>
      <c r="AX751" s="181"/>
      <c r="AY751" s="1591"/>
      <c r="AZ751" s="181"/>
      <c r="BA751" s="181"/>
      <c r="BB751" s="181"/>
      <c r="BC751" s="181"/>
      <c r="BD751" s="181"/>
      <c r="BE751" s="181"/>
      <c r="BF751" s="181"/>
      <c r="BG751" s="181">
        <f>I751/30</f>
        <v>67</v>
      </c>
      <c r="BH751" s="181">
        <f>BG751</f>
        <v>67</v>
      </c>
      <c r="BI751" s="181"/>
      <c r="BJ751" s="181"/>
      <c r="BK751" s="181"/>
      <c r="BL751" s="181"/>
      <c r="BM751" s="401">
        <f t="shared" si="447"/>
        <v>2010</v>
      </c>
      <c r="BN751" s="200">
        <f t="shared" si="451"/>
        <v>72199</v>
      </c>
      <c r="BO751" s="1473"/>
      <c r="BP751" s="1473">
        <f t="shared" si="468"/>
        <v>-72199</v>
      </c>
      <c r="BQ751" s="200">
        <f t="shared" si="453"/>
        <v>0</v>
      </c>
      <c r="BR751" s="200">
        <f t="shared" si="454"/>
        <v>689</v>
      </c>
      <c r="BS751" s="200">
        <f t="shared" si="469"/>
        <v>-689</v>
      </c>
    </row>
    <row r="752" s="691" customFormat="1" ht="36" customHeight="1" spans="1:71">
      <c r="A752" s="1621">
        <v>45622</v>
      </c>
      <c r="B752" s="721" t="s">
        <v>3269</v>
      </c>
      <c r="C752" s="722" t="s">
        <v>3188</v>
      </c>
      <c r="D752" s="777">
        <v>4500152326</v>
      </c>
      <c r="E752" s="724"/>
      <c r="F752" s="777" t="s">
        <v>3270</v>
      </c>
      <c r="G752" s="483" t="s">
        <v>96</v>
      </c>
      <c r="H752" s="725" t="s">
        <v>74</v>
      </c>
      <c r="I752" s="735">
        <v>250</v>
      </c>
      <c r="J752" s="736">
        <v>0</v>
      </c>
      <c r="K752" s="483">
        <v>50</v>
      </c>
      <c r="L752" s="735">
        <f t="shared" si="460"/>
        <v>5</v>
      </c>
      <c r="M752" s="738">
        <v>45663</v>
      </c>
      <c r="N752" s="1628">
        <v>45663</v>
      </c>
      <c r="O752" s="739"/>
      <c r="P752" s="739"/>
      <c r="Q752" s="87"/>
      <c r="R752" s="739">
        <v>45637</v>
      </c>
      <c r="S752" s="663" t="s">
        <v>77</v>
      </c>
      <c r="T752" s="795" t="s">
        <v>3271</v>
      </c>
      <c r="U752" s="1648" t="s">
        <v>3272</v>
      </c>
      <c r="V752" s="800" t="s">
        <v>618</v>
      </c>
      <c r="W752" s="749">
        <v>1.4395</v>
      </c>
      <c r="X752" s="750">
        <f t="shared" si="481"/>
        <v>359.875</v>
      </c>
      <c r="Y752" s="735"/>
      <c r="Z752" s="470" t="s">
        <v>292</v>
      </c>
      <c r="AA752" s="154" t="s">
        <v>128</v>
      </c>
      <c r="AB752" s="755"/>
      <c r="AC752" s="608">
        <f t="shared" si="472"/>
        <v>-250</v>
      </c>
      <c r="AD752" s="755"/>
      <c r="AE752" s="739"/>
      <c r="AF752" s="739"/>
      <c r="AG752" s="755">
        <f t="shared" si="482"/>
        <v>250</v>
      </c>
      <c r="AH752" s="755"/>
      <c r="AI752" s="755"/>
      <c r="AJ752" s="755"/>
      <c r="AK752" s="814"/>
      <c r="AL752" s="814">
        <f t="shared" si="485"/>
        <v>250</v>
      </c>
      <c r="AM752" s="814"/>
      <c r="AN752" s="814"/>
      <c r="AO752" s="814">
        <f t="shared" si="484"/>
        <v>250</v>
      </c>
      <c r="AP752" s="814"/>
      <c r="AQ752" s="814"/>
      <c r="AR752" s="814"/>
      <c r="AS752" s="814"/>
      <c r="AT752" s="764"/>
      <c r="AU752" s="764"/>
      <c r="AV752" s="764"/>
      <c r="AW752" s="764"/>
      <c r="AX752" s="764"/>
      <c r="AY752" s="1660"/>
      <c r="AZ752" s="764"/>
      <c r="BA752" s="764"/>
      <c r="BB752" s="181">
        <f t="shared" ref="BB752:BB757" si="486">I752/25</f>
        <v>10</v>
      </c>
      <c r="BC752" s="764"/>
      <c r="BD752" s="764"/>
      <c r="BE752" s="764"/>
      <c r="BF752" s="764"/>
      <c r="BG752" s="764"/>
      <c r="BH752" s="764"/>
      <c r="BI752" s="764"/>
      <c r="BJ752" s="764"/>
      <c r="BK752" s="764"/>
      <c r="BL752" s="764"/>
      <c r="BM752" s="401">
        <f t="shared" si="447"/>
        <v>250</v>
      </c>
      <c r="BN752" s="200">
        <f t="shared" si="451"/>
        <v>72449</v>
      </c>
      <c r="BO752" s="1473"/>
      <c r="BP752" s="1473">
        <f t="shared" si="468"/>
        <v>-72449</v>
      </c>
      <c r="BQ752" s="200">
        <f t="shared" si="453"/>
        <v>10</v>
      </c>
      <c r="BR752" s="200">
        <f t="shared" si="454"/>
        <v>699</v>
      </c>
      <c r="BS752" s="200">
        <f t="shared" si="469"/>
        <v>-699</v>
      </c>
    </row>
    <row r="753" s="200" customFormat="1" ht="36" customHeight="1" spans="1:71">
      <c r="A753" s="533">
        <v>45595</v>
      </c>
      <c r="B753" s="527" t="s">
        <v>3273</v>
      </c>
      <c r="C753" s="528" t="s">
        <v>286</v>
      </c>
      <c r="D753" s="534">
        <v>4500149669</v>
      </c>
      <c r="E753" s="1606"/>
      <c r="F753" s="534" t="s">
        <v>3274</v>
      </c>
      <c r="G753" s="531" t="s">
        <v>96</v>
      </c>
      <c r="H753" s="532" t="s">
        <v>74</v>
      </c>
      <c r="I753" s="401">
        <v>4250</v>
      </c>
      <c r="J753" s="562">
        <v>0</v>
      </c>
      <c r="K753" s="531">
        <v>50</v>
      </c>
      <c r="L753" s="401">
        <f t="shared" si="460"/>
        <v>85</v>
      </c>
      <c r="M753" s="1495">
        <v>45664</v>
      </c>
      <c r="N753" s="1495">
        <v>45663</v>
      </c>
      <c r="O753" s="564" t="s">
        <v>3275</v>
      </c>
      <c r="P753" s="564" t="s">
        <v>92</v>
      </c>
      <c r="Q753" s="564"/>
      <c r="R753" s="564">
        <v>45639</v>
      </c>
      <c r="S753" s="1588" t="s">
        <v>77</v>
      </c>
      <c r="T753" s="1631" t="s">
        <v>3276</v>
      </c>
      <c r="U753" s="530" t="s">
        <v>3277</v>
      </c>
      <c r="V753" s="596" t="s">
        <v>290</v>
      </c>
      <c r="W753" s="592">
        <v>1.4344</v>
      </c>
      <c r="X753" s="593">
        <f t="shared" si="481"/>
        <v>6096.2</v>
      </c>
      <c r="Y753" s="401"/>
      <c r="Z753" s="607" t="s">
        <v>292</v>
      </c>
      <c r="AA753" s="1453" t="s">
        <v>128</v>
      </c>
      <c r="AB753" s="608">
        <v>4250</v>
      </c>
      <c r="AC753" s="608">
        <f t="shared" si="472"/>
        <v>0</v>
      </c>
      <c r="AD753" s="608"/>
      <c r="AE753" s="564"/>
      <c r="AF753" s="564" t="s">
        <v>3242</v>
      </c>
      <c r="AG753" s="608">
        <f t="shared" si="482"/>
        <v>4250</v>
      </c>
      <c r="AH753" s="608"/>
      <c r="AI753" s="608"/>
      <c r="AJ753" s="608"/>
      <c r="AK753" s="714"/>
      <c r="AL753" s="609">
        <f t="shared" si="485"/>
        <v>4250</v>
      </c>
      <c r="AM753" s="609"/>
      <c r="AN753" s="609"/>
      <c r="AO753" s="609">
        <f t="shared" si="484"/>
        <v>4250</v>
      </c>
      <c r="AP753" s="609"/>
      <c r="AQ753" s="609"/>
      <c r="AR753" s="609"/>
      <c r="AS753" s="609"/>
      <c r="AT753" s="633"/>
      <c r="AU753" s="633"/>
      <c r="AV753" s="633"/>
      <c r="AW753" s="633"/>
      <c r="AX753" s="633"/>
      <c r="AY753" s="1526"/>
      <c r="AZ753" s="633"/>
      <c r="BA753" s="633"/>
      <c r="BB753" s="633">
        <f t="shared" si="486"/>
        <v>170</v>
      </c>
      <c r="BC753" s="633"/>
      <c r="BD753" s="633"/>
      <c r="BE753" s="633"/>
      <c r="BF753" s="633"/>
      <c r="BG753" s="633"/>
      <c r="BH753" s="633"/>
      <c r="BI753" s="633"/>
      <c r="BJ753" s="633"/>
      <c r="BK753" s="633"/>
      <c r="BL753" s="633"/>
      <c r="BM753" s="401">
        <f t="shared" si="447"/>
        <v>4250</v>
      </c>
      <c r="BN753" s="200">
        <f t="shared" si="451"/>
        <v>76699</v>
      </c>
      <c r="BO753" s="1473"/>
      <c r="BP753" s="1473">
        <f t="shared" si="468"/>
        <v>-76699</v>
      </c>
      <c r="BQ753" s="200">
        <f t="shared" si="453"/>
        <v>170</v>
      </c>
      <c r="BR753" s="200">
        <f t="shared" si="454"/>
        <v>869</v>
      </c>
      <c r="BS753" s="200">
        <f t="shared" si="469"/>
        <v>-869</v>
      </c>
    </row>
    <row r="754" s="3" customFormat="1" ht="36" customHeight="1" spans="1:71">
      <c r="A754" s="74">
        <v>45615</v>
      </c>
      <c r="B754" s="75" t="s">
        <v>2811</v>
      </c>
      <c r="C754" s="76" t="s">
        <v>117</v>
      </c>
      <c r="D754" s="77">
        <v>4500151779</v>
      </c>
      <c r="E754" s="114"/>
      <c r="F754" s="77" t="s">
        <v>3278</v>
      </c>
      <c r="G754" s="23" t="s">
        <v>160</v>
      </c>
      <c r="H754" s="24" t="s">
        <v>74</v>
      </c>
      <c r="I754" s="88">
        <v>1092</v>
      </c>
      <c r="J754" s="89">
        <v>0</v>
      </c>
      <c r="K754" s="23">
        <v>13</v>
      </c>
      <c r="L754" s="88">
        <f t="shared" si="460"/>
        <v>84</v>
      </c>
      <c r="M754" s="574">
        <v>45666</v>
      </c>
      <c r="N754" s="1628">
        <v>45663</v>
      </c>
      <c r="O754" s="91"/>
      <c r="P754" s="91"/>
      <c r="Q754" s="91"/>
      <c r="R754" s="739">
        <v>45637</v>
      </c>
      <c r="S754" s="739" t="s">
        <v>77</v>
      </c>
      <c r="T754" s="113" t="s">
        <v>77</v>
      </c>
      <c r="U754" s="114" t="s">
        <v>2814</v>
      </c>
      <c r="V754" s="139" t="s">
        <v>521</v>
      </c>
      <c r="W754" s="116">
        <v>1.4071</v>
      </c>
      <c r="X754" s="117">
        <f t="shared" si="481"/>
        <v>1536.5532</v>
      </c>
      <c r="Y754" s="88"/>
      <c r="Z754" s="470" t="s">
        <v>160</v>
      </c>
      <c r="AA754" s="154" t="s">
        <v>128</v>
      </c>
      <c r="AB754" s="155">
        <v>1092</v>
      </c>
      <c r="AC754" s="608">
        <f t="shared" si="472"/>
        <v>0</v>
      </c>
      <c r="AD754" s="155"/>
      <c r="AE754" s="91"/>
      <c r="AF754" s="91" t="s">
        <v>659</v>
      </c>
      <c r="AG754" s="155">
        <f t="shared" si="482"/>
        <v>1092</v>
      </c>
      <c r="AH754" s="155"/>
      <c r="AI754" s="155"/>
      <c r="AJ754" s="155"/>
      <c r="AK754" s="175">
        <f t="shared" si="483"/>
        <v>1092</v>
      </c>
      <c r="AL754" s="175"/>
      <c r="AM754" s="175"/>
      <c r="AN754" s="175"/>
      <c r="AO754" s="175">
        <f t="shared" si="484"/>
        <v>1092</v>
      </c>
      <c r="AP754" s="175"/>
      <c r="AQ754" s="175"/>
      <c r="AR754" s="175"/>
      <c r="AS754" s="175"/>
      <c r="AT754" s="181"/>
      <c r="AU754" s="181"/>
      <c r="AV754" s="181"/>
      <c r="AW754" s="181"/>
      <c r="AX754" s="181"/>
      <c r="AY754" s="181">
        <f>I754/13</f>
        <v>84</v>
      </c>
      <c r="AZ754" s="181"/>
      <c r="BA754" s="181"/>
      <c r="BB754" s="181"/>
      <c r="BC754" s="181"/>
      <c r="BD754" s="181"/>
      <c r="BE754" s="181"/>
      <c r="BF754" s="181"/>
      <c r="BG754" s="181"/>
      <c r="BH754" s="181"/>
      <c r="BI754" s="181"/>
      <c r="BJ754" s="181"/>
      <c r="BK754" s="181"/>
      <c r="BL754" s="181"/>
      <c r="BM754" s="401">
        <f t="shared" si="447"/>
        <v>1092</v>
      </c>
      <c r="BN754" s="200">
        <f t="shared" si="451"/>
        <v>77791</v>
      </c>
      <c r="BO754" s="1473"/>
      <c r="BP754" s="1473">
        <f t="shared" si="468"/>
        <v>-77791</v>
      </c>
      <c r="BQ754" s="200">
        <f t="shared" si="453"/>
        <v>0</v>
      </c>
      <c r="BR754" s="200">
        <f t="shared" si="454"/>
        <v>869</v>
      </c>
      <c r="BS754" s="200">
        <f t="shared" si="469"/>
        <v>-869</v>
      </c>
    </row>
    <row r="755" s="3" customFormat="1" ht="36" customHeight="1" spans="1:71">
      <c r="A755" s="647">
        <v>45604</v>
      </c>
      <c r="B755" s="75" t="s">
        <v>3076</v>
      </c>
      <c r="C755" s="76" t="s">
        <v>3092</v>
      </c>
      <c r="D755" s="77">
        <v>4500150683</v>
      </c>
      <c r="E755" s="114" t="s">
        <v>1571</v>
      </c>
      <c r="F755" s="77" t="s">
        <v>3279</v>
      </c>
      <c r="G755" s="23" t="s">
        <v>3079</v>
      </c>
      <c r="H755" s="24" t="s">
        <v>74</v>
      </c>
      <c r="I755" s="88">
        <v>504</v>
      </c>
      <c r="J755" s="89">
        <v>0</v>
      </c>
      <c r="K755" s="23">
        <v>42</v>
      </c>
      <c r="L755" s="88">
        <f t="shared" si="460"/>
        <v>12</v>
      </c>
      <c r="M755" s="90">
        <v>45667</v>
      </c>
      <c r="N755" s="90">
        <v>45663</v>
      </c>
      <c r="O755" s="87" t="s">
        <v>3080</v>
      </c>
      <c r="P755" s="91"/>
      <c r="Q755" s="91"/>
      <c r="R755" s="91" t="s">
        <v>3280</v>
      </c>
      <c r="S755" s="662" t="s">
        <v>77</v>
      </c>
      <c r="T755" s="1649" t="s">
        <v>3082</v>
      </c>
      <c r="U755" s="1650" t="s">
        <v>3281</v>
      </c>
      <c r="V755" s="139" t="s">
        <v>1294</v>
      </c>
      <c r="W755" s="116">
        <v>1.5571</v>
      </c>
      <c r="X755" s="117">
        <f t="shared" si="481"/>
        <v>784.7784</v>
      </c>
      <c r="Y755" s="88"/>
      <c r="Z755" s="470" t="s">
        <v>3079</v>
      </c>
      <c r="AA755" s="154" t="s">
        <v>128</v>
      </c>
      <c r="AB755" s="155"/>
      <c r="AC755" s="608">
        <f t="shared" si="472"/>
        <v>-504</v>
      </c>
      <c r="AD755" s="155"/>
      <c r="AE755" s="91"/>
      <c r="AF755" s="91"/>
      <c r="AG755" s="155">
        <f t="shared" si="482"/>
        <v>504</v>
      </c>
      <c r="AH755" s="155"/>
      <c r="AI755" s="88"/>
      <c r="AJ755" s="155"/>
      <c r="AK755" s="88">
        <f t="shared" si="483"/>
        <v>504</v>
      </c>
      <c r="AL755" s="88"/>
      <c r="AM755" s="175"/>
      <c r="AN755" s="175"/>
      <c r="AO755" s="175"/>
      <c r="AP755" s="175">
        <f>I755</f>
        <v>504</v>
      </c>
      <c r="AQ755" s="175"/>
      <c r="AR755" s="175"/>
      <c r="AS755" s="175"/>
      <c r="AT755" s="175">
        <f>I755/21</f>
        <v>24</v>
      </c>
      <c r="AU755" s="181"/>
      <c r="AV755" s="181"/>
      <c r="AW755" s="181"/>
      <c r="AX755" s="181"/>
      <c r="AY755" s="1591"/>
      <c r="AZ755" s="181"/>
      <c r="BA755" s="181"/>
      <c r="BB755" s="181"/>
      <c r="BC755" s="181"/>
      <c r="BD755" s="181"/>
      <c r="BE755" s="181"/>
      <c r="BF755" s="181"/>
      <c r="BG755" s="181"/>
      <c r="BH755" s="181"/>
      <c r="BI755" s="181"/>
      <c r="BJ755" s="181"/>
      <c r="BK755" s="181"/>
      <c r="BL755" s="181"/>
      <c r="BM755" s="401">
        <f t="shared" si="447"/>
        <v>504</v>
      </c>
      <c r="BN755" s="200">
        <f t="shared" si="451"/>
        <v>78295</v>
      </c>
      <c r="BO755" s="1473"/>
      <c r="BP755" s="1473">
        <f t="shared" si="468"/>
        <v>-78295</v>
      </c>
      <c r="BQ755" s="200">
        <f t="shared" si="453"/>
        <v>24</v>
      </c>
      <c r="BR755" s="200">
        <f t="shared" si="454"/>
        <v>893</v>
      </c>
      <c r="BS755" s="200">
        <f t="shared" si="469"/>
        <v>-893</v>
      </c>
    </row>
    <row r="756" s="3" customFormat="1" ht="36" customHeight="1" spans="1:71">
      <c r="A756" s="647">
        <v>45604</v>
      </c>
      <c r="B756" s="75" t="s">
        <v>3076</v>
      </c>
      <c r="C756" s="76" t="s">
        <v>3092</v>
      </c>
      <c r="D756" s="77">
        <v>4500150683</v>
      </c>
      <c r="E756" s="114" t="s">
        <v>1571</v>
      </c>
      <c r="F756" s="77" t="s">
        <v>3282</v>
      </c>
      <c r="G756" s="23" t="s">
        <v>3090</v>
      </c>
      <c r="H756" s="24" t="s">
        <v>74</v>
      </c>
      <c r="I756" s="170">
        <v>1800</v>
      </c>
      <c r="J756" s="89">
        <v>0</v>
      </c>
      <c r="K756" s="23">
        <v>60</v>
      </c>
      <c r="L756" s="88">
        <f t="shared" si="460"/>
        <v>30</v>
      </c>
      <c r="M756" s="90">
        <v>45667</v>
      </c>
      <c r="N756" s="90">
        <v>45663</v>
      </c>
      <c r="O756" s="87" t="s">
        <v>3080</v>
      </c>
      <c r="P756" s="91"/>
      <c r="Q756" s="91"/>
      <c r="R756" s="91" t="s">
        <v>3280</v>
      </c>
      <c r="S756" s="662" t="s">
        <v>77</v>
      </c>
      <c r="T756" s="1649" t="s">
        <v>3082</v>
      </c>
      <c r="U756" s="1650" t="s">
        <v>3283</v>
      </c>
      <c r="V756" s="139" t="s">
        <v>1294</v>
      </c>
      <c r="W756" s="116">
        <v>106.1213</v>
      </c>
      <c r="X756" s="117">
        <f t="shared" si="481"/>
        <v>191018.34</v>
      </c>
      <c r="Y756" s="88"/>
      <c r="Z756" s="470" t="s">
        <v>3090</v>
      </c>
      <c r="AA756" s="154" t="s">
        <v>128</v>
      </c>
      <c r="AB756" s="155"/>
      <c r="AC756" s="608">
        <f t="shared" si="472"/>
        <v>-1800</v>
      </c>
      <c r="AD756" s="155"/>
      <c r="AE756" s="91"/>
      <c r="AF756" s="91"/>
      <c r="AG756" s="155">
        <f t="shared" si="482"/>
        <v>1800</v>
      </c>
      <c r="AH756" s="155"/>
      <c r="AI756" s="88"/>
      <c r="AJ756" s="155"/>
      <c r="AK756" s="88">
        <f t="shared" si="483"/>
        <v>1800</v>
      </c>
      <c r="AL756" s="88"/>
      <c r="AM756" s="175"/>
      <c r="AN756" s="175"/>
      <c r="AO756" s="175"/>
      <c r="AP756" s="175">
        <f>I756</f>
        <v>1800</v>
      </c>
      <c r="AQ756" s="175"/>
      <c r="AR756" s="175"/>
      <c r="AS756" s="175"/>
      <c r="AT756" s="181"/>
      <c r="AU756" s="181"/>
      <c r="AV756" s="181"/>
      <c r="AW756" s="181"/>
      <c r="AX756" s="181"/>
      <c r="AY756" s="1591"/>
      <c r="AZ756" s="181"/>
      <c r="BA756" s="181"/>
      <c r="BB756" s="181"/>
      <c r="BC756" s="181"/>
      <c r="BD756" s="181"/>
      <c r="BE756" s="181">
        <f>I756/60</f>
        <v>30</v>
      </c>
      <c r="BF756" s="181"/>
      <c r="BG756" s="181"/>
      <c r="BH756" s="181"/>
      <c r="BI756" s="181"/>
      <c r="BJ756" s="181"/>
      <c r="BK756" s="181"/>
      <c r="BL756" s="181"/>
      <c r="BM756" s="401">
        <f t="shared" si="447"/>
        <v>1800</v>
      </c>
      <c r="BN756" s="200">
        <f t="shared" si="451"/>
        <v>80095</v>
      </c>
      <c r="BO756" s="1473"/>
      <c r="BP756" s="1473">
        <f t="shared" si="468"/>
        <v>-80095</v>
      </c>
      <c r="BQ756" s="200">
        <f t="shared" si="453"/>
        <v>0</v>
      </c>
      <c r="BR756" s="200">
        <f t="shared" si="454"/>
        <v>893</v>
      </c>
      <c r="BS756" s="200">
        <f t="shared" si="469"/>
        <v>-893</v>
      </c>
    </row>
    <row r="757" s="3" customFormat="1" ht="36" customHeight="1" spans="1:71">
      <c r="A757" s="647">
        <v>45607</v>
      </c>
      <c r="B757" s="75" t="s">
        <v>250</v>
      </c>
      <c r="C757" s="76" t="s">
        <v>180</v>
      </c>
      <c r="D757" s="77">
        <v>4500149708</v>
      </c>
      <c r="E757" s="114">
        <v>5200005612</v>
      </c>
      <c r="F757" s="77" t="s">
        <v>3284</v>
      </c>
      <c r="G757" s="23" t="s">
        <v>1172</v>
      </c>
      <c r="H757" s="24" t="s">
        <v>1165</v>
      </c>
      <c r="I757" s="1629">
        <v>2000</v>
      </c>
      <c r="J757" s="1629">
        <v>0</v>
      </c>
      <c r="K757" s="1629">
        <v>25</v>
      </c>
      <c r="L757" s="1629">
        <f t="shared" si="460"/>
        <v>80</v>
      </c>
      <c r="M757" s="90">
        <v>45670</v>
      </c>
      <c r="N757" s="90">
        <v>45666</v>
      </c>
      <c r="O757" s="91" t="s">
        <v>3235</v>
      </c>
      <c r="P757" s="91"/>
      <c r="Q757" s="87" t="s">
        <v>3285</v>
      </c>
      <c r="R757" s="91">
        <v>45632</v>
      </c>
      <c r="S757" s="662" t="s">
        <v>77</v>
      </c>
      <c r="T757" s="1649" t="s">
        <v>3286</v>
      </c>
      <c r="U757" s="1643" t="s">
        <v>3287</v>
      </c>
      <c r="V757" s="139" t="s">
        <v>3007</v>
      </c>
      <c r="W757" s="116">
        <v>1.4171</v>
      </c>
      <c r="X757" s="117">
        <f t="shared" si="481"/>
        <v>2834.2</v>
      </c>
      <c r="Y757" s="88"/>
      <c r="Z757" s="470" t="s">
        <v>877</v>
      </c>
      <c r="AA757" s="154" t="s">
        <v>128</v>
      </c>
      <c r="AB757" s="155"/>
      <c r="AC757" s="608">
        <f t="shared" si="472"/>
        <v>-2000</v>
      </c>
      <c r="AD757" s="155"/>
      <c r="AE757" s="91"/>
      <c r="AF757" s="91"/>
      <c r="AG757" s="155"/>
      <c r="AH757" s="155">
        <f>I757</f>
        <v>2000</v>
      </c>
      <c r="AI757" s="155"/>
      <c r="AJ757" s="155"/>
      <c r="AL757" s="485">
        <f t="shared" ref="AL757:AL762" si="487">I757</f>
        <v>2000</v>
      </c>
      <c r="AM757" s="175"/>
      <c r="AN757" s="175"/>
      <c r="AO757" s="175">
        <f>I757</f>
        <v>2000</v>
      </c>
      <c r="AP757" s="175"/>
      <c r="AQ757" s="175"/>
      <c r="AR757" s="175"/>
      <c r="AS757" s="175"/>
      <c r="AT757" s="181"/>
      <c r="AU757" s="181"/>
      <c r="AV757" s="181"/>
      <c r="AW757" s="181"/>
      <c r="AX757" s="181"/>
      <c r="AY757" s="1591"/>
      <c r="AZ757" s="181"/>
      <c r="BA757" s="181"/>
      <c r="BB757" s="181">
        <f t="shared" si="486"/>
        <v>80</v>
      </c>
      <c r="BC757" s="181"/>
      <c r="BD757" s="181"/>
      <c r="BE757" s="181"/>
      <c r="BF757" s="181"/>
      <c r="BG757" s="181"/>
      <c r="BH757" s="181"/>
      <c r="BI757" s="181"/>
      <c r="BJ757" s="181"/>
      <c r="BK757" s="181"/>
      <c r="BL757" s="181"/>
      <c r="BM757" s="401">
        <f t="shared" si="447"/>
        <v>2000</v>
      </c>
      <c r="BN757" s="200">
        <f t="shared" si="451"/>
        <v>82095</v>
      </c>
      <c r="BO757" s="1473"/>
      <c r="BP757" s="1473">
        <f t="shared" si="468"/>
        <v>-82095</v>
      </c>
      <c r="BQ757" s="200">
        <f t="shared" si="453"/>
        <v>80</v>
      </c>
      <c r="BR757" s="200">
        <f t="shared" si="454"/>
        <v>973</v>
      </c>
      <c r="BS757" s="200">
        <f t="shared" si="469"/>
        <v>-973</v>
      </c>
    </row>
    <row r="758" s="3" customFormat="1" ht="36" customHeight="1" spans="1:71">
      <c r="A758" s="647">
        <v>45603</v>
      </c>
      <c r="B758" s="75" t="s">
        <v>3102</v>
      </c>
      <c r="C758" s="76" t="s">
        <v>117</v>
      </c>
      <c r="D758" s="77">
        <v>4500150308</v>
      </c>
      <c r="E758" s="114">
        <v>70054030</v>
      </c>
      <c r="F758" s="77" t="s">
        <v>3288</v>
      </c>
      <c r="G758" s="23" t="s">
        <v>628</v>
      </c>
      <c r="H758" s="24" t="s">
        <v>623</v>
      </c>
      <c r="I758" s="88">
        <v>1008</v>
      </c>
      <c r="J758" s="89">
        <v>0</v>
      </c>
      <c r="K758" s="23">
        <v>12</v>
      </c>
      <c r="L758" s="88">
        <f t="shared" si="460"/>
        <v>84</v>
      </c>
      <c r="M758" s="90">
        <v>45670</v>
      </c>
      <c r="N758" s="90">
        <v>45666</v>
      </c>
      <c r="O758" s="91"/>
      <c r="P758" s="91" t="s">
        <v>3289</v>
      </c>
      <c r="Q758" s="91"/>
      <c r="R758" s="91">
        <v>45610</v>
      </c>
      <c r="S758" s="663" t="s">
        <v>77</v>
      </c>
      <c r="T758" s="1646" t="s">
        <v>3290</v>
      </c>
      <c r="U758" s="114" t="s">
        <v>3291</v>
      </c>
      <c r="V758" s="139" t="s">
        <v>2458</v>
      </c>
      <c r="W758" s="116">
        <v>3.0641</v>
      </c>
      <c r="X758" s="117">
        <f t="shared" si="481"/>
        <v>3088.6128</v>
      </c>
      <c r="Y758" s="88"/>
      <c r="Z758" s="470" t="s">
        <v>729</v>
      </c>
      <c r="AA758" s="154" t="s">
        <v>128</v>
      </c>
      <c r="AB758" s="155"/>
      <c r="AC758" s="608">
        <f t="shared" si="472"/>
        <v>-1008</v>
      </c>
      <c r="AD758" s="155"/>
      <c r="AE758" s="91"/>
      <c r="AF758" s="91"/>
      <c r="AG758" s="155">
        <f t="shared" ref="AG758:AG761" si="488">I758*2</f>
        <v>2016</v>
      </c>
      <c r="AH758" s="155"/>
      <c r="AI758" s="155"/>
      <c r="AJ758" s="155"/>
      <c r="AK758" s="88"/>
      <c r="AL758" s="175">
        <f>AG758</f>
        <v>2016</v>
      </c>
      <c r="AM758" s="175"/>
      <c r="AN758" s="175"/>
      <c r="AO758" s="628">
        <f t="shared" ref="AO758:AO762" si="489">AG758</f>
        <v>2016</v>
      </c>
      <c r="AP758" s="175"/>
      <c r="AQ758" s="175"/>
      <c r="AR758" s="175"/>
      <c r="AS758" s="175"/>
      <c r="AT758" s="181"/>
      <c r="AU758" s="181"/>
      <c r="AV758" s="181"/>
      <c r="AW758" s="181"/>
      <c r="AX758" s="181"/>
      <c r="AY758" s="1591"/>
      <c r="AZ758" s="181"/>
      <c r="BA758" s="181"/>
      <c r="BB758" s="181"/>
      <c r="BC758" s="181"/>
      <c r="BD758" s="181"/>
      <c r="BE758" s="181"/>
      <c r="BF758" s="181"/>
      <c r="BG758" s="181"/>
      <c r="BH758" s="181"/>
      <c r="BI758" s="181"/>
      <c r="BJ758" s="181"/>
      <c r="BK758" s="181">
        <f t="shared" ref="BK758:BK761" si="490">I758</f>
        <v>1008</v>
      </c>
      <c r="BL758" s="181">
        <f t="shared" ref="BL758:BL761" si="491">I758</f>
        <v>1008</v>
      </c>
      <c r="BM758" s="401">
        <f t="shared" si="447"/>
        <v>2016</v>
      </c>
      <c r="BN758" s="200">
        <f t="shared" si="451"/>
        <v>84111</v>
      </c>
      <c r="BO758" s="1473"/>
      <c r="BP758" s="1473">
        <f t="shared" si="468"/>
        <v>-84111</v>
      </c>
      <c r="BQ758" s="200">
        <f t="shared" si="453"/>
        <v>0</v>
      </c>
      <c r="BR758" s="200">
        <f t="shared" si="454"/>
        <v>973</v>
      </c>
      <c r="BS758" s="200">
        <f t="shared" si="469"/>
        <v>-973</v>
      </c>
    </row>
    <row r="759" s="3" customFormat="1" ht="36" customHeight="1" spans="1:71">
      <c r="A759" s="647">
        <v>45603</v>
      </c>
      <c r="B759" s="75" t="s">
        <v>816</v>
      </c>
      <c r="C759" s="76" t="s">
        <v>117</v>
      </c>
      <c r="D759" s="77">
        <v>4500150464</v>
      </c>
      <c r="E759" s="114">
        <v>60190494</v>
      </c>
      <c r="F759" s="77" t="s">
        <v>3292</v>
      </c>
      <c r="G759" s="23" t="s">
        <v>628</v>
      </c>
      <c r="H759" s="24" t="s">
        <v>623</v>
      </c>
      <c r="I759" s="88">
        <v>4800</v>
      </c>
      <c r="J759" s="89">
        <v>0</v>
      </c>
      <c r="K759" s="23">
        <v>12</v>
      </c>
      <c r="L759" s="88">
        <f t="shared" si="460"/>
        <v>400</v>
      </c>
      <c r="M759" s="90">
        <v>45672</v>
      </c>
      <c r="N759" s="90">
        <v>45667</v>
      </c>
      <c r="O759" s="91"/>
      <c r="P759" s="91" t="s">
        <v>3289</v>
      </c>
      <c r="Q759" s="91"/>
      <c r="R759" s="91">
        <v>45610</v>
      </c>
      <c r="S759" s="663" t="s">
        <v>77</v>
      </c>
      <c r="T759" s="1646" t="s">
        <v>3293</v>
      </c>
      <c r="U759" s="1643" t="s">
        <v>3294</v>
      </c>
      <c r="V759" s="139" t="s">
        <v>163</v>
      </c>
      <c r="W759" s="116">
        <v>3.054</v>
      </c>
      <c r="X759" s="117">
        <f t="shared" si="481"/>
        <v>14659.2</v>
      </c>
      <c r="Y759" s="88"/>
      <c r="Z759" s="470" t="s">
        <v>822</v>
      </c>
      <c r="AA759" s="154" t="s">
        <v>128</v>
      </c>
      <c r="AB759" s="155"/>
      <c r="AC759" s="608">
        <f t="shared" si="472"/>
        <v>-4800</v>
      </c>
      <c r="AD759" s="155"/>
      <c r="AE759" s="91"/>
      <c r="AF759" s="91"/>
      <c r="AG759" s="155">
        <f t="shared" si="488"/>
        <v>9600</v>
      </c>
      <c r="AH759" s="155"/>
      <c r="AI759" s="155"/>
      <c r="AJ759" s="155"/>
      <c r="AK759" s="175">
        <f>AG759</f>
        <v>9600</v>
      </c>
      <c r="AL759" s="175"/>
      <c r="AM759" s="175"/>
      <c r="AN759" s="175"/>
      <c r="AO759" s="628">
        <f t="shared" si="489"/>
        <v>9600</v>
      </c>
      <c r="AP759" s="175"/>
      <c r="AQ759" s="175"/>
      <c r="AR759" s="175"/>
      <c r="AS759" s="175"/>
      <c r="AT759" s="181"/>
      <c r="AU759" s="181"/>
      <c r="AV759" s="181"/>
      <c r="AW759" s="181"/>
      <c r="AX759" s="181"/>
      <c r="AY759" s="1591"/>
      <c r="AZ759" s="181"/>
      <c r="BA759" s="181"/>
      <c r="BB759" s="181"/>
      <c r="BC759" s="181"/>
      <c r="BD759" s="181"/>
      <c r="BE759" s="181"/>
      <c r="BF759" s="181"/>
      <c r="BG759" s="181"/>
      <c r="BH759" s="181"/>
      <c r="BI759" s="181"/>
      <c r="BJ759" s="181"/>
      <c r="BK759" s="181">
        <f t="shared" si="490"/>
        <v>4800</v>
      </c>
      <c r="BL759" s="181">
        <f t="shared" si="491"/>
        <v>4800</v>
      </c>
      <c r="BM759" s="401">
        <f t="shared" si="447"/>
        <v>9600</v>
      </c>
      <c r="BN759" s="200">
        <f t="shared" si="451"/>
        <v>93711</v>
      </c>
      <c r="BO759" s="1473"/>
      <c r="BP759" s="1473">
        <f t="shared" si="468"/>
        <v>-93711</v>
      </c>
      <c r="BQ759" s="200">
        <f t="shared" si="453"/>
        <v>0</v>
      </c>
      <c r="BR759" s="200">
        <f t="shared" si="454"/>
        <v>973</v>
      </c>
      <c r="BS759" s="200">
        <f t="shared" si="469"/>
        <v>-973</v>
      </c>
    </row>
    <row r="760" s="3" customFormat="1" ht="36" customHeight="1" spans="1:71">
      <c r="A760" s="647">
        <v>45616</v>
      </c>
      <c r="B760" s="75" t="s">
        <v>3295</v>
      </c>
      <c r="C760" s="76" t="s">
        <v>500</v>
      </c>
      <c r="D760" s="77">
        <v>4500151811</v>
      </c>
      <c r="E760" s="114"/>
      <c r="F760" s="77" t="s">
        <v>3296</v>
      </c>
      <c r="G760" s="23" t="s">
        <v>403</v>
      </c>
      <c r="H760" s="24" t="s">
        <v>74</v>
      </c>
      <c r="I760" s="88">
        <v>4160</v>
      </c>
      <c r="J760" s="89">
        <v>0</v>
      </c>
      <c r="K760" s="23">
        <v>52</v>
      </c>
      <c r="L760" s="88">
        <f t="shared" si="460"/>
        <v>80</v>
      </c>
      <c r="M760" s="90">
        <v>45672</v>
      </c>
      <c r="N760" s="90">
        <v>45667</v>
      </c>
      <c r="O760" s="91"/>
      <c r="P760" s="91"/>
      <c r="Q760" s="91"/>
      <c r="R760" s="91" t="s">
        <v>3297</v>
      </c>
      <c r="S760" s="663" t="s">
        <v>77</v>
      </c>
      <c r="T760" s="1646" t="s">
        <v>3298</v>
      </c>
      <c r="U760" s="719" t="s">
        <v>3299</v>
      </c>
      <c r="V760" s="139" t="s">
        <v>482</v>
      </c>
      <c r="W760" s="116">
        <v>1.4046</v>
      </c>
      <c r="X760" s="117">
        <f t="shared" si="481"/>
        <v>5843.136</v>
      </c>
      <c r="Y760" s="88"/>
      <c r="Z760" s="470" t="s">
        <v>2321</v>
      </c>
      <c r="AA760" s="154" t="s">
        <v>128</v>
      </c>
      <c r="AB760" s="155"/>
      <c r="AC760" s="608">
        <f t="shared" si="472"/>
        <v>-4160</v>
      </c>
      <c r="AD760" s="155"/>
      <c r="AE760" s="91"/>
      <c r="AF760" s="91"/>
      <c r="AG760" s="155">
        <f t="shared" ref="AG760:AG776" si="492">I760</f>
        <v>4160</v>
      </c>
      <c r="AH760" s="155"/>
      <c r="AI760" s="155"/>
      <c r="AJ760" s="155"/>
      <c r="AK760" s="408"/>
      <c r="AL760" s="812">
        <f t="shared" si="487"/>
        <v>4160</v>
      </c>
      <c r="AM760" s="175"/>
      <c r="AN760" s="175"/>
      <c r="AO760" s="175">
        <f t="shared" si="489"/>
        <v>4160</v>
      </c>
      <c r="AP760" s="175"/>
      <c r="AQ760" s="175"/>
      <c r="AR760" s="175"/>
      <c r="AS760" s="175"/>
      <c r="AT760" s="181"/>
      <c r="AU760" s="181"/>
      <c r="AV760" s="181"/>
      <c r="AW760" s="181"/>
      <c r="AX760" s="181"/>
      <c r="AY760" s="1591"/>
      <c r="AZ760" s="181">
        <f>I760/13</f>
        <v>320</v>
      </c>
      <c r="BA760" s="181"/>
      <c r="BB760" s="181"/>
      <c r="BC760" s="181"/>
      <c r="BD760" s="181"/>
      <c r="BE760" s="181"/>
      <c r="BF760" s="181"/>
      <c r="BG760" s="181"/>
      <c r="BH760" s="181"/>
      <c r="BI760" s="181"/>
      <c r="BJ760" s="181"/>
      <c r="BK760" s="181"/>
      <c r="BL760" s="181"/>
      <c r="BM760" s="401">
        <f t="shared" si="447"/>
        <v>4160</v>
      </c>
      <c r="BN760" s="200">
        <f t="shared" si="451"/>
        <v>97871</v>
      </c>
      <c r="BO760" s="1473"/>
      <c r="BP760" s="1473">
        <f t="shared" si="468"/>
        <v>-97871</v>
      </c>
      <c r="BQ760" s="200">
        <f t="shared" si="453"/>
        <v>0</v>
      </c>
      <c r="BR760" s="200">
        <f t="shared" si="454"/>
        <v>973</v>
      </c>
      <c r="BS760" s="200">
        <f t="shared" si="469"/>
        <v>-973</v>
      </c>
    </row>
    <row r="761" s="3" customFormat="1" ht="36" customHeight="1" spans="1:71">
      <c r="A761" s="647">
        <v>45603</v>
      </c>
      <c r="B761" s="75" t="s">
        <v>3102</v>
      </c>
      <c r="C761" s="76" t="s">
        <v>117</v>
      </c>
      <c r="D761" s="77">
        <v>4500150510</v>
      </c>
      <c r="E761" s="114">
        <v>70054033</v>
      </c>
      <c r="F761" s="77" t="s">
        <v>3300</v>
      </c>
      <c r="G761" s="23" t="s">
        <v>628</v>
      </c>
      <c r="H761" s="24" t="s">
        <v>623</v>
      </c>
      <c r="I761" s="88">
        <v>1008</v>
      </c>
      <c r="J761" s="89">
        <v>0</v>
      </c>
      <c r="K761" s="23">
        <v>12</v>
      </c>
      <c r="L761" s="88">
        <f t="shared" si="460"/>
        <v>84</v>
      </c>
      <c r="M761" s="90">
        <v>45673</v>
      </c>
      <c r="N761" s="90">
        <v>45670</v>
      </c>
      <c r="O761" s="91"/>
      <c r="P761" s="91" t="s">
        <v>2918</v>
      </c>
      <c r="Q761" s="91"/>
      <c r="R761" s="91">
        <v>45610</v>
      </c>
      <c r="S761" s="663" t="s">
        <v>77</v>
      </c>
      <c r="T761" s="1646" t="s">
        <v>3293</v>
      </c>
      <c r="U761" s="114" t="s">
        <v>3291</v>
      </c>
      <c r="V761" s="139" t="s">
        <v>2458</v>
      </c>
      <c r="W761" s="116">
        <v>2.3963</v>
      </c>
      <c r="X761" s="117">
        <f t="shared" si="481"/>
        <v>2415.4704</v>
      </c>
      <c r="Y761" s="88"/>
      <c r="Z761" s="470" t="s">
        <v>729</v>
      </c>
      <c r="AA761" s="154" t="s">
        <v>128</v>
      </c>
      <c r="AB761" s="155"/>
      <c r="AC761" s="608">
        <f t="shared" si="472"/>
        <v>-1008</v>
      </c>
      <c r="AD761" s="155"/>
      <c r="AE761" s="91"/>
      <c r="AF761" s="91"/>
      <c r="AG761" s="155">
        <f t="shared" si="488"/>
        <v>2016</v>
      </c>
      <c r="AH761" s="155"/>
      <c r="AI761" s="155"/>
      <c r="AJ761" s="155"/>
      <c r="AK761" s="175"/>
      <c r="AL761" s="175">
        <f>AG761</f>
        <v>2016</v>
      </c>
      <c r="AM761" s="175"/>
      <c r="AN761" s="175"/>
      <c r="AO761" s="628">
        <f t="shared" si="489"/>
        <v>2016</v>
      </c>
      <c r="AP761" s="175"/>
      <c r="AQ761" s="175"/>
      <c r="AR761" s="175"/>
      <c r="AS761" s="175"/>
      <c r="AT761" s="181"/>
      <c r="AU761" s="181"/>
      <c r="AV761" s="181"/>
      <c r="AW761" s="181"/>
      <c r="AX761" s="181"/>
      <c r="AY761" s="1591"/>
      <c r="AZ761" s="181"/>
      <c r="BA761" s="181"/>
      <c r="BB761" s="181"/>
      <c r="BC761" s="181"/>
      <c r="BD761" s="181"/>
      <c r="BE761" s="181"/>
      <c r="BF761" s="181"/>
      <c r="BG761" s="181"/>
      <c r="BH761" s="181"/>
      <c r="BI761" s="181"/>
      <c r="BJ761" s="181"/>
      <c r="BK761" s="181">
        <f t="shared" si="490"/>
        <v>1008</v>
      </c>
      <c r="BL761" s="181">
        <f t="shared" si="491"/>
        <v>1008</v>
      </c>
      <c r="BM761" s="401">
        <f t="shared" si="447"/>
        <v>2016</v>
      </c>
      <c r="BN761" s="200">
        <f t="shared" si="451"/>
        <v>99887</v>
      </c>
      <c r="BO761" s="1473"/>
      <c r="BP761" s="1473">
        <f t="shared" si="468"/>
        <v>-99887</v>
      </c>
      <c r="BQ761" s="200">
        <f t="shared" si="453"/>
        <v>0</v>
      </c>
      <c r="BR761" s="200">
        <f t="shared" si="454"/>
        <v>973</v>
      </c>
      <c r="BS761" s="200">
        <f t="shared" si="469"/>
        <v>-973</v>
      </c>
    </row>
    <row r="762" s="3" customFormat="1" ht="36" customHeight="1" spans="1:71">
      <c r="A762" s="647">
        <v>45635</v>
      </c>
      <c r="B762" s="75" t="s">
        <v>3301</v>
      </c>
      <c r="C762" s="76" t="s">
        <v>500</v>
      </c>
      <c r="D762" s="77">
        <v>4500153469</v>
      </c>
      <c r="E762" s="114"/>
      <c r="F762" s="77" t="s">
        <v>3302</v>
      </c>
      <c r="G762" s="23" t="s">
        <v>403</v>
      </c>
      <c r="H762" s="24" t="s">
        <v>74</v>
      </c>
      <c r="I762" s="88">
        <v>520</v>
      </c>
      <c r="J762" s="89">
        <v>0</v>
      </c>
      <c r="K762" s="23">
        <v>52</v>
      </c>
      <c r="L762" s="88">
        <f t="shared" si="460"/>
        <v>10</v>
      </c>
      <c r="M762" s="90">
        <v>45674</v>
      </c>
      <c r="N762" s="90">
        <v>45670</v>
      </c>
      <c r="O762" s="91"/>
      <c r="P762" s="91" t="s">
        <v>878</v>
      </c>
      <c r="Q762" s="91"/>
      <c r="R762" s="91">
        <v>45637</v>
      </c>
      <c r="S762" s="663" t="s">
        <v>77</v>
      </c>
      <c r="T762" s="1646" t="s">
        <v>3303</v>
      </c>
      <c r="U762" s="114" t="s">
        <v>3304</v>
      </c>
      <c r="V762" s="139" t="s">
        <v>2504</v>
      </c>
      <c r="W762" s="116">
        <v>1.4096</v>
      </c>
      <c r="X762" s="117">
        <f t="shared" si="481"/>
        <v>732.992</v>
      </c>
      <c r="Y762" s="88"/>
      <c r="Z762" s="470" t="s">
        <v>2321</v>
      </c>
      <c r="AA762" s="154" t="s">
        <v>128</v>
      </c>
      <c r="AB762" s="155"/>
      <c r="AC762" s="608">
        <f t="shared" si="472"/>
        <v>-520</v>
      </c>
      <c r="AD762" s="155"/>
      <c r="AE762" s="91"/>
      <c r="AF762" s="91"/>
      <c r="AG762" s="155">
        <f t="shared" si="492"/>
        <v>520</v>
      </c>
      <c r="AH762" s="155"/>
      <c r="AI762" s="155"/>
      <c r="AJ762" s="155"/>
      <c r="AL762" s="628">
        <f t="shared" si="487"/>
        <v>520</v>
      </c>
      <c r="AM762" s="175"/>
      <c r="AN762" s="175"/>
      <c r="AO762" s="175">
        <f t="shared" si="489"/>
        <v>520</v>
      </c>
      <c r="AP762" s="175"/>
      <c r="AQ762" s="175"/>
      <c r="AR762" s="175"/>
      <c r="AS762" s="175"/>
      <c r="AT762" s="181"/>
      <c r="AU762" s="181"/>
      <c r="AV762" s="181"/>
      <c r="AW762" s="181"/>
      <c r="AX762" s="181"/>
      <c r="AZ762" s="181">
        <f>I762/13</f>
        <v>40</v>
      </c>
      <c r="BA762" s="181"/>
      <c r="BB762" s="181"/>
      <c r="BC762" s="181"/>
      <c r="BD762" s="181"/>
      <c r="BE762" s="181"/>
      <c r="BF762" s="181"/>
      <c r="BG762" s="181"/>
      <c r="BH762" s="181"/>
      <c r="BI762" s="181"/>
      <c r="BJ762" s="181"/>
      <c r="BK762" s="181"/>
      <c r="BL762" s="181"/>
      <c r="BM762" s="401">
        <f t="shared" si="447"/>
        <v>520</v>
      </c>
      <c r="BN762" s="200">
        <f t="shared" si="451"/>
        <v>100407</v>
      </c>
      <c r="BO762" s="1473"/>
      <c r="BP762" s="1473">
        <f t="shared" si="468"/>
        <v>-100407</v>
      </c>
      <c r="BQ762" s="200">
        <f t="shared" si="453"/>
        <v>0</v>
      </c>
      <c r="BR762" s="200">
        <f t="shared" si="454"/>
        <v>973</v>
      </c>
      <c r="BS762" s="200">
        <f t="shared" si="469"/>
        <v>-973</v>
      </c>
    </row>
    <row r="763" s="3" customFormat="1" ht="36" customHeight="1" spans="1:71">
      <c r="A763" s="647">
        <v>45635</v>
      </c>
      <c r="B763" s="75" t="s">
        <v>1181</v>
      </c>
      <c r="C763" s="76" t="s">
        <v>3192</v>
      </c>
      <c r="D763" s="77" t="s">
        <v>3305</v>
      </c>
      <c r="E763" s="114" t="s">
        <v>3306</v>
      </c>
      <c r="F763" s="77"/>
      <c r="G763" s="23" t="s">
        <v>3307</v>
      </c>
      <c r="H763" s="24" t="s">
        <v>3308</v>
      </c>
      <c r="I763" s="88">
        <v>480</v>
      </c>
      <c r="J763" s="89">
        <v>0</v>
      </c>
      <c r="K763" s="23">
        <v>24</v>
      </c>
      <c r="L763" s="88">
        <f t="shared" si="460"/>
        <v>20</v>
      </c>
      <c r="M763" s="90">
        <v>45677</v>
      </c>
      <c r="N763" s="90">
        <v>45673</v>
      </c>
      <c r="O763" s="91" t="s">
        <v>3309</v>
      </c>
      <c r="P763" s="91" t="s">
        <v>3310</v>
      </c>
      <c r="Q763" s="91" t="s">
        <v>3311</v>
      </c>
      <c r="R763" s="91" t="s">
        <v>3312</v>
      </c>
      <c r="S763" s="663" t="s">
        <v>77</v>
      </c>
      <c r="T763" s="663" t="s">
        <v>77</v>
      </c>
      <c r="U763" s="114" t="s">
        <v>3313</v>
      </c>
      <c r="V763" s="139" t="s">
        <v>971</v>
      </c>
      <c r="W763" s="116">
        <v>1.3507</v>
      </c>
      <c r="X763" s="117">
        <f t="shared" si="481"/>
        <v>648.336</v>
      </c>
      <c r="Y763" s="88"/>
      <c r="Z763" s="470" t="s">
        <v>3307</v>
      </c>
      <c r="AA763" s="154" t="s">
        <v>128</v>
      </c>
      <c r="AB763" s="155"/>
      <c r="AC763" s="608">
        <f t="shared" si="472"/>
        <v>-480</v>
      </c>
      <c r="AD763" s="155"/>
      <c r="AE763" s="91"/>
      <c r="AF763" s="91"/>
      <c r="AG763" s="155">
        <f t="shared" si="492"/>
        <v>480</v>
      </c>
      <c r="AH763" s="155"/>
      <c r="AI763" s="155"/>
      <c r="AJ763" s="155"/>
      <c r="AK763" s="3">
        <f>I763</f>
        <v>480</v>
      </c>
      <c r="AL763" s="175"/>
      <c r="AM763" s="175"/>
      <c r="AN763" s="175"/>
      <c r="AO763" s="175">
        <f t="shared" ref="AO763:AO776" si="493">I763</f>
        <v>480</v>
      </c>
      <c r="AP763" s="175"/>
      <c r="AQ763" s="175"/>
      <c r="AR763" s="175"/>
      <c r="AS763" s="175"/>
      <c r="AT763" s="181"/>
      <c r="AU763" s="181"/>
      <c r="AV763" s="181"/>
      <c r="AW763" s="181"/>
      <c r="AX763" s="181"/>
      <c r="AZ763" s="181"/>
      <c r="BA763" s="181"/>
      <c r="BB763" s="181"/>
      <c r="BC763" s="181"/>
      <c r="BD763" s="181"/>
      <c r="BE763" s="181"/>
      <c r="BF763" s="181"/>
      <c r="BG763" s="181"/>
      <c r="BH763" s="181"/>
      <c r="BI763" s="181"/>
      <c r="BJ763" s="181"/>
      <c r="BK763" s="181"/>
      <c r="BL763" s="181"/>
      <c r="BM763" s="401">
        <f t="shared" si="447"/>
        <v>480</v>
      </c>
      <c r="BN763" s="200">
        <f t="shared" si="451"/>
        <v>100887</v>
      </c>
      <c r="BO763" s="1473"/>
      <c r="BP763" s="1473">
        <f t="shared" si="468"/>
        <v>-100887</v>
      </c>
      <c r="BQ763" s="200">
        <f t="shared" si="453"/>
        <v>0</v>
      </c>
      <c r="BR763" s="200">
        <f t="shared" si="454"/>
        <v>973</v>
      </c>
      <c r="BS763" s="200">
        <f t="shared" si="469"/>
        <v>-973</v>
      </c>
    </row>
    <row r="764" s="3" customFormat="1" ht="36" customHeight="1" spans="1:71">
      <c r="A764" s="647">
        <v>45639</v>
      </c>
      <c r="B764" s="75" t="s">
        <v>1217</v>
      </c>
      <c r="C764" s="76" t="s">
        <v>1218</v>
      </c>
      <c r="D764" s="77">
        <v>4500153864</v>
      </c>
      <c r="E764" s="114" t="s">
        <v>3314</v>
      </c>
      <c r="F764" s="77" t="s">
        <v>3315</v>
      </c>
      <c r="G764" s="23" t="s">
        <v>96</v>
      </c>
      <c r="H764" s="24" t="s">
        <v>74</v>
      </c>
      <c r="I764" s="88">
        <v>750</v>
      </c>
      <c r="J764" s="89">
        <v>0</v>
      </c>
      <c r="K764" s="23">
        <v>50</v>
      </c>
      <c r="L764" s="88">
        <f t="shared" si="460"/>
        <v>15</v>
      </c>
      <c r="M764" s="90">
        <v>45677</v>
      </c>
      <c r="N764" s="90">
        <v>45673</v>
      </c>
      <c r="O764" s="91"/>
      <c r="P764" s="91" t="s">
        <v>3316</v>
      </c>
      <c r="Q764" s="91"/>
      <c r="R764" s="91">
        <v>45639</v>
      </c>
      <c r="S764" s="663" t="s">
        <v>77</v>
      </c>
      <c r="T764" s="1646" t="s">
        <v>3317</v>
      </c>
      <c r="U764" s="114" t="s">
        <v>3318</v>
      </c>
      <c r="V764" s="139" t="s">
        <v>1631</v>
      </c>
      <c r="W764" s="116">
        <v>1.4225</v>
      </c>
      <c r="X764" s="117">
        <f t="shared" si="481"/>
        <v>1066.875</v>
      </c>
      <c r="Y764" s="88"/>
      <c r="Z764" s="470" t="s">
        <v>292</v>
      </c>
      <c r="AA764" s="154" t="s">
        <v>128</v>
      </c>
      <c r="AB764" s="155"/>
      <c r="AC764" s="608">
        <f t="shared" si="472"/>
        <v>-750</v>
      </c>
      <c r="AD764" s="155"/>
      <c r="AE764" s="91"/>
      <c r="AF764" s="91"/>
      <c r="AG764" s="155">
        <f t="shared" si="492"/>
        <v>750</v>
      </c>
      <c r="AH764" s="155"/>
      <c r="AI764" s="155"/>
      <c r="AJ764" s="155"/>
      <c r="AL764" s="175">
        <f t="shared" ref="AL764:AL771" si="494">I764</f>
        <v>750</v>
      </c>
      <c r="AM764" s="175"/>
      <c r="AN764" s="175"/>
      <c r="AO764" s="175">
        <f t="shared" si="493"/>
        <v>750</v>
      </c>
      <c r="AP764" s="175"/>
      <c r="AQ764" s="175"/>
      <c r="AR764" s="175"/>
      <c r="AS764" s="175"/>
      <c r="AT764" s="181"/>
      <c r="AU764" s="181"/>
      <c r="AV764" s="181"/>
      <c r="AW764" s="181"/>
      <c r="AX764" s="181"/>
      <c r="AZ764" s="181"/>
      <c r="BA764" s="181"/>
      <c r="BB764" s="181">
        <f t="shared" ref="BB764:BB770" si="495">I764/25</f>
        <v>30</v>
      </c>
      <c r="BC764" s="181"/>
      <c r="BD764" s="181"/>
      <c r="BE764" s="181"/>
      <c r="BF764" s="181"/>
      <c r="BG764" s="181"/>
      <c r="BH764" s="181"/>
      <c r="BI764" s="181"/>
      <c r="BJ764" s="181"/>
      <c r="BK764" s="181"/>
      <c r="BL764" s="181"/>
      <c r="BM764" s="401">
        <f t="shared" si="447"/>
        <v>750</v>
      </c>
      <c r="BN764" s="200">
        <f t="shared" si="451"/>
        <v>101637</v>
      </c>
      <c r="BO764" s="1473"/>
      <c r="BP764" s="1473">
        <f t="shared" si="468"/>
        <v>-101637</v>
      </c>
      <c r="BQ764" s="200">
        <f t="shared" si="453"/>
        <v>30</v>
      </c>
      <c r="BR764" s="200">
        <f t="shared" si="454"/>
        <v>1003</v>
      </c>
      <c r="BS764" s="200">
        <f t="shared" si="469"/>
        <v>-1003</v>
      </c>
    </row>
    <row r="765" s="3" customFormat="1" ht="36" customHeight="1" spans="1:71">
      <c r="A765" s="647">
        <v>45639</v>
      </c>
      <c r="B765" s="75" t="s">
        <v>1210</v>
      </c>
      <c r="C765" s="76" t="s">
        <v>1211</v>
      </c>
      <c r="D765" s="77">
        <v>4500153836</v>
      </c>
      <c r="E765" s="114" t="s">
        <v>3319</v>
      </c>
      <c r="F765" s="77" t="s">
        <v>3320</v>
      </c>
      <c r="G765" s="23" t="s">
        <v>96</v>
      </c>
      <c r="H765" s="24" t="s">
        <v>74</v>
      </c>
      <c r="I765" s="88">
        <v>4600</v>
      </c>
      <c r="J765" s="89">
        <v>0</v>
      </c>
      <c r="K765" s="23">
        <v>50</v>
      </c>
      <c r="L765" s="88">
        <f t="shared" si="460"/>
        <v>92</v>
      </c>
      <c r="M765" s="90">
        <v>45677</v>
      </c>
      <c r="N765" s="90">
        <v>45673</v>
      </c>
      <c r="O765" s="91" t="s">
        <v>3321</v>
      </c>
      <c r="P765" s="91" t="s">
        <v>3316</v>
      </c>
      <c r="Q765" s="91"/>
      <c r="R765" s="91">
        <v>45639</v>
      </c>
      <c r="S765" s="663" t="s">
        <v>77</v>
      </c>
      <c r="T765" s="1646" t="s">
        <v>3322</v>
      </c>
      <c r="U765" s="114" t="s">
        <v>3323</v>
      </c>
      <c r="V765" s="139" t="s">
        <v>1631</v>
      </c>
      <c r="W765" s="116">
        <v>1.4344</v>
      </c>
      <c r="X765" s="117">
        <f t="shared" si="481"/>
        <v>6598.24</v>
      </c>
      <c r="Y765" s="88"/>
      <c r="Z765" s="470" t="s">
        <v>292</v>
      </c>
      <c r="AA765" s="154" t="s">
        <v>128</v>
      </c>
      <c r="AB765" s="155"/>
      <c r="AC765" s="608">
        <f t="shared" si="472"/>
        <v>-4600</v>
      </c>
      <c r="AD765" s="155"/>
      <c r="AE765" s="91"/>
      <c r="AF765" s="91"/>
      <c r="AG765" s="155">
        <f t="shared" si="492"/>
        <v>4600</v>
      </c>
      <c r="AH765" s="155"/>
      <c r="AI765" s="155"/>
      <c r="AJ765" s="155"/>
      <c r="AL765" s="175">
        <f t="shared" si="494"/>
        <v>4600</v>
      </c>
      <c r="AM765" s="175"/>
      <c r="AN765" s="175"/>
      <c r="AO765" s="175">
        <f t="shared" si="493"/>
        <v>4600</v>
      </c>
      <c r="AP765" s="175"/>
      <c r="AQ765" s="175"/>
      <c r="AR765" s="175"/>
      <c r="AS765" s="175"/>
      <c r="AT765" s="181"/>
      <c r="AU765" s="181"/>
      <c r="AV765" s="181"/>
      <c r="AW765" s="181"/>
      <c r="AX765" s="181"/>
      <c r="AZ765" s="181"/>
      <c r="BA765" s="181"/>
      <c r="BB765" s="181">
        <f t="shared" si="495"/>
        <v>184</v>
      </c>
      <c r="BC765" s="181"/>
      <c r="BD765" s="181"/>
      <c r="BE765" s="181"/>
      <c r="BF765" s="181"/>
      <c r="BG765" s="181"/>
      <c r="BH765" s="181"/>
      <c r="BI765" s="181"/>
      <c r="BJ765" s="181"/>
      <c r="BK765" s="181"/>
      <c r="BL765" s="181"/>
      <c r="BM765" s="401">
        <f t="shared" si="447"/>
        <v>4600</v>
      </c>
      <c r="BN765" s="200">
        <f t="shared" si="451"/>
        <v>106237</v>
      </c>
      <c r="BO765" s="1473"/>
      <c r="BP765" s="1473">
        <f t="shared" si="468"/>
        <v>-106237</v>
      </c>
      <c r="BQ765" s="200">
        <f t="shared" si="453"/>
        <v>184</v>
      </c>
      <c r="BR765" s="200">
        <f t="shared" si="454"/>
        <v>1187</v>
      </c>
      <c r="BS765" s="200">
        <f t="shared" si="469"/>
        <v>-1187</v>
      </c>
    </row>
    <row r="766" s="3" customFormat="1" ht="36" customHeight="1" spans="1:71">
      <c r="A766" s="647">
        <v>45631</v>
      </c>
      <c r="B766" s="75" t="s">
        <v>499</v>
      </c>
      <c r="C766" s="76" t="s">
        <v>500</v>
      </c>
      <c r="D766" s="77">
        <v>4500153302</v>
      </c>
      <c r="E766" s="114">
        <v>2000006814</v>
      </c>
      <c r="F766" s="77" t="s">
        <v>3324</v>
      </c>
      <c r="G766" s="23" t="s">
        <v>96</v>
      </c>
      <c r="H766" s="24" t="s">
        <v>74</v>
      </c>
      <c r="I766" s="88">
        <v>2750</v>
      </c>
      <c r="J766" s="89">
        <v>0</v>
      </c>
      <c r="K766" s="23">
        <v>50</v>
      </c>
      <c r="L766" s="88">
        <f t="shared" si="460"/>
        <v>55</v>
      </c>
      <c r="M766" s="90">
        <v>45672</v>
      </c>
      <c r="N766" s="101">
        <v>45672</v>
      </c>
      <c r="O766" s="1630" t="s">
        <v>3325</v>
      </c>
      <c r="P766" s="91" t="s">
        <v>863</v>
      </c>
      <c r="Q766" s="91" t="s">
        <v>3326</v>
      </c>
      <c r="R766" s="739">
        <v>45637</v>
      </c>
      <c r="S766" s="663" t="s">
        <v>77</v>
      </c>
      <c r="T766" s="1646" t="s">
        <v>3327</v>
      </c>
      <c r="U766" s="719" t="s">
        <v>3328</v>
      </c>
      <c r="V766" s="139" t="s">
        <v>3007</v>
      </c>
      <c r="W766" s="116">
        <v>1.4174</v>
      </c>
      <c r="X766" s="117">
        <f t="shared" si="481"/>
        <v>3897.85</v>
      </c>
      <c r="Y766" s="88"/>
      <c r="Z766" s="470" t="s">
        <v>292</v>
      </c>
      <c r="AA766" s="154" t="s">
        <v>128</v>
      </c>
      <c r="AB766" s="155"/>
      <c r="AC766" s="608">
        <f t="shared" si="472"/>
        <v>-2750</v>
      </c>
      <c r="AD766" s="155"/>
      <c r="AE766" s="91"/>
      <c r="AF766" s="91"/>
      <c r="AG766" s="155">
        <f t="shared" si="492"/>
        <v>2750</v>
      </c>
      <c r="AH766" s="155"/>
      <c r="AI766" s="155"/>
      <c r="AJ766" s="155"/>
      <c r="AK766" s="408"/>
      <c r="AL766" s="175">
        <f t="shared" si="494"/>
        <v>2750</v>
      </c>
      <c r="AM766" s="175"/>
      <c r="AN766" s="175"/>
      <c r="AO766" s="175">
        <f t="shared" si="493"/>
        <v>2750</v>
      </c>
      <c r="AP766" s="175"/>
      <c r="AQ766" s="175"/>
      <c r="AR766" s="175"/>
      <c r="AS766" s="175"/>
      <c r="AT766" s="181"/>
      <c r="AU766" s="181"/>
      <c r="AV766" s="181"/>
      <c r="AW766" s="181"/>
      <c r="AX766" s="181"/>
      <c r="AY766" s="1591"/>
      <c r="AZ766" s="181"/>
      <c r="BA766" s="181"/>
      <c r="BB766" s="181">
        <f t="shared" si="495"/>
        <v>110</v>
      </c>
      <c r="BC766" s="181"/>
      <c r="BD766" s="181"/>
      <c r="BE766" s="181"/>
      <c r="BF766" s="181"/>
      <c r="BG766" s="181"/>
      <c r="BH766" s="181"/>
      <c r="BI766" s="181"/>
      <c r="BJ766" s="181"/>
      <c r="BK766" s="181"/>
      <c r="BL766" s="181"/>
      <c r="BM766" s="401">
        <f t="shared" si="447"/>
        <v>2750</v>
      </c>
      <c r="BN766" s="200">
        <f t="shared" si="451"/>
        <v>108987</v>
      </c>
      <c r="BO766" s="1473"/>
      <c r="BP766" s="1473">
        <f t="shared" si="468"/>
        <v>-108987</v>
      </c>
      <c r="BQ766" s="200">
        <f t="shared" si="453"/>
        <v>110</v>
      </c>
      <c r="BR766" s="200">
        <f t="shared" si="454"/>
        <v>1297</v>
      </c>
      <c r="BS766" s="200">
        <f t="shared" si="469"/>
        <v>-1297</v>
      </c>
    </row>
    <row r="767" s="3" customFormat="1" ht="36" customHeight="1" spans="1:71">
      <c r="A767" s="74">
        <v>45594</v>
      </c>
      <c r="B767" s="75" t="s">
        <v>285</v>
      </c>
      <c r="C767" s="76" t="s">
        <v>286</v>
      </c>
      <c r="D767" s="77">
        <v>4500149460</v>
      </c>
      <c r="E767" s="114">
        <v>61900883</v>
      </c>
      <c r="F767" s="77" t="s">
        <v>3329</v>
      </c>
      <c r="G767" s="23" t="s">
        <v>96</v>
      </c>
      <c r="H767" s="24" t="s">
        <v>74</v>
      </c>
      <c r="I767" s="88">
        <v>1700</v>
      </c>
      <c r="J767" s="89">
        <v>0</v>
      </c>
      <c r="K767" s="23">
        <v>50</v>
      </c>
      <c r="L767" s="88">
        <f t="shared" si="460"/>
        <v>34</v>
      </c>
      <c r="M767" s="90">
        <v>45631</v>
      </c>
      <c r="N767" s="86" t="s">
        <v>3330</v>
      </c>
      <c r="O767" s="91" t="s">
        <v>3331</v>
      </c>
      <c r="P767" s="91"/>
      <c r="Q767" s="91"/>
      <c r="R767" s="91" t="s">
        <v>3332</v>
      </c>
      <c r="S767" s="663" t="s">
        <v>77</v>
      </c>
      <c r="T767" s="1646" t="s">
        <v>3333</v>
      </c>
      <c r="U767" s="114" t="s">
        <v>3334</v>
      </c>
      <c r="V767" s="139" t="s">
        <v>618</v>
      </c>
      <c r="W767" s="116">
        <v>1.4344</v>
      </c>
      <c r="X767" s="117">
        <f t="shared" si="481"/>
        <v>2438.48</v>
      </c>
      <c r="Y767" s="88"/>
      <c r="Z767" s="470" t="s">
        <v>292</v>
      </c>
      <c r="AA767" s="154" t="s">
        <v>128</v>
      </c>
      <c r="AB767" s="155"/>
      <c r="AC767" s="608">
        <f t="shared" si="472"/>
        <v>-1700</v>
      </c>
      <c r="AD767" s="155"/>
      <c r="AE767" s="91"/>
      <c r="AF767" s="91" t="s">
        <v>3242</v>
      </c>
      <c r="AG767" s="155">
        <f t="shared" si="492"/>
        <v>1700</v>
      </c>
      <c r="AH767" s="155"/>
      <c r="AI767" s="155"/>
      <c r="AJ767" s="155"/>
      <c r="AK767" s="175"/>
      <c r="AL767" s="175">
        <f t="shared" si="494"/>
        <v>1700</v>
      </c>
      <c r="AM767" s="175"/>
      <c r="AN767" s="175"/>
      <c r="AO767" s="175">
        <f t="shared" si="493"/>
        <v>1700</v>
      </c>
      <c r="AP767" s="175"/>
      <c r="AQ767" s="175"/>
      <c r="AR767" s="175"/>
      <c r="AS767" s="175"/>
      <c r="AT767" s="181"/>
      <c r="AU767" s="181"/>
      <c r="AV767" s="181"/>
      <c r="AW767" s="181"/>
      <c r="AX767" s="181"/>
      <c r="AY767" s="181"/>
      <c r="AZ767" s="181"/>
      <c r="BA767" s="181"/>
      <c r="BB767" s="181">
        <f t="shared" si="495"/>
        <v>68</v>
      </c>
      <c r="BC767" s="181"/>
      <c r="BD767" s="181"/>
      <c r="BE767" s="181"/>
      <c r="BF767" s="181"/>
      <c r="BG767" s="181"/>
      <c r="BH767" s="181"/>
      <c r="BI767" s="181"/>
      <c r="BJ767" s="181"/>
      <c r="BK767" s="181"/>
      <c r="BL767" s="181"/>
      <c r="BM767" s="401">
        <f t="shared" si="447"/>
        <v>1700</v>
      </c>
      <c r="BN767" s="200">
        <f t="shared" si="451"/>
        <v>110687</v>
      </c>
      <c r="BO767" s="1473"/>
      <c r="BP767" s="1473">
        <f t="shared" si="468"/>
        <v>-110687</v>
      </c>
      <c r="BQ767" s="200">
        <f t="shared" si="453"/>
        <v>68</v>
      </c>
      <c r="BR767" s="200">
        <f t="shared" si="454"/>
        <v>1365</v>
      </c>
      <c r="BS767" s="200">
        <f t="shared" si="469"/>
        <v>-1365</v>
      </c>
    </row>
    <row r="768" s="3" customFormat="1" ht="36" customHeight="1" spans="1:71">
      <c r="A768" s="74">
        <v>45560</v>
      </c>
      <c r="B768" s="75" t="s">
        <v>1357</v>
      </c>
      <c r="C768" s="76" t="s">
        <v>286</v>
      </c>
      <c r="D768" s="77">
        <v>4500145574</v>
      </c>
      <c r="E768" s="114"/>
      <c r="F768" s="77" t="s">
        <v>3335</v>
      </c>
      <c r="G768" s="23" t="s">
        <v>96</v>
      </c>
      <c r="H768" s="24" t="s">
        <v>74</v>
      </c>
      <c r="I768" s="88">
        <v>1500</v>
      </c>
      <c r="J768" s="89">
        <v>0</v>
      </c>
      <c r="K768" s="23">
        <v>50</v>
      </c>
      <c r="L768" s="88">
        <f t="shared" si="460"/>
        <v>30</v>
      </c>
      <c r="M768" s="90">
        <v>45649</v>
      </c>
      <c r="N768" s="101">
        <v>45671</v>
      </c>
      <c r="O768" s="91" t="s">
        <v>1359</v>
      </c>
      <c r="P768" s="91"/>
      <c r="Q768" s="91"/>
      <c r="R768" s="91" t="s">
        <v>1361</v>
      </c>
      <c r="S768" s="91" t="s">
        <v>123</v>
      </c>
      <c r="T768" s="1651" t="s">
        <v>3336</v>
      </c>
      <c r="U768" s="114" t="s">
        <v>3337</v>
      </c>
      <c r="V768" s="139" t="s">
        <v>1631</v>
      </c>
      <c r="W768" s="116">
        <v>1.4344</v>
      </c>
      <c r="X768" s="117">
        <f t="shared" si="481"/>
        <v>2151.6</v>
      </c>
      <c r="Y768" s="88"/>
      <c r="Z768" s="470" t="s">
        <v>292</v>
      </c>
      <c r="AA768" s="154" t="s">
        <v>128</v>
      </c>
      <c r="AB768" s="155"/>
      <c r="AC768" s="608">
        <f t="shared" si="472"/>
        <v>-1500</v>
      </c>
      <c r="AD768" s="155"/>
      <c r="AE768" s="91"/>
      <c r="AF768" s="91" t="s">
        <v>3242</v>
      </c>
      <c r="AG768" s="155">
        <f t="shared" si="492"/>
        <v>1500</v>
      </c>
      <c r="AH768" s="155"/>
      <c r="AI768" s="155"/>
      <c r="AJ768" s="155"/>
      <c r="AL768" s="175">
        <f t="shared" si="494"/>
        <v>1500</v>
      </c>
      <c r="AM768" s="175"/>
      <c r="AN768" s="175"/>
      <c r="AO768" s="175">
        <f t="shared" si="493"/>
        <v>1500</v>
      </c>
      <c r="AP768" s="175"/>
      <c r="AQ768" s="175"/>
      <c r="AR768" s="175"/>
      <c r="AS768" s="175"/>
      <c r="AT768" s="181"/>
      <c r="AU768" s="181"/>
      <c r="AV768" s="181"/>
      <c r="AW768" s="181"/>
      <c r="AX768" s="181"/>
      <c r="AZ768" s="181"/>
      <c r="BA768" s="181"/>
      <c r="BB768" s="181">
        <f t="shared" si="495"/>
        <v>60</v>
      </c>
      <c r="BC768" s="181"/>
      <c r="BD768" s="181"/>
      <c r="BE768" s="181"/>
      <c r="BF768" s="181"/>
      <c r="BG768" s="181"/>
      <c r="BH768" s="181"/>
      <c r="BI768" s="181"/>
      <c r="BJ768" s="181"/>
      <c r="BK768" s="181"/>
      <c r="BL768" s="181"/>
      <c r="BM768" s="401">
        <f t="shared" si="447"/>
        <v>1500</v>
      </c>
      <c r="BN768" s="200">
        <f t="shared" si="451"/>
        <v>112187</v>
      </c>
      <c r="BO768" s="1473"/>
      <c r="BP768" s="1473">
        <f t="shared" si="468"/>
        <v>-112187</v>
      </c>
      <c r="BQ768" s="200">
        <f t="shared" si="453"/>
        <v>60</v>
      </c>
      <c r="BR768" s="200">
        <f t="shared" si="454"/>
        <v>1425</v>
      </c>
      <c r="BS768" s="200">
        <f t="shared" si="469"/>
        <v>-1425</v>
      </c>
    </row>
    <row r="769" s="3" customFormat="1" ht="36" customHeight="1" spans="1:71">
      <c r="A769" s="647">
        <v>45611</v>
      </c>
      <c r="B769" s="75" t="s">
        <v>285</v>
      </c>
      <c r="C769" s="76" t="s">
        <v>286</v>
      </c>
      <c r="D769" s="77">
        <v>4500151307</v>
      </c>
      <c r="E769" s="114"/>
      <c r="F769" s="77" t="s">
        <v>3338</v>
      </c>
      <c r="G769" s="23" t="s">
        <v>96</v>
      </c>
      <c r="H769" s="24" t="s">
        <v>74</v>
      </c>
      <c r="I769" s="88">
        <v>750</v>
      </c>
      <c r="J769" s="89">
        <v>0</v>
      </c>
      <c r="K769" s="23">
        <v>50</v>
      </c>
      <c r="L769" s="88">
        <f t="shared" si="460"/>
        <v>15</v>
      </c>
      <c r="M769" s="90">
        <v>45664</v>
      </c>
      <c r="N769" s="86" t="s">
        <v>3339</v>
      </c>
      <c r="O769" s="91" t="s">
        <v>3331</v>
      </c>
      <c r="P769" s="91"/>
      <c r="Q769" s="91"/>
      <c r="R769" s="739" t="s">
        <v>3332</v>
      </c>
      <c r="S769" s="663" t="s">
        <v>77</v>
      </c>
      <c r="T769" s="113" t="s">
        <v>3340</v>
      </c>
      <c r="U769" s="114" t="s">
        <v>3341</v>
      </c>
      <c r="V769" s="139" t="s">
        <v>618</v>
      </c>
      <c r="W769" s="116">
        <v>1.4395</v>
      </c>
      <c r="X769" s="117">
        <f t="shared" si="481"/>
        <v>1079.625</v>
      </c>
      <c r="Y769" s="88"/>
      <c r="Z769" s="470" t="s">
        <v>292</v>
      </c>
      <c r="AA769" s="154" t="s">
        <v>128</v>
      </c>
      <c r="AB769" s="155"/>
      <c r="AC769" s="608">
        <f t="shared" si="472"/>
        <v>-750</v>
      </c>
      <c r="AD769" s="155"/>
      <c r="AE769" s="91"/>
      <c r="AF769" s="91"/>
      <c r="AG769" s="155">
        <f t="shared" si="492"/>
        <v>750</v>
      </c>
      <c r="AH769" s="155"/>
      <c r="AI769" s="155"/>
      <c r="AJ769" s="155"/>
      <c r="AK769" s="175"/>
      <c r="AL769" s="175">
        <f t="shared" si="494"/>
        <v>750</v>
      </c>
      <c r="AM769" s="175"/>
      <c r="AN769" s="175"/>
      <c r="AO769" s="175">
        <f t="shared" si="493"/>
        <v>750</v>
      </c>
      <c r="AP769" s="175"/>
      <c r="AQ769" s="175"/>
      <c r="AR769" s="175"/>
      <c r="AS769" s="175"/>
      <c r="AT769" s="181"/>
      <c r="AU769" s="181"/>
      <c r="AV769" s="181"/>
      <c r="AW769" s="181"/>
      <c r="AX769" s="181"/>
      <c r="AY769" s="1591"/>
      <c r="AZ769" s="181"/>
      <c r="BA769" s="181"/>
      <c r="BB769" s="181">
        <f t="shared" si="495"/>
        <v>30</v>
      </c>
      <c r="BC769" s="181"/>
      <c r="BD769" s="181"/>
      <c r="BE769" s="181"/>
      <c r="BF769" s="181"/>
      <c r="BG769" s="181"/>
      <c r="BH769" s="181"/>
      <c r="BI769" s="181"/>
      <c r="BJ769" s="181"/>
      <c r="BK769" s="181"/>
      <c r="BL769" s="181"/>
      <c r="BM769" s="401">
        <f t="shared" si="447"/>
        <v>750</v>
      </c>
      <c r="BN769" s="200">
        <f t="shared" si="451"/>
        <v>112937</v>
      </c>
      <c r="BO769" s="1473"/>
      <c r="BP769" s="1473">
        <f t="shared" si="468"/>
        <v>-112937</v>
      </c>
      <c r="BQ769" s="200">
        <f t="shared" si="453"/>
        <v>30</v>
      </c>
      <c r="BR769" s="200">
        <f t="shared" si="454"/>
        <v>1455</v>
      </c>
      <c r="BS769" s="200">
        <f t="shared" si="469"/>
        <v>-1455</v>
      </c>
    </row>
    <row r="770" s="3" customFormat="1" ht="36" customHeight="1" spans="1:71">
      <c r="A770" s="647">
        <v>45638</v>
      </c>
      <c r="B770" s="75" t="s">
        <v>379</v>
      </c>
      <c r="C770" s="76" t="s">
        <v>373</v>
      </c>
      <c r="D770" s="77">
        <v>4500153788</v>
      </c>
      <c r="E770" s="114"/>
      <c r="F770" s="77" t="s">
        <v>3342</v>
      </c>
      <c r="G770" s="23" t="s">
        <v>96</v>
      </c>
      <c r="H770" s="24" t="s">
        <v>74</v>
      </c>
      <c r="I770" s="88">
        <v>1200</v>
      </c>
      <c r="J770" s="89">
        <v>0</v>
      </c>
      <c r="K770" s="23">
        <v>50</v>
      </c>
      <c r="L770" s="88">
        <f t="shared" si="460"/>
        <v>24</v>
      </c>
      <c r="M770" s="90">
        <v>45687</v>
      </c>
      <c r="N770" s="90">
        <v>45677</v>
      </c>
      <c r="O770" s="91"/>
      <c r="P770" s="91"/>
      <c r="Q770" s="91"/>
      <c r="R770" s="739">
        <v>45642</v>
      </c>
      <c r="S770" s="663" t="s">
        <v>77</v>
      </c>
      <c r="T770" s="1646" t="s">
        <v>3343</v>
      </c>
      <c r="U770" s="114" t="s">
        <v>3344</v>
      </c>
      <c r="V770" s="139" t="s">
        <v>2535</v>
      </c>
      <c r="W770" s="116">
        <v>1.4344</v>
      </c>
      <c r="X770" s="117">
        <f t="shared" si="481"/>
        <v>1721.28</v>
      </c>
      <c r="Y770" s="88"/>
      <c r="Z770" s="470" t="s">
        <v>292</v>
      </c>
      <c r="AA770" s="154" t="s">
        <v>128</v>
      </c>
      <c r="AB770" s="155"/>
      <c r="AC770" s="608">
        <f t="shared" si="472"/>
        <v>-1200</v>
      </c>
      <c r="AD770" s="155"/>
      <c r="AE770" s="91"/>
      <c r="AF770" s="91"/>
      <c r="AG770" s="155">
        <f t="shared" si="492"/>
        <v>1200</v>
      </c>
      <c r="AH770" s="155"/>
      <c r="AI770" s="155"/>
      <c r="AJ770" s="155"/>
      <c r="AL770" s="175">
        <f t="shared" si="494"/>
        <v>1200</v>
      </c>
      <c r="AM770" s="175"/>
      <c r="AN770" s="175"/>
      <c r="AO770" s="175">
        <f t="shared" si="493"/>
        <v>1200</v>
      </c>
      <c r="AP770" s="175"/>
      <c r="AQ770" s="175"/>
      <c r="AR770" s="175"/>
      <c r="AS770" s="175"/>
      <c r="AT770" s="181"/>
      <c r="AU770" s="181"/>
      <c r="AV770" s="181"/>
      <c r="AW770" s="181"/>
      <c r="AX770" s="181"/>
      <c r="AZ770" s="181"/>
      <c r="BA770" s="181"/>
      <c r="BB770" s="181">
        <f t="shared" si="495"/>
        <v>48</v>
      </c>
      <c r="BC770" s="181"/>
      <c r="BD770" s="181"/>
      <c r="BE770" s="181"/>
      <c r="BF770" s="181"/>
      <c r="BG770" s="181"/>
      <c r="BH770" s="181"/>
      <c r="BI770" s="181"/>
      <c r="BJ770" s="181"/>
      <c r="BK770" s="181"/>
      <c r="BL770" s="181"/>
      <c r="BM770" s="401">
        <f t="shared" si="447"/>
        <v>1200</v>
      </c>
      <c r="BN770" s="200">
        <f t="shared" si="451"/>
        <v>114137</v>
      </c>
      <c r="BO770" s="1473"/>
      <c r="BP770" s="1473">
        <f t="shared" si="468"/>
        <v>-114137</v>
      </c>
      <c r="BQ770" s="200">
        <f t="shared" si="453"/>
        <v>48</v>
      </c>
      <c r="BR770" s="200">
        <f t="shared" si="454"/>
        <v>1503</v>
      </c>
      <c r="BS770" s="200">
        <f t="shared" si="469"/>
        <v>-1503</v>
      </c>
    </row>
    <row r="771" s="3" customFormat="1" ht="36" customHeight="1" spans="1:71">
      <c r="A771" s="647">
        <v>45616</v>
      </c>
      <c r="B771" s="75" t="s">
        <v>507</v>
      </c>
      <c r="C771" s="76" t="s">
        <v>213</v>
      </c>
      <c r="D771" s="77">
        <v>4500151646</v>
      </c>
      <c r="E771" s="114" t="s">
        <v>3345</v>
      </c>
      <c r="F771" s="77" t="s">
        <v>3346</v>
      </c>
      <c r="G771" s="23" t="s">
        <v>160</v>
      </c>
      <c r="H771" s="24" t="s">
        <v>74</v>
      </c>
      <c r="I771" s="88">
        <v>3003</v>
      </c>
      <c r="J771" s="89">
        <v>0</v>
      </c>
      <c r="K771" s="23">
        <v>13</v>
      </c>
      <c r="L771" s="88">
        <f t="shared" si="460"/>
        <v>231</v>
      </c>
      <c r="M771" s="90">
        <v>45695</v>
      </c>
      <c r="N771" s="90">
        <v>45679</v>
      </c>
      <c r="O771" s="91"/>
      <c r="P771" s="91"/>
      <c r="Q771" s="91"/>
      <c r="R771" s="91">
        <v>45642</v>
      </c>
      <c r="S771" s="663" t="s">
        <v>77</v>
      </c>
      <c r="T771" s="663" t="s">
        <v>3347</v>
      </c>
      <c r="U771" s="719" t="s">
        <v>3348</v>
      </c>
      <c r="V771" s="139" t="s">
        <v>3045</v>
      </c>
      <c r="W771" s="116">
        <v>1.4071</v>
      </c>
      <c r="X771" s="117">
        <f t="shared" si="481"/>
        <v>4225.5213</v>
      </c>
      <c r="Y771" s="88"/>
      <c r="Z771" s="470" t="s">
        <v>239</v>
      </c>
      <c r="AA771" s="154" t="s">
        <v>128</v>
      </c>
      <c r="AB771" s="155"/>
      <c r="AC771" s="608">
        <f t="shared" si="472"/>
        <v>-3003</v>
      </c>
      <c r="AD771" s="155"/>
      <c r="AE771" s="91"/>
      <c r="AF771" s="91"/>
      <c r="AG771" s="155">
        <f t="shared" si="492"/>
        <v>3003</v>
      </c>
      <c r="AH771" s="155"/>
      <c r="AI771" s="155"/>
      <c r="AJ771" s="155"/>
      <c r="AK771" s="88"/>
      <c r="AL771" s="175">
        <f t="shared" si="494"/>
        <v>3003</v>
      </c>
      <c r="AM771" s="175"/>
      <c r="AN771" s="175"/>
      <c r="AO771" s="175">
        <f t="shared" si="493"/>
        <v>3003</v>
      </c>
      <c r="AP771" s="175"/>
      <c r="AQ771" s="175"/>
      <c r="AR771" s="175"/>
      <c r="AS771" s="175"/>
      <c r="AT771" s="181"/>
      <c r="AU771" s="181"/>
      <c r="AV771" s="181"/>
      <c r="AW771" s="181"/>
      <c r="AX771" s="181"/>
      <c r="AY771" s="88"/>
      <c r="AZ771" s="181">
        <f>I771/13</f>
        <v>231</v>
      </c>
      <c r="BA771" s="181"/>
      <c r="BB771" s="181"/>
      <c r="BC771" s="181"/>
      <c r="BD771" s="181"/>
      <c r="BE771" s="181"/>
      <c r="BF771" s="181"/>
      <c r="BG771" s="181"/>
      <c r="BH771" s="181"/>
      <c r="BI771" s="181"/>
      <c r="BJ771" s="181"/>
      <c r="BK771" s="181"/>
      <c r="BL771" s="181"/>
      <c r="BM771" s="401">
        <f t="shared" si="447"/>
        <v>3003</v>
      </c>
      <c r="BN771" s="200">
        <f t="shared" si="451"/>
        <v>117140</v>
      </c>
      <c r="BO771" s="1473"/>
      <c r="BP771" s="1473">
        <f t="shared" si="468"/>
        <v>-117140</v>
      </c>
      <c r="BQ771" s="200">
        <f t="shared" si="453"/>
        <v>0</v>
      </c>
      <c r="BR771" s="200">
        <f t="shared" si="454"/>
        <v>1503</v>
      </c>
      <c r="BS771" s="200">
        <f t="shared" si="469"/>
        <v>-1503</v>
      </c>
    </row>
    <row r="772" s="3" customFormat="1" ht="36" customHeight="1" spans="1:71">
      <c r="A772" s="1662">
        <v>45642</v>
      </c>
      <c r="B772" s="1663" t="s">
        <v>116</v>
      </c>
      <c r="C772" s="1664" t="s">
        <v>117</v>
      </c>
      <c r="D772" s="21">
        <v>4500154167</v>
      </c>
      <c r="E772" s="114" t="s">
        <v>3349</v>
      </c>
      <c r="F772" s="77" t="s">
        <v>3350</v>
      </c>
      <c r="G772" s="23" t="s">
        <v>120</v>
      </c>
      <c r="H772" s="24" t="s">
        <v>74</v>
      </c>
      <c r="I772" s="88">
        <v>3507</v>
      </c>
      <c r="J772" s="89">
        <v>0</v>
      </c>
      <c r="K772" s="23">
        <v>21</v>
      </c>
      <c r="L772" s="88">
        <f t="shared" si="460"/>
        <v>167</v>
      </c>
      <c r="M772" s="90">
        <v>45695</v>
      </c>
      <c r="N772" s="90">
        <v>45679</v>
      </c>
      <c r="O772" s="91"/>
      <c r="P772" s="91"/>
      <c r="Q772" s="91"/>
      <c r="R772" s="739">
        <v>45650</v>
      </c>
      <c r="S772" s="663" t="s">
        <v>123</v>
      </c>
      <c r="T772" s="1646" t="s">
        <v>3351</v>
      </c>
      <c r="U772" s="114" t="s">
        <v>3352</v>
      </c>
      <c r="V772" s="139" t="s">
        <v>126</v>
      </c>
      <c r="W772" s="116">
        <v>1.4397</v>
      </c>
      <c r="X772" s="117">
        <f t="shared" si="481"/>
        <v>5049.0279</v>
      </c>
      <c r="Y772" s="88"/>
      <c r="Z772" s="470" t="s">
        <v>120</v>
      </c>
      <c r="AA772" s="154" t="s">
        <v>128</v>
      </c>
      <c r="AB772" s="155"/>
      <c r="AC772" s="608">
        <f t="shared" si="472"/>
        <v>-3507</v>
      </c>
      <c r="AD772" s="155"/>
      <c r="AE772" s="91"/>
      <c r="AF772" s="91"/>
      <c r="AG772" s="155">
        <f t="shared" si="492"/>
        <v>3507</v>
      </c>
      <c r="AH772" s="155"/>
      <c r="AI772" s="155"/>
      <c r="AJ772" s="155"/>
      <c r="AK772" s="175">
        <f t="shared" ref="AK772:AK776" si="496">I772</f>
        <v>3507</v>
      </c>
      <c r="AL772" s="88"/>
      <c r="AM772" s="175"/>
      <c r="AN772" s="175"/>
      <c r="AO772" s="628">
        <f t="shared" si="493"/>
        <v>3507</v>
      </c>
      <c r="AP772" s="175"/>
      <c r="AQ772" s="175"/>
      <c r="AR772" s="175"/>
      <c r="AS772" s="175">
        <v>241</v>
      </c>
      <c r="AT772" s="181"/>
      <c r="AU772" s="181"/>
      <c r="AV772" s="181"/>
      <c r="AW772" s="181"/>
      <c r="AX772" s="181"/>
      <c r="AY772" s="181"/>
      <c r="AZ772" s="181"/>
      <c r="BA772" s="181"/>
      <c r="BB772" s="181"/>
      <c r="BC772" s="181"/>
      <c r="BD772" s="181"/>
      <c r="BE772" s="181"/>
      <c r="BF772" s="181"/>
      <c r="BG772" s="181"/>
      <c r="BH772" s="181"/>
      <c r="BI772" s="181"/>
      <c r="BJ772" s="181"/>
      <c r="BK772" s="181"/>
      <c r="BL772" s="181"/>
      <c r="BM772" s="401">
        <f t="shared" ref="BM772:BM780" si="497">AG772+AH772+AI772</f>
        <v>3507</v>
      </c>
      <c r="BN772" s="200">
        <f t="shared" si="451"/>
        <v>120647</v>
      </c>
      <c r="BO772" s="1473"/>
      <c r="BP772" s="1473">
        <f t="shared" si="468"/>
        <v>-120647</v>
      </c>
      <c r="BQ772" s="200">
        <f t="shared" ref="BQ772:BQ778" si="498">AS772+AT772+BA772+BB772</f>
        <v>241</v>
      </c>
      <c r="BR772" s="200">
        <f t="shared" si="454"/>
        <v>1744</v>
      </c>
      <c r="BS772" s="200">
        <f t="shared" si="469"/>
        <v>-1744</v>
      </c>
    </row>
    <row r="773" s="3" customFormat="1" ht="36" customHeight="1" spans="1:71">
      <c r="A773" s="1662">
        <v>45623</v>
      </c>
      <c r="B773" s="1663" t="s">
        <v>225</v>
      </c>
      <c r="C773" s="1664" t="s">
        <v>213</v>
      </c>
      <c r="D773" s="21">
        <v>4500152538</v>
      </c>
      <c r="E773" s="114" t="s">
        <v>3353</v>
      </c>
      <c r="F773" s="77" t="s">
        <v>3354</v>
      </c>
      <c r="G773" s="23" t="s">
        <v>403</v>
      </c>
      <c r="H773" s="24" t="s">
        <v>74</v>
      </c>
      <c r="I773" s="88">
        <v>1144</v>
      </c>
      <c r="J773" s="89">
        <v>0</v>
      </c>
      <c r="K773" s="23">
        <v>52</v>
      </c>
      <c r="L773" s="88">
        <f t="shared" si="460"/>
        <v>22</v>
      </c>
      <c r="M773" s="90">
        <v>45696</v>
      </c>
      <c r="N773" s="90">
        <v>45694</v>
      </c>
      <c r="O773" s="91"/>
      <c r="P773" s="91"/>
      <c r="Q773" s="91"/>
      <c r="R773" s="91">
        <v>45624</v>
      </c>
      <c r="S773" s="663" t="s">
        <v>77</v>
      </c>
      <c r="T773" s="91" t="s">
        <v>3355</v>
      </c>
      <c r="U773" s="114" t="s">
        <v>3356</v>
      </c>
      <c r="V773" s="139" t="s">
        <v>3207</v>
      </c>
      <c r="W773" s="116">
        <v>1.4046</v>
      </c>
      <c r="X773" s="117">
        <f t="shared" si="481"/>
        <v>1606.8624</v>
      </c>
      <c r="Y773" s="88"/>
      <c r="Z773" s="470" t="s">
        <v>403</v>
      </c>
      <c r="AA773" s="154" t="s">
        <v>128</v>
      </c>
      <c r="AB773" s="155"/>
      <c r="AC773" s="608">
        <f t="shared" si="472"/>
        <v>-1144</v>
      </c>
      <c r="AD773" s="155"/>
      <c r="AE773" s="91"/>
      <c r="AF773" s="91"/>
      <c r="AG773" s="155">
        <f t="shared" si="492"/>
        <v>1144</v>
      </c>
      <c r="AH773" s="155"/>
      <c r="AI773" s="155"/>
      <c r="AJ773" s="155"/>
      <c r="AK773" s="175">
        <f t="shared" si="496"/>
        <v>1144</v>
      </c>
      <c r="AL773" s="88"/>
      <c r="AM773" s="175"/>
      <c r="AN773" s="175"/>
      <c r="AO773" s="628">
        <f t="shared" si="493"/>
        <v>1144</v>
      </c>
      <c r="AP773" s="175"/>
      <c r="AQ773" s="609"/>
      <c r="AR773" s="609"/>
      <c r="AS773" s="609"/>
      <c r="AT773" s="633"/>
      <c r="AU773" s="633"/>
      <c r="AV773" s="633"/>
      <c r="AW773" s="633"/>
      <c r="AX773" s="633"/>
      <c r="AY773" s="181">
        <f t="shared" ref="AY773:AY776" si="499">I773/13</f>
        <v>88</v>
      </c>
      <c r="AZ773" s="181"/>
      <c r="BA773" s="181"/>
      <c r="BB773" s="181"/>
      <c r="BC773" s="181"/>
      <c r="BD773" s="181"/>
      <c r="BE773" s="181"/>
      <c r="BF773" s="181"/>
      <c r="BG773" s="181"/>
      <c r="BH773" s="181"/>
      <c r="BI773" s="181"/>
      <c r="BJ773" s="181"/>
      <c r="BK773" s="181"/>
      <c r="BL773" s="181"/>
      <c r="BM773" s="401">
        <f t="shared" si="497"/>
        <v>1144</v>
      </c>
      <c r="BN773" s="200">
        <f t="shared" ref="BN773:BN779" si="500">BN772+BM773</f>
        <v>121791</v>
      </c>
      <c r="BO773" s="1473"/>
      <c r="BP773" s="1473">
        <f t="shared" si="468"/>
        <v>-121791</v>
      </c>
      <c r="BQ773" s="200">
        <f t="shared" si="498"/>
        <v>0</v>
      </c>
      <c r="BR773" s="200">
        <f t="shared" ref="BR773:BR778" si="501">BR772+BQ773</f>
        <v>1744</v>
      </c>
      <c r="BS773" s="200">
        <f t="shared" si="469"/>
        <v>-1744</v>
      </c>
    </row>
    <row r="774" s="3" customFormat="1" ht="36" customHeight="1" spans="1:71">
      <c r="A774" s="1662">
        <v>45623</v>
      </c>
      <c r="B774" s="1663" t="s">
        <v>225</v>
      </c>
      <c r="C774" s="1664" t="s">
        <v>213</v>
      </c>
      <c r="D774" s="21">
        <v>4500152538</v>
      </c>
      <c r="E774" s="114" t="s">
        <v>3357</v>
      </c>
      <c r="F774" s="77" t="s">
        <v>3358</v>
      </c>
      <c r="G774" s="23" t="s">
        <v>403</v>
      </c>
      <c r="H774" s="24" t="s">
        <v>74</v>
      </c>
      <c r="I774" s="88">
        <v>1456</v>
      </c>
      <c r="J774" s="89">
        <v>0</v>
      </c>
      <c r="K774" s="23">
        <v>52</v>
      </c>
      <c r="L774" s="88">
        <f t="shared" si="460"/>
        <v>28</v>
      </c>
      <c r="M774" s="90">
        <v>45696</v>
      </c>
      <c r="N774" s="90">
        <v>45694</v>
      </c>
      <c r="O774" s="91"/>
      <c r="P774" s="91"/>
      <c r="Q774" s="91"/>
      <c r="R774" s="91">
        <v>45624</v>
      </c>
      <c r="S774" s="663" t="s">
        <v>77</v>
      </c>
      <c r="T774" s="91" t="s">
        <v>3355</v>
      </c>
      <c r="U774" s="114" t="s">
        <v>3356</v>
      </c>
      <c r="V774" s="139" t="s">
        <v>3207</v>
      </c>
      <c r="W774" s="116">
        <v>1.4046</v>
      </c>
      <c r="X774" s="117">
        <f t="shared" si="481"/>
        <v>2045.0976</v>
      </c>
      <c r="Y774" s="88"/>
      <c r="Z774" s="470" t="s">
        <v>403</v>
      </c>
      <c r="AA774" s="154" t="s">
        <v>128</v>
      </c>
      <c r="AB774" s="155"/>
      <c r="AC774" s="608">
        <f t="shared" si="472"/>
        <v>-1456</v>
      </c>
      <c r="AD774" s="155"/>
      <c r="AE774" s="91"/>
      <c r="AF774" s="91"/>
      <c r="AG774" s="155">
        <f t="shared" si="492"/>
        <v>1456</v>
      </c>
      <c r="AH774" s="155"/>
      <c r="AI774" s="155"/>
      <c r="AJ774" s="155"/>
      <c r="AK774" s="175">
        <f t="shared" si="496"/>
        <v>1456</v>
      </c>
      <c r="AL774" s="88"/>
      <c r="AM774" s="175"/>
      <c r="AN774" s="175"/>
      <c r="AO774" s="628">
        <f t="shared" si="493"/>
        <v>1456</v>
      </c>
      <c r="AP774" s="175"/>
      <c r="AQ774" s="609"/>
      <c r="AR774" s="609"/>
      <c r="AS774" s="609"/>
      <c r="AT774" s="633"/>
      <c r="AU774" s="633"/>
      <c r="AV774" s="633"/>
      <c r="AW774" s="633"/>
      <c r="AX774" s="633"/>
      <c r="AY774" s="181">
        <f t="shared" si="499"/>
        <v>112</v>
      </c>
      <c r="AZ774" s="181"/>
      <c r="BA774" s="181"/>
      <c r="BB774" s="181"/>
      <c r="BC774" s="181"/>
      <c r="BD774" s="181"/>
      <c r="BE774" s="181"/>
      <c r="BF774" s="181"/>
      <c r="BG774" s="181"/>
      <c r="BH774" s="181"/>
      <c r="BI774" s="181"/>
      <c r="BJ774" s="181"/>
      <c r="BK774" s="181"/>
      <c r="BL774" s="181"/>
      <c r="BM774" s="401">
        <f t="shared" si="497"/>
        <v>1456</v>
      </c>
      <c r="BN774" s="200">
        <f t="shared" si="500"/>
        <v>123247</v>
      </c>
      <c r="BO774" s="1473"/>
      <c r="BP774" s="1473">
        <f t="shared" si="468"/>
        <v>-123247</v>
      </c>
      <c r="BQ774" s="200">
        <f t="shared" si="498"/>
        <v>0</v>
      </c>
      <c r="BR774" s="200">
        <f t="shared" si="501"/>
        <v>1744</v>
      </c>
      <c r="BS774" s="200">
        <f t="shared" si="469"/>
        <v>-1744</v>
      </c>
    </row>
    <row r="775" s="3" customFormat="1" ht="36" customHeight="1" spans="1:71">
      <c r="A775" s="1662">
        <v>45623</v>
      </c>
      <c r="B775" s="1663" t="s">
        <v>225</v>
      </c>
      <c r="C775" s="1664" t="s">
        <v>213</v>
      </c>
      <c r="D775" s="21">
        <v>4500152538</v>
      </c>
      <c r="E775" s="114" t="s">
        <v>3359</v>
      </c>
      <c r="F775" s="77" t="s">
        <v>3360</v>
      </c>
      <c r="G775" s="23" t="s">
        <v>403</v>
      </c>
      <c r="H775" s="24" t="s">
        <v>74</v>
      </c>
      <c r="I775" s="88">
        <v>1300</v>
      </c>
      <c r="J775" s="89">
        <v>0</v>
      </c>
      <c r="K775" s="23">
        <v>52</v>
      </c>
      <c r="L775" s="88">
        <f t="shared" si="460"/>
        <v>25</v>
      </c>
      <c r="M775" s="90">
        <v>45696</v>
      </c>
      <c r="N775" s="90">
        <v>45694</v>
      </c>
      <c r="O775" s="91"/>
      <c r="P775" s="91"/>
      <c r="Q775" s="91"/>
      <c r="R775" s="91">
        <v>45624</v>
      </c>
      <c r="S775" s="663" t="s">
        <v>77</v>
      </c>
      <c r="T775" s="91" t="s">
        <v>3355</v>
      </c>
      <c r="U775" s="114" t="s">
        <v>3356</v>
      </c>
      <c r="V775" s="139" t="s">
        <v>3207</v>
      </c>
      <c r="W775" s="116">
        <v>1.4046</v>
      </c>
      <c r="X775" s="117">
        <f t="shared" si="481"/>
        <v>1825.98</v>
      </c>
      <c r="Y775" s="88"/>
      <c r="Z775" s="470" t="s">
        <v>403</v>
      </c>
      <c r="AA775" s="154" t="s">
        <v>128</v>
      </c>
      <c r="AB775" s="155"/>
      <c r="AC775" s="608">
        <f t="shared" si="472"/>
        <v>-1300</v>
      </c>
      <c r="AD775" s="155"/>
      <c r="AE775" s="91"/>
      <c r="AF775" s="91"/>
      <c r="AG775" s="155">
        <f t="shared" si="492"/>
        <v>1300</v>
      </c>
      <c r="AH775" s="155"/>
      <c r="AI775" s="155"/>
      <c r="AJ775" s="155"/>
      <c r="AK775" s="175">
        <f t="shared" si="496"/>
        <v>1300</v>
      </c>
      <c r="AL775" s="88"/>
      <c r="AM775" s="175"/>
      <c r="AN775" s="175"/>
      <c r="AO775" s="628">
        <f t="shared" si="493"/>
        <v>1300</v>
      </c>
      <c r="AP775" s="175"/>
      <c r="AQ775" s="609"/>
      <c r="AR775" s="609"/>
      <c r="AS775" s="609"/>
      <c r="AT775" s="633"/>
      <c r="AU775" s="633"/>
      <c r="AV775" s="633"/>
      <c r="AW775" s="633"/>
      <c r="AX775" s="633"/>
      <c r="AY775" s="181">
        <f t="shared" si="499"/>
        <v>100</v>
      </c>
      <c r="AZ775" s="181"/>
      <c r="BA775" s="181"/>
      <c r="BB775" s="181"/>
      <c r="BC775" s="181"/>
      <c r="BD775" s="181"/>
      <c r="BE775" s="181"/>
      <c r="BF775" s="181"/>
      <c r="BG775" s="181"/>
      <c r="BH775" s="181"/>
      <c r="BI775" s="181"/>
      <c r="BJ775" s="181"/>
      <c r="BK775" s="181"/>
      <c r="BL775" s="181"/>
      <c r="BM775" s="401">
        <f t="shared" si="497"/>
        <v>1300</v>
      </c>
      <c r="BN775" s="200">
        <f t="shared" si="500"/>
        <v>124547</v>
      </c>
      <c r="BO775" s="1473"/>
      <c r="BP775" s="1473">
        <f t="shared" si="468"/>
        <v>-124547</v>
      </c>
      <c r="BQ775" s="200">
        <f t="shared" si="498"/>
        <v>0</v>
      </c>
      <c r="BR775" s="200">
        <f t="shared" si="501"/>
        <v>1744</v>
      </c>
      <c r="BS775" s="200">
        <f t="shared" si="469"/>
        <v>-1744</v>
      </c>
    </row>
    <row r="776" s="3" customFormat="1" ht="36" customHeight="1" spans="1:71">
      <c r="A776" s="1662">
        <v>45632</v>
      </c>
      <c r="B776" s="1663" t="s">
        <v>1709</v>
      </c>
      <c r="C776" s="1664" t="s">
        <v>233</v>
      </c>
      <c r="D776" s="21">
        <v>4500153390</v>
      </c>
      <c r="E776" s="114">
        <v>4503999972</v>
      </c>
      <c r="F776" s="21" t="s">
        <v>3361</v>
      </c>
      <c r="G776" s="23" t="s">
        <v>160</v>
      </c>
      <c r="H776" s="24" t="s">
        <v>74</v>
      </c>
      <c r="I776" s="88">
        <v>1040</v>
      </c>
      <c r="J776" s="89">
        <v>0</v>
      </c>
      <c r="K776" s="23">
        <v>13</v>
      </c>
      <c r="L776" s="88">
        <f t="shared" si="460"/>
        <v>80</v>
      </c>
      <c r="M776" s="90">
        <v>45702</v>
      </c>
      <c r="N776" s="90">
        <v>45698</v>
      </c>
      <c r="O776" s="91"/>
      <c r="P776" s="91"/>
      <c r="Q776" s="91"/>
      <c r="R776" s="91">
        <v>45632</v>
      </c>
      <c r="S776" s="663" t="s">
        <v>77</v>
      </c>
      <c r="T776" s="113" t="s">
        <v>3362</v>
      </c>
      <c r="U776" s="114" t="s">
        <v>3363</v>
      </c>
      <c r="V776" s="139" t="s">
        <v>3364</v>
      </c>
      <c r="W776" s="116">
        <v>1.4071</v>
      </c>
      <c r="X776" s="117">
        <f t="shared" si="481"/>
        <v>1463.384</v>
      </c>
      <c r="Y776" s="88"/>
      <c r="Z776" s="470" t="s">
        <v>160</v>
      </c>
      <c r="AA776" s="154" t="s">
        <v>128</v>
      </c>
      <c r="AB776" s="155"/>
      <c r="AC776" s="608">
        <f t="shared" si="472"/>
        <v>-1040</v>
      </c>
      <c r="AD776" s="155"/>
      <c r="AE776" s="91"/>
      <c r="AF776" s="91"/>
      <c r="AG776" s="155">
        <f t="shared" si="492"/>
        <v>1040</v>
      </c>
      <c r="AH776" s="155"/>
      <c r="AI776" s="155"/>
      <c r="AJ776" s="155"/>
      <c r="AK776" s="175">
        <f t="shared" si="496"/>
        <v>1040</v>
      </c>
      <c r="AL776" s="88"/>
      <c r="AM776" s="175"/>
      <c r="AN776" s="175"/>
      <c r="AO776" s="175">
        <f t="shared" si="493"/>
        <v>1040</v>
      </c>
      <c r="AP776" s="175"/>
      <c r="AQ776" s="175"/>
      <c r="AR776" s="175"/>
      <c r="AS776" s="175"/>
      <c r="AT776" s="181"/>
      <c r="AU776" s="181"/>
      <c r="AV776" s="181"/>
      <c r="AW776" s="181"/>
      <c r="AX776" s="181"/>
      <c r="AY776" s="181">
        <f t="shared" si="499"/>
        <v>80</v>
      </c>
      <c r="AZ776" s="181"/>
      <c r="BA776" s="181"/>
      <c r="BB776" s="181"/>
      <c r="BC776" s="181"/>
      <c r="BD776" s="181"/>
      <c r="BE776" s="181"/>
      <c r="BF776" s="181"/>
      <c r="BG776" s="181"/>
      <c r="BH776" s="181"/>
      <c r="BI776" s="181"/>
      <c r="BJ776" s="181"/>
      <c r="BK776" s="181"/>
      <c r="BL776" s="181"/>
      <c r="BM776" s="401">
        <f t="shared" si="497"/>
        <v>1040</v>
      </c>
      <c r="BN776" s="200">
        <f t="shared" si="500"/>
        <v>125587</v>
      </c>
      <c r="BO776" s="1473"/>
      <c r="BP776" s="1473">
        <f t="shared" si="468"/>
        <v>-125587</v>
      </c>
      <c r="BQ776" s="200">
        <f t="shared" si="498"/>
        <v>0</v>
      </c>
      <c r="BR776" s="200">
        <f t="shared" si="501"/>
        <v>1744</v>
      </c>
      <c r="BS776" s="200">
        <f t="shared" si="469"/>
        <v>-1744</v>
      </c>
    </row>
    <row r="777" s="3" customFormat="1" ht="36" customHeight="1" spans="1:71">
      <c r="A777" s="647">
        <v>45615</v>
      </c>
      <c r="B777" s="75" t="s">
        <v>3102</v>
      </c>
      <c r="C777" s="76" t="s">
        <v>117</v>
      </c>
      <c r="D777" s="77">
        <v>4500151537</v>
      </c>
      <c r="E777" s="114">
        <v>70054036</v>
      </c>
      <c r="F777" s="77" t="s">
        <v>3365</v>
      </c>
      <c r="G777" s="23" t="s">
        <v>628</v>
      </c>
      <c r="H777" s="24" t="s">
        <v>623</v>
      </c>
      <c r="I777" s="88">
        <v>504</v>
      </c>
      <c r="J777" s="89">
        <v>0</v>
      </c>
      <c r="K777" s="23">
        <v>12</v>
      </c>
      <c r="L777" s="88">
        <f t="shared" si="460"/>
        <v>42</v>
      </c>
      <c r="M777" s="90">
        <v>45705</v>
      </c>
      <c r="N777" s="90">
        <v>45701</v>
      </c>
      <c r="O777" s="91"/>
      <c r="P777" s="91" t="s">
        <v>3366</v>
      </c>
      <c r="Q777" s="91"/>
      <c r="R777" s="91">
        <v>45616</v>
      </c>
      <c r="S777" s="663" t="s">
        <v>77</v>
      </c>
      <c r="T777" s="1646" t="s">
        <v>3367</v>
      </c>
      <c r="U777" s="1643" t="s">
        <v>3368</v>
      </c>
      <c r="V777" s="139" t="s">
        <v>2458</v>
      </c>
      <c r="W777" s="116">
        <v>3.1012</v>
      </c>
      <c r="X777" s="117">
        <f t="shared" si="481"/>
        <v>1563.0048</v>
      </c>
      <c r="Y777" s="88"/>
      <c r="Z777" s="470" t="s">
        <v>822</v>
      </c>
      <c r="AA777" s="154" t="s">
        <v>128</v>
      </c>
      <c r="AB777" s="155"/>
      <c r="AC777" s="608">
        <f t="shared" si="472"/>
        <v>-504</v>
      </c>
      <c r="AD777" s="155"/>
      <c r="AE777" s="91"/>
      <c r="AF777" s="91"/>
      <c r="AG777" s="155">
        <f>I777*2</f>
        <v>1008</v>
      </c>
      <c r="AH777" s="155"/>
      <c r="AI777" s="155"/>
      <c r="AJ777" s="155"/>
      <c r="AK777" s="175">
        <f>AG777</f>
        <v>1008</v>
      </c>
      <c r="AL777" s="175"/>
      <c r="AM777" s="175"/>
      <c r="AN777" s="175"/>
      <c r="AO777" s="628">
        <f>AG777</f>
        <v>1008</v>
      </c>
      <c r="AP777" s="175"/>
      <c r="AQ777" s="175"/>
      <c r="AR777" s="175"/>
      <c r="AS777" s="175"/>
      <c r="AT777" s="181"/>
      <c r="AU777" s="181"/>
      <c r="AV777" s="181"/>
      <c r="AW777" s="181"/>
      <c r="AX777" s="181"/>
      <c r="AY777" s="181"/>
      <c r="AZ777" s="181"/>
      <c r="BA777" s="181"/>
      <c r="BB777" s="181"/>
      <c r="BC777" s="181"/>
      <c r="BD777" s="181"/>
      <c r="BE777" s="181"/>
      <c r="BF777" s="181"/>
      <c r="BG777" s="181"/>
      <c r="BH777" s="181"/>
      <c r="BI777" s="181"/>
      <c r="BJ777" s="181"/>
      <c r="BK777" s="181">
        <f>I777</f>
        <v>504</v>
      </c>
      <c r="BL777" s="181">
        <f>I777</f>
        <v>504</v>
      </c>
      <c r="BM777" s="401">
        <f t="shared" si="497"/>
        <v>1008</v>
      </c>
      <c r="BN777" s="200">
        <f t="shared" si="500"/>
        <v>126595</v>
      </c>
      <c r="BO777" s="1473"/>
      <c r="BP777" s="1473">
        <f t="shared" si="468"/>
        <v>-126595</v>
      </c>
      <c r="BQ777" s="200">
        <f t="shared" si="498"/>
        <v>0</v>
      </c>
      <c r="BR777" s="200">
        <f t="shared" si="501"/>
        <v>1744</v>
      </c>
      <c r="BS777" s="200">
        <f t="shared" si="469"/>
        <v>-1744</v>
      </c>
    </row>
    <row r="778" s="3" customFormat="1" ht="36" customHeight="1" spans="1:71">
      <c r="A778" s="647">
        <v>45639</v>
      </c>
      <c r="B778" s="75" t="s">
        <v>243</v>
      </c>
      <c r="C778" s="76" t="s">
        <v>213</v>
      </c>
      <c r="D778" s="77">
        <v>4500151765</v>
      </c>
      <c r="E778" s="114">
        <v>2950866282</v>
      </c>
      <c r="F778" s="77" t="s">
        <v>3369</v>
      </c>
      <c r="G778" s="23" t="s">
        <v>3203</v>
      </c>
      <c r="H778" s="24" t="s">
        <v>833</v>
      </c>
      <c r="I778" s="88">
        <v>1950</v>
      </c>
      <c r="J778" s="89">
        <v>0</v>
      </c>
      <c r="K778" s="23">
        <v>975</v>
      </c>
      <c r="L778" s="88">
        <f t="shared" si="460"/>
        <v>2</v>
      </c>
      <c r="M778" s="90">
        <v>45705</v>
      </c>
      <c r="N778" s="90">
        <v>45701</v>
      </c>
      <c r="O778" s="91"/>
      <c r="P778" s="91"/>
      <c r="Q778" s="91"/>
      <c r="R778" s="91">
        <v>45651</v>
      </c>
      <c r="S778" s="662" t="s">
        <v>123</v>
      </c>
      <c r="T778" s="1649" t="s">
        <v>3370</v>
      </c>
      <c r="U778" s="1668" t="s">
        <v>3371</v>
      </c>
      <c r="V778" s="139" t="s">
        <v>3207</v>
      </c>
      <c r="W778" s="116">
        <v>1358.5192</v>
      </c>
      <c r="X778" s="117">
        <f>W778*L778</f>
        <v>2717.0384</v>
      </c>
      <c r="Y778" s="88"/>
      <c r="Z778" s="470" t="s">
        <v>3203</v>
      </c>
      <c r="AA778" s="154" t="s">
        <v>128</v>
      </c>
      <c r="AB778" s="155"/>
      <c r="AC778" s="608">
        <f t="shared" si="472"/>
        <v>-1950</v>
      </c>
      <c r="AD778" s="155"/>
      <c r="AE778" s="91"/>
      <c r="AF778" s="91"/>
      <c r="AG778" s="155">
        <f t="shared" ref="AG778:AG781" si="502">I778</f>
        <v>1950</v>
      </c>
      <c r="AH778" s="155"/>
      <c r="AI778" s="155"/>
      <c r="AJ778" s="155"/>
      <c r="AK778" s="408"/>
      <c r="AL778" s="628">
        <f>I778</f>
        <v>1950</v>
      </c>
      <c r="AM778" s="175"/>
      <c r="AN778" s="175"/>
      <c r="AO778" s="175">
        <f t="shared" ref="AO778:AO780" si="503">I778</f>
        <v>1950</v>
      </c>
      <c r="AP778" s="175"/>
      <c r="AQ778" s="175"/>
      <c r="AR778" s="175"/>
      <c r="AS778" s="175"/>
      <c r="AT778" s="181"/>
      <c r="AU778" s="181"/>
      <c r="AV778" s="181"/>
      <c r="AW778" s="181"/>
      <c r="AX778" s="181"/>
      <c r="AY778" s="181"/>
      <c r="AZ778" s="181">
        <f>I778/13</f>
        <v>150</v>
      </c>
      <c r="BA778" s="181"/>
      <c r="BB778" s="181"/>
      <c r="BC778" s="181"/>
      <c r="BD778" s="181"/>
      <c r="BE778" s="181"/>
      <c r="BF778" s="181"/>
      <c r="BG778" s="181"/>
      <c r="BH778" s="181"/>
      <c r="BI778" s="181"/>
      <c r="BJ778" s="181"/>
      <c r="BK778" s="181"/>
      <c r="BL778" s="181"/>
      <c r="BM778" s="401">
        <f t="shared" si="497"/>
        <v>1950</v>
      </c>
      <c r="BN778" s="200">
        <f t="shared" si="500"/>
        <v>128545</v>
      </c>
      <c r="BO778" s="1473"/>
      <c r="BP778" s="1473">
        <f t="shared" si="468"/>
        <v>-128545</v>
      </c>
      <c r="BQ778" s="200">
        <f t="shared" si="498"/>
        <v>0</v>
      </c>
      <c r="BR778" s="200">
        <f t="shared" si="501"/>
        <v>1744</v>
      </c>
      <c r="BS778" s="200">
        <f t="shared" si="469"/>
        <v>-1744</v>
      </c>
    </row>
    <row r="779" s="3" customFormat="1" ht="36" customHeight="1" spans="1:68">
      <c r="A779" s="647">
        <v>45651</v>
      </c>
      <c r="B779" s="75" t="s">
        <v>285</v>
      </c>
      <c r="C779" s="76" t="s">
        <v>286</v>
      </c>
      <c r="D779" s="77">
        <v>4500154604</v>
      </c>
      <c r="E779" s="114">
        <v>61900884</v>
      </c>
      <c r="F779" s="77" t="s">
        <v>3372</v>
      </c>
      <c r="G779" s="23" t="s">
        <v>96</v>
      </c>
      <c r="H779" s="24" t="s">
        <v>74</v>
      </c>
      <c r="I779" s="88">
        <v>1650</v>
      </c>
      <c r="J779" s="89">
        <v>0</v>
      </c>
      <c r="K779" s="23">
        <v>50</v>
      </c>
      <c r="L779" s="88">
        <f t="shared" si="460"/>
        <v>33</v>
      </c>
      <c r="M779" s="90">
        <v>45705</v>
      </c>
      <c r="N779" s="90">
        <v>45701</v>
      </c>
      <c r="O779" s="87" t="s">
        <v>3373</v>
      </c>
      <c r="P779" s="91" t="s">
        <v>3374</v>
      </c>
      <c r="Q779" s="91"/>
      <c r="R779" s="739" t="s">
        <v>3332</v>
      </c>
      <c r="S779" s="663" t="s">
        <v>77</v>
      </c>
      <c r="T779" s="1646" t="s">
        <v>3375</v>
      </c>
      <c r="U779" s="1668" t="s">
        <v>3376</v>
      </c>
      <c r="V779" s="139" t="s">
        <v>618</v>
      </c>
      <c r="W779" s="116">
        <v>1.4344</v>
      </c>
      <c r="X779" s="117">
        <f t="shared" ref="X779:X786" si="504">I779*W779</f>
        <v>2366.76</v>
      </c>
      <c r="Y779" s="88"/>
      <c r="Z779" s="470" t="s">
        <v>292</v>
      </c>
      <c r="AA779" s="154" t="s">
        <v>128</v>
      </c>
      <c r="AB779" s="155"/>
      <c r="AC779" s="155"/>
      <c r="AD779" s="155"/>
      <c r="AE779" s="91"/>
      <c r="AF779" s="91"/>
      <c r="AG779" s="155">
        <f t="shared" si="502"/>
        <v>1650</v>
      </c>
      <c r="AH779" s="155"/>
      <c r="AI779" s="155"/>
      <c r="AJ779" s="155"/>
      <c r="AK779" s="408"/>
      <c r="AL779" s="175">
        <f>I779</f>
        <v>1650</v>
      </c>
      <c r="AM779" s="175"/>
      <c r="AN779" s="175"/>
      <c r="AO779" s="175">
        <f t="shared" si="503"/>
        <v>1650</v>
      </c>
      <c r="AP779" s="175"/>
      <c r="AQ779" s="175"/>
      <c r="AR779" s="175"/>
      <c r="AS779" s="175"/>
      <c r="AT779" s="181"/>
      <c r="AU779" s="181"/>
      <c r="AV779" s="181"/>
      <c r="AW779" s="181"/>
      <c r="AX779" s="181"/>
      <c r="AY779" s="181"/>
      <c r="AZ779" s="181"/>
      <c r="BA779" s="181"/>
      <c r="BB779" s="181">
        <f>I779/25</f>
        <v>66</v>
      </c>
      <c r="BC779" s="181"/>
      <c r="BD779" s="181"/>
      <c r="BE779" s="181"/>
      <c r="BF779" s="181"/>
      <c r="BG779" s="181"/>
      <c r="BH779" s="181"/>
      <c r="BI779" s="181"/>
      <c r="BJ779" s="181"/>
      <c r="BK779" s="181"/>
      <c r="BL779" s="181"/>
      <c r="BM779" s="88">
        <f t="shared" si="497"/>
        <v>1650</v>
      </c>
      <c r="BN779" s="3">
        <f t="shared" si="500"/>
        <v>130195</v>
      </c>
      <c r="BO779" s="196"/>
      <c r="BP779" s="196"/>
    </row>
    <row r="780" s="3" customFormat="1" ht="36" customHeight="1" spans="1:71">
      <c r="A780" s="647">
        <v>45650</v>
      </c>
      <c r="B780" s="75" t="s">
        <v>561</v>
      </c>
      <c r="C780" s="76" t="s">
        <v>190</v>
      </c>
      <c r="D780" s="77">
        <v>4500154618</v>
      </c>
      <c r="E780" s="114">
        <v>2385657</v>
      </c>
      <c r="F780" s="77" t="s">
        <v>3377</v>
      </c>
      <c r="G780" s="23" t="s">
        <v>160</v>
      </c>
      <c r="H780" s="24" t="s">
        <v>74</v>
      </c>
      <c r="I780" s="88">
        <v>1508</v>
      </c>
      <c r="J780" s="89">
        <v>0</v>
      </c>
      <c r="K780" s="23">
        <v>13</v>
      </c>
      <c r="L780" s="88">
        <f t="shared" si="460"/>
        <v>116</v>
      </c>
      <c r="M780" s="90">
        <v>45712</v>
      </c>
      <c r="N780" s="90">
        <v>45708</v>
      </c>
      <c r="O780" s="91" t="s">
        <v>563</v>
      </c>
      <c r="P780" s="91"/>
      <c r="Q780" s="91"/>
      <c r="R780" s="91">
        <v>45650</v>
      </c>
      <c r="S780" s="663" t="s">
        <v>123</v>
      </c>
      <c r="T780" s="1646" t="s">
        <v>3378</v>
      </c>
      <c r="U780" s="1668" t="s">
        <v>3379</v>
      </c>
      <c r="V780" s="139" t="s">
        <v>3057</v>
      </c>
      <c r="W780" s="116">
        <v>1.3901</v>
      </c>
      <c r="X780" s="117">
        <f t="shared" si="504"/>
        <v>2096.2708</v>
      </c>
      <c r="Y780" s="88"/>
      <c r="Z780" s="470" t="s">
        <v>160</v>
      </c>
      <c r="AA780" s="154" t="s">
        <v>128</v>
      </c>
      <c r="AB780" s="155"/>
      <c r="AC780" s="155"/>
      <c r="AD780" s="155"/>
      <c r="AE780" s="91"/>
      <c r="AF780" s="91"/>
      <c r="AG780" s="155">
        <f t="shared" si="502"/>
        <v>1508</v>
      </c>
      <c r="AH780" s="155"/>
      <c r="AI780" s="155"/>
      <c r="AJ780" s="155"/>
      <c r="AK780" s="175">
        <f>I780</f>
        <v>1508</v>
      </c>
      <c r="AL780" s="175"/>
      <c r="AM780" s="175"/>
      <c r="AN780" s="175"/>
      <c r="AO780" s="175">
        <f t="shared" si="503"/>
        <v>1508</v>
      </c>
      <c r="AP780" s="175"/>
      <c r="AQ780" s="175"/>
      <c r="AR780" s="175"/>
      <c r="AS780" s="175"/>
      <c r="AT780" s="181"/>
      <c r="AU780" s="181"/>
      <c r="AV780" s="181"/>
      <c r="AW780" s="181"/>
      <c r="AX780" s="181"/>
      <c r="AY780" s="181">
        <f>I780/13</f>
        <v>116</v>
      </c>
      <c r="AZ780" s="181"/>
      <c r="BA780" s="181"/>
      <c r="BB780" s="181"/>
      <c r="BC780" s="181"/>
      <c r="BD780" s="181"/>
      <c r="BE780" s="181"/>
      <c r="BF780" s="181"/>
      <c r="BG780" s="181"/>
      <c r="BH780" s="181"/>
      <c r="BI780" s="181"/>
      <c r="BJ780" s="181"/>
      <c r="BK780" s="181"/>
      <c r="BL780" s="181"/>
      <c r="BM780" s="401">
        <f t="shared" si="497"/>
        <v>1508</v>
      </c>
      <c r="BN780" s="200">
        <f>BN778+BM780</f>
        <v>130053</v>
      </c>
      <c r="BO780" s="1473"/>
      <c r="BP780" s="1473">
        <f>$BO$3+$BP$3-BN780</f>
        <v>-130053</v>
      </c>
      <c r="BQ780" s="200">
        <f>AS780+AT780+BA780+BB780</f>
        <v>0</v>
      </c>
      <c r="BR780" s="200">
        <f>BR778+BQ780</f>
        <v>1744</v>
      </c>
      <c r="BS780" s="200">
        <f>$BS$3-BR780</f>
        <v>-1744</v>
      </c>
    </row>
    <row r="781" s="403" customFormat="1" ht="36" customHeight="1" spans="1:68">
      <c r="A781" s="1665">
        <v>45659</v>
      </c>
      <c r="B781" s="639" t="s">
        <v>116</v>
      </c>
      <c r="C781" s="644" t="s">
        <v>117</v>
      </c>
      <c r="D781" s="1666">
        <v>4500155146</v>
      </c>
      <c r="E781" s="223" t="s">
        <v>3380</v>
      </c>
      <c r="F781" s="1666" t="s">
        <v>3381</v>
      </c>
      <c r="G781" s="642" t="s">
        <v>120</v>
      </c>
      <c r="H781" s="726" t="s">
        <v>74</v>
      </c>
      <c r="I781" s="677">
        <v>8631</v>
      </c>
      <c r="J781" s="740">
        <v>0</v>
      </c>
      <c r="K781" s="642">
        <v>21</v>
      </c>
      <c r="L781" s="677">
        <f t="shared" si="460"/>
        <v>411</v>
      </c>
      <c r="M781" s="654">
        <v>45712</v>
      </c>
      <c r="N781" s="654">
        <v>45708</v>
      </c>
      <c r="O781" s="655"/>
      <c r="P781" s="655"/>
      <c r="Q781" s="655"/>
      <c r="R781" s="655"/>
      <c r="S781" s="1669"/>
      <c r="T781" s="1670"/>
      <c r="U781" s="1671" t="s">
        <v>3382</v>
      </c>
      <c r="V781" s="665" t="s">
        <v>126</v>
      </c>
      <c r="W781" s="748">
        <v>1.4347</v>
      </c>
      <c r="X781" s="753">
        <f t="shared" si="504"/>
        <v>12382.8957</v>
      </c>
      <c r="Y781" s="677"/>
      <c r="Z781" s="672"/>
      <c r="AA781" s="1673"/>
      <c r="AB781" s="759"/>
      <c r="AC781" s="759"/>
      <c r="AD781" s="759"/>
      <c r="AE781" s="655"/>
      <c r="AF781" s="655"/>
      <c r="AG781" s="759">
        <f t="shared" si="502"/>
        <v>8631</v>
      </c>
      <c r="AH781" s="759"/>
      <c r="AI781" s="759"/>
      <c r="AJ781" s="759"/>
      <c r="AK781" s="675"/>
      <c r="AL781" s="675"/>
      <c r="AM781" s="675"/>
      <c r="AN781" s="675"/>
      <c r="AO781" s="675"/>
      <c r="AP781" s="675"/>
      <c r="AQ781" s="675"/>
      <c r="AR781" s="675"/>
      <c r="AS781" s="675"/>
      <c r="AT781" s="689"/>
      <c r="AU781" s="689"/>
      <c r="AV781" s="689"/>
      <c r="AW781" s="689"/>
      <c r="AX781" s="689"/>
      <c r="AY781" s="689"/>
      <c r="AZ781" s="689"/>
      <c r="BA781" s="689"/>
      <c r="BB781" s="689"/>
      <c r="BC781" s="689"/>
      <c r="BD781" s="689"/>
      <c r="BE781" s="689"/>
      <c r="BF781" s="689"/>
      <c r="BG781" s="689"/>
      <c r="BH781" s="689"/>
      <c r="BI781" s="689"/>
      <c r="BJ781" s="689"/>
      <c r="BK781" s="689"/>
      <c r="BL781" s="689"/>
      <c r="BM781" s="677"/>
      <c r="BO781" s="1675"/>
      <c r="BP781" s="1675"/>
    </row>
    <row r="782" s="3" customFormat="1" ht="36" customHeight="1" spans="1:71">
      <c r="A782" s="647">
        <v>45616</v>
      </c>
      <c r="B782" s="75" t="s">
        <v>3102</v>
      </c>
      <c r="C782" s="76" t="s">
        <v>117</v>
      </c>
      <c r="D782" s="77">
        <v>4500151720</v>
      </c>
      <c r="E782" s="114">
        <v>70054037</v>
      </c>
      <c r="F782" s="77" t="s">
        <v>3383</v>
      </c>
      <c r="G782" s="23" t="s">
        <v>628</v>
      </c>
      <c r="H782" s="24" t="s">
        <v>623</v>
      </c>
      <c r="I782" s="88">
        <v>504</v>
      </c>
      <c r="J782" s="89">
        <v>0</v>
      </c>
      <c r="K782" s="23">
        <v>12</v>
      </c>
      <c r="L782" s="88">
        <f t="shared" si="460"/>
        <v>42</v>
      </c>
      <c r="M782" s="90">
        <v>45716</v>
      </c>
      <c r="N782" s="90">
        <v>45712</v>
      </c>
      <c r="O782" s="91"/>
      <c r="P782" s="91" t="s">
        <v>3366</v>
      </c>
      <c r="Q782" s="91"/>
      <c r="R782" s="91">
        <v>45616</v>
      </c>
      <c r="S782" s="663" t="s">
        <v>77</v>
      </c>
      <c r="T782" s="1646" t="s">
        <v>3367</v>
      </c>
      <c r="U782" s="1643" t="s">
        <v>3368</v>
      </c>
      <c r="V782" s="139" t="s">
        <v>2458</v>
      </c>
      <c r="W782" s="116">
        <v>3.1012</v>
      </c>
      <c r="X782" s="117">
        <f t="shared" si="504"/>
        <v>1563.0048</v>
      </c>
      <c r="Y782" s="88"/>
      <c r="Z782" s="470" t="s">
        <v>822</v>
      </c>
      <c r="AA782" s="154" t="s">
        <v>128</v>
      </c>
      <c r="AB782" s="155"/>
      <c r="AC782" s="608">
        <f>AB782-I782</f>
        <v>-504</v>
      </c>
      <c r="AD782" s="155"/>
      <c r="AE782" s="91"/>
      <c r="AF782" s="91"/>
      <c r="AG782" s="155">
        <f>I782*2</f>
        <v>1008</v>
      </c>
      <c r="AH782" s="155"/>
      <c r="AI782" s="155"/>
      <c r="AJ782" s="155"/>
      <c r="AK782" s="175">
        <f>AG782</f>
        <v>1008</v>
      </c>
      <c r="AL782" s="175"/>
      <c r="AM782" s="175"/>
      <c r="AN782" s="175"/>
      <c r="AO782" s="628">
        <f>AG782</f>
        <v>1008</v>
      </c>
      <c r="AP782" s="175"/>
      <c r="AQ782" s="175"/>
      <c r="AR782" s="175"/>
      <c r="AS782" s="175"/>
      <c r="AT782" s="181"/>
      <c r="AU782" s="181"/>
      <c r="AV782" s="181"/>
      <c r="AW782" s="181"/>
      <c r="AX782" s="181"/>
      <c r="AY782" s="181"/>
      <c r="AZ782" s="181"/>
      <c r="BA782" s="181"/>
      <c r="BB782" s="181"/>
      <c r="BC782" s="181"/>
      <c r="BD782" s="181"/>
      <c r="BE782" s="181"/>
      <c r="BF782" s="181"/>
      <c r="BG782" s="181"/>
      <c r="BH782" s="181"/>
      <c r="BI782" s="181"/>
      <c r="BJ782" s="181"/>
      <c r="BK782" s="181">
        <f>I782</f>
        <v>504</v>
      </c>
      <c r="BL782" s="181">
        <f>I782</f>
        <v>504</v>
      </c>
      <c r="BM782" s="401">
        <f t="shared" ref="BM782:BM786" si="505">AG782+AH782+AI782</f>
        <v>1008</v>
      </c>
      <c r="BN782" s="200">
        <f>BN780+BM782</f>
        <v>131061</v>
      </c>
      <c r="BO782" s="1473"/>
      <c r="BP782" s="1473">
        <f>$BO$3+$BP$3-BN782</f>
        <v>-131061</v>
      </c>
      <c r="BQ782" s="200">
        <f>AS782+AT782+BA782+BB782</f>
        <v>0</v>
      </c>
      <c r="BR782" s="200">
        <f>BR780+BQ782</f>
        <v>1744</v>
      </c>
      <c r="BS782" s="200">
        <f>$BS$3-BR782</f>
        <v>-1744</v>
      </c>
    </row>
    <row r="783" s="3" customFormat="1" ht="36" customHeight="1" spans="1:68">
      <c r="A783" s="647">
        <v>45651</v>
      </c>
      <c r="B783" s="75" t="s">
        <v>580</v>
      </c>
      <c r="C783" s="76" t="s">
        <v>581</v>
      </c>
      <c r="D783" s="77">
        <v>4500154694</v>
      </c>
      <c r="E783" s="114" t="s">
        <v>3384</v>
      </c>
      <c r="F783" s="77" t="s">
        <v>3385</v>
      </c>
      <c r="G783" s="23" t="s">
        <v>207</v>
      </c>
      <c r="H783" s="24" t="s">
        <v>74</v>
      </c>
      <c r="I783" s="88">
        <v>816</v>
      </c>
      <c r="J783" s="89">
        <v>0</v>
      </c>
      <c r="K783" s="23">
        <v>48</v>
      </c>
      <c r="L783" s="88">
        <f t="shared" si="460"/>
        <v>17</v>
      </c>
      <c r="M783" s="90">
        <v>45716</v>
      </c>
      <c r="N783" s="90">
        <v>45712</v>
      </c>
      <c r="O783" s="91"/>
      <c r="P783" s="91"/>
      <c r="Q783" s="91"/>
      <c r="R783" s="91">
        <v>45651</v>
      </c>
      <c r="S783" s="663" t="s">
        <v>77</v>
      </c>
      <c r="T783" s="113" t="s">
        <v>3386</v>
      </c>
      <c r="U783" s="114" t="s">
        <v>3387</v>
      </c>
      <c r="V783" s="139" t="s">
        <v>585</v>
      </c>
      <c r="W783" s="116">
        <v>1.3917</v>
      </c>
      <c r="X783" s="117">
        <f t="shared" si="504"/>
        <v>1135.6272</v>
      </c>
      <c r="Y783" s="88"/>
      <c r="Z783" s="470" t="s">
        <v>207</v>
      </c>
      <c r="AA783" s="154" t="s">
        <v>128</v>
      </c>
      <c r="AB783" s="155"/>
      <c r="AC783" s="155"/>
      <c r="AD783" s="155"/>
      <c r="AE783" s="91"/>
      <c r="AF783" s="91"/>
      <c r="AG783" s="155">
        <f t="shared" ref="AG783:AG786" si="506">I783</f>
        <v>816</v>
      </c>
      <c r="AH783" s="155"/>
      <c r="AI783" s="155"/>
      <c r="AJ783" s="155"/>
      <c r="AK783" s="408">
        <f>I783</f>
        <v>816</v>
      </c>
      <c r="AL783" s="628"/>
      <c r="AM783" s="175"/>
      <c r="AN783" s="175"/>
      <c r="AO783" s="628">
        <f t="shared" ref="AO783:AO786" si="507">I783</f>
        <v>816</v>
      </c>
      <c r="AP783" s="175"/>
      <c r="AQ783" s="175"/>
      <c r="AR783" s="175"/>
      <c r="AS783" s="175"/>
      <c r="AT783" s="181"/>
      <c r="AU783" s="181"/>
      <c r="AV783" s="181"/>
      <c r="AW783" s="181">
        <f>I783/12</f>
        <v>68</v>
      </c>
      <c r="AX783" s="181"/>
      <c r="AY783" s="181"/>
      <c r="AZ783" s="181"/>
      <c r="BA783" s="181"/>
      <c r="BB783" s="181"/>
      <c r="BC783" s="181"/>
      <c r="BD783" s="181"/>
      <c r="BE783" s="181"/>
      <c r="BF783" s="181"/>
      <c r="BG783" s="181"/>
      <c r="BH783" s="181"/>
      <c r="BI783" s="181"/>
      <c r="BJ783" s="181"/>
      <c r="BK783" s="181"/>
      <c r="BL783" s="181"/>
      <c r="BM783" s="88">
        <f t="shared" si="505"/>
        <v>816</v>
      </c>
      <c r="BN783" s="3">
        <f t="shared" ref="BN783:BN785" si="508">BN782+BM783</f>
        <v>131877</v>
      </c>
      <c r="BO783" s="196"/>
      <c r="BP783" s="196"/>
    </row>
    <row r="784" s="3" customFormat="1" ht="36" customHeight="1" spans="1:68">
      <c r="A784" s="647">
        <v>45652</v>
      </c>
      <c r="B784" s="75" t="s">
        <v>449</v>
      </c>
      <c r="C784" s="76" t="s">
        <v>477</v>
      </c>
      <c r="D784" s="77">
        <v>4500154803</v>
      </c>
      <c r="E784" s="114" t="s">
        <v>3388</v>
      </c>
      <c r="F784" s="77" t="s">
        <v>3389</v>
      </c>
      <c r="G784" s="23" t="s">
        <v>73</v>
      </c>
      <c r="H784" s="24" t="s">
        <v>74</v>
      </c>
      <c r="I784" s="88">
        <v>504</v>
      </c>
      <c r="J784" s="89">
        <v>0</v>
      </c>
      <c r="K784" s="23">
        <v>24</v>
      </c>
      <c r="L784" s="88">
        <f t="shared" si="460"/>
        <v>21</v>
      </c>
      <c r="M784" s="90">
        <v>45716</v>
      </c>
      <c r="N784" s="90">
        <v>45712</v>
      </c>
      <c r="O784" s="91"/>
      <c r="P784" s="91"/>
      <c r="Q784" s="91"/>
      <c r="R784" s="739" t="s">
        <v>1910</v>
      </c>
      <c r="S784" s="663" t="s">
        <v>77</v>
      </c>
      <c r="T784" s="113" t="s">
        <v>3390</v>
      </c>
      <c r="U784" s="223" t="s">
        <v>3391</v>
      </c>
      <c r="V784" s="139" t="s">
        <v>186</v>
      </c>
      <c r="W784" s="116">
        <v>1.3645</v>
      </c>
      <c r="X784" s="117">
        <f t="shared" si="504"/>
        <v>687.708</v>
      </c>
      <c r="Y784" s="88"/>
      <c r="Z784" s="470" t="s">
        <v>188</v>
      </c>
      <c r="AA784" s="154" t="s">
        <v>128</v>
      </c>
      <c r="AB784" s="155"/>
      <c r="AC784" s="155"/>
      <c r="AD784" s="155"/>
      <c r="AE784" s="91"/>
      <c r="AF784" s="91"/>
      <c r="AG784" s="155">
        <f t="shared" si="506"/>
        <v>504</v>
      </c>
      <c r="AH784" s="155"/>
      <c r="AI784" s="155"/>
      <c r="AJ784" s="155"/>
      <c r="AK784" s="408"/>
      <c r="AL784" s="175">
        <f t="shared" ref="AL784:AL786" si="509">I784</f>
        <v>504</v>
      </c>
      <c r="AM784" s="175"/>
      <c r="AN784" s="175"/>
      <c r="AO784" s="628">
        <f t="shared" si="507"/>
        <v>504</v>
      </c>
      <c r="AP784" s="175"/>
      <c r="AQ784" s="175"/>
      <c r="AR784" s="175"/>
      <c r="AS784" s="175"/>
      <c r="AT784" s="181"/>
      <c r="AU784" s="181"/>
      <c r="AV784" s="181"/>
      <c r="AW784" s="181"/>
      <c r="AX784" s="181"/>
      <c r="AY784" s="181"/>
      <c r="AZ784" s="181"/>
      <c r="BA784" s="181"/>
      <c r="BB784" s="181"/>
      <c r="BC784" s="181"/>
      <c r="BD784" s="181"/>
      <c r="BE784" s="181"/>
      <c r="BF784" s="181"/>
      <c r="BG784" s="181"/>
      <c r="BH784" s="181"/>
      <c r="BI784" s="181"/>
      <c r="BJ784" s="181"/>
      <c r="BK784" s="181"/>
      <c r="BL784" s="181"/>
      <c r="BM784" s="88">
        <f t="shared" si="505"/>
        <v>504</v>
      </c>
      <c r="BN784" s="3">
        <f t="shared" si="508"/>
        <v>132381</v>
      </c>
      <c r="BO784" s="196"/>
      <c r="BP784" s="196"/>
    </row>
    <row r="785" s="691" customFormat="1" ht="36" customHeight="1" spans="1:68">
      <c r="A785" s="1621">
        <v>45653</v>
      </c>
      <c r="B785" s="721" t="s">
        <v>3392</v>
      </c>
      <c r="C785" s="722" t="s">
        <v>500</v>
      </c>
      <c r="D785" s="777">
        <v>4500154891</v>
      </c>
      <c r="E785" s="724" t="s">
        <v>3393</v>
      </c>
      <c r="F785" s="777" t="s">
        <v>3394</v>
      </c>
      <c r="G785" s="483" t="s">
        <v>73</v>
      </c>
      <c r="H785" s="725" t="s">
        <v>74</v>
      </c>
      <c r="I785" s="735">
        <v>2016</v>
      </c>
      <c r="J785" s="736">
        <v>0</v>
      </c>
      <c r="K785" s="483">
        <v>24</v>
      </c>
      <c r="L785" s="735">
        <f t="shared" si="460"/>
        <v>84</v>
      </c>
      <c r="M785" s="738">
        <v>45716</v>
      </c>
      <c r="N785" s="738">
        <v>45712</v>
      </c>
      <c r="O785" s="739"/>
      <c r="P785" s="739"/>
      <c r="Q785" s="739" t="s">
        <v>3395</v>
      </c>
      <c r="R785" s="739" t="s">
        <v>3396</v>
      </c>
      <c r="S785" s="663" t="s">
        <v>123</v>
      </c>
      <c r="T785" s="113" t="s">
        <v>3397</v>
      </c>
      <c r="U785" s="1672" t="s">
        <v>3398</v>
      </c>
      <c r="V785" s="800" t="s">
        <v>2629</v>
      </c>
      <c r="W785" s="749">
        <v>1.3595</v>
      </c>
      <c r="X785" s="750">
        <f t="shared" si="504"/>
        <v>2740.752</v>
      </c>
      <c r="Y785" s="735"/>
      <c r="Z785" s="470" t="s">
        <v>188</v>
      </c>
      <c r="AA785" s="154" t="s">
        <v>128</v>
      </c>
      <c r="AB785" s="755"/>
      <c r="AC785" s="755"/>
      <c r="AD785" s="755"/>
      <c r="AE785" s="739"/>
      <c r="AF785" s="739"/>
      <c r="AG785" s="755">
        <f t="shared" si="506"/>
        <v>2016</v>
      </c>
      <c r="AH785" s="755"/>
      <c r="AI785" s="755"/>
      <c r="AJ785" s="755"/>
      <c r="AK785" s="1674"/>
      <c r="AL785" s="175">
        <f t="shared" si="509"/>
        <v>2016</v>
      </c>
      <c r="AM785" s="814"/>
      <c r="AN785" s="814"/>
      <c r="AO785" s="757">
        <f t="shared" si="507"/>
        <v>2016</v>
      </c>
      <c r="AP785" s="814"/>
      <c r="AQ785" s="814"/>
      <c r="AR785" s="814"/>
      <c r="AS785" s="814"/>
      <c r="AT785" s="764"/>
      <c r="AU785" s="764"/>
      <c r="AV785" s="764"/>
      <c r="AW785" s="764"/>
      <c r="AX785" s="764"/>
      <c r="AY785" s="764"/>
      <c r="AZ785" s="764"/>
      <c r="BA785" s="764"/>
      <c r="BB785" s="764"/>
      <c r="BC785" s="764"/>
      <c r="BD785" s="764"/>
      <c r="BE785" s="764"/>
      <c r="BF785" s="764"/>
      <c r="BG785" s="764"/>
      <c r="BH785" s="764"/>
      <c r="BI785" s="764"/>
      <c r="BJ785" s="764"/>
      <c r="BK785" s="764"/>
      <c r="BL785" s="764"/>
      <c r="BM785" s="735">
        <f t="shared" si="505"/>
        <v>2016</v>
      </c>
      <c r="BN785" s="691">
        <f t="shared" si="508"/>
        <v>134397</v>
      </c>
      <c r="BO785" s="1676"/>
      <c r="BP785" s="1676"/>
    </row>
    <row r="786" s="3" customFormat="1" ht="36" customHeight="1" spans="1:68">
      <c r="A786" s="647">
        <v>45651</v>
      </c>
      <c r="B786" s="75" t="s">
        <v>285</v>
      </c>
      <c r="C786" s="76" t="s">
        <v>286</v>
      </c>
      <c r="D786" s="77">
        <v>4500154624</v>
      </c>
      <c r="E786" s="114">
        <v>61900885</v>
      </c>
      <c r="F786" s="77" t="s">
        <v>3399</v>
      </c>
      <c r="G786" s="23" t="s">
        <v>96</v>
      </c>
      <c r="H786" s="24" t="s">
        <v>74</v>
      </c>
      <c r="I786" s="88">
        <v>1650</v>
      </c>
      <c r="J786" s="89">
        <v>0</v>
      </c>
      <c r="K786" s="23">
        <v>50</v>
      </c>
      <c r="L786" s="88">
        <f t="shared" si="460"/>
        <v>33</v>
      </c>
      <c r="M786" s="90">
        <v>45730</v>
      </c>
      <c r="N786" s="90">
        <v>45726</v>
      </c>
      <c r="O786" s="87" t="s">
        <v>3373</v>
      </c>
      <c r="P786" s="91" t="s">
        <v>3374</v>
      </c>
      <c r="Q786" s="91"/>
      <c r="R786" s="739" t="s">
        <v>3332</v>
      </c>
      <c r="S786" s="663" t="s">
        <v>77</v>
      </c>
      <c r="T786" s="1646" t="s">
        <v>3375</v>
      </c>
      <c r="U786" s="114" t="s">
        <v>3400</v>
      </c>
      <c r="V786" s="139" t="s">
        <v>618</v>
      </c>
      <c r="W786" s="116">
        <v>1.4344</v>
      </c>
      <c r="X786" s="117">
        <f t="shared" si="504"/>
        <v>2366.76</v>
      </c>
      <c r="Y786" s="88"/>
      <c r="Z786" s="470" t="s">
        <v>292</v>
      </c>
      <c r="AA786" s="154" t="s">
        <v>128</v>
      </c>
      <c r="AB786" s="155"/>
      <c r="AC786" s="155"/>
      <c r="AD786" s="155"/>
      <c r="AE786" s="91"/>
      <c r="AF786" s="91"/>
      <c r="AG786" s="155">
        <f t="shared" si="506"/>
        <v>1650</v>
      </c>
      <c r="AH786" s="155"/>
      <c r="AI786" s="155"/>
      <c r="AJ786" s="155"/>
      <c r="AK786" s="408"/>
      <c r="AL786" s="175">
        <f t="shared" si="509"/>
        <v>1650</v>
      </c>
      <c r="AM786" s="175"/>
      <c r="AN786" s="175"/>
      <c r="AO786" s="175">
        <f t="shared" si="507"/>
        <v>1650</v>
      </c>
      <c r="AP786" s="175"/>
      <c r="AQ786" s="175"/>
      <c r="AR786" s="175"/>
      <c r="AS786" s="175"/>
      <c r="AT786" s="181"/>
      <c r="AU786" s="181"/>
      <c r="AV786" s="181"/>
      <c r="AW786" s="181"/>
      <c r="AX786" s="181"/>
      <c r="AY786" s="181"/>
      <c r="AZ786" s="181"/>
      <c r="BA786" s="181"/>
      <c r="BB786" s="181">
        <f>I786/25</f>
        <v>66</v>
      </c>
      <c r="BC786" s="181"/>
      <c r="BD786" s="181"/>
      <c r="BE786" s="181"/>
      <c r="BF786" s="181"/>
      <c r="BG786" s="181"/>
      <c r="BH786" s="181"/>
      <c r="BI786" s="181"/>
      <c r="BJ786" s="181"/>
      <c r="BK786" s="181"/>
      <c r="BL786" s="181"/>
      <c r="BM786" s="88">
        <f t="shared" si="505"/>
        <v>1650</v>
      </c>
      <c r="BN786" s="3">
        <f>BN783+BM786</f>
        <v>133527</v>
      </c>
      <c r="BO786" s="196"/>
      <c r="BP786" s="196"/>
    </row>
    <row r="787" s="3" customFormat="1" ht="36" customHeight="1" spans="1:68">
      <c r="A787" s="647"/>
      <c r="B787" s="75"/>
      <c r="C787" s="76"/>
      <c r="D787" s="77"/>
      <c r="E787" s="114"/>
      <c r="F787" s="77"/>
      <c r="G787" s="23"/>
      <c r="H787" s="24" t="s">
        <v>81</v>
      </c>
      <c r="I787" s="189"/>
      <c r="J787" s="89"/>
      <c r="K787" s="23"/>
      <c r="L787" s="88"/>
      <c r="M787" s="90"/>
      <c r="N787" s="90"/>
      <c r="O787" s="91"/>
      <c r="P787" s="91"/>
      <c r="Q787" s="91"/>
      <c r="R787" s="91"/>
      <c r="S787" s="91"/>
      <c r="T787" s="91"/>
      <c r="U787" s="114"/>
      <c r="V787" s="139"/>
      <c r="W787" s="116"/>
      <c r="X787" s="117"/>
      <c r="Y787" s="88"/>
      <c r="Z787" s="470"/>
      <c r="AA787" s="154"/>
      <c r="AB787" s="155"/>
      <c r="AC787" s="155"/>
      <c r="AD787" s="155"/>
      <c r="AE787" s="91"/>
      <c r="AF787" s="91"/>
      <c r="AG787" s="155"/>
      <c r="AH787" s="155"/>
      <c r="AI787" s="155"/>
      <c r="AJ787" s="155"/>
      <c r="AK787" s="175"/>
      <c r="AL787" s="175"/>
      <c r="AM787" s="1458"/>
      <c r="AN787" s="1458"/>
      <c r="AO787" s="175"/>
      <c r="AP787" s="175"/>
      <c r="AQ787" s="175"/>
      <c r="AR787" s="175"/>
      <c r="AS787" s="175"/>
      <c r="AT787" s="181"/>
      <c r="AU787" s="181"/>
      <c r="AV787" s="181"/>
      <c r="AW787" s="181"/>
      <c r="AX787" s="181"/>
      <c r="AY787" s="181"/>
      <c r="AZ787" s="181"/>
      <c r="BA787" s="181"/>
      <c r="BB787" s="181"/>
      <c r="BC787" s="181"/>
      <c r="BD787" s="181"/>
      <c r="BE787" s="181"/>
      <c r="BF787" s="181"/>
      <c r="BG787" s="181"/>
      <c r="BH787" s="181"/>
      <c r="BI787" s="181"/>
      <c r="BJ787" s="181"/>
      <c r="BK787" s="181"/>
      <c r="BL787" s="181"/>
      <c r="BM787" s="181"/>
      <c r="BO787" s="196"/>
      <c r="BP787" s="196"/>
    </row>
    <row r="788" s="3" customFormat="1" ht="26.25" customHeight="1" spans="1:68">
      <c r="A788" s="404"/>
      <c r="B788" s="1"/>
      <c r="C788" s="405"/>
      <c r="E788" s="1"/>
      <c r="F788" s="1"/>
      <c r="H788" s="648" t="s">
        <v>3401</v>
      </c>
      <c r="I788" s="657">
        <f>SUM(I4:I787)</f>
        <v>2874261</v>
      </c>
      <c r="M788" s="658"/>
      <c r="N788" s="658"/>
      <c r="O788" s="405"/>
      <c r="P788" s="405"/>
      <c r="Q788" s="405"/>
      <c r="R788" s="658"/>
      <c r="S788" s="658"/>
      <c r="T788" s="405"/>
      <c r="U788" s="406"/>
      <c r="W788" s="670"/>
      <c r="X788" s="671">
        <f>SUM(X4:X787)*7.75</f>
        <v>52462429.7089751</v>
      </c>
      <c r="Y788" s="408"/>
      <c r="Z788" s="408"/>
      <c r="AA788" s="408"/>
      <c r="AB788" s="408"/>
      <c r="AC788" s="408"/>
      <c r="AD788" s="408"/>
      <c r="AE788" s="405"/>
      <c r="AF788" s="405"/>
      <c r="AG788" s="657">
        <f t="shared" ref="AG788:AL788" si="510">SUM(AG4:AG787)</f>
        <v>2965636</v>
      </c>
      <c r="AH788" s="657">
        <f t="shared" si="510"/>
        <v>56557</v>
      </c>
      <c r="AI788" s="657">
        <f t="shared" si="510"/>
        <v>8136</v>
      </c>
      <c r="AJ788" s="657">
        <f t="shared" si="510"/>
        <v>129792</v>
      </c>
      <c r="AK788" s="657">
        <f t="shared" si="510"/>
        <v>2132139</v>
      </c>
      <c r="AL788" s="657">
        <f t="shared" si="510"/>
        <v>542489</v>
      </c>
      <c r="AM788" s="657">
        <f>SUM(AM84:AM787)</f>
        <v>159952</v>
      </c>
      <c r="AN788" s="657">
        <f>SUM(AN84:AN787)</f>
        <v>55216</v>
      </c>
      <c r="AO788" s="657">
        <f t="shared" ref="AO788:AT788" si="511">SUM(AO4:AO787)</f>
        <v>2671633</v>
      </c>
      <c r="AP788" s="657">
        <f t="shared" si="511"/>
        <v>31074</v>
      </c>
      <c r="AQ788" s="657">
        <f t="shared" si="511"/>
        <v>297966</v>
      </c>
      <c r="AR788" s="657">
        <f t="shared" si="511"/>
        <v>18915</v>
      </c>
      <c r="AS788" s="657">
        <f t="shared" si="511"/>
        <v>27931</v>
      </c>
      <c r="AT788" s="657">
        <f t="shared" si="511"/>
        <v>4040</v>
      </c>
      <c r="AU788" s="657"/>
      <c r="AV788" s="657">
        <f t="shared" ref="AV788:BL788" si="512">SUM(AV4:AV787)</f>
        <v>18198</v>
      </c>
      <c r="AW788" s="657">
        <f t="shared" si="512"/>
        <v>8477</v>
      </c>
      <c r="AX788" s="657">
        <f t="shared" si="512"/>
        <v>2196</v>
      </c>
      <c r="AY788" s="657">
        <f t="shared" si="512"/>
        <v>27452</v>
      </c>
      <c r="AZ788" s="657">
        <f t="shared" si="512"/>
        <v>4084</v>
      </c>
      <c r="BA788" s="657">
        <f t="shared" si="512"/>
        <v>8615</v>
      </c>
      <c r="BB788" s="657">
        <f t="shared" si="512"/>
        <v>10458</v>
      </c>
      <c r="BC788" s="657">
        <f t="shared" si="512"/>
        <v>1779</v>
      </c>
      <c r="BD788" s="657">
        <f t="shared" si="512"/>
        <v>311</v>
      </c>
      <c r="BE788" s="657">
        <f t="shared" si="512"/>
        <v>901</v>
      </c>
      <c r="BF788" s="657">
        <f t="shared" si="512"/>
        <v>2775</v>
      </c>
      <c r="BG788" s="657">
        <f t="shared" si="512"/>
        <v>729</v>
      </c>
      <c r="BH788" s="657">
        <f t="shared" si="512"/>
        <v>1254</v>
      </c>
      <c r="BI788" s="657">
        <f t="shared" si="512"/>
        <v>4280</v>
      </c>
      <c r="BJ788" s="657">
        <f t="shared" si="512"/>
        <v>19994</v>
      </c>
      <c r="BK788" s="657">
        <f t="shared" si="512"/>
        <v>161148</v>
      </c>
      <c r="BL788" s="657">
        <f t="shared" si="512"/>
        <v>161148</v>
      </c>
      <c r="BM788" s="657">
        <f>SUM(BM84:BM787)</f>
        <v>2552755</v>
      </c>
      <c r="BO788" s="196"/>
      <c r="BP788" s="196"/>
    </row>
    <row r="789" s="3" customFormat="1" ht="26.25" customHeight="1" spans="1:68">
      <c r="A789" s="404"/>
      <c r="B789" s="1"/>
      <c r="C789" s="405"/>
      <c r="E789" s="1"/>
      <c r="F789" s="1"/>
      <c r="H789" s="1"/>
      <c r="M789" s="658"/>
      <c r="N789" s="658"/>
      <c r="O789" s="405"/>
      <c r="P789" s="405"/>
      <c r="Q789" s="405"/>
      <c r="R789" s="658"/>
      <c r="S789" s="658"/>
      <c r="T789" s="405"/>
      <c r="U789" s="406"/>
      <c r="W789" s="670"/>
      <c r="X789" s="671"/>
      <c r="Y789" s="408"/>
      <c r="Z789" s="408"/>
      <c r="AA789" s="408"/>
      <c r="AB789" s="408"/>
      <c r="AC789" s="408"/>
      <c r="AD789" s="408"/>
      <c r="AE789" s="405"/>
      <c r="AF789" s="405"/>
      <c r="AG789" s="408"/>
      <c r="AH789" s="408"/>
      <c r="AI789" s="408"/>
      <c r="AJ789" s="408"/>
      <c r="AK789" s="405"/>
      <c r="AL789" s="679"/>
      <c r="AM789" s="405"/>
      <c r="AN789" s="405"/>
      <c r="AO789" s="405"/>
      <c r="AP789" s="405"/>
      <c r="AQ789" s="405"/>
      <c r="AR789" s="405"/>
      <c r="AS789" s="405"/>
      <c r="AT789" s="411"/>
      <c r="AU789" s="411"/>
      <c r="AV789" s="411"/>
      <c r="AW789" s="411"/>
      <c r="AX789" s="411"/>
      <c r="AY789" s="411"/>
      <c r="AZ789" s="411"/>
      <c r="BA789" s="411"/>
      <c r="BB789" s="411"/>
      <c r="BC789" s="411"/>
      <c r="BD789" s="411"/>
      <c r="BE789" s="411"/>
      <c r="BF789" s="411"/>
      <c r="BG789" s="411"/>
      <c r="BH789" s="411"/>
      <c r="BI789" s="411"/>
      <c r="BJ789" s="411"/>
      <c r="BK789" s="411"/>
      <c r="BL789" s="411"/>
      <c r="BM789" s="1677"/>
      <c r="BO789" s="196"/>
      <c r="BP789" s="196"/>
    </row>
    <row r="790" s="3" customFormat="1" ht="26.25" customHeight="1" spans="1:68">
      <c r="A790" s="404"/>
      <c r="B790" s="1"/>
      <c r="C790" s="405"/>
      <c r="E790" s="1"/>
      <c r="F790" s="1"/>
      <c r="H790" s="1"/>
      <c r="M790" s="658"/>
      <c r="N790" s="658"/>
      <c r="O790" s="1667"/>
      <c r="P790" s="405"/>
      <c r="Q790" s="405"/>
      <c r="R790" s="658"/>
      <c r="S790" s="658"/>
      <c r="T790" s="405"/>
      <c r="U790" s="406"/>
      <c r="W790" s="670"/>
      <c r="X790" s="407"/>
      <c r="Y790" s="408"/>
      <c r="Z790" s="408"/>
      <c r="AA790" s="408"/>
      <c r="AB790" s="408"/>
      <c r="AC790" s="408"/>
      <c r="AD790" s="408"/>
      <c r="AE790" s="405"/>
      <c r="AF790" s="405"/>
      <c r="AG790" s="408"/>
      <c r="AH790" s="408"/>
      <c r="AI790" s="408"/>
      <c r="AJ790" s="408"/>
      <c r="AK790" s="405"/>
      <c r="AL790" s="679"/>
      <c r="AM790" s="405"/>
      <c r="AN790" s="405"/>
      <c r="AO790" s="405"/>
      <c r="AP790" s="405"/>
      <c r="AQ790" s="405"/>
      <c r="AR790" s="405"/>
      <c r="AS790" s="405"/>
      <c r="AT790" s="411"/>
      <c r="AU790" s="411"/>
      <c r="AV790" s="411"/>
      <c r="AW790" s="411"/>
      <c r="AX790" s="411"/>
      <c r="AY790" s="411"/>
      <c r="AZ790" s="411"/>
      <c r="BA790" s="411"/>
      <c r="BB790" s="411"/>
      <c r="BC790" s="411"/>
      <c r="BD790" s="411"/>
      <c r="BE790" s="411"/>
      <c r="BF790" s="411"/>
      <c r="BG790" s="411"/>
      <c r="BH790" s="411"/>
      <c r="BI790" s="411"/>
      <c r="BJ790" s="411"/>
      <c r="BK790" s="411"/>
      <c r="BL790" s="411"/>
      <c r="BM790" s="1677"/>
      <c r="BO790" s="196"/>
      <c r="BP790" s="196"/>
    </row>
    <row r="791" s="3" customFormat="1" ht="26.25" customHeight="1" spans="1:68">
      <c r="A791" s="404"/>
      <c r="B791" s="1"/>
      <c r="C791" s="405"/>
      <c r="E791" s="1"/>
      <c r="F791" s="1"/>
      <c r="H791" s="1"/>
      <c r="M791" s="658"/>
      <c r="N791" s="658"/>
      <c r="O791" s="405"/>
      <c r="P791" s="405"/>
      <c r="Q791" s="405"/>
      <c r="R791" s="658"/>
      <c r="S791" s="658"/>
      <c r="T791" s="405"/>
      <c r="U791" s="1650"/>
      <c r="W791" s="670"/>
      <c r="X791" s="407"/>
      <c r="Y791" s="408" t="s">
        <v>81</v>
      </c>
      <c r="Z791" s="408"/>
      <c r="AA791" s="408"/>
      <c r="AB791" s="408"/>
      <c r="AC791" s="408"/>
      <c r="AD791" s="408"/>
      <c r="AE791" s="405"/>
      <c r="AF791" s="405"/>
      <c r="AG791" s="408"/>
      <c r="AJ791" s="408"/>
      <c r="AK791" s="405"/>
      <c r="AL791" s="679"/>
      <c r="AM791" s="405"/>
      <c r="AN791" s="405"/>
      <c r="AO791" s="405"/>
      <c r="AP791" s="405"/>
      <c r="AQ791" s="405"/>
      <c r="AR791" s="405"/>
      <c r="AS791" s="405"/>
      <c r="AT791" s="411"/>
      <c r="AU791" s="411"/>
      <c r="AV791" s="411"/>
      <c r="AW791" s="411"/>
      <c r="AX791" s="411"/>
      <c r="AY791" s="411"/>
      <c r="AZ791" s="411"/>
      <c r="BA791" s="411"/>
      <c r="BB791" s="411"/>
      <c r="BC791" s="411"/>
      <c r="BD791" s="411"/>
      <c r="BE791" s="411"/>
      <c r="BF791" s="411"/>
      <c r="BG791" s="411"/>
      <c r="BH791" s="411"/>
      <c r="BI791" s="411"/>
      <c r="BJ791" s="411"/>
      <c r="BK791" s="411"/>
      <c r="BL791" s="411"/>
      <c r="BM791" s="1677"/>
      <c r="BO791" s="196"/>
      <c r="BP791" s="196"/>
    </row>
  </sheetData>
  <autoFilter xmlns:etc="http://www.wps.cn/officeDocument/2017/etCustomData" ref="A3:BU788" etc:filterBottomFollowUsedRange="0">
    <extLst/>
  </autoFilter>
  <mergeCells count="6">
    <mergeCell ref="A2:B2"/>
    <mergeCell ref="G2:H2"/>
    <mergeCell ref="AK2:AN2"/>
    <mergeCell ref="AO2:AR2"/>
    <mergeCell ref="AS2:AW2"/>
    <mergeCell ref="BK2:BL2"/>
  </mergeCells>
  <conditionalFormatting sqref="R6:T6">
    <cfRule type="cellIs" dxfId="0" priority="606" operator="equal">
      <formula>"欠"</formula>
    </cfRule>
  </conditionalFormatting>
  <conditionalFormatting sqref="R15:T15">
    <cfRule type="cellIs" dxfId="0" priority="605" operator="equal">
      <formula>"欠"</formula>
    </cfRule>
  </conditionalFormatting>
  <conditionalFormatting sqref="T32">
    <cfRule type="cellIs" dxfId="0" priority="622" operator="equal">
      <formula>"欠"</formula>
    </cfRule>
  </conditionalFormatting>
  <conditionalFormatting sqref="R54:T54">
    <cfRule type="cellIs" dxfId="0" priority="628" operator="equal">
      <formula>"欠"</formula>
    </cfRule>
  </conditionalFormatting>
  <conditionalFormatting sqref="R55">
    <cfRule type="cellIs" dxfId="0" priority="612" operator="equal">
      <formula>"欠"</formula>
    </cfRule>
  </conditionalFormatting>
  <conditionalFormatting sqref="R67">
    <cfRule type="cellIs" dxfId="0" priority="615" operator="equal">
      <formula>"欠"</formula>
    </cfRule>
  </conditionalFormatting>
  <conditionalFormatting sqref="S67">
    <cfRule type="cellIs" dxfId="0" priority="625" operator="equal">
      <formula>"欠"</formula>
    </cfRule>
  </conditionalFormatting>
  <conditionalFormatting sqref="R68">
    <cfRule type="cellIs" dxfId="0" priority="614" operator="equal">
      <formula>"欠"</formula>
    </cfRule>
  </conditionalFormatting>
  <conditionalFormatting sqref="S68">
    <cfRule type="cellIs" dxfId="0" priority="624" operator="equal">
      <formula>"欠"</formula>
    </cfRule>
  </conditionalFormatting>
  <conditionalFormatting sqref="R69">
    <cfRule type="cellIs" dxfId="0" priority="613" operator="equal">
      <formula>"欠"</formula>
    </cfRule>
  </conditionalFormatting>
  <conditionalFormatting sqref="R71">
    <cfRule type="cellIs" dxfId="0" priority="626" operator="equal">
      <formula>"欠"</formula>
    </cfRule>
  </conditionalFormatting>
  <conditionalFormatting sqref="R72">
    <cfRule type="cellIs" dxfId="0" priority="617" operator="equal">
      <formula>"欠"</formula>
    </cfRule>
  </conditionalFormatting>
  <conditionalFormatting sqref="S72:T72">
    <cfRule type="cellIs" dxfId="0" priority="616" operator="equal">
      <formula>"欠"</formula>
    </cfRule>
  </conditionalFormatting>
  <conditionalFormatting sqref="R73:T73">
    <cfRule type="cellIs" dxfId="0" priority="611" operator="equal">
      <formula>"欠"</formula>
    </cfRule>
  </conditionalFormatting>
  <conditionalFormatting sqref="R82:S82">
    <cfRule type="cellIs" dxfId="0" priority="610" operator="equal">
      <formula>"欠"</formula>
    </cfRule>
  </conditionalFormatting>
  <conditionalFormatting sqref="T82">
    <cfRule type="cellIs" dxfId="0" priority="609" operator="equal">
      <formula>"欠"</formula>
    </cfRule>
  </conditionalFormatting>
  <conditionalFormatting sqref="R86:T86">
    <cfRule type="cellIs" dxfId="0" priority="604" operator="equal">
      <formula>"欠"</formula>
    </cfRule>
  </conditionalFormatting>
  <conditionalFormatting sqref="T98">
    <cfRule type="cellIs" dxfId="0" priority="621" operator="equal">
      <formula>"欠"</formula>
    </cfRule>
  </conditionalFormatting>
  <conditionalFormatting sqref="T99">
    <cfRule type="cellIs" dxfId="0" priority="620" operator="equal">
      <formula>"欠"</formula>
    </cfRule>
  </conditionalFormatting>
  <conditionalFormatting sqref="S233">
    <cfRule type="cellIs" dxfId="0" priority="596" operator="equal">
      <formula>"欠"</formula>
    </cfRule>
  </conditionalFormatting>
  <conditionalFormatting sqref="R252">
    <cfRule type="containsText" dxfId="1" priority="600" operator="between" text="欠">
      <formula>NOT(ISERROR(SEARCH("欠",R252)))</formula>
    </cfRule>
  </conditionalFormatting>
  <conditionalFormatting sqref="S252">
    <cfRule type="containsText" dxfId="1" priority="598" operator="between" text="欠">
      <formula>NOT(ISERROR(SEARCH("欠",S252)))</formula>
    </cfRule>
  </conditionalFormatting>
  <conditionalFormatting sqref="T252">
    <cfRule type="containsText" dxfId="1" priority="599" operator="between" text="欠">
      <formula>NOT(ISERROR(SEARCH("欠",T252)))</formula>
    </cfRule>
  </conditionalFormatting>
  <conditionalFormatting sqref="R263">
    <cfRule type="containsText" dxfId="1" priority="561" operator="between" text="欠">
      <formula>NOT(ISERROR(SEARCH("欠",R263)))</formula>
    </cfRule>
    <cfRule type="cellIs" dxfId="0" priority="560" operator="equal">
      <formula>"欠"</formula>
    </cfRule>
  </conditionalFormatting>
  <conditionalFormatting sqref="S263:T263">
    <cfRule type="containsText" dxfId="1" priority="563" operator="between" text="欠">
      <formula>NOT(ISERROR(SEARCH("欠",S263)))</formula>
    </cfRule>
  </conditionalFormatting>
  <conditionalFormatting sqref="S263">
    <cfRule type="cellIs" dxfId="0" priority="562" operator="equal">
      <formula>"欠"</formula>
    </cfRule>
  </conditionalFormatting>
  <conditionalFormatting sqref="T263">
    <cfRule type="cellIs" dxfId="0" priority="564" operator="equal">
      <formula>"欠"</formula>
    </cfRule>
  </conditionalFormatting>
  <conditionalFormatting sqref="T281">
    <cfRule type="containsText" dxfId="1" priority="588" operator="between" text="欠">
      <formula>NOT(ISERROR(SEARCH("欠",T281)))</formula>
    </cfRule>
  </conditionalFormatting>
  <conditionalFormatting sqref="T288">
    <cfRule type="containsText" dxfId="1" priority="587" operator="between" text="欠">
      <formula>NOT(ISERROR(SEARCH("欠",T288)))</formula>
    </cfRule>
  </conditionalFormatting>
  <conditionalFormatting sqref="S289:T289">
    <cfRule type="cellIs" dxfId="0" priority="505" operator="equal">
      <formula>"欠"</formula>
    </cfRule>
  </conditionalFormatting>
  <conditionalFormatting sqref="S290:T290">
    <cfRule type="cellIs" dxfId="0" priority="506" operator="equal">
      <formula>"欠"</formula>
    </cfRule>
  </conditionalFormatting>
  <conditionalFormatting sqref="T294">
    <cfRule type="containsText" dxfId="1" priority="529" operator="between" text="欠">
      <formula>NOT(ISERROR(SEARCH("欠",T294)))</formula>
    </cfRule>
  </conditionalFormatting>
  <conditionalFormatting sqref="S313">
    <cfRule type="cellIs" dxfId="0" priority="527" operator="equal">
      <formula>"欠"</formula>
    </cfRule>
  </conditionalFormatting>
  <conditionalFormatting sqref="T319">
    <cfRule type="cellIs" dxfId="0" priority="497" operator="equal">
      <formula>"欠"</formula>
    </cfRule>
  </conditionalFormatting>
  <conditionalFormatting sqref="S321">
    <cfRule type="containsText" dxfId="1" priority="603" operator="between" text="欠">
      <formula>NOT(ISERROR(SEARCH("欠",S321)))</formula>
    </cfRule>
  </conditionalFormatting>
  <conditionalFormatting sqref="R331">
    <cfRule type="containsText" dxfId="1" priority="549" operator="between" text="欠">
      <formula>NOT(ISERROR(SEARCH("欠",R331)))</formula>
    </cfRule>
  </conditionalFormatting>
  <conditionalFormatting sqref="S331">
    <cfRule type="cellIs" dxfId="0" priority="528" operator="equal">
      <formula>"欠"</formula>
    </cfRule>
  </conditionalFormatting>
  <conditionalFormatting sqref="S332">
    <cfRule type="cellIs" dxfId="0" priority="547" operator="equal">
      <formula>"欠"</formula>
    </cfRule>
  </conditionalFormatting>
  <conditionalFormatting sqref="R333">
    <cfRule type="containsText" dxfId="1" priority="554" operator="between" text="欠">
      <formula>NOT(ISERROR(SEARCH("欠",R333)))</formula>
    </cfRule>
  </conditionalFormatting>
  <conditionalFormatting sqref="S333">
    <cfRule type="cellIs" dxfId="0" priority="555" operator="equal">
      <formula>"欠"</formula>
    </cfRule>
  </conditionalFormatting>
  <conditionalFormatting sqref="R334">
    <cfRule type="containsText" dxfId="1" priority="551" operator="between" text="欠">
      <formula>NOT(ISERROR(SEARCH("欠",R334)))</formula>
    </cfRule>
  </conditionalFormatting>
  <conditionalFormatting sqref="S334">
    <cfRule type="cellIs" dxfId="0" priority="552" operator="equal">
      <formula>"欠"</formula>
    </cfRule>
  </conditionalFormatting>
  <conditionalFormatting sqref="R337:S337">
    <cfRule type="cellIs" dxfId="0" priority="586" operator="equal">
      <formula>"欠"</formula>
    </cfRule>
  </conditionalFormatting>
  <conditionalFormatting sqref="R338:S338">
    <cfRule type="cellIs" dxfId="0" priority="585" operator="equal">
      <formula>"欠"</formula>
    </cfRule>
  </conditionalFormatting>
  <conditionalFormatting sqref="T340">
    <cfRule type="cellIs" dxfId="0" priority="574" operator="equal">
      <formula>"欠"</formula>
    </cfRule>
    <cfRule type="containsText" dxfId="1" priority="573" operator="between" text="欠">
      <formula>NOT(ISERROR(SEARCH("欠",T340)))</formula>
    </cfRule>
  </conditionalFormatting>
  <conditionalFormatting sqref="T341">
    <cfRule type="containsText" dxfId="1" priority="496" operator="between" text="欠">
      <formula>NOT(ISERROR(SEARCH("欠",T341)))</formula>
    </cfRule>
  </conditionalFormatting>
  <conditionalFormatting sqref="R343">
    <cfRule type="cellIs" dxfId="0" priority="502" operator="equal">
      <formula>"欠"</formula>
    </cfRule>
  </conditionalFormatting>
  <conditionalFormatting sqref="T344">
    <cfRule type="containsText" dxfId="1" priority="503" operator="between" text="欠">
      <formula>NOT(ISERROR(SEARCH("欠",T344)))</formula>
    </cfRule>
  </conditionalFormatting>
  <conditionalFormatting sqref="R347">
    <cfRule type="containsText" dxfId="1" priority="544" operator="between" text="欠">
      <formula>NOT(ISERROR(SEARCH("欠",R347)))</formula>
    </cfRule>
  </conditionalFormatting>
  <conditionalFormatting sqref="S347">
    <cfRule type="cellIs" dxfId="0" priority="545" operator="equal">
      <formula>"欠"</formula>
    </cfRule>
  </conditionalFormatting>
  <conditionalFormatting sqref="R348">
    <cfRule type="containsText" dxfId="1" priority="541" operator="between" text="欠">
      <formula>NOT(ISERROR(SEARCH("欠",R348)))</formula>
    </cfRule>
  </conditionalFormatting>
  <conditionalFormatting sqref="S348">
    <cfRule type="cellIs" dxfId="0" priority="542" operator="equal">
      <formula>"欠"</formula>
    </cfRule>
  </conditionalFormatting>
  <conditionalFormatting sqref="R349">
    <cfRule type="containsText" dxfId="1" priority="539" operator="between" text="欠">
      <formula>NOT(ISERROR(SEARCH("欠",R349)))</formula>
    </cfRule>
  </conditionalFormatting>
  <conditionalFormatting sqref="S349">
    <cfRule type="cellIs" dxfId="0" priority="540" operator="equal">
      <formula>"欠"</formula>
    </cfRule>
  </conditionalFormatting>
  <conditionalFormatting sqref="S369">
    <cfRule type="containsText" dxfId="1" priority="476" operator="between" text="欠">
      <formula>NOT(ISERROR(SEARCH("欠",S369)))</formula>
    </cfRule>
    <cfRule type="cellIs" dxfId="0" priority="475" operator="equal">
      <formula>"欠"</formula>
    </cfRule>
  </conditionalFormatting>
  <conditionalFormatting sqref="S371">
    <cfRule type="containsText" dxfId="1" priority="493" operator="between" text="欠">
      <formula>NOT(ISERROR(SEARCH("欠",S371)))</formula>
    </cfRule>
    <cfRule type="cellIs" dxfId="0" priority="492" operator="equal">
      <formula>"欠"</formula>
    </cfRule>
  </conditionalFormatting>
  <conditionalFormatting sqref="S372">
    <cfRule type="containsText" dxfId="1" priority="491" operator="between" text="欠">
      <formula>NOT(ISERROR(SEARCH("欠",S372)))</formula>
    </cfRule>
    <cfRule type="cellIs" dxfId="0" priority="490" operator="equal">
      <formula>"欠"</formula>
    </cfRule>
  </conditionalFormatting>
  <conditionalFormatting sqref="S373">
    <cfRule type="cellIs" dxfId="0" priority="517" operator="equal">
      <formula>"欠"</formula>
    </cfRule>
    <cfRule type="containsText" dxfId="1" priority="516" operator="between" text="欠">
      <formula>NOT(ISERROR(SEARCH("欠",S373)))</formula>
    </cfRule>
  </conditionalFormatting>
  <conditionalFormatting sqref="T373">
    <cfRule type="containsText" dxfId="1" priority="550" operator="between" text="欠">
      <formula>NOT(ISERROR(SEARCH("欠",T373)))</formula>
    </cfRule>
  </conditionalFormatting>
  <conditionalFormatting sqref="R377">
    <cfRule type="containsText" dxfId="1" priority="537" operator="between" text="欠">
      <formula>NOT(ISERROR(SEARCH("欠",R377)))</formula>
    </cfRule>
  </conditionalFormatting>
  <conditionalFormatting sqref="S377">
    <cfRule type="cellIs" dxfId="0" priority="538" operator="equal">
      <formula>"欠"</formula>
    </cfRule>
  </conditionalFormatting>
  <conditionalFormatting sqref="R385">
    <cfRule type="cellIs" dxfId="0" priority="349" operator="equal">
      <formula>"欠"</formula>
    </cfRule>
  </conditionalFormatting>
  <conditionalFormatting sqref="S385">
    <cfRule type="cellIs" dxfId="0" priority="351" operator="equal">
      <formula>"欠"</formula>
    </cfRule>
  </conditionalFormatting>
  <conditionalFormatting sqref="T385">
    <cfRule type="containsText" dxfId="1" priority="350" operator="between" text="欠">
      <formula>NOT(ISERROR(SEARCH("欠",T385)))</formula>
    </cfRule>
  </conditionalFormatting>
  <conditionalFormatting sqref="T390">
    <cfRule type="containsText" dxfId="1" priority="483" operator="between" text="欠">
      <formula>NOT(ISERROR(SEARCH("欠",T390)))</formula>
    </cfRule>
  </conditionalFormatting>
  <conditionalFormatting sqref="R392">
    <cfRule type="cellIs" dxfId="0" priority="463" operator="equal">
      <formula>"欠"</formula>
    </cfRule>
  </conditionalFormatting>
  <conditionalFormatting sqref="S394">
    <cfRule type="cellIs" dxfId="0" priority="470" operator="equal">
      <formula>"欠"</formula>
    </cfRule>
  </conditionalFormatting>
  <conditionalFormatting sqref="T394">
    <cfRule type="cellIs" dxfId="0" priority="469" operator="equal">
      <formula>"欠"</formula>
    </cfRule>
  </conditionalFormatting>
  <conditionalFormatting sqref="S412">
    <cfRule type="cellIs" dxfId="0" priority="458" operator="equal">
      <formula>"欠"</formula>
    </cfRule>
  </conditionalFormatting>
  <conditionalFormatting sqref="S413">
    <cfRule type="cellIs" dxfId="0" priority="462" operator="equal">
      <formula>"欠"</formula>
    </cfRule>
  </conditionalFormatting>
  <conditionalFormatting sqref="S414">
    <cfRule type="cellIs" dxfId="0" priority="457" operator="equal">
      <formula>"欠"</formula>
    </cfRule>
  </conditionalFormatting>
  <conditionalFormatting sqref="S415">
    <cfRule type="cellIs" dxfId="0" priority="456" operator="equal">
      <formula>"欠"</formula>
    </cfRule>
  </conditionalFormatting>
  <conditionalFormatting sqref="S417:T417">
    <cfRule type="cellIs" dxfId="0" priority="466" operator="equal">
      <formula>"欠"</formula>
    </cfRule>
  </conditionalFormatting>
  <conditionalFormatting sqref="S418:T418">
    <cfRule type="cellIs" dxfId="0" priority="465" operator="equal">
      <formula>"欠"</formula>
    </cfRule>
  </conditionalFormatting>
  <conditionalFormatting sqref="R419">
    <cfRule type="containsText" dxfId="1" priority="454" operator="between" text="欠">
      <formula>NOT(ISERROR(SEARCH("欠",R419)))</formula>
    </cfRule>
  </conditionalFormatting>
  <conditionalFormatting sqref="T419">
    <cfRule type="containsText" dxfId="1" priority="453" operator="between" text="欠">
      <formula>NOT(ISERROR(SEARCH("欠",T419)))</formula>
    </cfRule>
  </conditionalFormatting>
  <conditionalFormatting sqref="T420">
    <cfRule type="containsText" dxfId="1" priority="410" operator="between" text="欠">
      <formula>NOT(ISERROR(SEARCH("欠",T420)))</formula>
    </cfRule>
  </conditionalFormatting>
  <conditionalFormatting sqref="S423">
    <cfRule type="cellIs" dxfId="0" priority="478" operator="equal">
      <formula>"欠"</formula>
    </cfRule>
  </conditionalFormatting>
  <conditionalFormatting sqref="T423">
    <cfRule type="cellIs" dxfId="0" priority="477" operator="equal">
      <formula>"欠"</formula>
    </cfRule>
  </conditionalFormatting>
  <conditionalFormatting sqref="S427">
    <cfRule type="cellIs" dxfId="0" priority="366" operator="equal">
      <formula>"欠"</formula>
    </cfRule>
  </conditionalFormatting>
  <conditionalFormatting sqref="T427">
    <cfRule type="cellIs" dxfId="0" priority="365" operator="equal">
      <formula>"欠"</formula>
    </cfRule>
  </conditionalFormatting>
  <conditionalFormatting sqref="T428">
    <cfRule type="cellIs" dxfId="0" priority="452" operator="equal">
      <formula>"欠"</formula>
    </cfRule>
    <cfRule type="containsText" dxfId="1" priority="451" operator="between" text="欠">
      <formula>NOT(ISERROR(SEARCH("欠",T428)))</formula>
    </cfRule>
  </conditionalFormatting>
  <conditionalFormatting sqref="S429">
    <cfRule type="cellIs" dxfId="0" priority="440" operator="equal">
      <formula>"欠"</formula>
    </cfRule>
  </conditionalFormatting>
  <conditionalFormatting sqref="S434">
    <cfRule type="cellIs" dxfId="0" priority="280" operator="equal">
      <formula>"欠"</formula>
    </cfRule>
  </conditionalFormatting>
  <conditionalFormatting sqref="T434">
    <cfRule type="cellIs" dxfId="0" priority="279" operator="equal">
      <formula>"欠"</formula>
    </cfRule>
  </conditionalFormatting>
  <conditionalFormatting sqref="R435">
    <cfRule type="cellIs" dxfId="0" priority="511" operator="equal">
      <formula>"欠"</formula>
    </cfRule>
  </conditionalFormatting>
  <conditionalFormatting sqref="S441">
    <cfRule type="containsText" dxfId="1" priority="444" operator="between" text="欠">
      <formula>NOT(ISERROR(SEARCH("欠",S441)))</formula>
    </cfRule>
    <cfRule type="cellIs" dxfId="0" priority="443" operator="equal">
      <formula>"欠"</formula>
    </cfRule>
  </conditionalFormatting>
  <conditionalFormatting sqref="T441">
    <cfRule type="containsText" dxfId="1" priority="442" operator="between" text="欠">
      <formula>NOT(ISERROR(SEARCH("欠",T441)))</formula>
    </cfRule>
  </conditionalFormatting>
  <conditionalFormatting sqref="T442">
    <cfRule type="containsText" dxfId="1" priority="424" operator="between" text="欠">
      <formula>NOT(ISERROR(SEARCH("欠",T442)))</formula>
    </cfRule>
    <cfRule type="cellIs" dxfId="0" priority="423" operator="equal">
      <formula>"欠"</formula>
    </cfRule>
  </conditionalFormatting>
  <conditionalFormatting sqref="T443">
    <cfRule type="containsText" dxfId="1" priority="422" operator="between" text="欠">
      <formula>NOT(ISERROR(SEARCH("欠",T443)))</formula>
    </cfRule>
    <cfRule type="cellIs" dxfId="0" priority="421" operator="equal">
      <formula>"欠"</formula>
    </cfRule>
  </conditionalFormatting>
  <conditionalFormatting sqref="S444">
    <cfRule type="cellIs" dxfId="0" priority="420" operator="equal">
      <formula>"欠"</formula>
    </cfRule>
  </conditionalFormatting>
  <conditionalFormatting sqref="T445">
    <cfRule type="containsText" dxfId="1" priority="404" operator="between" text="欠">
      <formula>NOT(ISERROR(SEARCH("欠",T445)))</formula>
    </cfRule>
    <cfRule type="cellIs" dxfId="0" priority="403" operator="equal">
      <formula>"欠"</formula>
    </cfRule>
  </conditionalFormatting>
  <conditionalFormatting sqref="R450">
    <cfRule type="containsText" dxfId="1" priority="431" operator="between" text="欠">
      <formula>NOT(ISERROR(SEARCH("欠",R450)))</formula>
    </cfRule>
  </conditionalFormatting>
  <conditionalFormatting sqref="S450">
    <cfRule type="containsText" dxfId="1" priority="429" operator="between" text="欠">
      <formula>NOT(ISERROR(SEARCH("欠",S450)))</formula>
    </cfRule>
  </conditionalFormatting>
  <conditionalFormatting sqref="R451">
    <cfRule type="containsText" dxfId="1" priority="434" operator="between" text="欠">
      <formula>NOT(ISERROR(SEARCH("欠",R451)))</formula>
    </cfRule>
  </conditionalFormatting>
  <conditionalFormatting sqref="S451">
    <cfRule type="containsText" dxfId="1" priority="433" operator="between" text="欠">
      <formula>NOT(ISERROR(SEARCH("欠",S451)))</formula>
    </cfRule>
  </conditionalFormatting>
  <conditionalFormatting sqref="S452">
    <cfRule type="cellIs" dxfId="0" priority="418" operator="equal">
      <formula>"欠"</formula>
    </cfRule>
  </conditionalFormatting>
  <conditionalFormatting sqref="S464">
    <cfRule type="containsText" dxfId="1" priority="364" operator="between" text="欠">
      <formula>NOT(ISERROR(SEARCH("欠",S464)))</formula>
    </cfRule>
  </conditionalFormatting>
  <conditionalFormatting sqref="T467">
    <cfRule type="cellIs" dxfId="0" priority="390" operator="equal">
      <formula>"欠"</formula>
    </cfRule>
    <cfRule type="containsText" dxfId="1" priority="389" operator="between" text="欠">
      <formula>NOT(ISERROR(SEARCH("欠",T467)))</formula>
    </cfRule>
  </conditionalFormatting>
  <conditionalFormatting sqref="R469">
    <cfRule type="containsText" dxfId="1" priority="409" operator="between" text="欠">
      <formula>NOT(ISERROR(SEARCH("欠",R469)))</formula>
    </cfRule>
  </conditionalFormatting>
  <conditionalFormatting sqref="S469">
    <cfRule type="containsText" dxfId="1" priority="408" operator="between" text="欠">
      <formula>NOT(ISERROR(SEARCH("欠",S469)))</formula>
    </cfRule>
  </conditionalFormatting>
  <conditionalFormatting sqref="T469">
    <cfRule type="containsText" dxfId="1" priority="406" operator="between" text="欠">
      <formula>NOT(ISERROR(SEARCH("欠",T469)))</formula>
    </cfRule>
  </conditionalFormatting>
  <conditionalFormatting sqref="S470">
    <cfRule type="containsText" dxfId="1" priority="395" operator="between" text="欠">
      <formula>NOT(ISERROR(SEARCH("欠",S470)))</formula>
    </cfRule>
    <cfRule type="cellIs" dxfId="0" priority="394" operator="equal">
      <formula>"欠"</formula>
    </cfRule>
  </conditionalFormatting>
  <conditionalFormatting sqref="T470">
    <cfRule type="containsText" dxfId="1" priority="396" operator="between" text="欠">
      <formula>NOT(ISERROR(SEARCH("欠",T470)))</formula>
    </cfRule>
  </conditionalFormatting>
  <conditionalFormatting sqref="S486">
    <cfRule type="cellIs" dxfId="0" priority="412" operator="equal">
      <formula>"欠"</formula>
    </cfRule>
  </conditionalFormatting>
  <conditionalFormatting sqref="T486">
    <cfRule type="cellIs" dxfId="0" priority="411" operator="equal">
      <formula>"欠"</formula>
    </cfRule>
  </conditionalFormatting>
  <conditionalFormatting sqref="T487">
    <cfRule type="cellIs" dxfId="0" priority="288" operator="equal">
      <formula>"欠"</formula>
    </cfRule>
  </conditionalFormatting>
  <conditionalFormatting sqref="S488">
    <cfRule type="containsText" dxfId="1" priority="304" operator="between" text="欠">
      <formula>NOT(ISERROR(SEARCH("欠",S488)))</formula>
    </cfRule>
  </conditionalFormatting>
  <conditionalFormatting sqref="T488">
    <cfRule type="containsText" dxfId="1" priority="302" operator="between" text="欠">
      <formula>NOT(ISERROR(SEARCH("欠",T488)))</formula>
    </cfRule>
  </conditionalFormatting>
  <conditionalFormatting sqref="S498">
    <cfRule type="containsText" dxfId="1" priority="386" operator="between" text="欠">
      <formula>NOT(ISERROR(SEARCH("欠",S498)))</formula>
    </cfRule>
    <cfRule type="cellIs" dxfId="0" priority="385" operator="equal">
      <formula>"欠"</formula>
    </cfRule>
  </conditionalFormatting>
  <conditionalFormatting sqref="T498">
    <cfRule type="containsText" dxfId="1" priority="384" operator="between" text="欠">
      <formula>NOT(ISERROR(SEARCH("欠",T498)))</formula>
    </cfRule>
  </conditionalFormatting>
  <conditionalFormatting sqref="R501">
    <cfRule type="cellIs" dxfId="0" priority="309" operator="equal">
      <formula>"欠"</formula>
    </cfRule>
    <cfRule type="containsText" dxfId="1" priority="308" operator="between" text="欠">
      <formula>NOT(ISERROR(SEARCH("欠",R501)))</formula>
    </cfRule>
  </conditionalFormatting>
  <conditionalFormatting sqref="S502">
    <cfRule type="cellIs" dxfId="0" priority="360" operator="equal">
      <formula>"欠"</formula>
    </cfRule>
  </conditionalFormatting>
  <conditionalFormatting sqref="T502">
    <cfRule type="cellIs" dxfId="0" priority="362" operator="equal">
      <formula>"欠"</formula>
    </cfRule>
    <cfRule type="containsText" dxfId="1" priority="361" operator="between" text="欠">
      <formula>NOT(ISERROR(SEARCH("欠",T502)))</formula>
    </cfRule>
  </conditionalFormatting>
  <conditionalFormatting sqref="S503">
    <cfRule type="cellIs" dxfId="0" priority="305" operator="equal">
      <formula>"欠"</formula>
    </cfRule>
  </conditionalFormatting>
  <conditionalFormatting sqref="T503">
    <cfRule type="cellIs" dxfId="0" priority="307" operator="equal">
      <formula>"欠"</formula>
    </cfRule>
    <cfRule type="containsText" dxfId="1" priority="306" operator="between" text="欠">
      <formula>NOT(ISERROR(SEARCH("欠",T503)))</formula>
    </cfRule>
  </conditionalFormatting>
  <conditionalFormatting sqref="R523">
    <cfRule type="cellIs" dxfId="0" priority="367" operator="equal">
      <formula>"欠"</formula>
    </cfRule>
  </conditionalFormatting>
  <conditionalFormatting sqref="S523">
    <cfRule type="cellIs" dxfId="0" priority="370" operator="equal">
      <formula>"欠"</formula>
    </cfRule>
  </conditionalFormatting>
  <conditionalFormatting sqref="T523">
    <cfRule type="cellIs" dxfId="0" priority="369" operator="equal">
      <formula>"欠"</formula>
    </cfRule>
    <cfRule type="containsText" dxfId="1" priority="368" operator="between" text="欠">
      <formula>NOT(ISERROR(SEARCH("欠",T523)))</formula>
    </cfRule>
  </conditionalFormatting>
  <conditionalFormatting sqref="R524">
    <cfRule type="cellIs" dxfId="0" priority="358" operator="equal">
      <formula>"欠"</formula>
    </cfRule>
  </conditionalFormatting>
  <conditionalFormatting sqref="S524">
    <cfRule type="cellIs" dxfId="0" priority="359" operator="equal">
      <formula>"欠"</formula>
    </cfRule>
  </conditionalFormatting>
  <conditionalFormatting sqref="T524">
    <cfRule type="cellIs" dxfId="0" priority="357" operator="equal">
      <formula>"欠"</formula>
    </cfRule>
  </conditionalFormatting>
  <conditionalFormatting sqref="R525">
    <cfRule type="cellIs" dxfId="0" priority="380" operator="equal">
      <formula>"欠"</formula>
    </cfRule>
    <cfRule type="containsText" dxfId="1" priority="379" operator="between" text="欠">
      <formula>NOT(ISERROR(SEARCH("欠",R525)))</formula>
    </cfRule>
  </conditionalFormatting>
  <conditionalFormatting sqref="S525">
    <cfRule type="cellIs" dxfId="0" priority="377" operator="equal">
      <formula>"欠"</formula>
    </cfRule>
    <cfRule type="containsText" dxfId="1" priority="376" operator="between" text="欠">
      <formula>NOT(ISERROR(SEARCH("欠",S525)))</formula>
    </cfRule>
  </conditionalFormatting>
  <conditionalFormatting sqref="R527">
    <cfRule type="cellIs" dxfId="0" priority="340" operator="equal">
      <formula>"欠"</formula>
    </cfRule>
    <cfRule type="containsText" dxfId="1" priority="339" operator="between" text="欠">
      <formula>NOT(ISERROR(SEARCH("欠",R527)))</formula>
    </cfRule>
  </conditionalFormatting>
  <conditionalFormatting sqref="S527">
    <cfRule type="cellIs" dxfId="0" priority="338" operator="equal">
      <formula>"欠"</formula>
    </cfRule>
    <cfRule type="containsText" dxfId="1" priority="337" operator="between" text="欠">
      <formula>NOT(ISERROR(SEARCH("欠",S527)))</formula>
    </cfRule>
  </conditionalFormatting>
  <conditionalFormatting sqref="R528">
    <cfRule type="cellIs" dxfId="0" priority="336" operator="equal">
      <formula>"欠"</formula>
    </cfRule>
    <cfRule type="containsText" dxfId="1" priority="335" operator="between" text="欠">
      <formula>NOT(ISERROR(SEARCH("欠",R528)))</formula>
    </cfRule>
  </conditionalFormatting>
  <conditionalFormatting sqref="S528">
    <cfRule type="cellIs" dxfId="0" priority="334" operator="equal">
      <formula>"欠"</formula>
    </cfRule>
    <cfRule type="containsText" dxfId="1" priority="333" operator="between" text="欠">
      <formula>NOT(ISERROR(SEARCH("欠",S528)))</formula>
    </cfRule>
  </conditionalFormatting>
  <conditionalFormatting sqref="T529">
    <cfRule type="containsText" dxfId="1" priority="330" operator="between" text="欠">
      <formula>NOT(ISERROR(SEARCH("欠",T529)))</formula>
    </cfRule>
  </conditionalFormatting>
  <conditionalFormatting sqref="R535">
    <cfRule type="cellIs" dxfId="0" priority="323" operator="equal">
      <formula>"欠"</formula>
    </cfRule>
    <cfRule type="containsText" dxfId="1" priority="322" operator="between" text="欠">
      <formula>NOT(ISERROR(SEARCH("欠",R535)))</formula>
    </cfRule>
  </conditionalFormatting>
  <conditionalFormatting sqref="S535">
    <cfRule type="containsText" dxfId="1" priority="325" operator="between" text="欠">
      <formula>NOT(ISERROR(SEARCH("欠",S535)))</formula>
    </cfRule>
    <cfRule type="cellIs" dxfId="0" priority="324" operator="equal">
      <formula>"欠"</formula>
    </cfRule>
  </conditionalFormatting>
  <conditionalFormatting sqref="T535">
    <cfRule type="cellIs" dxfId="0" priority="327" operator="equal">
      <formula>"欠"</formula>
    </cfRule>
    <cfRule type="containsText" dxfId="1" priority="326" operator="between" text="欠">
      <formula>NOT(ISERROR(SEARCH("欠",T535)))</formula>
    </cfRule>
  </conditionalFormatting>
  <conditionalFormatting sqref="S536">
    <cfRule type="cellIs" dxfId="0" priority="311" operator="equal">
      <formula>"欠"</formula>
    </cfRule>
    <cfRule type="containsText" dxfId="1" priority="310" operator="between" text="欠">
      <formula>NOT(ISERROR(SEARCH("欠",S536)))</formula>
    </cfRule>
  </conditionalFormatting>
  <conditionalFormatting sqref="S537">
    <cfRule type="cellIs" dxfId="0" priority="286" operator="equal">
      <formula>"欠"</formula>
    </cfRule>
  </conditionalFormatting>
  <conditionalFormatting sqref="T537">
    <cfRule type="containsText" dxfId="1" priority="287" operator="between" text="欠">
      <formula>NOT(ISERROR(SEARCH("欠",T537)))</formula>
    </cfRule>
  </conditionalFormatting>
  <conditionalFormatting sqref="R545">
    <cfRule type="cellIs" dxfId="0" priority="344" operator="equal">
      <formula>"欠"</formula>
    </cfRule>
  </conditionalFormatting>
  <conditionalFormatting sqref="S545">
    <cfRule type="cellIs" dxfId="0" priority="343" operator="equal">
      <formula>"欠"</formula>
    </cfRule>
  </conditionalFormatting>
  <conditionalFormatting sqref="R546">
    <cfRule type="cellIs" dxfId="0" priority="348" operator="equal">
      <formula>"欠"</formula>
    </cfRule>
  </conditionalFormatting>
  <conditionalFormatting sqref="R548">
    <cfRule type="cellIs" dxfId="0" priority="300" operator="equal">
      <formula>"欠"</formula>
    </cfRule>
    <cfRule type="containsText" dxfId="1" priority="299" operator="between" text="欠">
      <formula>NOT(ISERROR(SEARCH("欠",R548)))</formula>
    </cfRule>
  </conditionalFormatting>
  <conditionalFormatting sqref="S548">
    <cfRule type="cellIs" dxfId="0" priority="298" operator="equal">
      <formula>"欠"</formula>
    </cfRule>
  </conditionalFormatting>
  <conditionalFormatting sqref="R549">
    <cfRule type="cellIs" dxfId="0" priority="272" operator="equal">
      <formula>"欠"</formula>
    </cfRule>
  </conditionalFormatting>
  <conditionalFormatting sqref="T549">
    <cfRule type="containsText" dxfId="1" priority="271" operator="between" text="欠">
      <formula>NOT(ISERROR(SEARCH("欠",T549)))</formula>
    </cfRule>
  </conditionalFormatting>
  <conditionalFormatting sqref="R554:T554">
    <cfRule type="containsText" dxfId="1" priority="276" operator="between" text="欠">
      <formula>NOT(ISERROR(SEARCH("欠",R554)))</formula>
    </cfRule>
  </conditionalFormatting>
  <conditionalFormatting sqref="R554">
    <cfRule type="cellIs" dxfId="0" priority="275" operator="equal">
      <formula>"欠"</formula>
    </cfRule>
  </conditionalFormatting>
  <conditionalFormatting sqref="S554">
    <cfRule type="cellIs" dxfId="0" priority="277" operator="equal">
      <formula>"欠"</formula>
    </cfRule>
  </conditionalFormatting>
  <conditionalFormatting sqref="T554">
    <cfRule type="cellIs" dxfId="0" priority="278" operator="equal">
      <formula>"欠"</formula>
    </cfRule>
  </conditionalFormatting>
  <conditionalFormatting sqref="S555">
    <cfRule type="cellIs" dxfId="0" priority="499" operator="equal">
      <formula>"欠"</formula>
    </cfRule>
  </conditionalFormatting>
  <conditionalFormatting sqref="R558">
    <cfRule type="containsText" dxfId="1" priority="282" operator="between" text="欠">
      <formula>NOT(ISERROR(SEARCH("欠",R558)))</formula>
    </cfRule>
  </conditionalFormatting>
  <conditionalFormatting sqref="S558">
    <cfRule type="cellIs" dxfId="0" priority="281" operator="equal">
      <formula>"欠"</formula>
    </cfRule>
  </conditionalFormatting>
  <conditionalFormatting sqref="T558">
    <cfRule type="cellIs" dxfId="0" priority="284" operator="equal">
      <formula>"欠"</formula>
    </cfRule>
    <cfRule type="containsText" dxfId="1" priority="283" operator="between" text="欠">
      <formula>NOT(ISERROR(SEARCH("欠",T558)))</formula>
    </cfRule>
  </conditionalFormatting>
  <conditionalFormatting sqref="T559">
    <cfRule type="cellIs" dxfId="0" priority="315" operator="equal">
      <formula>"欠"</formula>
    </cfRule>
  </conditionalFormatting>
  <conditionalFormatting sqref="S569">
    <cfRule type="cellIs" dxfId="0" priority="314" operator="equal">
      <formula>"欠"</formula>
    </cfRule>
  </conditionalFormatting>
  <conditionalFormatting sqref="T569">
    <cfRule type="containsText" dxfId="1" priority="313" operator="between" text="欠">
      <formula>NOT(ISERROR(SEARCH("欠",T569)))</formula>
    </cfRule>
  </conditionalFormatting>
  <conditionalFormatting sqref="R574">
    <cfRule type="containsText" dxfId="1" priority="257" operator="between" text="欠">
      <formula>NOT(ISERROR(SEARCH("欠",R574)))</formula>
    </cfRule>
  </conditionalFormatting>
  <conditionalFormatting sqref="S574">
    <cfRule type="cellIs" dxfId="0" priority="258" operator="equal">
      <formula>"欠"</formula>
    </cfRule>
  </conditionalFormatting>
  <conditionalFormatting sqref="T574">
    <cfRule type="containsText" dxfId="1" priority="260" operator="between" text="欠">
      <formula>NOT(ISERROR(SEARCH("欠",T574)))</formula>
    </cfRule>
    <cfRule type="cellIs" dxfId="0" priority="259" operator="equal">
      <formula>"欠"</formula>
    </cfRule>
  </conditionalFormatting>
  <conditionalFormatting sqref="R584">
    <cfRule type="cellIs" dxfId="0" priority="289" operator="equal">
      <formula>"欠"</formula>
    </cfRule>
  </conditionalFormatting>
  <conditionalFormatting sqref="R586">
    <cfRule type="cellIs" dxfId="0" priority="246" operator="equal">
      <formula>"欠"</formula>
    </cfRule>
  </conditionalFormatting>
  <conditionalFormatting sqref="S591">
    <cfRule type="cellIs" dxfId="0" priority="245" operator="equal">
      <formula>"欠"</formula>
    </cfRule>
  </conditionalFormatting>
  <conditionalFormatting sqref="R592">
    <cfRule type="cellIs" dxfId="0" priority="242" operator="equal">
      <formula>"欠"</formula>
    </cfRule>
  </conditionalFormatting>
  <conditionalFormatting sqref="S592">
    <cfRule type="containsText" dxfId="1" priority="244" operator="between" text="欠">
      <formula>NOT(ISERROR(SEARCH("欠",S592)))</formula>
    </cfRule>
    <cfRule type="cellIs" dxfId="0" priority="243" operator="equal">
      <formula>"欠"</formula>
    </cfRule>
  </conditionalFormatting>
  <conditionalFormatting sqref="S593">
    <cfRule type="containsText" dxfId="1" priority="230" operator="between" text="欠">
      <formula>NOT(ISERROR(SEARCH("欠",S593)))</formula>
    </cfRule>
    <cfRule type="cellIs" dxfId="0" priority="229" operator="equal">
      <formula>"欠"</formula>
    </cfRule>
  </conditionalFormatting>
  <conditionalFormatting sqref="T593">
    <cfRule type="cellIs" dxfId="0" priority="228" operator="equal">
      <formula>"欠"</formula>
    </cfRule>
    <cfRule type="containsText" dxfId="1" priority="227" operator="between" text="欠">
      <formula>NOT(ISERROR(SEARCH("欠",T593)))</formula>
    </cfRule>
  </conditionalFormatting>
  <conditionalFormatting sqref="S594">
    <cfRule type="containsText" dxfId="1" priority="224" operator="between" text="欠">
      <formula>NOT(ISERROR(SEARCH("欠",S594)))</formula>
    </cfRule>
    <cfRule type="cellIs" dxfId="0" priority="223" operator="equal">
      <formula>"欠"</formula>
    </cfRule>
  </conditionalFormatting>
  <conditionalFormatting sqref="T594">
    <cfRule type="cellIs" dxfId="0" priority="222" operator="equal">
      <formula>"欠"</formula>
    </cfRule>
    <cfRule type="containsText" dxfId="1" priority="221" operator="between" text="欠">
      <formula>NOT(ISERROR(SEARCH("欠",T594)))</formula>
    </cfRule>
  </conditionalFormatting>
  <conditionalFormatting sqref="S596:T596">
    <cfRule type="containsText" dxfId="1" priority="239" operator="between" text="欠">
      <formula>NOT(ISERROR(SEARCH("欠",S596)))</formula>
    </cfRule>
    <cfRule type="cellIs" dxfId="0" priority="238" operator="equal">
      <formula>"欠"</formula>
    </cfRule>
  </conditionalFormatting>
  <conditionalFormatting sqref="S599">
    <cfRule type="cellIs" dxfId="0" priority="262" operator="equal">
      <formula>"欠"</formula>
    </cfRule>
  </conditionalFormatting>
  <conditionalFormatting sqref="S605">
    <cfRule type="cellIs" dxfId="0" priority="220" operator="equal">
      <formula>"欠"</formula>
    </cfRule>
  </conditionalFormatting>
  <conditionalFormatting sqref="S606">
    <cfRule type="cellIs" dxfId="0" priority="247" operator="equal">
      <formula>"欠"</formula>
    </cfRule>
  </conditionalFormatting>
  <conditionalFormatting sqref="S608">
    <cfRule type="cellIs" dxfId="0" priority="164" operator="equal">
      <formula>"欠"</formula>
    </cfRule>
  </conditionalFormatting>
  <conditionalFormatting sqref="T608">
    <cfRule type="cellIs" dxfId="0" priority="163" operator="equal">
      <formula>"欠"</formula>
    </cfRule>
  </conditionalFormatting>
  <conditionalFormatting sqref="S612">
    <cfRule type="cellIs" dxfId="0" priority="233" operator="equal">
      <formula>"欠"</formula>
    </cfRule>
  </conditionalFormatting>
  <conditionalFormatting sqref="T612">
    <cfRule type="containsText" dxfId="1" priority="232" operator="between" text="欠">
      <formula>NOT(ISERROR(SEARCH("欠",T612)))</formula>
    </cfRule>
  </conditionalFormatting>
  <conditionalFormatting sqref="S615">
    <cfRule type="cellIs" dxfId="0" priority="219" operator="equal">
      <formula>"欠"</formula>
    </cfRule>
    <cfRule type="containsText" dxfId="1" priority="218" operator="between" text="欠">
      <formula>NOT(ISERROR(SEARCH("欠",S615)))</formula>
    </cfRule>
  </conditionalFormatting>
  <conditionalFormatting sqref="S616:T616">
    <cfRule type="cellIs" dxfId="0" priority="213" operator="equal">
      <formula>"欠"</formula>
    </cfRule>
    <cfRule type="containsText" dxfId="1" priority="212" operator="between" text="欠">
      <formula>NOT(ISERROR(SEARCH("欠",S616)))</formula>
    </cfRule>
  </conditionalFormatting>
  <conditionalFormatting sqref="S617">
    <cfRule type="cellIs" dxfId="0" priority="321" operator="equal">
      <formula>"欠"</formula>
    </cfRule>
  </conditionalFormatting>
  <conditionalFormatting sqref="R618">
    <cfRule type="cellIs" dxfId="0" priority="202" operator="equal">
      <formula>"欠"</formula>
    </cfRule>
  </conditionalFormatting>
  <conditionalFormatting sqref="T632">
    <cfRule type="cellIs" dxfId="0" priority="175" operator="equal">
      <formula>"欠"</formula>
    </cfRule>
  </conditionalFormatting>
  <conditionalFormatting sqref="S635">
    <cfRule type="cellIs" dxfId="0" priority="274" operator="equal">
      <formula>"欠"</formula>
    </cfRule>
    <cfRule type="containsText" dxfId="1" priority="273" operator="between" text="欠">
      <formula>NOT(ISERROR(SEARCH("欠",S635)))</formula>
    </cfRule>
  </conditionalFormatting>
  <conditionalFormatting sqref="S639">
    <cfRule type="cellIs" dxfId="0" priority="208" operator="equal">
      <formula>"欠"</formula>
    </cfRule>
    <cfRule type="containsText" dxfId="1" priority="207" operator="between" text="欠">
      <formula>NOT(ISERROR(SEARCH("欠",S639)))</formula>
    </cfRule>
  </conditionalFormatting>
  <conditionalFormatting sqref="T639">
    <cfRule type="containsText" dxfId="1" priority="210" operator="between" text="欠">
      <formula>NOT(ISERROR(SEARCH("欠",T639)))</formula>
    </cfRule>
  </conditionalFormatting>
  <conditionalFormatting sqref="S640">
    <cfRule type="cellIs" dxfId="0" priority="204" operator="equal">
      <formula>"欠"</formula>
    </cfRule>
    <cfRule type="containsText" dxfId="1" priority="203" operator="between" text="欠">
      <formula>NOT(ISERROR(SEARCH("欠",S640)))</formula>
    </cfRule>
  </conditionalFormatting>
  <conditionalFormatting sqref="T640">
    <cfRule type="containsText" dxfId="1" priority="206" operator="between" text="欠">
      <formula>NOT(ISERROR(SEARCH("欠",T640)))</formula>
    </cfRule>
  </conditionalFormatting>
  <conditionalFormatting sqref="S649">
    <cfRule type="cellIs" dxfId="0" priority="188" operator="equal">
      <formula>"欠"</formula>
    </cfRule>
  </conditionalFormatting>
  <conditionalFormatting sqref="S650">
    <cfRule type="cellIs" dxfId="0" priority="179" operator="equal">
      <formula>"欠"</formula>
    </cfRule>
  </conditionalFormatting>
  <conditionalFormatting sqref="S651">
    <cfRule type="cellIs" dxfId="0" priority="178" operator="equal">
      <formula>"欠"</formula>
    </cfRule>
  </conditionalFormatting>
  <conditionalFormatting sqref="R652">
    <cfRule type="cellIs" dxfId="0" priority="187" operator="equal">
      <formula>"欠"</formula>
    </cfRule>
    <cfRule type="containsText" dxfId="1" priority="186" operator="between" text="欠">
      <formula>NOT(ISERROR(SEARCH("欠",R652)))</formula>
    </cfRule>
  </conditionalFormatting>
  <conditionalFormatting sqref="S661:T661">
    <cfRule type="cellIs" dxfId="0" priority="192" operator="equal">
      <formula>"欠"</formula>
    </cfRule>
  </conditionalFormatting>
  <conditionalFormatting sqref="S662:T662">
    <cfRule type="cellIs" dxfId="0" priority="191" operator="equal">
      <formula>"欠"</formula>
    </cfRule>
  </conditionalFormatting>
  <conditionalFormatting sqref="R666:S666">
    <cfRule type="cellIs" dxfId="0" priority="155" operator="equal">
      <formula>"欠"</formula>
    </cfRule>
  </conditionalFormatting>
  <conditionalFormatting sqref="R667:S667">
    <cfRule type="cellIs" dxfId="0" priority="154" operator="equal">
      <formula>"欠"</formula>
    </cfRule>
  </conditionalFormatting>
  <conditionalFormatting sqref="R668:S668">
    <cfRule type="cellIs" dxfId="0" priority="153" operator="equal">
      <formula>"欠"</formula>
    </cfRule>
  </conditionalFormatting>
  <conditionalFormatting sqref="R670">
    <cfRule type="cellIs" dxfId="0" priority="158" operator="equal">
      <formula>"欠"</formula>
    </cfRule>
  </conditionalFormatting>
  <conditionalFormatting sqref="S670">
    <cfRule type="containsText" dxfId="1" priority="162" operator="between" text="欠">
      <formula>NOT(ISERROR(SEARCH("欠",S670)))</formula>
    </cfRule>
    <cfRule type="cellIs" dxfId="0" priority="161" operator="equal">
      <formula>"欠"</formula>
    </cfRule>
  </conditionalFormatting>
  <conditionalFormatting sqref="T670">
    <cfRule type="cellIs" dxfId="0" priority="160" operator="equal">
      <formula>"欠"</formula>
    </cfRule>
    <cfRule type="containsText" dxfId="1" priority="159" operator="between" text="欠">
      <formula>NOT(ISERROR(SEARCH("欠",T670)))</formula>
    </cfRule>
  </conditionalFormatting>
  <conditionalFormatting sqref="S673">
    <cfRule type="cellIs" dxfId="0" priority="152" operator="equal">
      <formula>"欠"</formula>
    </cfRule>
  </conditionalFormatting>
  <conditionalFormatting sqref="S676">
    <cfRule type="containsText" dxfId="1" priority="139" operator="between" text="欠">
      <formula>NOT(ISERROR(SEARCH("欠",S676)))</formula>
    </cfRule>
  </conditionalFormatting>
  <conditionalFormatting sqref="T676">
    <cfRule type="containsText" dxfId="1" priority="141" operator="between" text="欠">
      <formula>NOT(ISERROR(SEARCH("欠",T676)))</formula>
    </cfRule>
  </conditionalFormatting>
  <conditionalFormatting sqref="R677">
    <cfRule type="cellIs" dxfId="0" priority="151" operator="equal">
      <formula>"欠"</formula>
    </cfRule>
    <cfRule type="containsText" dxfId="1" priority="150" operator="between" text="欠">
      <formula>NOT(ISERROR(SEARCH("欠",R677)))</formula>
    </cfRule>
  </conditionalFormatting>
  <conditionalFormatting sqref="S677">
    <cfRule type="containsText" dxfId="1" priority="149" operator="between" text="欠">
      <formula>NOT(ISERROR(SEARCH("欠",S677)))</formula>
    </cfRule>
  </conditionalFormatting>
  <conditionalFormatting sqref="T677">
    <cfRule type="containsText" dxfId="1" priority="147" operator="between" text="欠">
      <formula>NOT(ISERROR(SEARCH("欠",T677)))</formula>
    </cfRule>
  </conditionalFormatting>
  <conditionalFormatting sqref="S683">
    <cfRule type="containsText" dxfId="1" priority="110" operator="between" text="欠">
      <formula>NOT(ISERROR(SEARCH("欠",S683)))</formula>
    </cfRule>
  </conditionalFormatting>
  <conditionalFormatting sqref="T683">
    <cfRule type="containsText" dxfId="1" priority="108" operator="between" text="欠">
      <formula>NOT(ISERROR(SEARCH("欠",T683)))</formula>
    </cfRule>
  </conditionalFormatting>
  <conditionalFormatting sqref="S686:T686">
    <cfRule type="containsText" dxfId="1" priority="145" operator="between" text="欠">
      <formula>NOT(ISERROR(SEARCH("欠",S686)))</formula>
    </cfRule>
  </conditionalFormatting>
  <conditionalFormatting sqref="S686">
    <cfRule type="cellIs" dxfId="0" priority="144" operator="equal">
      <formula>"欠"</formula>
    </cfRule>
  </conditionalFormatting>
  <conditionalFormatting sqref="T686">
    <cfRule type="cellIs" dxfId="0" priority="143" operator="equal">
      <formula>"欠"</formula>
    </cfRule>
  </conditionalFormatting>
  <conditionalFormatting sqref="S688">
    <cfRule type="containsText" dxfId="1" priority="124" operator="between" text="欠">
      <formula>NOT(ISERROR(SEARCH("欠",S688)))</formula>
    </cfRule>
  </conditionalFormatting>
  <conditionalFormatting sqref="S689">
    <cfRule type="containsText" dxfId="1" priority="122" operator="between" text="欠">
      <formula>NOT(ISERROR(SEARCH("欠",S689)))</formula>
    </cfRule>
  </conditionalFormatting>
  <conditionalFormatting sqref="S690">
    <cfRule type="cellIs" dxfId="0" priority="129" operator="equal">
      <formula>"欠"</formula>
    </cfRule>
  </conditionalFormatting>
  <conditionalFormatting sqref="S691">
    <cfRule type="cellIs" dxfId="0" priority="125" operator="equal">
      <formula>"欠"</formula>
    </cfRule>
  </conditionalFormatting>
  <conditionalFormatting sqref="R692">
    <cfRule type="containsText" dxfId="1" priority="126" operator="between" text="欠">
      <formula>NOT(ISERROR(SEARCH("欠",R692)))</formula>
    </cfRule>
  </conditionalFormatting>
  <conditionalFormatting sqref="S692">
    <cfRule type="containsText" dxfId="1" priority="115" operator="between" text="欠">
      <formula>NOT(ISERROR(SEARCH("欠",S692)))</formula>
    </cfRule>
  </conditionalFormatting>
  <conditionalFormatting sqref="T692">
    <cfRule type="containsText" dxfId="1" priority="128" operator="between" text="欠">
      <formula>NOT(ISERROR(SEARCH("欠",T692)))</formula>
    </cfRule>
    <cfRule type="cellIs" dxfId="0" priority="127" operator="equal">
      <formula>"欠"</formula>
    </cfRule>
  </conditionalFormatting>
  <conditionalFormatting sqref="R696">
    <cfRule type="cellIs" dxfId="0" priority="142" operator="equal">
      <formula>"欠"</formula>
    </cfRule>
  </conditionalFormatting>
  <conditionalFormatting sqref="T699">
    <cfRule type="cellIs" dxfId="0" priority="105" operator="equal">
      <formula>"欠"</formula>
    </cfRule>
  </conditionalFormatting>
  <conditionalFormatting sqref="S716">
    <cfRule type="containsText" dxfId="1" priority="88" operator="between" text="欠">
      <formula>NOT(ISERROR(SEARCH("欠",S716)))</formula>
    </cfRule>
  </conditionalFormatting>
  <conditionalFormatting sqref="S718">
    <cfRule type="cellIs" dxfId="0" priority="59" operator="equal">
      <formula>"欠"</formula>
    </cfRule>
  </conditionalFormatting>
  <conditionalFormatting sqref="R731">
    <cfRule type="cellIs" dxfId="0" priority="36" operator="equal">
      <formula>"欠"</formula>
    </cfRule>
  </conditionalFormatting>
  <conditionalFormatting sqref="S731">
    <cfRule type="containsText" dxfId="1" priority="35" operator="between" text="欠">
      <formula>NOT(ISERROR(SEARCH("欠",S731)))</formula>
    </cfRule>
    <cfRule type="cellIs" dxfId="0" priority="34" operator="equal">
      <formula>"欠"</formula>
    </cfRule>
  </conditionalFormatting>
  <conditionalFormatting sqref="T731">
    <cfRule type="containsText" dxfId="1" priority="55" operator="between" text="欠">
      <formula>NOT(ISERROR(SEARCH("欠",T731)))</formula>
    </cfRule>
  </conditionalFormatting>
  <conditionalFormatting sqref="S734">
    <cfRule type="containsText" dxfId="1" priority="84" operator="between" text="欠">
      <formula>NOT(ISERROR(SEARCH("欠",S734)))</formula>
    </cfRule>
  </conditionalFormatting>
  <conditionalFormatting sqref="S735">
    <cfRule type="containsText" dxfId="1" priority="38" operator="between" text="欠">
      <formula>NOT(ISERROR(SEARCH("欠",S735)))</formula>
    </cfRule>
    <cfRule type="cellIs" dxfId="0" priority="37" operator="equal">
      <formula>"欠"</formula>
    </cfRule>
  </conditionalFormatting>
  <conditionalFormatting sqref="T735">
    <cfRule type="containsText" dxfId="1" priority="40" operator="between" text="欠">
      <formula>NOT(ISERROR(SEARCH("欠",T735)))</formula>
    </cfRule>
  </conditionalFormatting>
  <conditionalFormatting sqref="R738">
    <cfRule type="cellIs" dxfId="0" priority="30" operator="equal">
      <formula>"欠"</formula>
    </cfRule>
    <cfRule type="containsText" dxfId="1" priority="29" operator="between" text="欠">
      <formula>NOT(ISERROR(SEARCH("欠",R738)))</formula>
    </cfRule>
  </conditionalFormatting>
  <conditionalFormatting sqref="S750">
    <cfRule type="containsText" dxfId="1" priority="61" operator="between" text="欠">
      <formula>NOT(ISERROR(SEARCH("欠",S750)))</formula>
    </cfRule>
    <cfRule type="cellIs" dxfId="0" priority="60" operator="equal">
      <formula>"欠"</formula>
    </cfRule>
  </conditionalFormatting>
  <conditionalFormatting sqref="R751">
    <cfRule type="cellIs" dxfId="0" priority="102" operator="equal">
      <formula>"欠"</formula>
    </cfRule>
    <cfRule type="containsText" dxfId="1" priority="101" operator="between" text="欠">
      <formula>NOT(ISERROR(SEARCH("欠",R751)))</formula>
    </cfRule>
  </conditionalFormatting>
  <conditionalFormatting sqref="T751">
    <cfRule type="containsText" dxfId="1" priority="100" operator="between" text="欠">
      <formula>NOT(ISERROR(SEARCH("欠",T751)))</formula>
    </cfRule>
  </conditionalFormatting>
  <conditionalFormatting sqref="R752">
    <cfRule type="cellIs" dxfId="0" priority="42" operator="equal">
      <formula>"欠"</formula>
    </cfRule>
    <cfRule type="containsText" dxfId="1" priority="41" operator="between" text="欠">
      <formula>NOT(ISERROR(SEARCH("欠",R752)))</formula>
    </cfRule>
  </conditionalFormatting>
  <conditionalFormatting sqref="S752">
    <cfRule type="containsText" dxfId="1" priority="44" operator="between" text="欠">
      <formula>NOT(ISERROR(SEARCH("欠",S752)))</formula>
    </cfRule>
    <cfRule type="cellIs" dxfId="0" priority="43" operator="equal">
      <formula>"欠"</formula>
    </cfRule>
  </conditionalFormatting>
  <conditionalFormatting sqref="T752">
    <cfRule type="containsText" dxfId="1" priority="48" operator="between" text="欠">
      <formula>NOT(ISERROR(SEARCH("欠",T752)))</formula>
    </cfRule>
  </conditionalFormatting>
  <conditionalFormatting sqref="S754">
    <cfRule type="cellIs" dxfId="0" priority="72" operator="equal">
      <formula>"欠"</formula>
    </cfRule>
  </conditionalFormatting>
  <conditionalFormatting sqref="T754">
    <cfRule type="containsText" dxfId="1" priority="71" operator="between" text="欠">
      <formula>NOT(ISERROR(SEARCH("欠",T754)))</formula>
    </cfRule>
    <cfRule type="cellIs" dxfId="0" priority="70" operator="equal">
      <formula>"欠"</formula>
    </cfRule>
  </conditionalFormatting>
  <conditionalFormatting sqref="T757">
    <cfRule type="containsText" dxfId="1" priority="92" operator="between" text="欠">
      <formula>NOT(ISERROR(SEARCH("欠",T757)))</formula>
    </cfRule>
  </conditionalFormatting>
  <conditionalFormatting sqref="T763">
    <cfRule type="cellIs" dxfId="0" priority="28" operator="equal">
      <formula>"欠"</formula>
    </cfRule>
  </conditionalFormatting>
  <conditionalFormatting sqref="R770">
    <cfRule type="cellIs" dxfId="0" priority="27" operator="equal">
      <formula>"欠"</formula>
    </cfRule>
    <cfRule type="containsText" dxfId="1" priority="26" operator="between" text="欠">
      <formula>NOT(ISERROR(SEARCH("欠",R770)))</formula>
    </cfRule>
  </conditionalFormatting>
  <conditionalFormatting sqref="R772">
    <cfRule type="cellIs" dxfId="0" priority="25" operator="equal">
      <formula>"欠"</formula>
    </cfRule>
    <cfRule type="containsText" dxfId="1" priority="24" operator="between" text="欠">
      <formula>NOT(ISERROR(SEARCH("欠",R772)))</formula>
    </cfRule>
  </conditionalFormatting>
  <conditionalFormatting sqref="R779">
    <cfRule type="cellIs" dxfId="0" priority="15" operator="equal">
      <formula>"欠"</formula>
    </cfRule>
  </conditionalFormatting>
  <conditionalFormatting sqref="S779:T779">
    <cfRule type="containsText" dxfId="1" priority="18" operator="between" text="欠">
      <formula>NOT(ISERROR(SEARCH("欠",S779)))</formula>
    </cfRule>
  </conditionalFormatting>
  <conditionalFormatting sqref="S779">
    <cfRule type="cellIs" dxfId="0" priority="17" operator="equal">
      <formula>"欠"</formula>
    </cfRule>
  </conditionalFormatting>
  <conditionalFormatting sqref="T779">
    <cfRule type="cellIs" dxfId="0" priority="16" operator="equal">
      <formula>"欠"</formula>
    </cfRule>
  </conditionalFormatting>
  <conditionalFormatting sqref="R780">
    <cfRule type="cellIs" dxfId="0" priority="20" operator="equal">
      <formula>"欠"</formula>
    </cfRule>
    <cfRule type="containsText" dxfId="1" priority="19" operator="between" text="欠">
      <formula>NOT(ISERROR(SEARCH("欠",R780)))</formula>
    </cfRule>
  </conditionalFormatting>
  <conditionalFormatting sqref="S780:T780">
    <cfRule type="containsText" dxfId="1" priority="23" operator="between" text="欠">
      <formula>NOT(ISERROR(SEARCH("欠",S780)))</formula>
    </cfRule>
  </conditionalFormatting>
  <conditionalFormatting sqref="S780">
    <cfRule type="cellIs" dxfId="0" priority="22" operator="equal">
      <formula>"欠"</formula>
    </cfRule>
  </conditionalFormatting>
  <conditionalFormatting sqref="T780">
    <cfRule type="cellIs" dxfId="0" priority="21" operator="equal">
      <formula>"欠"</formula>
    </cfRule>
  </conditionalFormatting>
  <conditionalFormatting sqref="R781">
    <cfRule type="cellIs" dxfId="0" priority="2" operator="equal">
      <formula>"欠"</formula>
    </cfRule>
    <cfRule type="containsText" dxfId="1" priority="1" operator="between" text="欠">
      <formula>NOT(ISERROR(SEARCH("欠",R781)))</formula>
    </cfRule>
  </conditionalFormatting>
  <conditionalFormatting sqref="S781:T781">
    <cfRule type="containsText" dxfId="1" priority="5" operator="between" text="欠">
      <formula>NOT(ISERROR(SEARCH("欠",S781)))</formula>
    </cfRule>
  </conditionalFormatting>
  <conditionalFormatting sqref="S781">
    <cfRule type="cellIs" dxfId="0" priority="4" operator="equal">
      <formula>"欠"</formula>
    </cfRule>
  </conditionalFormatting>
  <conditionalFormatting sqref="T781">
    <cfRule type="cellIs" dxfId="0" priority="3" operator="equal">
      <formula>"欠"</formula>
    </cfRule>
  </conditionalFormatting>
  <conditionalFormatting sqref="R783">
    <cfRule type="cellIs" dxfId="0" priority="10" operator="equal">
      <formula>"欠"</formula>
    </cfRule>
    <cfRule type="containsText" dxfId="1" priority="9" operator="between" text="欠">
      <formula>NOT(ISERROR(SEARCH("欠",R783)))</formula>
    </cfRule>
  </conditionalFormatting>
  <conditionalFormatting sqref="S785">
    <cfRule type="containsText" dxfId="1" priority="7" operator="between" text="欠">
      <formula>NOT(ISERROR(SEARCH("欠",S785)))</formula>
    </cfRule>
    <cfRule type="cellIs" dxfId="0" priority="6" operator="equal">
      <formula>"欠"</formula>
    </cfRule>
  </conditionalFormatting>
  <conditionalFormatting sqref="R786">
    <cfRule type="cellIs" dxfId="0" priority="11" operator="equal">
      <formula>"欠"</formula>
    </cfRule>
  </conditionalFormatting>
  <conditionalFormatting sqref="S786:T786">
    <cfRule type="containsText" dxfId="1" priority="14" operator="between" text="欠">
      <formula>NOT(ISERROR(SEARCH("欠",S786)))</formula>
    </cfRule>
  </conditionalFormatting>
  <conditionalFormatting sqref="S786">
    <cfRule type="cellIs" dxfId="0" priority="13" operator="equal">
      <formula>"欠"</formula>
    </cfRule>
  </conditionalFormatting>
  <conditionalFormatting sqref="T786">
    <cfRule type="cellIs" dxfId="0" priority="12" operator="equal">
      <formula>"欠"</formula>
    </cfRule>
  </conditionalFormatting>
  <conditionalFormatting sqref="R233:R234">
    <cfRule type="containsText" dxfId="1" priority="595" operator="between" text="欠">
      <formula>NOT(ISERROR(SEARCH("欠",R233)))</formula>
    </cfRule>
  </conditionalFormatting>
  <conditionalFormatting sqref="R282:R285">
    <cfRule type="containsText" dxfId="1" priority="557" operator="between" text="欠">
      <formula>NOT(ISERROR(SEARCH("欠",R282)))</formula>
    </cfRule>
  </conditionalFormatting>
  <conditionalFormatting sqref="R302:R303">
    <cfRule type="cellIs" dxfId="0" priority="515" operator="equal">
      <formula>"欠"</formula>
    </cfRule>
    <cfRule type="containsText" dxfId="1" priority="514" operator="between" text="欠">
      <formula>NOT(ISERROR(SEARCH("欠",R302)))</formula>
    </cfRule>
  </conditionalFormatting>
  <conditionalFormatting sqref="R327:R329">
    <cfRule type="containsText" dxfId="1" priority="569" operator="between" text="欠">
      <formula>NOT(ISERROR(SEARCH("欠",R327)))</formula>
    </cfRule>
  </conditionalFormatting>
  <conditionalFormatting sqref="R412:R415">
    <cfRule type="cellIs" dxfId="0" priority="459" operator="equal">
      <formula>"欠"</formula>
    </cfRule>
  </conditionalFormatting>
  <conditionalFormatting sqref="R471:R477">
    <cfRule type="containsText" dxfId="1" priority="413" operator="between" text="欠">
      <formula>NOT(ISERROR(SEARCH("欠",R471)))</formula>
    </cfRule>
  </conditionalFormatting>
  <conditionalFormatting sqref="R506:R514">
    <cfRule type="containsText" dxfId="1" priority="402" operator="between" text="欠">
      <formula>NOT(ISERROR(SEARCH("欠",R506)))</formula>
    </cfRule>
  </conditionalFormatting>
  <conditionalFormatting sqref="R550:R552">
    <cfRule type="containsText" dxfId="1" priority="268" operator="between" text="欠">
      <formula>NOT(ISERROR(SEARCH("欠",R550)))</formula>
    </cfRule>
  </conditionalFormatting>
  <conditionalFormatting sqref="R556:R557">
    <cfRule type="cellIs" dxfId="0" priority="294" operator="equal">
      <formula>"欠"</formula>
    </cfRule>
    <cfRule type="containsText" dxfId="1" priority="293" operator="between" text="欠">
      <formula>NOT(ISERROR(SEARCH("欠",R556)))</formula>
    </cfRule>
  </conditionalFormatting>
  <conditionalFormatting sqref="R593:R594">
    <cfRule type="cellIs" dxfId="0" priority="226" operator="equal">
      <formula>"欠"</formula>
    </cfRule>
    <cfRule type="containsText" dxfId="1" priority="225" operator="between" text="欠">
      <formula>NOT(ISERROR(SEARCH("欠",R593)))</formula>
    </cfRule>
  </conditionalFormatting>
  <conditionalFormatting sqref="R639:R640">
    <cfRule type="cellIs" dxfId="0" priority="211" operator="equal">
      <formula>"欠"</formula>
    </cfRule>
  </conditionalFormatting>
  <conditionalFormatting sqref="R644:R645">
    <cfRule type="cellIs" dxfId="0" priority="177" operator="equal">
      <formula>"欠"</formula>
    </cfRule>
    <cfRule type="containsText" dxfId="1" priority="176" operator="between" text="欠">
      <formula>NOT(ISERROR(SEARCH("欠",R644)))</formula>
    </cfRule>
  </conditionalFormatting>
  <conditionalFormatting sqref="R727:R728">
    <cfRule type="cellIs" dxfId="0" priority="69" operator="equal">
      <formula>"欠"</formula>
    </cfRule>
    <cfRule type="containsText" dxfId="1" priority="68" operator="between" text="欠">
      <formula>NOT(ISERROR(SEARCH("欠",R727)))</formula>
    </cfRule>
  </conditionalFormatting>
  <conditionalFormatting sqref="R755:R756">
    <cfRule type="cellIs" dxfId="0" priority="104" operator="equal">
      <formula>"欠"</formula>
    </cfRule>
    <cfRule type="containsText" dxfId="1" priority="103" operator="between" text="欠">
      <formula>NOT(ISERROR(SEARCH("欠",R755)))</formula>
    </cfRule>
  </conditionalFormatting>
  <conditionalFormatting sqref="R784:R785">
    <cfRule type="cellIs" dxfId="0" priority="8" operator="equal">
      <formula>"欠"</formula>
    </cfRule>
  </conditionalFormatting>
  <conditionalFormatting sqref="S282:S285">
    <cfRule type="cellIs" dxfId="0" priority="558" operator="equal">
      <formula>"欠"</formula>
    </cfRule>
  </conditionalFormatting>
  <conditionalFormatting sqref="S308:S311">
    <cfRule type="cellIs" dxfId="0" priority="524" operator="equal">
      <formula>"欠"</formula>
    </cfRule>
  </conditionalFormatting>
  <conditionalFormatting sqref="S327:S329">
    <cfRule type="containsText" dxfId="1" priority="568" operator="between" text="欠">
      <formula>NOT(ISERROR(SEARCH("欠",S327)))</formula>
    </cfRule>
  </conditionalFormatting>
  <conditionalFormatting sqref="S404:S407">
    <cfRule type="cellIs" dxfId="0" priority="479" operator="equal">
      <formula>"欠"</formula>
    </cfRule>
  </conditionalFormatting>
  <conditionalFormatting sqref="S408:S409">
    <cfRule type="cellIs" dxfId="0" priority="487" operator="equal">
      <formula>"欠"</formula>
    </cfRule>
  </conditionalFormatting>
  <conditionalFormatting sqref="S436:S440">
    <cfRule type="cellIs" dxfId="0" priority="447" operator="equal">
      <formula>"欠"</formula>
    </cfRule>
    <cfRule type="containsText" dxfId="1" priority="446" operator="between" text="欠">
      <formula>NOT(ISERROR(SEARCH("欠",S436)))</formula>
    </cfRule>
  </conditionalFormatting>
  <conditionalFormatting sqref="S493:S495">
    <cfRule type="cellIs" dxfId="0" priority="383" operator="equal">
      <formula>"欠"</formula>
    </cfRule>
  </conditionalFormatting>
  <conditionalFormatting sqref="S538:S540">
    <cfRule type="cellIs" dxfId="0" priority="353" operator="equal">
      <formula>"欠"</formula>
    </cfRule>
    <cfRule type="containsText" dxfId="1" priority="352" operator="between" text="欠">
      <formula>NOT(ISERROR(SEARCH("欠",S538)))</formula>
    </cfRule>
  </conditionalFormatting>
  <conditionalFormatting sqref="S550:S552">
    <cfRule type="cellIs" dxfId="0" priority="267" operator="equal">
      <formula>"欠"</formula>
    </cfRule>
  </conditionalFormatting>
  <conditionalFormatting sqref="S556:S557">
    <cfRule type="cellIs" dxfId="0" priority="296" operator="equal">
      <formula>"欠"</formula>
    </cfRule>
  </conditionalFormatting>
  <conditionalFormatting sqref="S624:S626">
    <cfRule type="cellIs" dxfId="0" priority="252" operator="equal">
      <formula>"欠"</formula>
    </cfRule>
  </conditionalFormatting>
  <conditionalFormatting sqref="S719:S723">
    <cfRule type="cellIs" dxfId="0" priority="58" operator="equal">
      <formula>"欠"</formula>
    </cfRule>
  </conditionalFormatting>
  <conditionalFormatting sqref="S729:S730">
    <cfRule type="cellIs" dxfId="0" priority="57" operator="equal">
      <formula>"欠"</formula>
    </cfRule>
  </conditionalFormatting>
  <conditionalFormatting sqref="S744:S748">
    <cfRule type="containsText" dxfId="1" priority="53" operator="between" text="欠">
      <formula>NOT(ISERROR(SEARCH("欠",S744)))</formula>
    </cfRule>
    <cfRule type="cellIs" dxfId="0" priority="52" operator="equal">
      <formula>"欠"</formula>
    </cfRule>
  </conditionalFormatting>
  <conditionalFormatting sqref="T57:T64">
    <cfRule type="cellIs" dxfId="0" priority="607" operator="equal">
      <formula>"欠"</formula>
    </cfRule>
  </conditionalFormatting>
  <conditionalFormatting sqref="T67:T69">
    <cfRule type="cellIs" dxfId="0" priority="608" operator="equal">
      <formula>"欠"</formula>
    </cfRule>
  </conditionalFormatting>
  <conditionalFormatting sqref="T213:T214">
    <cfRule type="containsText" dxfId="1" priority="593" operator="between" text="欠">
      <formula>NOT(ISERROR(SEARCH("欠",T213)))</formula>
    </cfRule>
  </conditionalFormatting>
  <conditionalFormatting sqref="T254:T256">
    <cfRule type="cellIs" dxfId="0" priority="508" operator="equal">
      <formula>"欠"</formula>
    </cfRule>
    <cfRule type="containsText" dxfId="1" priority="507" operator="between" text="欠">
      <formula>NOT(ISERROR(SEARCH("欠",T254)))</formula>
    </cfRule>
  </conditionalFormatting>
  <conditionalFormatting sqref="T278:T279">
    <cfRule type="containsText" dxfId="1" priority="485" operator="between" text="欠">
      <formula>NOT(ISERROR(SEARCH("欠",T278)))</formula>
    </cfRule>
  </conditionalFormatting>
  <conditionalFormatting sqref="T282:T285">
    <cfRule type="containsText" dxfId="1" priority="556" operator="between" text="欠">
      <formula>NOT(ISERROR(SEARCH("欠",T282)))</formula>
    </cfRule>
  </conditionalFormatting>
  <conditionalFormatting sqref="T298:T299">
    <cfRule type="containsText" dxfId="1" priority="526" operator="between" text="欠">
      <formula>NOT(ISERROR(SEARCH("欠",T298)))</formula>
    </cfRule>
  </conditionalFormatting>
  <conditionalFormatting sqref="T308:T311">
    <cfRule type="containsText" dxfId="1" priority="486" operator="between" text="欠">
      <formula>NOT(ISERROR(SEARCH("欠",T308)))</formula>
    </cfRule>
  </conditionalFormatting>
  <conditionalFormatting sqref="T331:T332">
    <cfRule type="containsText" dxfId="1" priority="548" operator="between" text="欠">
      <formula>NOT(ISERROR(SEARCH("欠",T331)))</formula>
    </cfRule>
  </conditionalFormatting>
  <conditionalFormatting sqref="T333:T334">
    <cfRule type="containsText" dxfId="1" priority="553" operator="between" text="欠">
      <formula>NOT(ISERROR(SEARCH("欠",T333)))</formula>
    </cfRule>
  </conditionalFormatting>
  <conditionalFormatting sqref="T337:T338">
    <cfRule type="containsText" dxfId="1" priority="584" operator="between" text="欠">
      <formula>NOT(ISERROR(SEARCH("欠",T337)))</formula>
    </cfRule>
  </conditionalFormatting>
  <conditionalFormatting sqref="T347:T349">
    <cfRule type="containsText" dxfId="1" priority="543" operator="between" text="欠">
      <formula>NOT(ISERROR(SEARCH("欠",T347)))</formula>
    </cfRule>
  </conditionalFormatting>
  <conditionalFormatting sqref="T374:T375">
    <cfRule type="cellIs" dxfId="0" priority="489" operator="equal">
      <formula>"欠"</formula>
    </cfRule>
  </conditionalFormatting>
  <conditionalFormatting sqref="T377:T378">
    <cfRule type="containsText" dxfId="1" priority="536" operator="between" text="欠">
      <formula>NOT(ISERROR(SEARCH("欠",T377)))</formula>
    </cfRule>
  </conditionalFormatting>
  <conditionalFormatting sqref="T404:T407">
    <cfRule type="cellIs" dxfId="0" priority="481" operator="equal">
      <formula>"欠"</formula>
    </cfRule>
    <cfRule type="containsText" dxfId="1" priority="480" operator="between" text="欠">
      <formula>NOT(ISERROR(SEARCH("欠",T404)))</formula>
    </cfRule>
  </conditionalFormatting>
  <conditionalFormatting sqref="T412:T415">
    <cfRule type="cellIs" dxfId="0" priority="461" operator="equal">
      <formula>"欠"</formula>
    </cfRule>
    <cfRule type="containsText" dxfId="1" priority="460" operator="between" text="欠">
      <formula>NOT(ISERROR(SEARCH("欠",T412)))</formula>
    </cfRule>
  </conditionalFormatting>
  <conditionalFormatting sqref="T450:T451">
    <cfRule type="containsText" dxfId="1" priority="428" operator="between" text="欠">
      <formula>NOT(ISERROR(SEARCH("欠",T450)))</formula>
    </cfRule>
  </conditionalFormatting>
  <conditionalFormatting sqref="T457:T464">
    <cfRule type="cellIs" dxfId="0" priority="401" operator="equal">
      <formula>"欠"</formula>
    </cfRule>
    <cfRule type="containsText" dxfId="1" priority="400" operator="between" text="欠">
      <formula>NOT(ISERROR(SEARCH("欠",T457)))</formula>
    </cfRule>
  </conditionalFormatting>
  <conditionalFormatting sqref="T493:T497">
    <cfRule type="cellIs" dxfId="0" priority="388" operator="equal">
      <formula>"欠"</formula>
    </cfRule>
    <cfRule type="containsText" dxfId="1" priority="387" operator="between" text="欠">
      <formula>NOT(ISERROR(SEARCH("欠",T493)))</formula>
    </cfRule>
  </conditionalFormatting>
  <conditionalFormatting sqref="T506:T514">
    <cfRule type="cellIs" dxfId="0" priority="398" operator="equal">
      <formula>"欠"</formula>
    </cfRule>
    <cfRule type="containsText" dxfId="1" priority="397" operator="between" text="欠">
      <formula>NOT(ISERROR(SEARCH("欠",T506)))</formula>
    </cfRule>
  </conditionalFormatting>
  <conditionalFormatting sqref="T515:T518">
    <cfRule type="containsText" dxfId="1" priority="472" operator="between" text="欠">
      <formula>NOT(ISERROR(SEARCH("欠",T515)))</formula>
    </cfRule>
  </conditionalFormatting>
  <conditionalFormatting sqref="T525:T528">
    <cfRule type="containsText" dxfId="1" priority="378" operator="between" text="欠">
      <formula>NOT(ISERROR(SEARCH("欠",T525)))</formula>
    </cfRule>
  </conditionalFormatting>
  <conditionalFormatting sqref="T538:T540">
    <cfRule type="containsText" dxfId="1" priority="354" operator="between" text="欠">
      <formula>NOT(ISERROR(SEARCH("欠",T538)))</formula>
    </cfRule>
  </conditionalFormatting>
  <conditionalFormatting sqref="T545:T546">
    <cfRule type="containsText" dxfId="1" priority="342" operator="between" text="欠">
      <formula>NOT(ISERROR(SEARCH("欠",T545)))</formula>
    </cfRule>
  </conditionalFormatting>
  <conditionalFormatting sqref="T550:T552">
    <cfRule type="cellIs" dxfId="0" priority="266" operator="equal">
      <formula>"欠"</formula>
    </cfRule>
    <cfRule type="containsText" dxfId="1" priority="265" operator="between" text="欠">
      <formula>NOT(ISERROR(SEARCH("欠",T550)))</formula>
    </cfRule>
  </conditionalFormatting>
  <conditionalFormatting sqref="T556:T557">
    <cfRule type="cellIs" dxfId="0" priority="297" operator="equal">
      <formula>"欠"</formula>
    </cfRule>
  </conditionalFormatting>
  <conditionalFormatting sqref="T582:T583">
    <cfRule type="containsText" dxfId="1" priority="317" operator="between" text="欠">
      <formula>NOT(ISERROR(SEARCH("欠",T582)))</formula>
    </cfRule>
  </conditionalFormatting>
  <conditionalFormatting sqref="T584:T592">
    <cfRule type="cellIs" dxfId="0" priority="292" operator="equal">
      <formula>"欠"</formula>
    </cfRule>
  </conditionalFormatting>
  <conditionalFormatting sqref="T599:T600">
    <cfRule type="containsText" dxfId="1" priority="264" operator="between" text="欠">
      <formula>NOT(ISERROR(SEARCH("欠",T599)))</formula>
    </cfRule>
    <cfRule type="cellIs" dxfId="0" priority="263" operator="equal">
      <formula>"欠"</formula>
    </cfRule>
  </conditionalFormatting>
  <conditionalFormatting sqref="T603:T605">
    <cfRule type="cellIs" dxfId="0" priority="254" operator="equal">
      <formula>"欠"</formula>
    </cfRule>
    <cfRule type="containsText" dxfId="1" priority="253" operator="between" text="欠">
      <formula>NOT(ISERROR(SEARCH("欠",T603)))</formula>
    </cfRule>
  </conditionalFormatting>
  <conditionalFormatting sqref="T624:T626">
    <cfRule type="cellIs" dxfId="0" priority="251" operator="equal">
      <formula>"欠"</formula>
    </cfRule>
    <cfRule type="containsText" dxfId="1" priority="250" operator="between" text="欠">
      <formula>NOT(ISERROR(SEARCH("欠",T624)))</formula>
    </cfRule>
  </conditionalFormatting>
  <conditionalFormatting sqref="T650:T651">
    <cfRule type="cellIs" dxfId="0" priority="181" operator="equal">
      <formula>"欠"</formula>
    </cfRule>
    <cfRule type="containsText" dxfId="1" priority="180" operator="between" text="欠">
      <formula>NOT(ISERROR(SEARCH("欠",T650)))</formula>
    </cfRule>
  </conditionalFormatting>
  <conditionalFormatting sqref="T665:T668">
    <cfRule type="cellIs" dxfId="0" priority="215" operator="equal">
      <formula>"欠"</formula>
    </cfRule>
    <cfRule type="containsText" dxfId="1" priority="214" operator="between" text="欠">
      <formula>NOT(ISERROR(SEARCH("欠",T665)))</formula>
    </cfRule>
  </conditionalFormatting>
  <conditionalFormatting sqref="T690:T691">
    <cfRule type="containsText" dxfId="1" priority="131" operator="between" text="欠">
      <formula>NOT(ISERROR(SEARCH("欠",T690)))</formula>
    </cfRule>
    <cfRule type="cellIs" dxfId="0" priority="130" operator="equal">
      <formula>"欠"</formula>
    </cfRule>
  </conditionalFormatting>
  <conditionalFormatting sqref="T729:T730">
    <cfRule type="cellIs" dxfId="0" priority="56" operator="equal">
      <formula>"欠"</formula>
    </cfRule>
  </conditionalFormatting>
  <conditionalFormatting sqref="T744:T748">
    <cfRule type="containsText" dxfId="1" priority="50" operator="between" text="欠">
      <formula>NOT(ISERROR(SEARCH("欠",T744)))</formula>
    </cfRule>
  </conditionalFormatting>
  <conditionalFormatting sqref="R1:T3 R788:T791">
    <cfRule type="cellIs" dxfId="0" priority="634" operator="equal">
      <formula>"欠"</formula>
    </cfRule>
  </conditionalFormatting>
  <conditionalFormatting sqref="R4:T5 R40:T41 R7:T14 R32:S32 R33:T38 R16:T31">
    <cfRule type="cellIs" dxfId="0" priority="632" operator="equal">
      <formula>"欠"</formula>
    </cfRule>
  </conditionalFormatting>
  <conditionalFormatting sqref="R42:T44 R427 T421:T422 R426:S426 R39:T39 R389:S389 R65:R66 R74:T80 S374:S375 R101:T123 S370 R87:T94 R294:S294 R52:T53 S376:T376 R84:T85 R304:T305 S323:S326 R125:T129 S362:S367 R134:T212 R213:S214 R215:T226 R390 R228:T232 R322:S322 R237:T248 S391:S392 S253:S256 R261:S261 S267 R264:T265 S352:T353 R266:S266 R281:S281 R271:T271 R300:T300 S387 R249:S249 R250:T251 R295:T297 R235:S236 R273:T277 S301 R280:T280 R340:S340 R278:S279 S234 R227:S227 R257:T260 R344:S344 R287:T287 R345:T346 R288:S288 R291:T292 R335:T336 R315:S315 R308:R311 S420:S422 R388:T388 S435:T435 R467 R515:S518 R481:S481 R479 R542:S544 R503:R505 R483:T483 R470 R559:S559 R478:S478 R561 R532:T532 R485:T485 R484:S484 R538:R540 R569 R547:S547 S533:S534 R487:R498 R602:T602 R653:T654 R601 R611:R612 R623:R626 R641 R615:R617 R603:R608 R619:R620 S620:T620 R635 R665:S665 R661:R662 R787:T787">
    <cfRule type="cellIs" dxfId="0" priority="633" operator="equal">
      <formula>"欠"</formula>
    </cfRule>
  </conditionalFormatting>
  <conditionalFormatting sqref="S55:T55 R56:T56 R45:T51 R95:T95 R664 T674 R678 R681:R682 R679:T680 T678 R674:R676 R684 T684 R685:T685 R686 T688:T689 R688:R691 S696 R687:T687 R768">
    <cfRule type="cellIs" dxfId="0" priority="627" operator="equal">
      <formula>"欠"</formula>
    </cfRule>
  </conditionalFormatting>
  <conditionalFormatting sqref="R70:T70 R96:T97 R57:S64 R124:T124">
    <cfRule type="cellIs" dxfId="0" priority="618" operator="equal">
      <formula>"欠"</formula>
    </cfRule>
  </conditionalFormatting>
  <conditionalFormatting sqref="S65:T66">
    <cfRule type="cellIs" dxfId="0" priority="629" operator="equal">
      <formula>"欠"</formula>
    </cfRule>
  </conditionalFormatting>
  <conditionalFormatting sqref="S69 S71:T71">
    <cfRule type="cellIs" dxfId="0" priority="623" operator="equal">
      <formula>"欠"</formula>
    </cfRule>
  </conditionalFormatting>
  <conditionalFormatting sqref="R83:T83 R98:S100 R81:S81">
    <cfRule type="cellIs" dxfId="0" priority="631" operator="equal">
      <formula>"欠"</formula>
    </cfRule>
  </conditionalFormatting>
  <conditionalFormatting sqref="T81 T100">
    <cfRule type="cellIs" dxfId="0" priority="619" operator="equal">
      <formula>"欠"</formula>
    </cfRule>
  </conditionalFormatting>
  <conditionalFormatting sqref="R130:T133">
    <cfRule type="cellIs" dxfId="0" priority="630" operator="equal">
      <formula>"欠"</formula>
    </cfRule>
  </conditionalFormatting>
  <conditionalFormatting sqref="T227 T235:T236">
    <cfRule type="cellIs" dxfId="0" priority="566" operator="equal">
      <formula>"欠"</formula>
    </cfRule>
    <cfRule type="containsText" dxfId="1" priority="565" operator="between" text="欠">
      <formula>NOT(ISERROR(SEARCH("欠",T227)))</formula>
    </cfRule>
  </conditionalFormatting>
  <conditionalFormatting sqref="T233:T234 T323:T326 T253 T267">
    <cfRule type="containsText" dxfId="1" priority="594" operator="between" text="欠">
      <formula>NOT(ISERROR(SEARCH("欠",T233)))</formula>
    </cfRule>
  </conditionalFormatting>
  <conditionalFormatting sqref="T261 T266 T249">
    <cfRule type="containsText" dxfId="1" priority="559" operator="between" text="欠">
      <formula>NOT(ISERROR(SEARCH("欠",T249)))</formula>
    </cfRule>
  </conditionalFormatting>
  <conditionalFormatting sqref="R253:R256 R267 R323:R326">
    <cfRule type="containsText" dxfId="1" priority="597" operator="between" text="欠">
      <formula>NOT(ISERROR(SEARCH("欠",R253)))</formula>
    </cfRule>
  </conditionalFormatting>
  <conditionalFormatting sqref="R262:S262 R268:T269 R270:S270">
    <cfRule type="cellIs" dxfId="0" priority="592" operator="equal">
      <formula>"欠"</formula>
    </cfRule>
    <cfRule type="containsText" dxfId="1" priority="591" operator="between" text="欠">
      <formula>NOT(ISERROR(SEARCH("欠",R262)))</formula>
    </cfRule>
  </conditionalFormatting>
  <conditionalFormatting sqref="T262 T270">
    <cfRule type="cellIs" dxfId="0" priority="590" operator="equal">
      <formula>"欠"</formula>
    </cfRule>
    <cfRule type="containsText" dxfId="1" priority="589" operator="between" text="欠">
      <formula>NOT(ISERROR(SEARCH("欠",T262)))</formula>
    </cfRule>
  </conditionalFormatting>
  <conditionalFormatting sqref="R272 R286 R330">
    <cfRule type="containsText" dxfId="1" priority="571" operator="between" text="欠">
      <formula>NOT(ISERROR(SEARCH("欠",R272)))</formula>
    </cfRule>
  </conditionalFormatting>
  <conditionalFormatting sqref="S272 S286 S330">
    <cfRule type="containsText" dxfId="1" priority="570" operator="between" text="欠">
      <formula>NOT(ISERROR(SEARCH("欠",S272)))</formula>
    </cfRule>
  </conditionalFormatting>
  <conditionalFormatting sqref="T272 T327:T330 T286">
    <cfRule type="containsText" dxfId="1" priority="567" operator="between" text="欠">
      <formula>NOT(ISERROR(SEARCH("欠",T272)))</formula>
    </cfRule>
  </conditionalFormatting>
  <conditionalFormatting sqref="R289:R290 R373">
    <cfRule type="cellIs" dxfId="0" priority="519" operator="equal">
      <formula>"欠"</formula>
    </cfRule>
    <cfRule type="containsText" dxfId="1" priority="518" operator="between" text="欠">
      <formula>NOT(ISERROR(SEARCH("欠",R289)))</formula>
    </cfRule>
  </conditionalFormatting>
  <conditionalFormatting sqref="S293 R339:T339 S403 S312 S318 S320 S306:S307 S553 S597:S598 S595 S646:S647 S638">
    <cfRule type="containsText" dxfId="1" priority="580" operator="between" text="欠">
      <formula>NOT(ISERROR(SEARCH("欠",R293)))</formula>
    </cfRule>
  </conditionalFormatting>
  <conditionalFormatting sqref="R293 R318 R312 R403:R410 R320 R306:R307 R448 R595:R598 R553">
    <cfRule type="cellIs" dxfId="0" priority="576" operator="equal">
      <formula>"欠"</formula>
    </cfRule>
    <cfRule type="containsText" dxfId="1" priority="575" operator="between" text="欠">
      <formula>NOT(ISERROR(SEARCH("欠",R293)))</formula>
    </cfRule>
  </conditionalFormatting>
  <conditionalFormatting sqref="S293 S339 S312 S318 S320 S306:S307 S403 S553 S597:S598 S595 S646:S647 S638">
    <cfRule type="cellIs" dxfId="0" priority="579" operator="equal">
      <formula>"欠"</formula>
    </cfRule>
  </conditionalFormatting>
  <conditionalFormatting sqref="T293 T320 T424 T306:T307 T312:T314 T318 T403 T408:T410 T416 T570:T573 T555 T598 T636:T638 T629:T631 T553 T595 T609 T633:T634">
    <cfRule type="cellIs" dxfId="0" priority="578" operator="equal">
      <formula>"欠"</formula>
    </cfRule>
    <cfRule type="containsText" dxfId="1" priority="577" operator="between" text="欠">
      <formula>NOT(ISERROR(SEARCH("欠",T293)))</formula>
    </cfRule>
  </conditionalFormatting>
  <conditionalFormatting sqref="R298:R299 R332 R313:R314">
    <cfRule type="containsText" dxfId="1" priority="546" operator="between" text="欠">
      <formula>NOT(ISERROR(SEARCH("欠",R298)))</formula>
    </cfRule>
  </conditionalFormatting>
  <conditionalFormatting sqref="S298:S299 S314">
    <cfRule type="cellIs" dxfId="0" priority="525" operator="equal">
      <formula>"欠"</formula>
    </cfRule>
  </conditionalFormatting>
  <conditionalFormatting sqref="R301 R321 R366:R367">
    <cfRule type="containsText" dxfId="1" priority="602" operator="between" text="欠">
      <formula>NOT(ISERROR(SEARCH("欠",R301)))</formula>
    </cfRule>
  </conditionalFormatting>
  <conditionalFormatting sqref="T369:T372 T301 T321 T386:T387 T393 T391 T362:T367 T446:T448">
    <cfRule type="containsText" dxfId="1" priority="601" operator="between" text="欠">
      <formula>NOT(ISERROR(SEARCH("欠",T301)))</formula>
    </cfRule>
  </conditionalFormatting>
  <conditionalFormatting sqref="S302:T303">
    <cfRule type="cellIs" dxfId="0" priority="513" operator="equal">
      <formula>"欠"</formula>
    </cfRule>
    <cfRule type="containsText" dxfId="1" priority="512" operator="between" text="欠">
      <formula>NOT(ISERROR(SEARCH("欠",S302)))</formula>
    </cfRule>
  </conditionalFormatting>
  <conditionalFormatting sqref="T322 T315">
    <cfRule type="containsText" dxfId="1" priority="498" operator="between" text="欠">
      <formula>NOT(ISERROR(SEARCH("欠",T315)))</formula>
    </cfRule>
  </conditionalFormatting>
  <conditionalFormatting sqref="R342 R316 R350">
    <cfRule type="cellIs" dxfId="0" priority="523" operator="equal">
      <formula>"欠"</formula>
    </cfRule>
    <cfRule type="containsText" dxfId="1" priority="522" operator="between" text="欠">
      <formula>NOT(ISERROR(SEARCH("欠",R316)))</formula>
    </cfRule>
  </conditionalFormatting>
  <conditionalFormatting sqref="S342:T343 S350:T350 S316:T316">
    <cfRule type="cellIs" dxfId="0" priority="521" operator="equal">
      <formula>"欠"</formula>
    </cfRule>
    <cfRule type="containsText" dxfId="1" priority="520" operator="between" text="欠">
      <formula>NOT(ISERROR(SEARCH("欠",S316)))</formula>
    </cfRule>
  </conditionalFormatting>
  <conditionalFormatting sqref="R317:S317 R319:S319 R341 R352:R353">
    <cfRule type="cellIs" dxfId="0" priority="532" operator="equal">
      <formula>"欠"</formula>
    </cfRule>
  </conditionalFormatting>
  <conditionalFormatting sqref="T317 T429">
    <cfRule type="cellIs" dxfId="0" priority="531" operator="equal">
      <formula>"欠"</formula>
    </cfRule>
    <cfRule type="containsText" dxfId="1" priority="530" operator="between" text="欠">
      <formula>NOT(ISERROR(SEARCH("欠",T317)))</formula>
    </cfRule>
  </conditionalFormatting>
  <conditionalFormatting sqref="T339 R339">
    <cfRule type="cellIs" dxfId="0" priority="581" operator="equal">
      <formula>"欠"</formula>
    </cfRule>
  </conditionalFormatting>
  <conditionalFormatting sqref="S341 S390">
    <cfRule type="cellIs" dxfId="0" priority="495" operator="equal">
      <formula>"欠"</formula>
    </cfRule>
  </conditionalFormatting>
  <conditionalFormatting sqref="R351 R384">
    <cfRule type="cellIs" dxfId="0" priority="494" operator="equal">
      <formula>"欠"</formula>
    </cfRule>
  </conditionalFormatting>
  <conditionalFormatting sqref="S351 S368 S386 S384">
    <cfRule type="cellIs" dxfId="0" priority="501" operator="equal">
      <formula>"欠"</formula>
    </cfRule>
  </conditionalFormatting>
  <conditionalFormatting sqref="T430:T433 T379:T384 T368 T396:T402 T351 T453:T456 T519:T520">
    <cfRule type="containsText" dxfId="1" priority="533" operator="between" text="欠">
      <formula>NOT(ISERROR(SEARCH("欠",T351)))</formula>
    </cfRule>
  </conditionalFormatting>
  <conditionalFormatting sqref="S410 R354:T361 S428 S448 S482 S480">
    <cfRule type="cellIs" dxfId="0" priority="583" operator="equal">
      <formula>"欠"</formula>
    </cfRule>
    <cfRule type="containsText" dxfId="1" priority="582" operator="between" text="欠">
      <formula>NOT(ISERROR(SEARCH("欠",R354)))</formula>
    </cfRule>
  </conditionalFormatting>
  <conditionalFormatting sqref="R362:R365 R386 R369:R372">
    <cfRule type="cellIs" dxfId="0" priority="572" operator="equal">
      <formula>"欠"</formula>
    </cfRule>
  </conditionalFormatting>
  <conditionalFormatting sqref="R430:R433 R428 R368 R396:R402 R378:R383 R453:R464 R486 R441 R519:R520">
    <cfRule type="containsText" dxfId="1" priority="534" operator="between" text="欠">
      <formula>NOT(ISERROR(SEARCH("欠",R368)))</formula>
    </cfRule>
  </conditionalFormatting>
  <conditionalFormatting sqref="R374:R375 R391">
    <cfRule type="cellIs" dxfId="0" priority="504" operator="equal">
      <formula>"欠"</formula>
    </cfRule>
  </conditionalFormatting>
  <conditionalFormatting sqref="R376 R387 R420:R423">
    <cfRule type="cellIs" dxfId="0" priority="488" operator="equal">
      <formula>"欠"</formula>
    </cfRule>
  </conditionalFormatting>
  <conditionalFormatting sqref="S430:S433 S396:S402 S378:S383 S453:S463 S519:S520">
    <cfRule type="cellIs" dxfId="0" priority="535" operator="equal">
      <formula>"欠"</formula>
    </cfRule>
  </conditionalFormatting>
  <conditionalFormatting sqref="T392 T389 T426">
    <cfRule type="containsText" dxfId="1" priority="500" operator="between" text="欠">
      <formula>NOT(ISERROR(SEARCH("欠",T389)))</formula>
    </cfRule>
  </conditionalFormatting>
  <conditionalFormatting sqref="R393 R446:R447">
    <cfRule type="cellIs" dxfId="0" priority="464" operator="equal">
      <formula>"欠"</formula>
    </cfRule>
  </conditionalFormatting>
  <conditionalFormatting sqref="S393 S446:S447">
    <cfRule type="containsText" dxfId="1" priority="474" operator="between" text="欠">
      <formula>NOT(ISERROR(SEARCH("欠",S393)))</formula>
    </cfRule>
    <cfRule type="cellIs" dxfId="0" priority="473" operator="equal">
      <formula>"欠"</formula>
    </cfRule>
  </conditionalFormatting>
  <conditionalFormatting sqref="R394:R395 R411">
    <cfRule type="cellIs" dxfId="0" priority="471" operator="equal">
      <formula>"欠"</formula>
    </cfRule>
  </conditionalFormatting>
  <conditionalFormatting sqref="S395 S411">
    <cfRule type="cellIs" dxfId="0" priority="468" operator="equal">
      <formula>"欠"</formula>
    </cfRule>
  </conditionalFormatting>
  <conditionalFormatting sqref="T395 T411">
    <cfRule type="cellIs" dxfId="0" priority="467" operator="equal">
      <formula>"欠"</formula>
    </cfRule>
  </conditionalFormatting>
  <conditionalFormatting sqref="R416:R418 R424:R425 R429 R468">
    <cfRule type="cellIs" dxfId="0" priority="510" operator="equal">
      <formula>"欠"</formula>
    </cfRule>
  </conditionalFormatting>
  <conditionalFormatting sqref="S416 S424">
    <cfRule type="cellIs" dxfId="0" priority="509" operator="equal">
      <formula>"欠"</formula>
    </cfRule>
  </conditionalFormatting>
  <conditionalFormatting sqref="S419 S425 S468">
    <cfRule type="cellIs" dxfId="0" priority="455" operator="equal">
      <formula>"欠"</formula>
    </cfRule>
  </conditionalFormatting>
  <conditionalFormatting sqref="T425 T468">
    <cfRule type="cellIs" dxfId="0" priority="441" operator="equal">
      <formula>"欠"</formula>
    </cfRule>
  </conditionalFormatting>
  <conditionalFormatting sqref="R436:R440 R444">
    <cfRule type="cellIs" dxfId="0" priority="450" operator="equal">
      <formula>"欠"</formula>
    </cfRule>
    <cfRule type="containsText" dxfId="1" priority="449" operator="between" text="欠">
      <formula>NOT(ISERROR(SEARCH("欠",R436)))</formula>
    </cfRule>
  </conditionalFormatting>
  <conditionalFormatting sqref="T436:T440 T444">
    <cfRule type="containsText" dxfId="1" priority="448" operator="between" text="欠">
      <formula>NOT(ISERROR(SEARCH("欠",T436)))</formula>
    </cfRule>
    <cfRule type="cellIs" dxfId="0" priority="445" operator="equal">
      <formula>"欠"</formula>
    </cfRule>
  </conditionalFormatting>
  <conditionalFormatting sqref="R445:S445 R442:S443">
    <cfRule type="containsText" dxfId="1" priority="426" operator="between" text="欠">
      <formula>NOT(ISERROR(SEARCH("欠",R442)))</formula>
    </cfRule>
  </conditionalFormatting>
  <conditionalFormatting sqref="R445 R442:R443">
    <cfRule type="cellIs" dxfId="0" priority="425" operator="equal">
      <formula>"欠"</formula>
    </cfRule>
  </conditionalFormatting>
  <conditionalFormatting sqref="S445 S442:S443">
    <cfRule type="cellIs" dxfId="0" priority="427" operator="equal">
      <formula>"欠"</formula>
    </cfRule>
  </conditionalFormatting>
  <conditionalFormatting sqref="R465:R466 R449 R521:R522 R502 R499:R500">
    <cfRule type="containsText" dxfId="1" priority="439" operator="between" text="欠">
      <formula>NOT(ISERROR(SEARCH("欠",R449)))</formula>
    </cfRule>
  </conditionalFormatting>
  <conditionalFormatting sqref="S465:S466 S449 S521:S522 S499:S501">
    <cfRule type="containsText" dxfId="1" priority="438" operator="between" text="欠">
      <formula>NOT(ISERROR(SEARCH("欠",S449)))</formula>
    </cfRule>
  </conditionalFormatting>
  <conditionalFormatting sqref="T465:T466 T449 T521:T522 T499:T501">
    <cfRule type="containsText" dxfId="1" priority="436" operator="between" text="欠">
      <formula>NOT(ISERROR(SEARCH("欠",T449)))</formula>
    </cfRule>
  </conditionalFormatting>
  <conditionalFormatting sqref="S450:T450 T451">
    <cfRule type="containsText" dxfId="1" priority="430" operator="between" text="欠">
      <formula>NOT(ISERROR(SEARCH("欠",S450)))</formula>
    </cfRule>
  </conditionalFormatting>
  <conditionalFormatting sqref="R452 R482 R480">
    <cfRule type="containsText" dxfId="1" priority="419" operator="between" text="欠">
      <formula>NOT(ISERROR(SEARCH("欠",R452)))</formula>
    </cfRule>
  </conditionalFormatting>
  <conditionalFormatting sqref="T452 T480">
    <cfRule type="containsText" dxfId="1" priority="417" operator="between" text="欠">
      <formula>NOT(ISERROR(SEARCH("欠",T452)))</formula>
    </cfRule>
  </conditionalFormatting>
  <conditionalFormatting sqref="S467 S471:S477 S487">
    <cfRule type="cellIs" dxfId="0" priority="414" operator="equal">
      <formula>"欠"</formula>
    </cfRule>
  </conditionalFormatting>
  <conditionalFormatting sqref="T471:T477 T482">
    <cfRule type="cellIs" dxfId="0" priority="416" operator="equal">
      <formula>"欠"</formula>
    </cfRule>
    <cfRule type="containsText" dxfId="1" priority="415" operator="between" text="欠">
      <formula>NOT(ISERROR(SEARCH("欠",T471)))</formula>
    </cfRule>
  </conditionalFormatting>
  <conditionalFormatting sqref="T481 T478 T484">
    <cfRule type="containsText" dxfId="1" priority="484" operator="between" text="欠">
      <formula>NOT(ISERROR(SEARCH("欠",T478)))</formula>
    </cfRule>
  </conditionalFormatting>
  <conditionalFormatting sqref="S541 S479 S489:S492 S504:S505 S531 S570:S573">
    <cfRule type="containsText" dxfId="1" priority="392" operator="between" text="欠">
      <formula>NOT(ISERROR(SEARCH("欠",S479)))</formula>
    </cfRule>
    <cfRule type="cellIs" dxfId="0" priority="391" operator="equal">
      <formula>"欠"</formula>
    </cfRule>
  </conditionalFormatting>
  <conditionalFormatting sqref="T479 T531 T541">
    <cfRule type="containsText" dxfId="1" priority="393" operator="between" text="欠">
      <formula>NOT(ISERROR(SEARCH("欠",T479)))</formula>
    </cfRule>
  </conditionalFormatting>
  <conditionalFormatting sqref="T489:T492 T504:T505">
    <cfRule type="cellIs" dxfId="0" priority="382" operator="equal">
      <formula>"欠"</formula>
    </cfRule>
    <cfRule type="containsText" dxfId="1" priority="381" operator="between" text="欠">
      <formula>NOT(ISERROR(SEARCH("欠",T489)))</formula>
    </cfRule>
  </conditionalFormatting>
  <conditionalFormatting sqref="S496:S497 S506:S514">
    <cfRule type="cellIs" dxfId="0" priority="399" operator="equal">
      <formula>"欠"</formula>
    </cfRule>
  </conditionalFormatting>
  <conditionalFormatting sqref="R526 R533:R534 R531 R541 R537 R560">
    <cfRule type="cellIs" dxfId="0" priority="375" operator="equal">
      <formula>"欠"</formula>
    </cfRule>
    <cfRule type="containsText" dxfId="1" priority="374" operator="between" text="欠">
      <formula>NOT(ISERROR(SEARCH("欠",R526)))</formula>
    </cfRule>
  </conditionalFormatting>
  <conditionalFormatting sqref="S526 S560">
    <cfRule type="cellIs" dxfId="0" priority="372" operator="equal">
      <formula>"欠"</formula>
    </cfRule>
    <cfRule type="containsText" dxfId="1" priority="371" operator="between" text="欠">
      <formula>NOT(ISERROR(SEARCH("欠",S526)))</formula>
    </cfRule>
  </conditionalFormatting>
  <conditionalFormatting sqref="R529:R530 R536">
    <cfRule type="cellIs" dxfId="0" priority="332" operator="equal">
      <formula>"欠"</formula>
    </cfRule>
    <cfRule type="containsText" dxfId="1" priority="331" operator="between" text="欠">
      <formula>NOT(ISERROR(SEARCH("欠",R529)))</formula>
    </cfRule>
  </conditionalFormatting>
  <conditionalFormatting sqref="S529:S530 S641">
    <cfRule type="containsText" dxfId="1" priority="329" operator="between" text="欠">
      <formula>NOT(ISERROR(SEARCH("欠",S529)))</formula>
    </cfRule>
    <cfRule type="cellIs" dxfId="0" priority="328" operator="equal">
      <formula>"欠"</formula>
    </cfRule>
  </conditionalFormatting>
  <conditionalFormatting sqref="T530 T533:T534 T536 T548 T560">
    <cfRule type="containsText" dxfId="1" priority="373" operator="between" text="欠">
      <formula>NOT(ISERROR(SEARCH("欠",T530)))</formula>
    </cfRule>
  </conditionalFormatting>
  <conditionalFormatting sqref="T542:T544 T547">
    <cfRule type="cellIs" dxfId="0" priority="356" operator="equal">
      <formula>"欠"</formula>
    </cfRule>
    <cfRule type="containsText" dxfId="1" priority="355" operator="between" text="欠">
      <formula>NOT(ISERROR(SEARCH("欠",T542)))</formula>
    </cfRule>
  </conditionalFormatting>
  <conditionalFormatting sqref="S546 S561">
    <cfRule type="cellIs" dxfId="0" priority="347" operator="equal">
      <formula>"欠"</formula>
    </cfRule>
  </conditionalFormatting>
  <conditionalFormatting sqref="S549 S618 S601 S611">
    <cfRule type="cellIs" dxfId="0" priority="285" operator="equal">
      <formula>"欠"</formula>
    </cfRule>
  </conditionalFormatting>
  <conditionalFormatting sqref="R582:R583 R555 R570:R573">
    <cfRule type="cellIs" dxfId="0" priority="482" operator="equal">
      <formula>"欠"</formula>
    </cfRule>
  </conditionalFormatting>
  <conditionalFormatting sqref="S556:T557">
    <cfRule type="containsText" dxfId="1" priority="295" operator="between" text="欠">
      <formula>NOT(ISERROR(SEARCH("欠",S556)))</formula>
    </cfRule>
  </conditionalFormatting>
  <conditionalFormatting sqref="T561 T618 T601 T611">
    <cfRule type="containsText" dxfId="1" priority="346" operator="between" text="欠">
      <formula>NOT(ISERROR(SEARCH("欠",T561)))</formula>
    </cfRule>
  </conditionalFormatting>
  <conditionalFormatting sqref="R575:R581 R562:R568">
    <cfRule type="containsText" dxfId="1" priority="237" operator="between" text="欠">
      <formula>NOT(ISERROR(SEARCH("欠",R562)))</formula>
    </cfRule>
  </conditionalFormatting>
  <conditionalFormatting sqref="S575:S581 S562:S568">
    <cfRule type="cellIs" dxfId="0" priority="236" operator="equal">
      <formula>"欠"</formula>
    </cfRule>
  </conditionalFormatting>
  <conditionalFormatting sqref="T575:T581 T562:T568">
    <cfRule type="cellIs" dxfId="0" priority="235" operator="equal">
      <formula>"欠"</formula>
    </cfRule>
    <cfRule type="containsText" dxfId="1" priority="234" operator="between" text="欠">
      <formula>NOT(ISERROR(SEARCH("欠",T562)))</formula>
    </cfRule>
  </conditionalFormatting>
  <conditionalFormatting sqref="S582:S583 S603:S604">
    <cfRule type="cellIs" dxfId="0" priority="318" operator="equal">
      <formula>"欠"</formula>
    </cfRule>
  </conditionalFormatting>
  <conditionalFormatting sqref="T588:T592 R584:T584 S588:S590 S585:T587 S623 S619 S607">
    <cfRule type="containsText" dxfId="1" priority="290" operator="between" text="欠">
      <formula>NOT(ISERROR(SEARCH("欠",R584)))</formula>
    </cfRule>
  </conditionalFormatting>
  <conditionalFormatting sqref="S584:S590 S619 S623 S607">
    <cfRule type="cellIs" dxfId="0" priority="291" operator="equal">
      <formula>"欠"</formula>
    </cfRule>
  </conditionalFormatting>
  <conditionalFormatting sqref="R585 R587:R591">
    <cfRule type="cellIs" dxfId="0" priority="269" operator="equal">
      <formula>"欠"</formula>
    </cfRule>
  </conditionalFormatting>
  <conditionalFormatting sqref="T597 T646:T647">
    <cfRule type="containsText" dxfId="1" priority="241" operator="between" text="欠">
      <formula>NOT(ISERROR(SEARCH("欠",T597)))</formula>
    </cfRule>
    <cfRule type="cellIs" dxfId="0" priority="240" operator="equal">
      <formula>"欠"</formula>
    </cfRule>
  </conditionalFormatting>
  <conditionalFormatting sqref="R599:R600 R609 R629:R634 R636:R637">
    <cfRule type="containsText" dxfId="1" priority="261" operator="between" text="欠">
      <formula>NOT(ISERROR(SEARCH("欠",R599)))</formula>
    </cfRule>
  </conditionalFormatting>
  <conditionalFormatting sqref="S600 S613:S614 S609:S610 S621:S622 S627:S634 S636:S637">
    <cfRule type="cellIs" dxfId="0" priority="256" operator="equal">
      <formula>"欠"</formula>
    </cfRule>
  </conditionalFormatting>
  <conditionalFormatting sqref="T615 T606">
    <cfRule type="cellIs" dxfId="0" priority="249" operator="equal">
      <formula>"欠"</formula>
    </cfRule>
    <cfRule type="containsText" dxfId="1" priority="248" operator="between" text="欠">
      <formula>NOT(ISERROR(SEARCH("欠",T606)))</formula>
    </cfRule>
  </conditionalFormatting>
  <conditionalFormatting sqref="T641 T623 T619 T607 T617 T635">
    <cfRule type="containsText" dxfId="1" priority="320" operator="between" text="欠">
      <formula>NOT(ISERROR(SEARCH("欠",T607)))</formula>
    </cfRule>
  </conditionalFormatting>
  <conditionalFormatting sqref="R643 R610 R621:R622 R646:R647 R638 R613:R614 R627:R628">
    <cfRule type="cellIs" dxfId="0" priority="255" operator="equal">
      <formula>"欠"</formula>
    </cfRule>
  </conditionalFormatting>
  <conditionalFormatting sqref="T610 T621:T622 T613:T614 T627:T628">
    <cfRule type="cellIs" dxfId="0" priority="217" operator="equal">
      <formula>"欠"</formula>
    </cfRule>
    <cfRule type="containsText" dxfId="1" priority="216" operator="between" text="欠">
      <formula>NOT(ISERROR(SEARCH("欠",T610)))</formula>
    </cfRule>
  </conditionalFormatting>
  <conditionalFormatting sqref="R648 R655 R642 R650:R651 R659 R669">
    <cfRule type="containsText" dxfId="1" priority="201" operator="between" text="欠">
      <formula>NOT(ISERROR(SEARCH("欠",R642)))</formula>
    </cfRule>
  </conditionalFormatting>
  <conditionalFormatting sqref="S648 S655 S642 S659">
    <cfRule type="containsText" dxfId="1" priority="200" operator="between" text="欠">
      <formula>NOT(ISERROR(SEARCH("欠",S642)))</formula>
    </cfRule>
  </conditionalFormatting>
  <conditionalFormatting sqref="T648 T655 T642 T669 T659 T675 T718:T723 T693:T694 T696 T778 T736:T737">
    <cfRule type="containsText" dxfId="1" priority="198" operator="between" text="欠">
      <formula>NOT(ISERROR(SEARCH("欠",T642)))</formula>
    </cfRule>
  </conditionalFormatting>
  <conditionalFormatting sqref="S643:S645 S671:S672 S657:S658">
    <cfRule type="containsText" dxfId="1" priority="196" operator="between" text="欠">
      <formula>NOT(ISERROR(SEARCH("欠",S643)))</formula>
    </cfRule>
    <cfRule type="cellIs" dxfId="0" priority="195" operator="equal">
      <formula>"欠"</formula>
    </cfRule>
  </conditionalFormatting>
  <conditionalFormatting sqref="T643:T645 T671:T673 T657:T658">
    <cfRule type="cellIs" dxfId="0" priority="194" operator="equal">
      <formula>"欠"</formula>
    </cfRule>
    <cfRule type="containsText" dxfId="1" priority="193" operator="between" text="欠">
      <formula>NOT(ISERROR(SEARCH("欠",T643)))</formula>
    </cfRule>
  </conditionalFormatting>
  <conditionalFormatting sqref="R649 T649">
    <cfRule type="cellIs" dxfId="0" priority="190" operator="equal">
      <formula>"欠"</formula>
    </cfRule>
    <cfRule type="containsText" dxfId="1" priority="189" operator="between" text="欠">
      <formula>NOT(ISERROR(SEARCH("欠",R649)))</formula>
    </cfRule>
  </conditionalFormatting>
  <conditionalFormatting sqref="S652 S660">
    <cfRule type="cellIs" dxfId="0" priority="185" operator="equal">
      <formula>"欠"</formula>
    </cfRule>
    <cfRule type="containsText" dxfId="1" priority="184" operator="between" text="欠">
      <formula>NOT(ISERROR(SEARCH("欠",S652)))</formula>
    </cfRule>
  </conditionalFormatting>
  <conditionalFormatting sqref="T652 T660">
    <cfRule type="cellIs" dxfId="0" priority="183" operator="equal">
      <formula>"欠"</formula>
    </cfRule>
    <cfRule type="containsText" dxfId="1" priority="182" operator="between" text="欠">
      <formula>NOT(ISERROR(SEARCH("欠",T652)))</formula>
    </cfRule>
  </conditionalFormatting>
  <conditionalFormatting sqref="R656 R663">
    <cfRule type="cellIs" dxfId="0" priority="169" operator="equal">
      <formula>"欠"</formula>
    </cfRule>
    <cfRule type="containsText" dxfId="1" priority="168" operator="between" text="欠">
      <formula>NOT(ISERROR(SEARCH("欠",R656)))</formula>
    </cfRule>
  </conditionalFormatting>
  <conditionalFormatting sqref="S656 S663 S669 S711 S693:S695 S778 S733 S736:S737">
    <cfRule type="containsText" dxfId="1" priority="173" operator="between" text="欠">
      <formula>NOT(ISERROR(SEARCH("欠",S656)))</formula>
    </cfRule>
  </conditionalFormatting>
  <conditionalFormatting sqref="T656 T663">
    <cfRule type="containsText" dxfId="1" priority="171" operator="between" text="欠">
      <formula>NOT(ISERROR(SEARCH("欠",T656)))</formula>
    </cfRule>
  </conditionalFormatting>
  <conditionalFormatting sqref="R671:R673 R657:R658 R683">
    <cfRule type="cellIs" dxfId="0" priority="167" operator="equal">
      <formula>"欠"</formula>
    </cfRule>
  </conditionalFormatting>
  <conditionalFormatting sqref="R660 R718:R723 R693:R694 R729:R730 R733:R734 R736:R737">
    <cfRule type="cellIs" dxfId="0" priority="165" operator="equal">
      <formula>"欠"</formula>
    </cfRule>
  </conditionalFormatting>
  <conditionalFormatting sqref="T664 S681:T682 S768 S727:S728">
    <cfRule type="cellIs" dxfId="0" priority="174" operator="equal">
      <formula>"欠"</formula>
    </cfRule>
  </conditionalFormatting>
  <conditionalFormatting sqref="S664 S674:S675 S678 S684">
    <cfRule type="cellIs" dxfId="0" priority="166" operator="equal">
      <formula>"欠"</formula>
    </cfRule>
  </conditionalFormatting>
  <conditionalFormatting sqref="R711 R695">
    <cfRule type="containsText" dxfId="1" priority="113" operator="between" text="欠">
      <formula>NOT(ISERROR(SEARCH("欠",R695)))</formula>
    </cfRule>
  </conditionalFormatting>
  <conditionalFormatting sqref="T711:T712 T695 T715 T753">
    <cfRule type="containsText" dxfId="1" priority="112" operator="between" text="欠">
      <formula>NOT(ISERROR(SEARCH("欠",T695)))</formula>
    </cfRule>
  </conditionalFormatting>
  <conditionalFormatting sqref="R712:R714 R700 R697:R698 R717 R767 R753 R724:R726">
    <cfRule type="cellIs" dxfId="0" priority="117" operator="equal">
      <formula>"欠"</formula>
    </cfRule>
    <cfRule type="containsText" dxfId="1" priority="116" operator="between" text="欠">
      <formula>NOT(ISERROR(SEARCH("欠",R697)))</formula>
    </cfRule>
  </conditionalFormatting>
  <conditionalFormatting sqref="S717:T717 S700:T700 S697:T698 S715 S712 S770:T770 S742:S743 S726:T726 T766 S777 S767:T767 S749:T749 S758:T765 S753 S782:S784">
    <cfRule type="containsText" dxfId="1" priority="120" operator="between" text="欠">
      <formula>NOT(ISERROR(SEARCH("欠",S697)))</formula>
    </cfRule>
  </conditionalFormatting>
  <conditionalFormatting sqref="S715 S700 S697:S698 S712 S717 S770 S742:S743 S777 S753 S726 S758:S765 S749 S767 S782:S784">
    <cfRule type="cellIs" dxfId="0" priority="119" operator="equal">
      <formula>"欠"</formula>
    </cfRule>
  </conditionalFormatting>
  <conditionalFormatting sqref="T717 T700 T697:T698 T770 T764:T767 T758:T762 T726 T749">
    <cfRule type="cellIs" dxfId="0" priority="118" operator="equal">
      <formula>"欠"</formula>
    </cfRule>
  </conditionalFormatting>
  <conditionalFormatting sqref="R701:R710 R699 R732">
    <cfRule type="cellIs" dxfId="0" priority="137" operator="equal">
      <formula>"欠"</formula>
    </cfRule>
    <cfRule type="containsText" dxfId="1" priority="136" operator="between" text="欠">
      <formula>NOT(ISERROR(SEARCH("欠",R699)))</formula>
    </cfRule>
  </conditionalFormatting>
  <conditionalFormatting sqref="S699 S751">
    <cfRule type="cellIs" dxfId="0" priority="106" operator="equal">
      <formula>"欠"</formula>
    </cfRule>
  </conditionalFormatting>
  <conditionalFormatting sqref="S701:S710 S755:S756 S732">
    <cfRule type="containsText" dxfId="1" priority="135" operator="between" text="欠">
      <formula>NOT(ISERROR(SEARCH("欠",S701)))</formula>
    </cfRule>
  </conditionalFormatting>
  <conditionalFormatting sqref="T701:T710 T755:T756 T732">
    <cfRule type="containsText" dxfId="1" priority="133" operator="between" text="欠">
      <formula>NOT(ISERROR(SEARCH("欠",T701)))</formula>
    </cfRule>
  </conditionalFormatting>
  <conditionalFormatting sqref="S713:T714 S724:T725 S739:T740">
    <cfRule type="containsText" dxfId="1" priority="98" operator="between" text="欠">
      <formula>NOT(ISERROR(SEARCH("欠",S713)))</formula>
    </cfRule>
  </conditionalFormatting>
  <conditionalFormatting sqref="S713:S714 S724:S725 S739:S740">
    <cfRule type="cellIs" dxfId="0" priority="97" operator="equal">
      <formula>"欠"</formula>
    </cfRule>
  </conditionalFormatting>
  <conditionalFormatting sqref="T713:T714 T724:T725 T739:T740">
    <cfRule type="cellIs" dxfId="0" priority="96" operator="equal">
      <formula>"欠"</formula>
    </cfRule>
  </conditionalFormatting>
  <conditionalFormatting sqref="R715 R742:R743 R739:R740">
    <cfRule type="cellIs" dxfId="0" priority="95" operator="equal">
      <formula>"欠"</formula>
    </cfRule>
  </conditionalFormatting>
  <conditionalFormatting sqref="R716 R757:R765 R749 R741">
    <cfRule type="cellIs" dxfId="0" priority="90" operator="equal">
      <formula>"欠"</formula>
    </cfRule>
    <cfRule type="containsText" dxfId="1" priority="89" operator="between" text="欠">
      <formula>NOT(ISERROR(SEARCH("欠",R716)))</formula>
    </cfRule>
  </conditionalFormatting>
  <conditionalFormatting sqref="T716 T768 T727:T728 T741">
    <cfRule type="containsText" dxfId="1" priority="157" operator="between" text="欠">
      <formula>NOT(ISERROR(SEARCH("欠",T716)))</formula>
    </cfRule>
  </conditionalFormatting>
  <conditionalFormatting sqref="T733:T734 T742:T743">
    <cfRule type="containsText" dxfId="1" priority="94" operator="between" text="欠">
      <formula>NOT(ISERROR(SEARCH("欠",T733)))</formula>
    </cfRule>
  </conditionalFormatting>
  <conditionalFormatting sqref="R735 R744:R748">
    <cfRule type="cellIs" dxfId="0" priority="51" operator="equal">
      <formula>"欠"</formula>
    </cfRule>
  </conditionalFormatting>
  <conditionalFormatting sqref="S772:T772 S738:T738">
    <cfRule type="containsText" dxfId="1" priority="33" operator="between" text="欠">
      <formula>NOT(ISERROR(SEARCH("欠",S738)))</formula>
    </cfRule>
  </conditionalFormatting>
  <conditionalFormatting sqref="S772 S738">
    <cfRule type="cellIs" dxfId="0" priority="32" operator="equal">
      <formula>"欠"</formula>
    </cfRule>
  </conditionalFormatting>
  <conditionalFormatting sqref="T772 T738">
    <cfRule type="cellIs" dxfId="0" priority="31" operator="equal">
      <formula>"欠"</formula>
    </cfRule>
  </conditionalFormatting>
  <conditionalFormatting sqref="S757 S741">
    <cfRule type="containsText" dxfId="1" priority="86" operator="between" text="欠">
      <formula>NOT(ISERROR(SEARCH("欠",S741)))</formula>
    </cfRule>
  </conditionalFormatting>
  <conditionalFormatting sqref="R754 R750">
    <cfRule type="cellIs" dxfId="0" priority="74" operator="equal">
      <formula>"欠"</formula>
    </cfRule>
    <cfRule type="containsText" dxfId="1" priority="73" operator="between" text="欠">
      <formula>NOT(ISERROR(SEARCH("欠",R750)))</formula>
    </cfRule>
  </conditionalFormatting>
  <conditionalFormatting sqref="T769 T750">
    <cfRule type="containsText" dxfId="1" priority="82" operator="between" text="欠">
      <formula>NOT(ISERROR(SEARCH("欠",T750)))</formula>
    </cfRule>
    <cfRule type="cellIs" dxfId="0" priority="81" operator="equal">
      <formula>"欠"</formula>
    </cfRule>
  </conditionalFormatting>
  <conditionalFormatting sqref="R769 R766">
    <cfRule type="cellIs" dxfId="0" priority="80" operator="equal">
      <formula>"欠"</formula>
    </cfRule>
    <cfRule type="containsText" dxfId="1" priority="79" operator="between" text="欠">
      <formula>NOT(ISERROR(SEARCH("欠",R766)))</formula>
    </cfRule>
  </conditionalFormatting>
  <conditionalFormatting sqref="S769 S766">
    <cfRule type="containsText" dxfId="1" priority="46" operator="between" text="欠">
      <formula>NOT(ISERROR(SEARCH("欠",S766)))</formula>
    </cfRule>
    <cfRule type="cellIs" dxfId="0" priority="45" operator="equal">
      <formula>"欠"</formula>
    </cfRule>
  </conditionalFormatting>
  <conditionalFormatting sqref="R771 R773:R776">
    <cfRule type="cellIs" dxfId="0" priority="67" operator="equal">
      <formula>"欠"</formula>
    </cfRule>
    <cfRule type="containsText" dxfId="1" priority="66" operator="between" text="欠">
      <formula>NOT(ISERROR(SEARCH("欠",R771)))</formula>
    </cfRule>
  </conditionalFormatting>
  <conditionalFormatting sqref="S771 S773:S776">
    <cfRule type="containsText" dxfId="1" priority="65" operator="between" text="欠">
      <formula>NOT(ISERROR(SEARCH("欠",S771)))</formula>
    </cfRule>
    <cfRule type="cellIs" dxfId="0" priority="64" operator="equal">
      <formula>"欠"</formula>
    </cfRule>
  </conditionalFormatting>
  <conditionalFormatting sqref="T771 T773:T776">
    <cfRule type="containsText" dxfId="1" priority="63" operator="between" text="欠">
      <formula>NOT(ISERROR(SEARCH("欠",T771)))</formula>
    </cfRule>
    <cfRule type="cellIs" dxfId="0" priority="62" operator="equal">
      <formula>"欠"</formula>
    </cfRule>
  </conditionalFormatting>
  <conditionalFormatting sqref="R777:R778 R782">
    <cfRule type="cellIs" dxfId="0" priority="76" operator="equal">
      <formula>"欠"</formula>
    </cfRule>
    <cfRule type="containsText" dxfId="1" priority="75" operator="between" text="欠">
      <formula>NOT(ISERROR(SEARCH("欠",R777)))</formula>
    </cfRule>
  </conditionalFormatting>
  <conditionalFormatting sqref="T777 T782:T785">
    <cfRule type="containsText" dxfId="1" priority="78" operator="between" text="欠">
      <formula>NOT(ISERROR(SEARCH("欠",T777)))</formula>
    </cfRule>
    <cfRule type="cellIs" dxfId="0" priority="77" operator="equal">
      <formula>"欠"</formula>
    </cfRule>
  </conditionalFormatting>
  <dataValidations count="1">
    <dataValidation type="list" allowBlank="1" showInputMessage="1" showErrorMessage="1" sqref="S664 S686 S786 S690:S691 S779:S780">
      <formula1>"有,无"</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F65181"/>
  <sheetViews>
    <sheetView zoomScale="70" zoomScaleNormal="70" workbookViewId="0">
      <pane xSplit="14" ySplit="2" topLeftCell="AS3" activePane="bottomRight" state="frozen"/>
      <selection/>
      <selection pane="topRight"/>
      <selection pane="bottomLeft"/>
      <selection pane="bottomRight" activeCell="I4" sqref="I4"/>
    </sheetView>
  </sheetViews>
  <sheetFormatPr defaultColWidth="9" defaultRowHeight="15"/>
  <cols>
    <col min="1" max="1" width="10.275" style="1017" customWidth="1"/>
    <col min="2" max="2" width="12.2416666666667" style="1008" customWidth="1"/>
    <col min="3" max="3" width="10.7416666666667" style="1008" customWidth="1"/>
    <col min="4" max="4" width="13.3833333333333" style="649" customWidth="1"/>
    <col min="5" max="5" width="10.8166666666667" style="1008" customWidth="1"/>
    <col min="6" max="6" width="12.875" style="1008" customWidth="1"/>
    <col min="7" max="7" width="16.0666666666667" style="649" customWidth="1"/>
    <col min="8" max="8" width="15.35" style="1008" customWidth="1"/>
    <col min="9" max="9" width="9.6" style="649" customWidth="1"/>
    <col min="10" max="10" width="7" style="649" customWidth="1"/>
    <col min="11" max="11" width="6.875" style="649" customWidth="1"/>
    <col min="12" max="12" width="9.20833333333333" style="649" customWidth="1"/>
    <col min="13" max="13" width="13.1333333333333" style="649" customWidth="1"/>
    <col min="14" max="14" width="13.2416666666667" style="649" customWidth="1"/>
    <col min="15" max="15" width="9.2" style="1018" customWidth="1"/>
    <col min="16" max="16" width="9.275" style="1008" customWidth="1"/>
    <col min="17" max="17" width="11.0333333333333" style="1008" customWidth="1"/>
    <col min="18" max="19" width="10" style="649" customWidth="1"/>
    <col min="20" max="20" width="11.0916666666667" style="1018" customWidth="1"/>
    <col min="21" max="21" width="30.2083333333333" style="1019" customWidth="1"/>
    <col min="22" max="22" width="10.7166666666667" style="649" customWidth="1"/>
    <col min="23" max="23" width="8.75" style="649" customWidth="1"/>
    <col min="24" max="24" width="14.5083333333333" style="1020" customWidth="1"/>
    <col min="25" max="25" width="20.5666666666667" style="1021" customWidth="1"/>
    <col min="26" max="26" width="16.425" style="1021" customWidth="1"/>
    <col min="27" max="28" width="11.25" style="1021" customWidth="1"/>
    <col min="29" max="29" width="9.64166666666667" style="1021" customWidth="1"/>
    <col min="30" max="31" width="7.675" style="1021" customWidth="1"/>
    <col min="32" max="33" width="8.56666666666667" style="1008" customWidth="1"/>
    <col min="34" max="39" width="10.35" style="1021" customWidth="1"/>
    <col min="40" max="40" width="9.25" style="1008" customWidth="1"/>
    <col min="41" max="41" width="7.75" style="1022" customWidth="1"/>
    <col min="42" max="43" width="7.75" style="1008" customWidth="1"/>
    <col min="44" max="44" width="9" style="1008" customWidth="1"/>
    <col min="45" max="45" width="11.075" style="1008" customWidth="1"/>
    <col min="46" max="54" width="9" style="1008" customWidth="1"/>
    <col min="55" max="69" width="9.375" style="1023" customWidth="1"/>
    <col min="70" max="73" width="9.83333333333333" style="1023" customWidth="1"/>
    <col min="74" max="77" width="9.375" style="1023" customWidth="1"/>
    <col min="78" max="78" width="10.75" style="1023" customWidth="1"/>
    <col min="79" max="79" width="9" style="649"/>
    <col min="80" max="81" width="9" style="1024"/>
    <col min="82" max="84" width="12.625" style="649"/>
    <col min="85" max="85" width="9" style="649"/>
    <col min="86" max="86" width="20.8416666666667" style="649" customWidth="1"/>
    <col min="87" max="16384" width="9" style="649"/>
  </cols>
  <sheetData>
    <row r="1" s="1007" customFormat="1" ht="43" customHeight="1" spans="1:84">
      <c r="A1" s="1025" t="s">
        <v>3402</v>
      </c>
      <c r="B1" s="1026"/>
      <c r="C1" s="1027"/>
      <c r="D1" s="1028"/>
      <c r="E1" s="1029"/>
      <c r="F1" s="1030"/>
      <c r="G1" s="1031" t="s">
        <v>2</v>
      </c>
      <c r="J1" s="1073"/>
      <c r="K1" s="1073"/>
      <c r="M1" s="1073"/>
      <c r="N1" s="1074" t="s">
        <v>3403</v>
      </c>
      <c r="O1" s="1075"/>
      <c r="P1" s="1027"/>
      <c r="Q1" s="1027"/>
      <c r="R1" s="1073"/>
      <c r="S1" s="1073"/>
      <c r="T1" s="1105"/>
      <c r="U1" s="1106" t="s">
        <v>1</v>
      </c>
      <c r="V1" s="1107"/>
      <c r="W1" s="1073"/>
      <c r="X1" s="1108"/>
      <c r="Y1" s="1145"/>
      <c r="Z1" s="1145"/>
      <c r="AA1" s="1145"/>
      <c r="AB1" s="1145"/>
      <c r="AC1" s="1145"/>
      <c r="AD1" s="1145"/>
      <c r="AE1" s="1145"/>
      <c r="AF1" s="1027"/>
      <c r="AG1" s="1027"/>
      <c r="AH1" s="1145">
        <v>77515</v>
      </c>
      <c r="AI1" s="1145"/>
      <c r="AJ1" s="1145"/>
      <c r="AK1" s="1145"/>
      <c r="AL1" s="1172"/>
      <c r="AM1" s="1172"/>
      <c r="AN1" s="1173" t="s">
        <v>3</v>
      </c>
      <c r="AO1" s="1188"/>
      <c r="AP1" s="1188"/>
      <c r="AQ1" s="1188"/>
      <c r="AR1" s="1188"/>
      <c r="AS1" s="1188"/>
      <c r="AT1" s="1189"/>
      <c r="AU1" s="1190" t="s">
        <v>4</v>
      </c>
      <c r="AV1" s="1191"/>
      <c r="AW1" s="1191"/>
      <c r="AX1" s="1191"/>
      <c r="AY1" s="1196"/>
      <c r="AZ1" s="1196"/>
      <c r="BA1" s="1196"/>
      <c r="BB1" s="1197" t="s">
        <v>5</v>
      </c>
      <c r="BC1" s="1197"/>
      <c r="BD1" s="1197"/>
      <c r="BE1" s="1197"/>
      <c r="BF1" s="1197"/>
      <c r="BG1" s="1197"/>
      <c r="BH1" s="1206"/>
      <c r="BI1" s="1206"/>
      <c r="BJ1" s="1206"/>
      <c r="BK1" s="1197" t="s">
        <v>3404</v>
      </c>
      <c r="BL1" s="1197"/>
      <c r="BM1" s="1206"/>
      <c r="BN1" s="1206"/>
      <c r="BO1" s="1206"/>
      <c r="BP1" s="1206"/>
      <c r="BQ1" s="1210"/>
      <c r="BR1" s="1211"/>
      <c r="BS1" s="1211"/>
      <c r="BT1" s="1211"/>
      <c r="BU1" s="1211"/>
      <c r="BV1" s="1211"/>
      <c r="BW1" s="1197">
        <v>77516</v>
      </c>
      <c r="BX1" s="1197"/>
      <c r="BY1" s="1197"/>
      <c r="BZ1" s="1197"/>
      <c r="CB1" s="1215" t="s">
        <v>3405</v>
      </c>
      <c r="CC1" s="649">
        <f>'生产MA Summary'!O4</f>
        <v>4670000</v>
      </c>
      <c r="CD1" s="1234"/>
      <c r="CE1" s="1234"/>
      <c r="CF1" s="1008"/>
    </row>
    <row r="2" s="1008" customFormat="1" ht="81" customHeight="1" spans="1:83">
      <c r="A2" s="1032" t="s">
        <v>6</v>
      </c>
      <c r="B2" s="1033" t="s">
        <v>7</v>
      </c>
      <c r="C2" s="1033" t="s">
        <v>8</v>
      </c>
      <c r="D2" s="1033" t="s">
        <v>9</v>
      </c>
      <c r="E2" s="1034" t="s">
        <v>10</v>
      </c>
      <c r="F2" s="1033" t="s">
        <v>11</v>
      </c>
      <c r="G2" s="1033" t="s">
        <v>12</v>
      </c>
      <c r="H2" s="1035" t="s">
        <v>13</v>
      </c>
      <c r="I2" s="1035" t="s">
        <v>14</v>
      </c>
      <c r="J2" s="1035" t="s">
        <v>15</v>
      </c>
      <c r="K2" s="1033" t="s">
        <v>16</v>
      </c>
      <c r="L2" s="1033" t="s">
        <v>17</v>
      </c>
      <c r="M2" s="1076" t="s">
        <v>18</v>
      </c>
      <c r="N2" s="1076" t="s">
        <v>19</v>
      </c>
      <c r="O2" s="1077" t="s">
        <v>20</v>
      </c>
      <c r="P2" s="1033" t="s">
        <v>21</v>
      </c>
      <c r="Q2" s="1033" t="s">
        <v>22</v>
      </c>
      <c r="R2" s="1033" t="s">
        <v>23</v>
      </c>
      <c r="S2" s="1034" t="s">
        <v>24</v>
      </c>
      <c r="T2" s="1077" t="s">
        <v>25</v>
      </c>
      <c r="U2" s="1109" t="s">
        <v>26</v>
      </c>
      <c r="V2" s="1033" t="s">
        <v>27</v>
      </c>
      <c r="W2" s="1033" t="s">
        <v>28</v>
      </c>
      <c r="X2" s="1110" t="s">
        <v>29</v>
      </c>
      <c r="Y2" s="1146" t="s">
        <v>30</v>
      </c>
      <c r="Z2" s="1147" t="s">
        <v>31</v>
      </c>
      <c r="AA2" s="466" t="s">
        <v>32</v>
      </c>
      <c r="AB2" s="466" t="s">
        <v>3406</v>
      </c>
      <c r="AC2" s="466" t="s">
        <v>33</v>
      </c>
      <c r="AD2" s="466" t="s">
        <v>34</v>
      </c>
      <c r="AE2" s="466" t="s">
        <v>35</v>
      </c>
      <c r="AF2" s="1034" t="s">
        <v>36</v>
      </c>
      <c r="AG2" s="1034"/>
      <c r="AH2" s="1174" t="s">
        <v>37</v>
      </c>
      <c r="AI2" s="1174" t="s">
        <v>38</v>
      </c>
      <c r="AJ2" s="1174" t="s">
        <v>39</v>
      </c>
      <c r="AK2" s="1033" t="s">
        <v>40</v>
      </c>
      <c r="AL2" s="1034" t="s">
        <v>3407</v>
      </c>
      <c r="AM2" s="1175" t="s">
        <v>3408</v>
      </c>
      <c r="AN2" s="1033" t="s">
        <v>41</v>
      </c>
      <c r="AO2" s="1192" t="s">
        <v>42</v>
      </c>
      <c r="AP2" s="1033" t="s">
        <v>3409</v>
      </c>
      <c r="AQ2" s="1192" t="s">
        <v>3410</v>
      </c>
      <c r="AR2" s="1175" t="s">
        <v>43</v>
      </c>
      <c r="AS2" s="1175" t="s">
        <v>3411</v>
      </c>
      <c r="AT2" s="1175" t="s">
        <v>44</v>
      </c>
      <c r="AU2" s="1033" t="s">
        <v>45</v>
      </c>
      <c r="AV2" s="1033" t="s">
        <v>3412</v>
      </c>
      <c r="AW2" s="1198" t="s">
        <v>46</v>
      </c>
      <c r="AX2" s="1198" t="s">
        <v>47</v>
      </c>
      <c r="AY2" s="1198" t="s">
        <v>48</v>
      </c>
      <c r="AZ2" s="1033" t="s">
        <v>3413</v>
      </c>
      <c r="BA2" s="1033" t="s">
        <v>3414</v>
      </c>
      <c r="BB2" s="779" t="s">
        <v>49</v>
      </c>
      <c r="BC2" s="1199" t="s">
        <v>50</v>
      </c>
      <c r="BD2" s="1199" t="s">
        <v>3415</v>
      </c>
      <c r="BE2" s="1207" t="s">
        <v>51</v>
      </c>
      <c r="BF2" s="1207" t="s">
        <v>52</v>
      </c>
      <c r="BG2" s="779" t="s">
        <v>53</v>
      </c>
      <c r="BH2" s="1199" t="s">
        <v>54</v>
      </c>
      <c r="BI2" s="779" t="s">
        <v>55</v>
      </c>
      <c r="BJ2" s="1208" t="s">
        <v>56</v>
      </c>
      <c r="BK2" s="779" t="s">
        <v>3416</v>
      </c>
      <c r="BL2" s="1199" t="s">
        <v>3417</v>
      </c>
      <c r="BM2" s="1212" t="s">
        <v>57</v>
      </c>
      <c r="BN2" s="1199" t="s">
        <v>58</v>
      </c>
      <c r="BO2" s="779" t="s">
        <v>59</v>
      </c>
      <c r="BP2" s="779" t="s">
        <v>60</v>
      </c>
      <c r="BQ2" s="1199" t="s">
        <v>61</v>
      </c>
      <c r="BR2" s="1213" t="s">
        <v>62</v>
      </c>
      <c r="BS2" s="225" t="s">
        <v>63</v>
      </c>
      <c r="BT2" s="1214" t="s">
        <v>64</v>
      </c>
      <c r="BU2" s="225" t="s">
        <v>65</v>
      </c>
      <c r="BV2" s="779" t="s">
        <v>66</v>
      </c>
      <c r="BW2" s="1216" t="s">
        <v>67</v>
      </c>
      <c r="BX2" s="1216" t="s">
        <v>68</v>
      </c>
      <c r="BY2" s="1216" t="s">
        <v>3418</v>
      </c>
      <c r="BZ2" s="1216" t="s">
        <v>69</v>
      </c>
      <c r="CA2" s="1217"/>
      <c r="CB2" s="1218" t="s">
        <v>3419</v>
      </c>
      <c r="CC2" s="238">
        <v>2862563</v>
      </c>
      <c r="CD2" s="1234" t="s">
        <v>3420</v>
      </c>
      <c r="CE2" s="649">
        <f>CC1-CC2</f>
        <v>1807437</v>
      </c>
    </row>
    <row r="3" s="1009" customFormat="1" ht="36" customHeight="1" spans="1:83">
      <c r="A3" s="1257">
        <v>45252</v>
      </c>
      <c r="B3" s="1036" t="s">
        <v>70</v>
      </c>
      <c r="C3" s="1037" t="s">
        <v>71</v>
      </c>
      <c r="D3" s="1038" t="s">
        <v>84</v>
      </c>
      <c r="E3" s="1039"/>
      <c r="F3" s="1038"/>
      <c r="G3" s="1040" t="s">
        <v>73</v>
      </c>
      <c r="H3" s="1041" t="s">
        <v>74</v>
      </c>
      <c r="I3" s="1012">
        <v>510</v>
      </c>
      <c r="J3" s="1087">
        <v>0</v>
      </c>
      <c r="K3" s="1040">
        <v>24</v>
      </c>
      <c r="L3" s="1012">
        <f t="shared" ref="L3:L67" si="0">I3/K3</f>
        <v>21.25</v>
      </c>
      <c r="M3" s="1079">
        <v>45272</v>
      </c>
      <c r="N3" s="1079">
        <v>45268</v>
      </c>
      <c r="O3" s="579"/>
      <c r="P3" s="579" t="s">
        <v>75</v>
      </c>
      <c r="Q3" s="579"/>
      <c r="R3" s="579" t="s">
        <v>76</v>
      </c>
      <c r="S3" s="579" t="s">
        <v>77</v>
      </c>
      <c r="T3" s="579" t="s">
        <v>77</v>
      </c>
      <c r="U3" s="1039"/>
      <c r="V3" s="1112"/>
      <c r="W3" s="1113"/>
      <c r="X3" s="1114"/>
      <c r="Y3" s="1012"/>
      <c r="Z3" s="1299" t="s">
        <v>77</v>
      </c>
      <c r="AA3" s="1150"/>
      <c r="AB3" s="1150"/>
      <c r="AC3" s="1151"/>
      <c r="AD3" s="1151"/>
      <c r="AE3" s="1151"/>
      <c r="AF3" s="579" t="s">
        <v>80</v>
      </c>
      <c r="AG3" s="579"/>
      <c r="AH3" s="1151">
        <f>I3</f>
        <v>510</v>
      </c>
      <c r="AI3" s="1151"/>
      <c r="AJ3" s="1151"/>
      <c r="AK3" s="1151"/>
      <c r="AL3" s="1151"/>
      <c r="AM3" s="1151"/>
      <c r="AN3" s="543"/>
      <c r="AO3" s="1012"/>
      <c r="AP3" s="1012"/>
      <c r="AQ3" s="1012"/>
      <c r="AR3" s="543"/>
      <c r="AS3" s="543"/>
      <c r="AT3" s="543"/>
      <c r="AU3" s="543"/>
      <c r="AV3" s="543"/>
      <c r="AW3" s="543"/>
      <c r="AX3" s="543"/>
      <c r="AY3" s="543"/>
      <c r="AZ3" s="543"/>
      <c r="BA3" s="543"/>
      <c r="BB3" s="543"/>
      <c r="BC3" s="1200"/>
      <c r="BD3" s="1200"/>
      <c r="BE3" s="1200"/>
      <c r="BF3" s="1200"/>
      <c r="BG3" s="1200"/>
      <c r="BH3" s="1200"/>
      <c r="BI3" s="1200"/>
      <c r="BJ3" s="1200"/>
      <c r="BK3" s="1200"/>
      <c r="BL3" s="1200"/>
      <c r="BM3" s="1200"/>
      <c r="BN3" s="1200"/>
      <c r="BO3" s="1200"/>
      <c r="BP3" s="1200"/>
      <c r="BQ3" s="1200"/>
      <c r="BR3" s="1200"/>
      <c r="BS3" s="1200"/>
      <c r="BT3" s="1200"/>
      <c r="BU3" s="1200"/>
      <c r="BV3" s="1200"/>
      <c r="BW3" s="1200"/>
      <c r="BX3" s="1200"/>
      <c r="BY3" s="1200"/>
      <c r="BZ3" s="1012">
        <f t="shared" ref="BZ3:BZ66" si="1">AH3+AI3+AJ3</f>
        <v>510</v>
      </c>
      <c r="CB3" s="1219"/>
      <c r="CC3" s="1219"/>
      <c r="CE3" s="1009">
        <f t="shared" ref="CE3:CE66" si="2">CE2-AH3-AI3-AJ3</f>
        <v>1806927</v>
      </c>
    </row>
    <row r="4" s="1009" customFormat="1" ht="36" customHeight="1" spans="1:83">
      <c r="A4" s="1257">
        <v>45279</v>
      </c>
      <c r="B4" s="1036" t="s">
        <v>70</v>
      </c>
      <c r="C4" s="1037" t="s">
        <v>71</v>
      </c>
      <c r="D4" s="1038" t="s">
        <v>85</v>
      </c>
      <c r="E4" s="1039"/>
      <c r="F4" s="1038"/>
      <c r="G4" s="1040" t="s">
        <v>73</v>
      </c>
      <c r="H4" s="1041" t="s">
        <v>74</v>
      </c>
      <c r="I4" s="1012" t="s">
        <v>86</v>
      </c>
      <c r="J4" s="1087">
        <v>0</v>
      </c>
      <c r="K4" s="1040">
        <v>24</v>
      </c>
      <c r="L4" s="1012">
        <v>1</v>
      </c>
      <c r="M4" s="1079">
        <v>45288</v>
      </c>
      <c r="N4" s="1079">
        <v>45285</v>
      </c>
      <c r="O4" s="579"/>
      <c r="P4" s="579" t="s">
        <v>75</v>
      </c>
      <c r="Q4" s="579" t="s">
        <v>87</v>
      </c>
      <c r="R4" s="579" t="s">
        <v>76</v>
      </c>
      <c r="S4" s="579" t="s">
        <v>77</v>
      </c>
      <c r="T4" s="579" t="s">
        <v>77</v>
      </c>
      <c r="U4" s="1039" t="s">
        <v>90</v>
      </c>
      <c r="V4" s="1112"/>
      <c r="W4" s="1113"/>
      <c r="X4" s="1114"/>
      <c r="Y4" s="1012"/>
      <c r="Z4" s="1299" t="s">
        <v>77</v>
      </c>
      <c r="AA4" s="1150"/>
      <c r="AB4" s="1150"/>
      <c r="AC4" s="1151"/>
      <c r="AD4" s="1151"/>
      <c r="AE4" s="1151"/>
      <c r="AF4" s="579" t="s">
        <v>80</v>
      </c>
      <c r="AG4" s="579"/>
      <c r="AH4" s="1151"/>
      <c r="AI4" s="1151"/>
      <c r="AJ4" s="1151"/>
      <c r="AK4" s="1151"/>
      <c r="AL4" s="1151"/>
      <c r="AM4" s="1151"/>
      <c r="AN4" s="543"/>
      <c r="AO4" s="1012"/>
      <c r="AP4" s="1012"/>
      <c r="AQ4" s="1012"/>
      <c r="AR4" s="543"/>
      <c r="AS4" s="543"/>
      <c r="AT4" s="543"/>
      <c r="AU4" s="543"/>
      <c r="AV4" s="543"/>
      <c r="AW4" s="543"/>
      <c r="AX4" s="543"/>
      <c r="AY4" s="543"/>
      <c r="AZ4" s="543"/>
      <c r="BA4" s="543"/>
      <c r="BB4" s="543"/>
      <c r="BC4" s="1200"/>
      <c r="BD4" s="1200"/>
      <c r="BE4" s="1200"/>
      <c r="BF4" s="1200"/>
      <c r="BG4" s="1200"/>
      <c r="BH4" s="1200"/>
      <c r="BI4" s="1200"/>
      <c r="BJ4" s="1200"/>
      <c r="BK4" s="1200"/>
      <c r="BL4" s="1200"/>
      <c r="BM4" s="1200"/>
      <c r="BN4" s="1200"/>
      <c r="BO4" s="1200"/>
      <c r="BP4" s="1200"/>
      <c r="BQ4" s="1200"/>
      <c r="BR4" s="1200"/>
      <c r="BS4" s="1200"/>
      <c r="BT4" s="1200"/>
      <c r="BU4" s="1200"/>
      <c r="BV4" s="1200"/>
      <c r="BW4" s="1200"/>
      <c r="BX4" s="1200"/>
      <c r="BY4" s="1200"/>
      <c r="BZ4" s="1315">
        <f t="shared" si="1"/>
        <v>0</v>
      </c>
      <c r="CA4" s="1316"/>
      <c r="CB4" s="1219"/>
      <c r="CC4" s="1219"/>
      <c r="CE4" s="1009">
        <f t="shared" si="2"/>
        <v>1806927</v>
      </c>
    </row>
    <row r="5" s="649" customFormat="1" ht="36" customHeight="1" spans="1:83">
      <c r="A5" s="1258">
        <v>45317</v>
      </c>
      <c r="B5" s="636" t="s">
        <v>70</v>
      </c>
      <c r="C5" s="637" t="s">
        <v>71</v>
      </c>
      <c r="D5" s="1054" t="s">
        <v>113</v>
      </c>
      <c r="E5" s="1055"/>
      <c r="F5" s="1054"/>
      <c r="G5" s="1056" t="s">
        <v>73</v>
      </c>
      <c r="H5" s="1057" t="s">
        <v>74</v>
      </c>
      <c r="I5" s="1013" t="s">
        <v>114</v>
      </c>
      <c r="J5" s="1097">
        <v>0</v>
      </c>
      <c r="K5" s="1056">
        <v>24</v>
      </c>
      <c r="L5" s="1013" t="e">
        <f t="shared" si="0"/>
        <v>#VALUE!</v>
      </c>
      <c r="M5" s="1091">
        <v>45351</v>
      </c>
      <c r="N5" s="1091">
        <v>45348</v>
      </c>
      <c r="O5" s="452"/>
      <c r="P5" s="452"/>
      <c r="Q5" s="452"/>
      <c r="R5" s="452" t="s">
        <v>76</v>
      </c>
      <c r="S5" s="452" t="s">
        <v>77</v>
      </c>
      <c r="T5" s="452" t="s">
        <v>77</v>
      </c>
      <c r="U5" s="1055" t="s">
        <v>115</v>
      </c>
      <c r="V5" s="1129"/>
      <c r="W5" s="1130"/>
      <c r="X5" s="1131"/>
      <c r="Y5" s="1216"/>
      <c r="Z5" s="1300" t="s">
        <v>77</v>
      </c>
      <c r="AA5" s="1161"/>
      <c r="AB5" s="1161"/>
      <c r="AC5" s="1162"/>
      <c r="AD5" s="1162"/>
      <c r="AE5" s="1162"/>
      <c r="AF5" s="452" t="s">
        <v>80</v>
      </c>
      <c r="AG5" s="452"/>
      <c r="AH5" s="1162">
        <v>200</v>
      </c>
      <c r="AI5" s="1162"/>
      <c r="AJ5" s="1162"/>
      <c r="AK5" s="1162"/>
      <c r="AL5" s="1162"/>
      <c r="AM5" s="1162"/>
      <c r="AN5" s="781"/>
      <c r="AO5" s="781"/>
      <c r="AP5" s="781"/>
      <c r="AQ5" s="781"/>
      <c r="AR5" s="1308"/>
      <c r="AS5" s="1308"/>
      <c r="AT5" s="1308"/>
      <c r="AU5" s="781"/>
      <c r="AV5" s="781"/>
      <c r="AW5" s="781"/>
      <c r="AX5" s="781"/>
      <c r="AY5" s="781"/>
      <c r="AZ5" s="781"/>
      <c r="BA5" s="781"/>
      <c r="BB5" s="781"/>
      <c r="BC5" s="1203"/>
      <c r="BD5" s="1203"/>
      <c r="BE5" s="1203"/>
      <c r="BF5" s="1203"/>
      <c r="BG5" s="1013"/>
      <c r="BH5" s="1203"/>
      <c r="BI5" s="1203"/>
      <c r="BJ5" s="1203"/>
      <c r="BK5" s="1203"/>
      <c r="BL5" s="1203"/>
      <c r="BM5" s="1203"/>
      <c r="BN5" s="1203"/>
      <c r="BO5" s="1203"/>
      <c r="BP5" s="1203"/>
      <c r="BQ5" s="1203"/>
      <c r="BR5" s="1203"/>
      <c r="BS5" s="1203"/>
      <c r="BT5" s="1203"/>
      <c r="BU5" s="1203"/>
      <c r="BV5" s="1203"/>
      <c r="BW5" s="1203"/>
      <c r="BX5" s="1203"/>
      <c r="BY5" s="1203"/>
      <c r="BZ5" s="1315">
        <f t="shared" si="1"/>
        <v>200</v>
      </c>
      <c r="CA5" s="1316"/>
      <c r="CB5" s="1024"/>
      <c r="CC5" s="1024"/>
      <c r="CE5" s="1009">
        <f t="shared" si="2"/>
        <v>1806727</v>
      </c>
    </row>
    <row r="6" s="1009" customFormat="1" ht="36" customHeight="1" spans="1:83">
      <c r="A6" s="1257">
        <v>45350</v>
      </c>
      <c r="B6" s="1036" t="s">
        <v>70</v>
      </c>
      <c r="C6" s="1037" t="s">
        <v>71</v>
      </c>
      <c r="D6" s="1038" t="s">
        <v>656</v>
      </c>
      <c r="E6" s="1039"/>
      <c r="F6" s="1038"/>
      <c r="G6" s="1040" t="s">
        <v>403</v>
      </c>
      <c r="H6" s="1041" t="s">
        <v>74</v>
      </c>
      <c r="I6" s="1012" t="s">
        <v>657</v>
      </c>
      <c r="J6" s="1087">
        <v>0</v>
      </c>
      <c r="K6" s="1040">
        <v>52</v>
      </c>
      <c r="L6" s="1012" t="e">
        <f t="shared" si="0"/>
        <v>#VALUE!</v>
      </c>
      <c r="M6" s="1079">
        <v>45371</v>
      </c>
      <c r="N6" s="1079">
        <v>45367</v>
      </c>
      <c r="O6" s="579"/>
      <c r="P6" s="579" t="s">
        <v>92</v>
      </c>
      <c r="Q6" s="579"/>
      <c r="R6" s="579" t="s">
        <v>76</v>
      </c>
      <c r="S6" s="579" t="s">
        <v>77</v>
      </c>
      <c r="T6" s="579" t="s">
        <v>77</v>
      </c>
      <c r="U6" s="1039" t="s">
        <v>658</v>
      </c>
      <c r="V6" s="1112"/>
      <c r="W6" s="1113"/>
      <c r="X6" s="1114"/>
      <c r="Y6" s="1012"/>
      <c r="Z6" s="1159" t="s">
        <v>403</v>
      </c>
      <c r="AA6" s="1150" t="s">
        <v>128</v>
      </c>
      <c r="AB6" s="1150"/>
      <c r="AC6" s="1151">
        <v>676</v>
      </c>
      <c r="AD6" s="1151">
        <v>0</v>
      </c>
      <c r="AE6" s="1151"/>
      <c r="AF6" s="579" t="s">
        <v>80</v>
      </c>
      <c r="AG6" s="579" t="s">
        <v>659</v>
      </c>
      <c r="AH6" s="1151"/>
      <c r="AI6" s="1151"/>
      <c r="AJ6" s="1151"/>
      <c r="AK6" s="1151"/>
      <c r="AL6" s="1151"/>
      <c r="AM6" s="1151"/>
      <c r="AN6" s="543">
        <f>50*13</f>
        <v>650</v>
      </c>
      <c r="AO6" s="1012"/>
      <c r="AP6" s="1012"/>
      <c r="AQ6" s="1012"/>
      <c r="AR6" s="543"/>
      <c r="AS6" s="543"/>
      <c r="AT6" s="543"/>
      <c r="AU6" s="543">
        <f>50*13</f>
        <v>650</v>
      </c>
      <c r="AV6" s="543"/>
      <c r="AW6" s="543"/>
      <c r="AX6" s="543"/>
      <c r="AY6" s="543"/>
      <c r="AZ6" s="543"/>
      <c r="BA6" s="543"/>
      <c r="BB6" s="543"/>
      <c r="BC6" s="1200"/>
      <c r="BD6" s="1200"/>
      <c r="BE6" s="1200"/>
      <c r="BF6" s="1200"/>
      <c r="BG6" s="1200"/>
      <c r="BH6" s="1200"/>
      <c r="BI6" s="1200">
        <v>50</v>
      </c>
      <c r="BJ6" s="1200"/>
      <c r="BK6" s="1200"/>
      <c r="BL6" s="1200"/>
      <c r="BM6" s="1200"/>
      <c r="BN6" s="1200"/>
      <c r="BO6" s="1200"/>
      <c r="BP6" s="1200"/>
      <c r="BQ6" s="1200"/>
      <c r="BR6" s="1200"/>
      <c r="BS6" s="1200"/>
      <c r="BT6" s="1200"/>
      <c r="BU6" s="1200"/>
      <c r="BV6" s="1200"/>
      <c r="BW6" s="1200"/>
      <c r="BX6" s="1200"/>
      <c r="BY6" s="1200"/>
      <c r="BZ6" s="1012">
        <f t="shared" si="1"/>
        <v>0</v>
      </c>
      <c r="CB6" s="1219"/>
      <c r="CC6" s="1219"/>
      <c r="CE6" s="1009">
        <f t="shared" si="2"/>
        <v>1806727</v>
      </c>
    </row>
    <row r="7" s="649" customFormat="1" ht="36" customHeight="1" spans="1:84">
      <c r="A7" s="1258">
        <v>45411</v>
      </c>
      <c r="B7" s="636" t="s">
        <v>70</v>
      </c>
      <c r="C7" s="637" t="s">
        <v>71</v>
      </c>
      <c r="D7" s="1054" t="s">
        <v>883</v>
      </c>
      <c r="E7" s="1055"/>
      <c r="F7" s="1054"/>
      <c r="G7" s="1056" t="s">
        <v>73</v>
      </c>
      <c r="H7" s="1057" t="s">
        <v>74</v>
      </c>
      <c r="I7" s="1013" t="s">
        <v>884</v>
      </c>
      <c r="J7" s="1097">
        <v>0</v>
      </c>
      <c r="K7" s="1056">
        <v>24</v>
      </c>
      <c r="L7" s="1013" t="e">
        <f t="shared" si="0"/>
        <v>#VALUE!</v>
      </c>
      <c r="M7" s="1091">
        <v>45426</v>
      </c>
      <c r="N7" s="1091">
        <v>45422</v>
      </c>
      <c r="O7" s="452"/>
      <c r="P7" s="216"/>
      <c r="Q7" s="452"/>
      <c r="R7" s="452"/>
      <c r="S7" s="452"/>
      <c r="T7" s="452"/>
      <c r="U7" s="1055" t="s">
        <v>885</v>
      </c>
      <c r="V7" s="452"/>
      <c r="W7" s="1130"/>
      <c r="X7" s="1131"/>
      <c r="Y7" s="1013"/>
      <c r="Z7" s="1149" t="s">
        <v>443</v>
      </c>
      <c r="AA7" s="1161"/>
      <c r="AB7" s="1161"/>
      <c r="AC7" s="1162">
        <v>120</v>
      </c>
      <c r="AD7" s="1162">
        <v>0</v>
      </c>
      <c r="AE7" s="1162"/>
      <c r="AF7" s="452" t="s">
        <v>80</v>
      </c>
      <c r="AG7" s="452" t="s">
        <v>659</v>
      </c>
      <c r="AH7" s="1162"/>
      <c r="AI7" s="1162"/>
      <c r="AJ7" s="1162"/>
      <c r="AK7" s="1162"/>
      <c r="AL7" s="1162"/>
      <c r="AM7" s="1162"/>
      <c r="AN7" s="781"/>
      <c r="AO7" s="781"/>
      <c r="AP7" s="781"/>
      <c r="AQ7" s="781"/>
      <c r="AR7" s="781"/>
      <c r="AS7" s="781"/>
      <c r="AT7" s="781"/>
      <c r="AY7" s="781"/>
      <c r="AZ7" s="781"/>
      <c r="BA7" s="781"/>
      <c r="BB7" s="781"/>
      <c r="BC7" s="1203"/>
      <c r="BD7" s="1203"/>
      <c r="BE7" s="1203"/>
      <c r="BF7" s="1203"/>
      <c r="BG7" s="1203"/>
      <c r="BH7" s="1203"/>
      <c r="BI7" s="1203"/>
      <c r="BJ7" s="1203"/>
      <c r="BK7" s="1203"/>
      <c r="BL7" s="1203"/>
      <c r="BM7" s="1203"/>
      <c r="BN7" s="1203"/>
      <c r="BO7" s="1203"/>
      <c r="BP7" s="1203"/>
      <c r="BQ7" s="1203"/>
      <c r="BR7" s="1203"/>
      <c r="BS7" s="1203"/>
      <c r="BT7" s="1203"/>
      <c r="BU7" s="1203"/>
      <c r="BV7" s="1203"/>
      <c r="BW7" s="1203"/>
      <c r="BX7" s="1203"/>
      <c r="BY7" s="1203"/>
      <c r="BZ7" s="1315">
        <f t="shared" si="1"/>
        <v>0</v>
      </c>
      <c r="CA7" s="1316"/>
      <c r="CB7" s="1317"/>
      <c r="CC7" s="1317"/>
      <c r="CD7" s="1316"/>
      <c r="CE7" s="1009">
        <f t="shared" si="2"/>
        <v>1806727</v>
      </c>
      <c r="CF7" s="1316"/>
    </row>
    <row r="8" s="649" customFormat="1" ht="36" customHeight="1" spans="1:84">
      <c r="A8" s="1259">
        <v>45491</v>
      </c>
      <c r="B8" s="636" t="s">
        <v>70</v>
      </c>
      <c r="C8" s="637" t="s">
        <v>71</v>
      </c>
      <c r="D8" s="1260" t="s">
        <v>2083</v>
      </c>
      <c r="E8" s="1261"/>
      <c r="F8" s="1260"/>
      <c r="G8" s="1056" t="s">
        <v>73</v>
      </c>
      <c r="H8" s="1057" t="s">
        <v>74</v>
      </c>
      <c r="I8" s="1013" t="s">
        <v>2084</v>
      </c>
      <c r="J8" s="1097">
        <v>0</v>
      </c>
      <c r="K8" s="1056">
        <v>24</v>
      </c>
      <c r="L8" s="1013" t="e">
        <f t="shared" si="0"/>
        <v>#VALUE!</v>
      </c>
      <c r="M8" s="1091">
        <v>45514</v>
      </c>
      <c r="N8" s="1091">
        <v>45510</v>
      </c>
      <c r="O8" s="452"/>
      <c r="P8" s="452"/>
      <c r="Q8" s="452"/>
      <c r="R8" s="452">
        <v>45491</v>
      </c>
      <c r="S8" s="452" t="s">
        <v>77</v>
      </c>
      <c r="T8" s="452" t="s">
        <v>77</v>
      </c>
      <c r="U8" s="1055" t="s">
        <v>885</v>
      </c>
      <c r="V8" s="452"/>
      <c r="W8" s="1130"/>
      <c r="X8" s="1131"/>
      <c r="Y8" s="1013"/>
      <c r="Z8" s="1149" t="s">
        <v>443</v>
      </c>
      <c r="AA8" s="1161"/>
      <c r="AB8" s="1161"/>
      <c r="AC8" s="1162">
        <v>80</v>
      </c>
      <c r="AD8" s="1162">
        <v>0</v>
      </c>
      <c r="AE8" s="1162"/>
      <c r="AF8" s="452" t="s">
        <v>80</v>
      </c>
      <c r="AG8" s="452" t="s">
        <v>659</v>
      </c>
      <c r="AH8" s="1162"/>
      <c r="AI8" s="1162"/>
      <c r="AJ8" s="1162"/>
      <c r="AK8" s="1162"/>
      <c r="AL8" s="1162"/>
      <c r="AM8" s="1162"/>
      <c r="AN8" s="781"/>
      <c r="AO8" s="781"/>
      <c r="AP8" s="781"/>
      <c r="AQ8" s="781"/>
      <c r="AR8" s="781"/>
      <c r="AS8" s="781"/>
      <c r="AT8" s="781"/>
      <c r="AU8" s="1309"/>
      <c r="AV8" s="1309"/>
      <c r="AW8" s="781"/>
      <c r="AX8" s="781"/>
      <c r="AY8" s="781"/>
      <c r="AZ8" s="781"/>
      <c r="BA8" s="781"/>
      <c r="BB8" s="781"/>
      <c r="BC8" s="1203"/>
      <c r="BD8" s="1203"/>
      <c r="BE8" s="1203"/>
      <c r="BF8" s="1203"/>
      <c r="BG8" s="1203"/>
      <c r="BH8" s="1203"/>
      <c r="BI8" s="1203"/>
      <c r="BJ8" s="1203"/>
      <c r="BK8" s="1203"/>
      <c r="BL8" s="1203"/>
      <c r="BM8" s="1203"/>
      <c r="BN8" s="1203"/>
      <c r="BO8" s="1203"/>
      <c r="BP8" s="1203"/>
      <c r="BQ8" s="1203"/>
      <c r="BR8" s="1203"/>
      <c r="BS8" s="1203"/>
      <c r="BT8" s="1203"/>
      <c r="BU8" s="1203"/>
      <c r="BV8" s="1203"/>
      <c r="BW8" s="1203"/>
      <c r="BX8" s="1203"/>
      <c r="BY8" s="1203"/>
      <c r="BZ8" s="1012">
        <f t="shared" si="1"/>
        <v>0</v>
      </c>
      <c r="CA8" s="1009"/>
      <c r="CB8" s="1219"/>
      <c r="CC8" s="1219"/>
      <c r="CD8" s="1009"/>
      <c r="CE8" s="1009">
        <f t="shared" si="2"/>
        <v>1806727</v>
      </c>
      <c r="CF8" s="1009"/>
    </row>
    <row r="9" s="649" customFormat="1" ht="36" customHeight="1" spans="1:84">
      <c r="A9" s="1258">
        <v>45593</v>
      </c>
      <c r="B9" s="636" t="s">
        <v>70</v>
      </c>
      <c r="C9" s="637" t="s">
        <v>71</v>
      </c>
      <c r="D9" s="1054" t="s">
        <v>2966</v>
      </c>
      <c r="E9" s="1055"/>
      <c r="F9" s="1054"/>
      <c r="G9" s="1056" t="s">
        <v>73</v>
      </c>
      <c r="H9" s="1057" t="s">
        <v>74</v>
      </c>
      <c r="I9" s="1013">
        <v>3000</v>
      </c>
      <c r="J9" s="1097">
        <v>0</v>
      </c>
      <c r="K9" s="1056">
        <v>24</v>
      </c>
      <c r="L9" s="1013">
        <f t="shared" si="0"/>
        <v>125</v>
      </c>
      <c r="M9" s="1091">
        <v>45608</v>
      </c>
      <c r="N9" s="1091">
        <v>45612</v>
      </c>
      <c r="O9" s="452"/>
      <c r="P9" s="452"/>
      <c r="Q9" s="452"/>
      <c r="R9" s="452">
        <v>45593</v>
      </c>
      <c r="S9" s="1282" t="s">
        <v>77</v>
      </c>
      <c r="T9" s="1282" t="s">
        <v>77</v>
      </c>
      <c r="U9" s="1055" t="s">
        <v>2967</v>
      </c>
      <c r="V9" s="452" t="s">
        <v>2968</v>
      </c>
      <c r="W9" s="1130"/>
      <c r="X9" s="1131"/>
      <c r="Y9" s="1013"/>
      <c r="Z9" s="1149" t="s">
        <v>3421</v>
      </c>
      <c r="AA9" s="1161" t="s">
        <v>128</v>
      </c>
      <c r="AB9" s="1161"/>
      <c r="AC9" s="1162">
        <v>3000</v>
      </c>
      <c r="AD9" s="1151">
        <f t="shared" ref="AD9:AD18" si="3">AC9-I9</f>
        <v>0</v>
      </c>
      <c r="AE9" s="1162"/>
      <c r="AF9" s="452"/>
      <c r="AG9" s="452"/>
      <c r="AH9" s="1162"/>
      <c r="AI9" s="1162"/>
      <c r="AJ9" s="1162"/>
      <c r="AK9" s="1162"/>
      <c r="AL9" s="1162"/>
      <c r="AM9" s="1162"/>
      <c r="AN9" s="1013"/>
      <c r="AO9" s="1013"/>
      <c r="AP9" s="1013"/>
      <c r="AQ9" s="1013"/>
      <c r="AR9" s="781"/>
      <c r="AS9" s="781"/>
      <c r="AT9" s="781"/>
      <c r="AU9" s="781"/>
      <c r="AV9" s="781"/>
      <c r="AW9" s="781"/>
      <c r="AX9" s="781"/>
      <c r="AY9" s="781"/>
      <c r="AZ9" s="781"/>
      <c r="BA9" s="781"/>
      <c r="BB9" s="781"/>
      <c r="BC9" s="1203"/>
      <c r="BD9" s="1203"/>
      <c r="BE9" s="1203"/>
      <c r="BF9" s="1203"/>
      <c r="BG9" s="1203"/>
      <c r="BH9" s="1203"/>
      <c r="BI9" s="1203"/>
      <c r="BJ9" s="1203"/>
      <c r="BK9" s="1203"/>
      <c r="BL9" s="1203"/>
      <c r="BM9" s="1203"/>
      <c r="BN9" s="1203"/>
      <c r="BO9" s="1203"/>
      <c r="BP9" s="1203"/>
      <c r="BQ9" s="1203"/>
      <c r="BR9" s="1203"/>
      <c r="BS9" s="1203"/>
      <c r="BT9" s="1203"/>
      <c r="BU9" s="1203"/>
      <c r="BV9" s="1203"/>
      <c r="BW9" s="1203"/>
      <c r="BX9" s="1203"/>
      <c r="BY9" s="1203"/>
      <c r="BZ9" s="1012">
        <f t="shared" si="1"/>
        <v>0</v>
      </c>
      <c r="CA9" s="1009"/>
      <c r="CB9" s="1219"/>
      <c r="CC9" s="1219"/>
      <c r="CD9" s="1009"/>
      <c r="CE9" s="1009">
        <f t="shared" si="2"/>
        <v>1806727</v>
      </c>
      <c r="CF9" s="1009"/>
    </row>
    <row r="10" s="1009" customFormat="1" ht="36" customHeight="1" spans="1:83">
      <c r="A10" s="1257">
        <v>45608</v>
      </c>
      <c r="B10" s="1036" t="s">
        <v>1500</v>
      </c>
      <c r="C10" s="1037" t="s">
        <v>351</v>
      </c>
      <c r="D10" s="1038">
        <v>4500151018</v>
      </c>
      <c r="E10" s="1039" t="s">
        <v>3122</v>
      </c>
      <c r="F10" s="1038" t="s">
        <v>3123</v>
      </c>
      <c r="G10" s="1040" t="s">
        <v>160</v>
      </c>
      <c r="H10" s="1041" t="s">
        <v>74</v>
      </c>
      <c r="I10" s="1012">
        <v>1495</v>
      </c>
      <c r="J10" s="1087">
        <v>0</v>
      </c>
      <c r="K10" s="1040">
        <v>13</v>
      </c>
      <c r="L10" s="1012">
        <f t="shared" si="0"/>
        <v>115</v>
      </c>
      <c r="M10" s="1079">
        <v>45651</v>
      </c>
      <c r="N10" s="1079">
        <v>45647</v>
      </c>
      <c r="O10" s="579"/>
      <c r="P10" s="579" t="s">
        <v>92</v>
      </c>
      <c r="Q10" s="579" t="s">
        <v>3124</v>
      </c>
      <c r="R10" s="579">
        <v>45621</v>
      </c>
      <c r="S10" s="1283" t="s">
        <v>77</v>
      </c>
      <c r="T10" s="581" t="s">
        <v>3125</v>
      </c>
      <c r="U10" s="1039" t="s">
        <v>3126</v>
      </c>
      <c r="V10" s="1112" t="s">
        <v>647</v>
      </c>
      <c r="W10" s="1113">
        <v>1.4071</v>
      </c>
      <c r="X10" s="1114">
        <f t="shared" ref="X10:X16" si="4">I10*W10</f>
        <v>2103.6145</v>
      </c>
      <c r="Y10" s="1012" t="s">
        <v>3422</v>
      </c>
      <c r="Z10" s="1159" t="s">
        <v>239</v>
      </c>
      <c r="AA10" s="1150" t="s">
        <v>128</v>
      </c>
      <c r="AB10" s="1150"/>
      <c r="AC10" s="1151">
        <v>1495</v>
      </c>
      <c r="AD10" s="1151">
        <f t="shared" si="3"/>
        <v>0</v>
      </c>
      <c r="AE10" s="1151"/>
      <c r="AF10" s="579"/>
      <c r="AG10" s="579" t="s">
        <v>3127</v>
      </c>
      <c r="AH10" s="1151">
        <f t="shared" ref="AH10:AH27" si="5">I10</f>
        <v>1495</v>
      </c>
      <c r="AI10" s="1151"/>
      <c r="AJ10" s="1151"/>
      <c r="AK10" s="1151"/>
      <c r="AL10" s="1176"/>
      <c r="AM10" s="1176"/>
      <c r="AO10" s="543">
        <f t="shared" ref="AO10:AO13" si="6">I10</f>
        <v>1495</v>
      </c>
      <c r="AP10" s="543"/>
      <c r="AQ10" s="543"/>
      <c r="AR10" s="543"/>
      <c r="AS10" s="543"/>
      <c r="AT10" s="543"/>
      <c r="AU10" s="543">
        <f t="shared" ref="AU10:AU13" si="7">I10</f>
        <v>1495</v>
      </c>
      <c r="AV10" s="543"/>
      <c r="AW10" s="543"/>
      <c r="AX10" s="543"/>
      <c r="AY10" s="543"/>
      <c r="AZ10" s="543"/>
      <c r="BA10" s="543"/>
      <c r="BB10" s="543"/>
      <c r="BC10" s="1200"/>
      <c r="BD10" s="1200"/>
      <c r="BE10" s="1200"/>
      <c r="BF10" s="1200"/>
      <c r="BG10" s="1200"/>
      <c r="BH10" s="1200"/>
      <c r="BI10" s="1012"/>
      <c r="BJ10" s="1200">
        <f>I10/13</f>
        <v>115</v>
      </c>
      <c r="BK10" s="1200"/>
      <c r="BL10" s="1200"/>
      <c r="BM10" s="1200"/>
      <c r="BN10" s="1200"/>
      <c r="BO10" s="1200"/>
      <c r="BP10" s="1200"/>
      <c r="BQ10" s="1200"/>
      <c r="BR10" s="1200"/>
      <c r="BS10" s="1200"/>
      <c r="BT10" s="1200"/>
      <c r="BU10" s="1200"/>
      <c r="BV10" s="1200"/>
      <c r="BW10" s="1200"/>
      <c r="BX10" s="1200"/>
      <c r="BY10" s="1200"/>
      <c r="BZ10" s="1012">
        <f t="shared" si="1"/>
        <v>1495</v>
      </c>
      <c r="CB10" s="1219"/>
      <c r="CC10" s="1219"/>
      <c r="CE10" s="1009">
        <f t="shared" si="2"/>
        <v>1805232</v>
      </c>
    </row>
    <row r="11" s="1009" customFormat="1" ht="36" customHeight="1" spans="1:83">
      <c r="A11" s="540">
        <v>45586</v>
      </c>
      <c r="B11" s="1036" t="s">
        <v>816</v>
      </c>
      <c r="C11" s="1037" t="s">
        <v>117</v>
      </c>
      <c r="D11" s="1038">
        <v>4500148421</v>
      </c>
      <c r="E11" s="1039">
        <v>60190475</v>
      </c>
      <c r="F11" s="1038" t="s">
        <v>3128</v>
      </c>
      <c r="G11" s="1040" t="s">
        <v>628</v>
      </c>
      <c r="H11" s="1041" t="s">
        <v>623</v>
      </c>
      <c r="I11" s="1012">
        <v>6000</v>
      </c>
      <c r="J11" s="1087">
        <v>0</v>
      </c>
      <c r="K11" s="1040">
        <v>12</v>
      </c>
      <c r="L11" s="1012">
        <f t="shared" si="0"/>
        <v>500</v>
      </c>
      <c r="M11" s="1079">
        <v>45653</v>
      </c>
      <c r="N11" s="1079">
        <v>45649</v>
      </c>
      <c r="O11" s="579"/>
      <c r="P11" s="579" t="s">
        <v>92</v>
      </c>
      <c r="Q11" s="579" t="s">
        <v>3129</v>
      </c>
      <c r="R11" s="579">
        <v>45588</v>
      </c>
      <c r="S11" s="578" t="s">
        <v>77</v>
      </c>
      <c r="T11" s="695" t="s">
        <v>3130</v>
      </c>
      <c r="U11" s="1039" t="s">
        <v>3131</v>
      </c>
      <c r="V11" s="1112" t="s">
        <v>163</v>
      </c>
      <c r="W11" s="1113">
        <v>3.0438</v>
      </c>
      <c r="X11" s="1114">
        <f t="shared" si="4"/>
        <v>18262.8</v>
      </c>
      <c r="Y11" s="1012" t="s">
        <v>3423</v>
      </c>
      <c r="Z11" s="1159" t="s">
        <v>822</v>
      </c>
      <c r="AA11" s="1150" t="s">
        <v>128</v>
      </c>
      <c r="AB11" s="1150"/>
      <c r="AC11" s="1151">
        <v>6000</v>
      </c>
      <c r="AD11" s="1151">
        <f t="shared" si="3"/>
        <v>0</v>
      </c>
      <c r="AE11" s="1151"/>
      <c r="AF11" s="579"/>
      <c r="AG11" s="579" t="s">
        <v>3127</v>
      </c>
      <c r="AH11" s="1151">
        <f>I11*2</f>
        <v>12000</v>
      </c>
      <c r="AI11" s="1151"/>
      <c r="AJ11" s="1151"/>
      <c r="AK11" s="1151"/>
      <c r="AL11" s="1176"/>
      <c r="AM11" s="1176"/>
      <c r="AO11" s="543">
        <f>AH11</f>
        <v>12000</v>
      </c>
      <c r="AP11" s="543"/>
      <c r="AQ11" s="543"/>
      <c r="AR11" s="543"/>
      <c r="AS11" s="543"/>
      <c r="AT11" s="543"/>
      <c r="AU11" s="1310">
        <f>AH11</f>
        <v>12000</v>
      </c>
      <c r="AV11" s="1310"/>
      <c r="AW11" s="543"/>
      <c r="AX11" s="543"/>
      <c r="AY11" s="543"/>
      <c r="AZ11" s="543"/>
      <c r="BA11" s="543"/>
      <c r="BB11" s="543"/>
      <c r="BC11" s="1200"/>
      <c r="BD11" s="1200"/>
      <c r="BE11" s="1200"/>
      <c r="BF11" s="1200"/>
      <c r="BG11" s="1200"/>
      <c r="BH11" s="1200"/>
      <c r="BI11" s="1312"/>
      <c r="BJ11" s="1200"/>
      <c r="BK11" s="1200"/>
      <c r="BL11" s="1200"/>
      <c r="BM11" s="1200"/>
      <c r="BN11" s="1200"/>
      <c r="BO11" s="1200"/>
      <c r="BP11" s="1200"/>
      <c r="BQ11" s="1200"/>
      <c r="BR11" s="1200"/>
      <c r="BS11" s="1200"/>
      <c r="BT11" s="1200"/>
      <c r="BU11" s="1200"/>
      <c r="BV11" s="1200"/>
      <c r="BW11" s="1200">
        <f>I11</f>
        <v>6000</v>
      </c>
      <c r="BX11" s="1200">
        <f>I11</f>
        <v>6000</v>
      </c>
      <c r="BY11" s="1200"/>
      <c r="BZ11" s="1012">
        <f t="shared" si="1"/>
        <v>12000</v>
      </c>
      <c r="CB11" s="1219"/>
      <c r="CC11" s="1219"/>
      <c r="CE11" s="1009">
        <f t="shared" si="2"/>
        <v>1793232</v>
      </c>
    </row>
    <row r="12" s="1009" customFormat="1" ht="36" customHeight="1" spans="1:83">
      <c r="A12" s="1257">
        <v>45614</v>
      </c>
      <c r="B12" s="1036" t="s">
        <v>3132</v>
      </c>
      <c r="C12" s="1037" t="s">
        <v>286</v>
      </c>
      <c r="D12" s="1038">
        <v>4500151559</v>
      </c>
      <c r="E12" s="1039" t="s">
        <v>3133</v>
      </c>
      <c r="F12" s="1038" t="s">
        <v>3134</v>
      </c>
      <c r="G12" s="1040" t="s">
        <v>73</v>
      </c>
      <c r="H12" s="1041" t="s">
        <v>74</v>
      </c>
      <c r="I12" s="1012">
        <v>24</v>
      </c>
      <c r="J12" s="1087">
        <v>0</v>
      </c>
      <c r="K12" s="1040">
        <v>24</v>
      </c>
      <c r="L12" s="1012">
        <f t="shared" si="0"/>
        <v>1</v>
      </c>
      <c r="M12" s="1079">
        <v>45649</v>
      </c>
      <c r="N12" s="1079">
        <v>45645</v>
      </c>
      <c r="O12" s="579"/>
      <c r="P12" s="579" t="s">
        <v>1262</v>
      </c>
      <c r="Q12" s="579" t="s">
        <v>3135</v>
      </c>
      <c r="R12" s="579" t="s">
        <v>3136</v>
      </c>
      <c r="S12" s="579" t="s">
        <v>123</v>
      </c>
      <c r="T12" s="581" t="s">
        <v>3137</v>
      </c>
      <c r="U12" s="1039" t="s">
        <v>3138</v>
      </c>
      <c r="V12" s="1039" t="s">
        <v>1631</v>
      </c>
      <c r="W12" s="1113">
        <v>1.3938</v>
      </c>
      <c r="X12" s="1114">
        <f t="shared" si="4"/>
        <v>33.4512</v>
      </c>
      <c r="Y12" s="1012" t="s">
        <v>3424</v>
      </c>
      <c r="Z12" s="1159" t="s">
        <v>188</v>
      </c>
      <c r="AA12" s="1150" t="s">
        <v>128</v>
      </c>
      <c r="AB12" s="1150"/>
      <c r="AC12" s="1151">
        <v>240</v>
      </c>
      <c r="AD12" s="1151">
        <f t="shared" si="3"/>
        <v>216</v>
      </c>
      <c r="AE12" s="1151"/>
      <c r="AF12" s="579"/>
      <c r="AG12" s="579" t="s">
        <v>3127</v>
      </c>
      <c r="AH12" s="1151">
        <f t="shared" si="5"/>
        <v>24</v>
      </c>
      <c r="AI12" s="1151"/>
      <c r="AJ12" s="1151"/>
      <c r="AK12" s="1151"/>
      <c r="AL12" s="1151"/>
      <c r="AM12" s="1151"/>
      <c r="AN12" s="543"/>
      <c r="AO12" s="1012">
        <f t="shared" si="6"/>
        <v>24</v>
      </c>
      <c r="AP12" s="1012"/>
      <c r="AQ12" s="1012"/>
      <c r="AR12" s="543"/>
      <c r="AS12" s="543"/>
      <c r="AT12" s="543"/>
      <c r="AU12" s="543">
        <f t="shared" si="7"/>
        <v>24</v>
      </c>
      <c r="AV12" s="543"/>
      <c r="AW12" s="543"/>
      <c r="AX12" s="543"/>
      <c r="AY12" s="543"/>
      <c r="AZ12" s="543"/>
      <c r="BA12" s="543"/>
      <c r="BB12" s="543"/>
      <c r="BC12" s="1200"/>
      <c r="BD12" s="1200"/>
      <c r="BE12" s="1200"/>
      <c r="BF12" s="1200"/>
      <c r="BG12" s="1200"/>
      <c r="BH12" s="1200"/>
      <c r="BI12" s="1312"/>
      <c r="BJ12" s="1200"/>
      <c r="BK12" s="1200"/>
      <c r="BL12" s="1200"/>
      <c r="BM12" s="1200"/>
      <c r="BN12" s="1200"/>
      <c r="BO12" s="1200"/>
      <c r="BP12" s="1200"/>
      <c r="BQ12" s="1200"/>
      <c r="BR12" s="1200"/>
      <c r="BS12" s="1200"/>
      <c r="BT12" s="1200"/>
      <c r="BU12" s="1200"/>
      <c r="BV12" s="1200"/>
      <c r="BW12" s="1200"/>
      <c r="BX12" s="1200"/>
      <c r="BY12" s="1200"/>
      <c r="BZ12" s="1012">
        <f t="shared" si="1"/>
        <v>24</v>
      </c>
      <c r="CB12" s="1219"/>
      <c r="CC12" s="1219"/>
      <c r="CE12" s="1009">
        <f t="shared" si="2"/>
        <v>1793208</v>
      </c>
    </row>
    <row r="13" s="1009" customFormat="1" ht="36" customHeight="1" spans="1:83">
      <c r="A13" s="1257">
        <v>45614</v>
      </c>
      <c r="B13" s="1036" t="s">
        <v>3132</v>
      </c>
      <c r="C13" s="1037" t="s">
        <v>286</v>
      </c>
      <c r="D13" s="1038">
        <v>4500151559</v>
      </c>
      <c r="E13" s="1039" t="s">
        <v>3139</v>
      </c>
      <c r="F13" s="1038" t="s">
        <v>3140</v>
      </c>
      <c r="G13" s="1040" t="s">
        <v>73</v>
      </c>
      <c r="H13" s="1041" t="s">
        <v>74</v>
      </c>
      <c r="I13" s="1012">
        <v>384</v>
      </c>
      <c r="J13" s="1087">
        <v>0</v>
      </c>
      <c r="K13" s="1040">
        <v>24</v>
      </c>
      <c r="L13" s="1012">
        <f t="shared" si="0"/>
        <v>16</v>
      </c>
      <c r="M13" s="1079">
        <v>45649</v>
      </c>
      <c r="N13" s="1079">
        <v>45645</v>
      </c>
      <c r="O13" s="579"/>
      <c r="P13" s="579" t="s">
        <v>1262</v>
      </c>
      <c r="Q13" s="579" t="s">
        <v>3135</v>
      </c>
      <c r="R13" s="579" t="s">
        <v>3136</v>
      </c>
      <c r="S13" s="579" t="s">
        <v>123</v>
      </c>
      <c r="T13" s="581" t="s">
        <v>3137</v>
      </c>
      <c r="U13" s="1039" t="s">
        <v>3138</v>
      </c>
      <c r="V13" s="1039" t="s">
        <v>1631</v>
      </c>
      <c r="W13" s="1113">
        <v>1.3938</v>
      </c>
      <c r="X13" s="1114">
        <f t="shared" si="4"/>
        <v>535.2192</v>
      </c>
      <c r="Y13" s="1012" t="s">
        <v>3424</v>
      </c>
      <c r="Z13" s="1159" t="s">
        <v>188</v>
      </c>
      <c r="AA13" s="1150" t="s">
        <v>128</v>
      </c>
      <c r="AB13" s="1150"/>
      <c r="AC13" s="1151">
        <v>384</v>
      </c>
      <c r="AD13" s="1151">
        <f t="shared" si="3"/>
        <v>0</v>
      </c>
      <c r="AE13" s="1151"/>
      <c r="AF13" s="579"/>
      <c r="AG13" s="579" t="s">
        <v>3127</v>
      </c>
      <c r="AH13" s="1151">
        <f t="shared" si="5"/>
        <v>384</v>
      </c>
      <c r="AI13" s="1151"/>
      <c r="AJ13" s="1151"/>
      <c r="AK13" s="1151"/>
      <c r="AL13" s="1151"/>
      <c r="AM13" s="1151"/>
      <c r="AN13" s="543"/>
      <c r="AO13" s="1012">
        <f t="shared" si="6"/>
        <v>384</v>
      </c>
      <c r="AP13" s="1012"/>
      <c r="AQ13" s="1012"/>
      <c r="AR13" s="543"/>
      <c r="AS13" s="543"/>
      <c r="AT13" s="543"/>
      <c r="AU13" s="543">
        <f t="shared" si="7"/>
        <v>384</v>
      </c>
      <c r="AV13" s="543"/>
      <c r="AW13" s="543"/>
      <c r="AX13" s="543"/>
      <c r="AY13" s="543"/>
      <c r="AZ13" s="543"/>
      <c r="BA13" s="543"/>
      <c r="BB13" s="543"/>
      <c r="BC13" s="1200"/>
      <c r="BD13" s="1200"/>
      <c r="BE13" s="1200"/>
      <c r="BF13" s="1200"/>
      <c r="BG13" s="1200"/>
      <c r="BH13" s="1200"/>
      <c r="BI13" s="1312"/>
      <c r="BJ13" s="1200"/>
      <c r="BK13" s="1200"/>
      <c r="BL13" s="1200"/>
      <c r="BM13" s="1200"/>
      <c r="BN13" s="1200"/>
      <c r="BO13" s="1200"/>
      <c r="BP13" s="1200"/>
      <c r="BQ13" s="1200"/>
      <c r="BR13" s="1200"/>
      <c r="BS13" s="1200"/>
      <c r="BT13" s="1200"/>
      <c r="BU13" s="1200"/>
      <c r="BV13" s="1200"/>
      <c r="BW13" s="1200"/>
      <c r="BX13" s="1200"/>
      <c r="BY13" s="1200"/>
      <c r="BZ13" s="1012">
        <f t="shared" si="1"/>
        <v>384</v>
      </c>
      <c r="CB13" s="1219"/>
      <c r="CC13" s="1219"/>
      <c r="CE13" s="1009">
        <f t="shared" si="2"/>
        <v>1792824</v>
      </c>
    </row>
    <row r="14" s="1009" customFormat="1" ht="36" customHeight="1" spans="1:83">
      <c r="A14" s="1257">
        <v>45621</v>
      </c>
      <c r="B14" s="1036" t="s">
        <v>587</v>
      </c>
      <c r="C14" s="1037" t="s">
        <v>117</v>
      </c>
      <c r="D14" s="1038">
        <v>4500152220</v>
      </c>
      <c r="E14" s="1039" t="s">
        <v>3141</v>
      </c>
      <c r="F14" s="1038" t="s">
        <v>3142</v>
      </c>
      <c r="G14" s="1040" t="s">
        <v>120</v>
      </c>
      <c r="H14" s="1041" t="s">
        <v>74</v>
      </c>
      <c r="I14" s="1012">
        <v>966</v>
      </c>
      <c r="J14" s="1087">
        <v>0</v>
      </c>
      <c r="K14" s="1040">
        <v>21</v>
      </c>
      <c r="L14" s="1012">
        <f t="shared" si="0"/>
        <v>46</v>
      </c>
      <c r="M14" s="1079">
        <v>45649</v>
      </c>
      <c r="N14" s="1079">
        <v>45645</v>
      </c>
      <c r="O14" s="579" t="s">
        <v>3143</v>
      </c>
      <c r="P14" s="579" t="s">
        <v>92</v>
      </c>
      <c r="Q14" s="579" t="s">
        <v>3144</v>
      </c>
      <c r="R14" s="579">
        <v>45621</v>
      </c>
      <c r="S14" s="579" t="s">
        <v>123</v>
      </c>
      <c r="T14" s="1284" t="s">
        <v>3145</v>
      </c>
      <c r="U14" s="1039" t="s">
        <v>3146</v>
      </c>
      <c r="V14" s="1039" t="s">
        <v>634</v>
      </c>
      <c r="W14" s="1113">
        <v>1.4585</v>
      </c>
      <c r="X14" s="1114">
        <f t="shared" si="4"/>
        <v>1408.911</v>
      </c>
      <c r="Y14" s="1012"/>
      <c r="Z14" s="1159" t="s">
        <v>2616</v>
      </c>
      <c r="AA14" s="1150" t="s">
        <v>128</v>
      </c>
      <c r="AB14" s="1150"/>
      <c r="AC14" s="1151">
        <v>966</v>
      </c>
      <c r="AD14" s="1151">
        <f t="shared" si="3"/>
        <v>0</v>
      </c>
      <c r="AE14" s="1151"/>
      <c r="AF14" s="579"/>
      <c r="AG14" s="579" t="s">
        <v>3127</v>
      </c>
      <c r="AH14" s="1151">
        <f t="shared" si="5"/>
        <v>966</v>
      </c>
      <c r="AI14" s="1151"/>
      <c r="AJ14" s="1151"/>
      <c r="AK14" s="1151"/>
      <c r="AL14" s="1151"/>
      <c r="AM14" s="1151"/>
      <c r="AN14" s="543">
        <f t="shared" ref="AN14:AN16" si="8">I14</f>
        <v>966</v>
      </c>
      <c r="AO14" s="543"/>
      <c r="AP14" s="543"/>
      <c r="AQ14" s="543"/>
      <c r="AR14" s="543"/>
      <c r="AS14" s="543"/>
      <c r="AT14" s="543"/>
      <c r="AW14" s="543"/>
      <c r="AX14" s="1310">
        <f t="shared" ref="AX14:AX16" si="9">I14</f>
        <v>966</v>
      </c>
      <c r="AY14" s="543"/>
      <c r="AZ14" s="543"/>
      <c r="BA14" s="543"/>
      <c r="BB14" s="543"/>
      <c r="BC14" s="1200"/>
      <c r="BD14" s="1200"/>
      <c r="BE14" s="543">
        <f t="shared" ref="BE14:BE16" si="10">I14/21</f>
        <v>46</v>
      </c>
      <c r="BF14" s="1200"/>
      <c r="BG14" s="1200"/>
      <c r="BH14" s="1200"/>
      <c r="BI14" s="1312"/>
      <c r="BJ14" s="1200"/>
      <c r="BK14" s="1200"/>
      <c r="BL14" s="1200"/>
      <c r="BM14" s="1200"/>
      <c r="BN14" s="1200"/>
      <c r="BO14" s="1200"/>
      <c r="BP14" s="1200"/>
      <c r="BQ14" s="1200"/>
      <c r="BR14" s="1200"/>
      <c r="BS14" s="1200"/>
      <c r="BT14" s="1200"/>
      <c r="BU14" s="1200"/>
      <c r="BV14" s="1200"/>
      <c r="BW14" s="1200"/>
      <c r="BX14" s="1200"/>
      <c r="BY14" s="1200"/>
      <c r="BZ14" s="1012">
        <f t="shared" si="1"/>
        <v>966</v>
      </c>
      <c r="CB14" s="1219"/>
      <c r="CC14" s="1219"/>
      <c r="CE14" s="1009">
        <f t="shared" si="2"/>
        <v>1791858</v>
      </c>
    </row>
    <row r="15" s="1009" customFormat="1" ht="36" customHeight="1" spans="1:83">
      <c r="A15" s="1257">
        <v>45621</v>
      </c>
      <c r="B15" s="1036" t="s">
        <v>587</v>
      </c>
      <c r="C15" s="1037" t="s">
        <v>117</v>
      </c>
      <c r="D15" s="1038">
        <v>4500152220</v>
      </c>
      <c r="E15" s="1039" t="s">
        <v>3147</v>
      </c>
      <c r="F15" s="1038" t="s">
        <v>3148</v>
      </c>
      <c r="G15" s="1040" t="s">
        <v>120</v>
      </c>
      <c r="H15" s="1041" t="s">
        <v>74</v>
      </c>
      <c r="I15" s="1012">
        <v>1197</v>
      </c>
      <c r="J15" s="1087">
        <v>0</v>
      </c>
      <c r="K15" s="1040">
        <v>21</v>
      </c>
      <c r="L15" s="1012">
        <f t="shared" si="0"/>
        <v>57</v>
      </c>
      <c r="M15" s="1079">
        <v>45649</v>
      </c>
      <c r="N15" s="1079">
        <v>45645</v>
      </c>
      <c r="O15" s="579" t="s">
        <v>3143</v>
      </c>
      <c r="P15" s="579" t="s">
        <v>92</v>
      </c>
      <c r="Q15" s="579" t="s">
        <v>3149</v>
      </c>
      <c r="R15" s="579">
        <v>45621</v>
      </c>
      <c r="S15" s="579" t="s">
        <v>123</v>
      </c>
      <c r="T15" s="1284" t="s">
        <v>3145</v>
      </c>
      <c r="U15" s="1039" t="s">
        <v>3146</v>
      </c>
      <c r="V15" s="1039" t="s">
        <v>634</v>
      </c>
      <c r="W15" s="1113">
        <v>1.4585</v>
      </c>
      <c r="X15" s="1114">
        <f t="shared" si="4"/>
        <v>1745.8245</v>
      </c>
      <c r="Y15" s="1012"/>
      <c r="Z15" s="1159" t="s">
        <v>2616</v>
      </c>
      <c r="AA15" s="1150" t="s">
        <v>128</v>
      </c>
      <c r="AB15" s="1150"/>
      <c r="AC15" s="1151">
        <v>1197</v>
      </c>
      <c r="AD15" s="1151">
        <f t="shared" si="3"/>
        <v>0</v>
      </c>
      <c r="AE15" s="1151"/>
      <c r="AF15" s="579"/>
      <c r="AG15" s="579" t="s">
        <v>3127</v>
      </c>
      <c r="AH15" s="1151">
        <f t="shared" si="5"/>
        <v>1197</v>
      </c>
      <c r="AI15" s="1151"/>
      <c r="AJ15" s="1151"/>
      <c r="AK15" s="1151"/>
      <c r="AL15" s="1151"/>
      <c r="AM15" s="1151"/>
      <c r="AN15" s="543">
        <f t="shared" si="8"/>
        <v>1197</v>
      </c>
      <c r="AO15" s="543"/>
      <c r="AP15" s="543"/>
      <c r="AQ15" s="543"/>
      <c r="AR15" s="543"/>
      <c r="AS15" s="543"/>
      <c r="AT15" s="543"/>
      <c r="AU15" s="1310"/>
      <c r="AV15" s="1310"/>
      <c r="AW15" s="543"/>
      <c r="AX15" s="1310">
        <f t="shared" si="9"/>
        <v>1197</v>
      </c>
      <c r="AY15" s="543"/>
      <c r="AZ15" s="543"/>
      <c r="BA15" s="543"/>
      <c r="BB15" s="543"/>
      <c r="BC15" s="1200"/>
      <c r="BD15" s="1200"/>
      <c r="BE15" s="543">
        <f t="shared" si="10"/>
        <v>57</v>
      </c>
      <c r="BF15" s="1200"/>
      <c r="BG15" s="1200"/>
      <c r="BH15" s="1200"/>
      <c r="BI15" s="1312"/>
      <c r="BJ15" s="1200"/>
      <c r="BK15" s="1200"/>
      <c r="BL15" s="1200"/>
      <c r="BM15" s="1200"/>
      <c r="BN15" s="1200"/>
      <c r="BO15" s="1200"/>
      <c r="BP15" s="1200"/>
      <c r="BQ15" s="1200"/>
      <c r="BR15" s="1200"/>
      <c r="BS15" s="1200"/>
      <c r="BT15" s="1200"/>
      <c r="BU15" s="1200"/>
      <c r="BV15" s="1200"/>
      <c r="BW15" s="1200"/>
      <c r="BX15" s="1200"/>
      <c r="BY15" s="1200"/>
      <c r="BZ15" s="1012">
        <f t="shared" si="1"/>
        <v>1197</v>
      </c>
      <c r="CB15" s="1219"/>
      <c r="CC15" s="1219"/>
      <c r="CE15" s="1009">
        <f t="shared" si="2"/>
        <v>1790661</v>
      </c>
    </row>
    <row r="16" s="1009" customFormat="1" ht="36" customHeight="1" spans="1:83">
      <c r="A16" s="1257">
        <v>45621</v>
      </c>
      <c r="B16" s="1036" t="s">
        <v>587</v>
      </c>
      <c r="C16" s="1037" t="s">
        <v>117</v>
      </c>
      <c r="D16" s="1038">
        <v>4500152220</v>
      </c>
      <c r="E16" s="1039" t="s">
        <v>3150</v>
      </c>
      <c r="F16" s="1038" t="s">
        <v>3151</v>
      </c>
      <c r="G16" s="1040" t="s">
        <v>120</v>
      </c>
      <c r="H16" s="1041" t="s">
        <v>74</v>
      </c>
      <c r="I16" s="1012">
        <v>987</v>
      </c>
      <c r="J16" s="1087">
        <v>0</v>
      </c>
      <c r="K16" s="1040">
        <v>21</v>
      </c>
      <c r="L16" s="1012">
        <f t="shared" si="0"/>
        <v>47</v>
      </c>
      <c r="M16" s="1079">
        <v>45649</v>
      </c>
      <c r="N16" s="1079">
        <v>45645</v>
      </c>
      <c r="O16" s="579" t="s">
        <v>3143</v>
      </c>
      <c r="P16" s="579" t="s">
        <v>92</v>
      </c>
      <c r="Q16" s="579" t="s">
        <v>3152</v>
      </c>
      <c r="R16" s="579">
        <v>45621</v>
      </c>
      <c r="S16" s="579" t="s">
        <v>123</v>
      </c>
      <c r="T16" s="1284" t="s">
        <v>3145</v>
      </c>
      <c r="U16" s="1039" t="s">
        <v>3153</v>
      </c>
      <c r="V16" s="1039" t="s">
        <v>634</v>
      </c>
      <c r="W16" s="1113">
        <v>1.4585</v>
      </c>
      <c r="X16" s="1114">
        <f t="shared" si="4"/>
        <v>1439.5395</v>
      </c>
      <c r="Y16" s="1012" t="s">
        <v>3425</v>
      </c>
      <c r="Z16" s="1159" t="s">
        <v>2616</v>
      </c>
      <c r="AA16" s="1150" t="s">
        <v>128</v>
      </c>
      <c r="AB16" s="1150"/>
      <c r="AC16" s="1151">
        <v>987</v>
      </c>
      <c r="AD16" s="1151">
        <f t="shared" si="3"/>
        <v>0</v>
      </c>
      <c r="AE16" s="1151"/>
      <c r="AF16" s="579"/>
      <c r="AG16" s="579" t="s">
        <v>3127</v>
      </c>
      <c r="AH16" s="1151">
        <f t="shared" si="5"/>
        <v>987</v>
      </c>
      <c r="AI16" s="1151"/>
      <c r="AJ16" s="1151"/>
      <c r="AK16" s="1151"/>
      <c r="AL16" s="1151"/>
      <c r="AM16" s="1151"/>
      <c r="AN16" s="543">
        <f t="shared" si="8"/>
        <v>987</v>
      </c>
      <c r="AO16" s="543"/>
      <c r="AP16" s="543"/>
      <c r="AQ16" s="543"/>
      <c r="AR16" s="543"/>
      <c r="AS16" s="543"/>
      <c r="AT16" s="543"/>
      <c r="AU16" s="1310"/>
      <c r="AV16" s="1310"/>
      <c r="AW16" s="543"/>
      <c r="AX16" s="1310">
        <f t="shared" si="9"/>
        <v>987</v>
      </c>
      <c r="AY16" s="543"/>
      <c r="AZ16" s="543"/>
      <c r="BA16" s="543"/>
      <c r="BB16" s="543"/>
      <c r="BC16" s="1200"/>
      <c r="BD16" s="1200"/>
      <c r="BE16" s="543">
        <f t="shared" si="10"/>
        <v>47</v>
      </c>
      <c r="BF16" s="1200"/>
      <c r="BG16" s="1200"/>
      <c r="BH16" s="1200"/>
      <c r="BI16" s="1312"/>
      <c r="BJ16" s="1200"/>
      <c r="BK16" s="1200"/>
      <c r="BL16" s="1200"/>
      <c r="BM16" s="1200"/>
      <c r="BN16" s="1200"/>
      <c r="BO16" s="1200"/>
      <c r="BP16" s="1200"/>
      <c r="BQ16" s="1200"/>
      <c r="BR16" s="1200"/>
      <c r="BS16" s="1200"/>
      <c r="BT16" s="1200"/>
      <c r="BU16" s="1200"/>
      <c r="BV16" s="1200"/>
      <c r="BW16" s="1200"/>
      <c r="BX16" s="1200"/>
      <c r="BY16" s="1200"/>
      <c r="BZ16" s="1012">
        <f t="shared" si="1"/>
        <v>987</v>
      </c>
      <c r="CB16" s="1219"/>
      <c r="CC16" s="1219"/>
      <c r="CE16" s="1009">
        <f t="shared" si="2"/>
        <v>1789674</v>
      </c>
    </row>
    <row r="17" s="1009" customFormat="1" ht="36" customHeight="1" spans="1:83">
      <c r="A17" s="540">
        <v>45607</v>
      </c>
      <c r="B17" s="1036" t="s">
        <v>116</v>
      </c>
      <c r="C17" s="1037" t="s">
        <v>117</v>
      </c>
      <c r="D17" s="1038">
        <v>4500150926</v>
      </c>
      <c r="E17" s="1039" t="s">
        <v>3168</v>
      </c>
      <c r="F17" s="1038" t="s">
        <v>3169</v>
      </c>
      <c r="G17" s="1040" t="s">
        <v>120</v>
      </c>
      <c r="H17" s="1041" t="s">
        <v>74</v>
      </c>
      <c r="I17" s="1012">
        <v>3675</v>
      </c>
      <c r="J17" s="1087">
        <v>0</v>
      </c>
      <c r="K17" s="1040">
        <v>21</v>
      </c>
      <c r="L17" s="1012">
        <f t="shared" si="0"/>
        <v>175</v>
      </c>
      <c r="M17" s="1079">
        <v>45653</v>
      </c>
      <c r="N17" s="1079">
        <v>45649</v>
      </c>
      <c r="O17" s="579"/>
      <c r="P17" s="579" t="s">
        <v>92</v>
      </c>
      <c r="Q17" s="579" t="s">
        <v>3426</v>
      </c>
      <c r="R17" s="579">
        <v>45621</v>
      </c>
      <c r="S17" s="578" t="s">
        <v>123</v>
      </c>
      <c r="T17" s="695" t="s">
        <v>3170</v>
      </c>
      <c r="U17" s="1039" t="s">
        <v>3171</v>
      </c>
      <c r="V17" s="1112" t="s">
        <v>126</v>
      </c>
      <c r="W17" s="1113">
        <v>1.4397</v>
      </c>
      <c r="X17" s="1114">
        <f>W17*L17</f>
        <v>251.9475</v>
      </c>
      <c r="Y17" s="1012" t="s">
        <v>3427</v>
      </c>
      <c r="Z17" s="1159" t="s">
        <v>120</v>
      </c>
      <c r="AA17" s="1150" t="s">
        <v>128</v>
      </c>
      <c r="AB17" s="1150"/>
      <c r="AC17" s="1151">
        <v>3675</v>
      </c>
      <c r="AD17" s="1151">
        <f t="shared" si="3"/>
        <v>0</v>
      </c>
      <c r="AE17" s="1151"/>
      <c r="AF17" s="579"/>
      <c r="AG17" s="579" t="s">
        <v>3127</v>
      </c>
      <c r="AH17" s="1151">
        <f t="shared" si="5"/>
        <v>3675</v>
      </c>
      <c r="AI17" s="1151"/>
      <c r="AJ17" s="1151"/>
      <c r="AK17" s="1151"/>
      <c r="AL17" s="1151"/>
      <c r="AM17" s="1151"/>
      <c r="AN17" s="543">
        <f t="shared" ref="AN17:AN22" si="11">AH17</f>
        <v>3675</v>
      </c>
      <c r="AO17" s="543"/>
      <c r="AP17" s="543"/>
      <c r="AQ17" s="543"/>
      <c r="AR17" s="543"/>
      <c r="AS17" s="543"/>
      <c r="AT17" s="543"/>
      <c r="AU17" s="1310">
        <f t="shared" ref="AU17:AU20" si="12">I17</f>
        <v>3675</v>
      </c>
      <c r="AV17" s="1310"/>
      <c r="AW17" s="543"/>
      <c r="AY17" s="543"/>
      <c r="AZ17" s="543"/>
      <c r="BA17" s="543"/>
      <c r="BB17" s="543">
        <f>I17/21</f>
        <v>175</v>
      </c>
      <c r="BC17" s="1200"/>
      <c r="BD17" s="1312"/>
      <c r="BF17" s="1200"/>
      <c r="BG17" s="1200"/>
      <c r="BH17" s="1200"/>
      <c r="BI17" s="1312"/>
      <c r="BJ17" s="1200"/>
      <c r="BK17" s="1200"/>
      <c r="BL17" s="1200"/>
      <c r="BM17" s="1200"/>
      <c r="BN17" s="1200"/>
      <c r="BO17" s="1200"/>
      <c r="BP17" s="1200"/>
      <c r="BQ17" s="1200"/>
      <c r="BR17" s="1200"/>
      <c r="BS17" s="1200"/>
      <c r="BT17" s="1200"/>
      <c r="BU17" s="1200"/>
      <c r="BV17" s="1200"/>
      <c r="BW17" s="1200"/>
      <c r="BX17" s="1200"/>
      <c r="BY17" s="1200"/>
      <c r="BZ17" s="1012">
        <f t="shared" si="1"/>
        <v>3675</v>
      </c>
      <c r="CB17" s="1219"/>
      <c r="CC17" s="1219"/>
      <c r="CE17" s="1009">
        <f t="shared" si="2"/>
        <v>1785999</v>
      </c>
    </row>
    <row r="18" s="1009" customFormat="1" ht="36" customHeight="1" spans="1:83">
      <c r="A18" s="540">
        <v>45621</v>
      </c>
      <c r="B18" s="1036" t="s">
        <v>3187</v>
      </c>
      <c r="C18" s="1037" t="s">
        <v>3188</v>
      </c>
      <c r="D18" s="1038">
        <v>4500152280</v>
      </c>
      <c r="E18" s="1039"/>
      <c r="F18" s="1038" t="s">
        <v>3189</v>
      </c>
      <c r="G18" s="1040" t="s">
        <v>96</v>
      </c>
      <c r="H18" s="1041" t="s">
        <v>74</v>
      </c>
      <c r="I18" s="1012">
        <v>400</v>
      </c>
      <c r="J18" s="1087">
        <v>0</v>
      </c>
      <c r="K18" s="1040">
        <v>50</v>
      </c>
      <c r="L18" s="1012">
        <f t="shared" si="0"/>
        <v>8</v>
      </c>
      <c r="M18" s="1079">
        <v>45660</v>
      </c>
      <c r="N18" s="1079">
        <v>45656</v>
      </c>
      <c r="O18" s="579"/>
      <c r="P18" s="579" t="s">
        <v>1262</v>
      </c>
      <c r="Q18" s="579" t="s">
        <v>3217</v>
      </c>
      <c r="R18" s="579">
        <v>45623</v>
      </c>
      <c r="S18" s="578" t="s">
        <v>77</v>
      </c>
      <c r="T18" s="1284" t="s">
        <v>77</v>
      </c>
      <c r="U18" s="1039" t="s">
        <v>3190</v>
      </c>
      <c r="V18" s="1112" t="s">
        <v>618</v>
      </c>
      <c r="W18" s="1113">
        <v>1.4395</v>
      </c>
      <c r="X18" s="1114">
        <f t="shared" ref="X18:X22" si="13">I18*W18</f>
        <v>575.8</v>
      </c>
      <c r="Y18" s="1012" t="s">
        <v>3428</v>
      </c>
      <c r="Z18" s="1159" t="s">
        <v>96</v>
      </c>
      <c r="AA18" s="1150" t="s">
        <v>128</v>
      </c>
      <c r="AB18" s="1150"/>
      <c r="AC18" s="1151">
        <v>400</v>
      </c>
      <c r="AD18" s="1151">
        <f t="shared" si="3"/>
        <v>0</v>
      </c>
      <c r="AE18" s="1151"/>
      <c r="AF18" s="579"/>
      <c r="AG18" s="579" t="s">
        <v>659</v>
      </c>
      <c r="AH18" s="1151">
        <f t="shared" si="5"/>
        <v>400</v>
      </c>
      <c r="AI18" s="1151"/>
      <c r="AJ18" s="1151"/>
      <c r="AK18" s="1151"/>
      <c r="AL18" s="1151"/>
      <c r="AM18" s="1151"/>
      <c r="AN18" s="543">
        <f t="shared" si="11"/>
        <v>400</v>
      </c>
      <c r="AO18" s="543"/>
      <c r="AP18" s="543"/>
      <c r="AQ18" s="543"/>
      <c r="AR18" s="543"/>
      <c r="AS18" s="543"/>
      <c r="AT18" s="543"/>
      <c r="AU18" s="543">
        <f t="shared" si="12"/>
        <v>400</v>
      </c>
      <c r="AV18" s="543"/>
      <c r="AW18" s="543"/>
      <c r="AX18" s="543"/>
      <c r="AY18" s="543"/>
      <c r="AZ18" s="543"/>
      <c r="BA18" s="543"/>
      <c r="BB18" s="543"/>
      <c r="BC18" s="1200"/>
      <c r="BD18" s="1200"/>
      <c r="BE18" s="1200"/>
      <c r="BF18" s="1200"/>
      <c r="BG18" s="1200"/>
      <c r="BH18" s="1200"/>
      <c r="BI18" s="1312"/>
      <c r="BJ18" s="1200"/>
      <c r="BK18" s="1200"/>
      <c r="BL18" s="1200"/>
      <c r="BM18" s="1200">
        <f>I18/25</f>
        <v>16</v>
      </c>
      <c r="BN18" s="1200"/>
      <c r="BO18" s="1200"/>
      <c r="BP18" s="1200"/>
      <c r="BQ18" s="1200"/>
      <c r="BR18" s="1200"/>
      <c r="BS18" s="1200"/>
      <c r="BT18" s="1200"/>
      <c r="BU18" s="1200"/>
      <c r="BV18" s="1200"/>
      <c r="BW18" s="1200"/>
      <c r="BX18" s="1200"/>
      <c r="BY18" s="1200"/>
      <c r="BZ18" s="1012">
        <f t="shared" si="1"/>
        <v>400</v>
      </c>
      <c r="CB18" s="1219"/>
      <c r="CC18" s="1219"/>
      <c r="CE18" s="1009">
        <f t="shared" si="2"/>
        <v>1785599</v>
      </c>
    </row>
    <row r="19" s="1009" customFormat="1" ht="36" customHeight="1" spans="1:83">
      <c r="A19" s="540">
        <v>45643</v>
      </c>
      <c r="B19" s="1036" t="s">
        <v>3191</v>
      </c>
      <c r="C19" s="1037" t="s">
        <v>3192</v>
      </c>
      <c r="D19" s="1038" t="s">
        <v>3193</v>
      </c>
      <c r="E19" s="1039"/>
      <c r="F19" s="579" t="s">
        <v>3194</v>
      </c>
      <c r="G19" s="1040" t="s">
        <v>3195</v>
      </c>
      <c r="H19" s="1041" t="s">
        <v>74</v>
      </c>
      <c r="I19" s="1012">
        <v>31962</v>
      </c>
      <c r="J19" s="1087">
        <v>0</v>
      </c>
      <c r="K19" s="1040">
        <v>24</v>
      </c>
      <c r="L19" s="1012">
        <f t="shared" si="0"/>
        <v>1331.75</v>
      </c>
      <c r="M19" s="1079">
        <v>45667</v>
      </c>
      <c r="N19" s="1079">
        <v>45663</v>
      </c>
      <c r="O19" s="579" t="s">
        <v>1221</v>
      </c>
      <c r="P19" s="1276" t="s">
        <v>92</v>
      </c>
      <c r="Q19" s="579" t="s">
        <v>3196</v>
      </c>
      <c r="R19" s="579" t="s">
        <v>3197</v>
      </c>
      <c r="S19" s="1283" t="s">
        <v>77</v>
      </c>
      <c r="T19" s="581" t="s">
        <v>3198</v>
      </c>
      <c r="U19" s="1039" t="s">
        <v>3199</v>
      </c>
      <c r="V19" s="1112" t="s">
        <v>3200</v>
      </c>
      <c r="W19" s="1113">
        <v>1.3304</v>
      </c>
      <c r="X19" s="1114">
        <f t="shared" si="13"/>
        <v>42522.2448</v>
      </c>
      <c r="Y19" s="1301" t="s">
        <v>3429</v>
      </c>
      <c r="Z19" s="1159" t="s">
        <v>188</v>
      </c>
      <c r="AA19" s="1150" t="s">
        <v>128</v>
      </c>
      <c r="AB19" s="1150"/>
      <c r="AC19" s="1151"/>
      <c r="AD19" s="1151"/>
      <c r="AE19" s="1151"/>
      <c r="AF19" s="579"/>
      <c r="AG19" s="1148" t="s">
        <v>3201</v>
      </c>
      <c r="AH19" s="1151">
        <f t="shared" si="5"/>
        <v>31962</v>
      </c>
      <c r="AI19" s="1151"/>
      <c r="AJ19" s="1151"/>
      <c r="AK19" s="1151"/>
      <c r="AL19" s="1151"/>
      <c r="AM19" s="1151"/>
      <c r="AN19" s="543"/>
      <c r="AO19" s="1012">
        <f t="shared" ref="AO19:AO24" si="14">I19</f>
        <v>31962</v>
      </c>
      <c r="AP19" s="1012"/>
      <c r="AQ19" s="1012"/>
      <c r="AR19" s="543"/>
      <c r="AS19" s="543"/>
      <c r="AT19" s="543"/>
      <c r="AU19" s="543">
        <f t="shared" si="12"/>
        <v>31962</v>
      </c>
      <c r="AV19" s="543"/>
      <c r="AW19" s="543"/>
      <c r="AX19" s="1307"/>
      <c r="AY19" s="543"/>
      <c r="AZ19" s="1307"/>
      <c r="BA19" s="1307"/>
      <c r="BB19" s="1307"/>
      <c r="BC19" s="1200"/>
      <c r="BD19" s="1200"/>
      <c r="BE19" s="1200"/>
      <c r="BF19" s="1200"/>
      <c r="BG19" s="1200"/>
      <c r="BH19" s="1200"/>
      <c r="BI19" s="1312"/>
      <c r="BJ19" s="1200"/>
      <c r="BK19" s="1200"/>
      <c r="BL19" s="1200"/>
      <c r="BM19" s="1200"/>
      <c r="BN19" s="1200"/>
      <c r="BO19" s="1200"/>
      <c r="BP19" s="1200"/>
      <c r="BQ19" s="1200"/>
      <c r="BR19" s="1200"/>
      <c r="BS19" s="1200"/>
      <c r="BT19" s="1200"/>
      <c r="BU19" s="1200"/>
      <c r="BV19" s="1200"/>
      <c r="BW19" s="1200"/>
      <c r="BX19" s="1200"/>
      <c r="BY19" s="1200"/>
      <c r="BZ19" s="1012">
        <f t="shared" si="1"/>
        <v>31962</v>
      </c>
      <c r="CB19" s="1219"/>
      <c r="CC19" s="1219"/>
      <c r="CE19" s="1009">
        <f t="shared" si="2"/>
        <v>1753637</v>
      </c>
    </row>
    <row r="20" s="1255" customFormat="1" ht="36" customHeight="1" spans="1:84">
      <c r="A20" s="1262">
        <v>45604</v>
      </c>
      <c r="B20" s="1263" t="s">
        <v>243</v>
      </c>
      <c r="C20" s="1264" t="s">
        <v>213</v>
      </c>
      <c r="D20" s="1265">
        <v>4500150696</v>
      </c>
      <c r="E20" s="1266"/>
      <c r="F20" s="1265" t="s">
        <v>3202</v>
      </c>
      <c r="G20" s="1267" t="s">
        <v>3203</v>
      </c>
      <c r="H20" s="1268" t="s">
        <v>833</v>
      </c>
      <c r="I20" s="1277">
        <v>975</v>
      </c>
      <c r="J20" s="1278" t="s">
        <v>3204</v>
      </c>
      <c r="K20" s="1267">
        <v>975</v>
      </c>
      <c r="L20" s="1277">
        <f t="shared" si="0"/>
        <v>1</v>
      </c>
      <c r="M20" s="1279">
        <v>45656</v>
      </c>
      <c r="N20" s="1279">
        <v>45652</v>
      </c>
      <c r="O20" s="1276"/>
      <c r="P20" s="1276" t="s">
        <v>92</v>
      </c>
      <c r="Q20" s="1276" t="s">
        <v>3217</v>
      </c>
      <c r="R20" s="1276">
        <v>45625</v>
      </c>
      <c r="S20" s="1285" t="s">
        <v>123</v>
      </c>
      <c r="T20" s="1286" t="s">
        <v>3205</v>
      </c>
      <c r="U20" s="1266" t="s">
        <v>3206</v>
      </c>
      <c r="V20" s="1287" t="s">
        <v>3207</v>
      </c>
      <c r="W20" s="1288">
        <v>1294.836</v>
      </c>
      <c r="X20" s="1289">
        <f t="shared" ref="X20:X24" si="15">W20*L20</f>
        <v>1294.836</v>
      </c>
      <c r="Y20" s="1277" t="s">
        <v>3430</v>
      </c>
      <c r="Z20" s="1302" t="s">
        <v>3203</v>
      </c>
      <c r="AA20" s="1303" t="s">
        <v>128</v>
      </c>
      <c r="AB20" s="1303"/>
      <c r="AC20" s="1304">
        <v>975</v>
      </c>
      <c r="AD20" s="1304">
        <f t="shared" ref="AD20:AD79" si="16">AC20-I20</f>
        <v>0</v>
      </c>
      <c r="AE20" s="1304"/>
      <c r="AF20" s="1276"/>
      <c r="AG20" s="1276" t="s">
        <v>3127</v>
      </c>
      <c r="AH20" s="1304">
        <f t="shared" si="5"/>
        <v>975</v>
      </c>
      <c r="AI20" s="1304"/>
      <c r="AJ20" s="1304"/>
      <c r="AK20" s="1304"/>
      <c r="AL20" s="1305"/>
      <c r="AM20" s="1305"/>
      <c r="AO20" s="1306">
        <f t="shared" si="14"/>
        <v>975</v>
      </c>
      <c r="AP20" s="1306"/>
      <c r="AQ20" s="1306"/>
      <c r="AR20" s="1306"/>
      <c r="AS20" s="1306"/>
      <c r="AT20" s="1306"/>
      <c r="AU20" s="1306">
        <f t="shared" si="12"/>
        <v>975</v>
      </c>
      <c r="AV20" s="1306"/>
      <c r="AW20" s="1306"/>
      <c r="AX20" s="1306"/>
      <c r="AY20" s="1306"/>
      <c r="AZ20" s="1306"/>
      <c r="BA20" s="1306"/>
      <c r="BB20" s="1306"/>
      <c r="BC20" s="1313"/>
      <c r="BD20" s="1313"/>
      <c r="BE20" s="1313"/>
      <c r="BF20" s="1313"/>
      <c r="BG20" s="1313"/>
      <c r="BH20" s="1313"/>
      <c r="BJ20" s="1313">
        <f t="shared" ref="BJ20:BJ24" si="17">I20/13</f>
        <v>75</v>
      </c>
      <c r="BK20" s="1313"/>
      <c r="BL20" s="1313"/>
      <c r="BM20" s="1313"/>
      <c r="BN20" s="1313"/>
      <c r="BO20" s="1313"/>
      <c r="BP20" s="1313"/>
      <c r="BQ20" s="1313"/>
      <c r="BR20" s="1313"/>
      <c r="BS20" s="1313"/>
      <c r="BT20" s="1313"/>
      <c r="BU20" s="1313"/>
      <c r="BV20" s="1313"/>
      <c r="BW20" s="1313"/>
      <c r="BX20" s="1313"/>
      <c r="BY20" s="1313"/>
      <c r="BZ20" s="1012">
        <f t="shared" si="1"/>
        <v>975</v>
      </c>
      <c r="CA20" s="1009"/>
      <c r="CB20" s="1219"/>
      <c r="CC20" s="1219"/>
      <c r="CD20" s="1009"/>
      <c r="CE20" s="1009">
        <f t="shared" si="2"/>
        <v>1752662</v>
      </c>
      <c r="CF20" s="1009"/>
    </row>
    <row r="21" s="1255" customFormat="1" ht="36" customHeight="1" spans="1:84">
      <c r="A21" s="1262">
        <v>45604</v>
      </c>
      <c r="B21" s="1263" t="s">
        <v>225</v>
      </c>
      <c r="C21" s="1264" t="s">
        <v>213</v>
      </c>
      <c r="D21" s="1265">
        <v>4500150141</v>
      </c>
      <c r="E21" s="1266" t="s">
        <v>3208</v>
      </c>
      <c r="F21" s="1265" t="s">
        <v>3209</v>
      </c>
      <c r="G21" s="1267" t="s">
        <v>403</v>
      </c>
      <c r="H21" s="1268" t="s">
        <v>74</v>
      </c>
      <c r="I21" s="1277">
        <v>2496</v>
      </c>
      <c r="J21" s="1278">
        <v>0</v>
      </c>
      <c r="K21" s="1267">
        <v>52</v>
      </c>
      <c r="L21" s="1277">
        <f t="shared" si="0"/>
        <v>48</v>
      </c>
      <c r="M21" s="1279">
        <v>45657</v>
      </c>
      <c r="N21" s="1279">
        <v>45653</v>
      </c>
      <c r="O21" s="1276" t="s">
        <v>3210</v>
      </c>
      <c r="P21" s="1276" t="s">
        <v>92</v>
      </c>
      <c r="Q21" s="1276" t="s">
        <v>3211</v>
      </c>
      <c r="R21" s="1276">
        <v>45610</v>
      </c>
      <c r="S21" s="1285" t="s">
        <v>77</v>
      </c>
      <c r="T21" s="1286" t="s">
        <v>2990</v>
      </c>
      <c r="U21" s="1290" t="s">
        <v>3212</v>
      </c>
      <c r="V21" s="1287" t="s">
        <v>230</v>
      </c>
      <c r="W21" s="1288">
        <v>1.4046</v>
      </c>
      <c r="X21" s="1289">
        <f t="shared" si="13"/>
        <v>3505.8816</v>
      </c>
      <c r="Y21" s="1277" t="s">
        <v>3431</v>
      </c>
      <c r="Z21" s="1302" t="s">
        <v>403</v>
      </c>
      <c r="AA21" s="1303" t="s">
        <v>128</v>
      </c>
      <c r="AB21" s="1303"/>
      <c r="AC21" s="1304">
        <v>2496</v>
      </c>
      <c r="AD21" s="1304">
        <f t="shared" si="16"/>
        <v>0</v>
      </c>
      <c r="AE21" s="1304"/>
      <c r="AF21" s="1276"/>
      <c r="AG21" s="1276" t="s">
        <v>3127</v>
      </c>
      <c r="AH21" s="1304">
        <f t="shared" si="5"/>
        <v>2496</v>
      </c>
      <c r="AI21" s="1304"/>
      <c r="AJ21" s="1304"/>
      <c r="AK21" s="1304"/>
      <c r="AL21" s="1304"/>
      <c r="AM21" s="1304"/>
      <c r="AN21" s="1306">
        <f t="shared" si="11"/>
        <v>2496</v>
      </c>
      <c r="AO21" s="1306"/>
      <c r="AP21" s="1306"/>
      <c r="AQ21" s="1306"/>
      <c r="AR21" s="1306"/>
      <c r="AS21" s="1306"/>
      <c r="AT21" s="1306"/>
      <c r="AU21" s="1306">
        <f>AH21</f>
        <v>2496</v>
      </c>
      <c r="AV21" s="1306"/>
      <c r="AW21" s="1306"/>
      <c r="AX21" s="1306"/>
      <c r="AY21" s="1306"/>
      <c r="AZ21" s="1306"/>
      <c r="BA21" s="1306"/>
      <c r="BB21" s="1306"/>
      <c r="BC21" s="1313"/>
      <c r="BD21" s="1313"/>
      <c r="BE21" s="1313"/>
      <c r="BF21" s="1313"/>
      <c r="BG21" s="1313"/>
      <c r="BH21" s="1313"/>
      <c r="BI21" s="1313">
        <f>AH21/13</f>
        <v>192</v>
      </c>
      <c r="BJ21" s="1313"/>
      <c r="BK21" s="1313"/>
      <c r="BL21" s="1313"/>
      <c r="BM21" s="1313"/>
      <c r="BN21" s="1313"/>
      <c r="BO21" s="1313"/>
      <c r="BP21" s="1313"/>
      <c r="BQ21" s="1313"/>
      <c r="BR21" s="1313"/>
      <c r="BS21" s="1313"/>
      <c r="BT21" s="1313"/>
      <c r="BU21" s="1313"/>
      <c r="BV21" s="1313"/>
      <c r="BW21" s="1313"/>
      <c r="BX21" s="1313"/>
      <c r="BY21" s="1313"/>
      <c r="BZ21" s="1012">
        <f t="shared" si="1"/>
        <v>2496</v>
      </c>
      <c r="CA21" s="1009"/>
      <c r="CB21" s="1219"/>
      <c r="CC21" s="1219"/>
      <c r="CD21" s="1009"/>
      <c r="CE21" s="1009">
        <f t="shared" si="2"/>
        <v>1750166</v>
      </c>
      <c r="CF21" s="1009"/>
    </row>
    <row r="22" s="1255" customFormat="1" ht="36" customHeight="1" spans="1:84">
      <c r="A22" s="1262">
        <v>45618</v>
      </c>
      <c r="B22" s="1263" t="s">
        <v>3213</v>
      </c>
      <c r="C22" s="1264" t="s">
        <v>3214</v>
      </c>
      <c r="D22" s="1265">
        <v>4500152087</v>
      </c>
      <c r="E22" s="1266" t="s">
        <v>3215</v>
      </c>
      <c r="F22" s="1265" t="s">
        <v>3216</v>
      </c>
      <c r="G22" s="1267" t="s">
        <v>96</v>
      </c>
      <c r="H22" s="1268" t="s">
        <v>74</v>
      </c>
      <c r="I22" s="1277">
        <v>3600</v>
      </c>
      <c r="J22" s="1278">
        <v>0</v>
      </c>
      <c r="K22" s="1267">
        <v>50</v>
      </c>
      <c r="L22" s="1277">
        <f t="shared" si="0"/>
        <v>72</v>
      </c>
      <c r="M22" s="1279">
        <v>45660</v>
      </c>
      <c r="N22" s="1279">
        <v>45656</v>
      </c>
      <c r="O22" s="1276"/>
      <c r="P22" s="1276" t="s">
        <v>92</v>
      </c>
      <c r="Q22" s="1276" t="s">
        <v>3217</v>
      </c>
      <c r="R22" s="1276">
        <v>45623</v>
      </c>
      <c r="S22" s="1291" t="s">
        <v>77</v>
      </c>
      <c r="T22" s="1292" t="s">
        <v>3218</v>
      </c>
      <c r="U22" s="1266" t="s">
        <v>3219</v>
      </c>
      <c r="V22" s="1287" t="s">
        <v>618</v>
      </c>
      <c r="W22" s="1288">
        <v>1.4344</v>
      </c>
      <c r="X22" s="1289">
        <f t="shared" si="13"/>
        <v>5163.84</v>
      </c>
      <c r="Y22" s="1277" t="s">
        <v>3432</v>
      </c>
      <c r="Z22" s="1302" t="s">
        <v>96</v>
      </c>
      <c r="AA22" s="1303" t="s">
        <v>128</v>
      </c>
      <c r="AB22" s="1303"/>
      <c r="AC22" s="1304">
        <v>3600</v>
      </c>
      <c r="AD22" s="1304">
        <f t="shared" si="16"/>
        <v>0</v>
      </c>
      <c r="AE22" s="1304"/>
      <c r="AF22" s="1276"/>
      <c r="AG22" s="1276" t="s">
        <v>659</v>
      </c>
      <c r="AH22" s="1304">
        <f t="shared" si="5"/>
        <v>3600</v>
      </c>
      <c r="AI22" s="1304"/>
      <c r="AJ22" s="1304"/>
      <c r="AK22" s="1304"/>
      <c r="AL22" s="1304"/>
      <c r="AM22" s="1304"/>
      <c r="AN22" s="1306">
        <f t="shared" si="11"/>
        <v>3600</v>
      </c>
      <c r="AO22" s="1306"/>
      <c r="AP22" s="1306"/>
      <c r="AQ22" s="1306"/>
      <c r="AR22" s="1306"/>
      <c r="AS22" s="1306"/>
      <c r="AT22" s="1306"/>
      <c r="AU22" s="1306">
        <f t="shared" ref="AU22:AU32" si="18">I22</f>
        <v>3600</v>
      </c>
      <c r="AV22" s="1306"/>
      <c r="AW22" s="1306"/>
      <c r="AX22" s="1306"/>
      <c r="AY22" s="1306"/>
      <c r="AZ22" s="1306"/>
      <c r="BA22" s="1306"/>
      <c r="BB22" s="1306"/>
      <c r="BC22" s="1313"/>
      <c r="BD22" s="1313"/>
      <c r="BE22" s="1313"/>
      <c r="BF22" s="1313"/>
      <c r="BG22" s="1313"/>
      <c r="BH22" s="1313"/>
      <c r="BI22" s="1314"/>
      <c r="BJ22" s="1313"/>
      <c r="BK22" s="1313"/>
      <c r="BL22" s="1313"/>
      <c r="BM22" s="1313">
        <f>I22/25</f>
        <v>144</v>
      </c>
      <c r="BN22" s="1313"/>
      <c r="BO22" s="1313"/>
      <c r="BP22" s="1313"/>
      <c r="BQ22" s="1313"/>
      <c r="BR22" s="1313"/>
      <c r="BS22" s="1313"/>
      <c r="BT22" s="1313"/>
      <c r="BU22" s="1313"/>
      <c r="BV22" s="1313"/>
      <c r="BW22" s="1313"/>
      <c r="BX22" s="1313"/>
      <c r="BY22" s="1313"/>
      <c r="BZ22" s="1012">
        <f t="shared" si="1"/>
        <v>3600</v>
      </c>
      <c r="CA22" s="1009"/>
      <c r="CB22" s="1219"/>
      <c r="CC22" s="1219"/>
      <c r="CD22" s="1009"/>
      <c r="CE22" s="1009">
        <f t="shared" si="2"/>
        <v>1746566</v>
      </c>
      <c r="CF22" s="1009"/>
    </row>
    <row r="23" s="1255" customFormat="1" ht="36" customHeight="1" spans="1:84">
      <c r="A23" s="1269">
        <v>45579</v>
      </c>
      <c r="B23" s="1263" t="s">
        <v>243</v>
      </c>
      <c r="C23" s="1264" t="s">
        <v>213</v>
      </c>
      <c r="D23" s="1265">
        <v>4500147530</v>
      </c>
      <c r="E23" s="1266">
        <v>2950866070</v>
      </c>
      <c r="F23" s="1265" t="s">
        <v>3220</v>
      </c>
      <c r="G23" s="1267" t="s">
        <v>3203</v>
      </c>
      <c r="H23" s="1268" t="s">
        <v>833</v>
      </c>
      <c r="I23" s="1277">
        <v>1950</v>
      </c>
      <c r="J23" s="1278">
        <v>0</v>
      </c>
      <c r="K23" s="1267">
        <v>975</v>
      </c>
      <c r="L23" s="1277">
        <f t="shared" si="0"/>
        <v>2</v>
      </c>
      <c r="M23" s="1279">
        <v>45657</v>
      </c>
      <c r="N23" s="1279">
        <v>45656</v>
      </c>
      <c r="O23" s="1276"/>
      <c r="P23" s="1276" t="s">
        <v>92</v>
      </c>
      <c r="Q23" s="1276" t="s">
        <v>3217</v>
      </c>
      <c r="R23" s="1276">
        <v>45636</v>
      </c>
      <c r="S23" s="1285" t="s">
        <v>123</v>
      </c>
      <c r="T23" s="1286" t="s">
        <v>3205</v>
      </c>
      <c r="U23" s="1266" t="s">
        <v>3221</v>
      </c>
      <c r="V23" s="1287" t="s">
        <v>218</v>
      </c>
      <c r="W23" s="1288">
        <v>1289.8635</v>
      </c>
      <c r="X23" s="1289">
        <f t="shared" si="15"/>
        <v>2579.727</v>
      </c>
      <c r="Y23" s="1277" t="s">
        <v>3433</v>
      </c>
      <c r="Z23" s="1302" t="s">
        <v>3203</v>
      </c>
      <c r="AA23" s="1303" t="s">
        <v>128</v>
      </c>
      <c r="AB23" s="1303"/>
      <c r="AC23" s="1304">
        <f>1924+26</f>
        <v>1950</v>
      </c>
      <c r="AD23" s="1304">
        <f t="shared" si="16"/>
        <v>0</v>
      </c>
      <c r="AE23" s="1304"/>
      <c r="AF23" s="1276"/>
      <c r="AG23" s="1276" t="s">
        <v>3127</v>
      </c>
      <c r="AH23" s="1304">
        <f t="shared" si="5"/>
        <v>1950</v>
      </c>
      <c r="AI23" s="1304"/>
      <c r="AJ23" s="1304"/>
      <c r="AK23" s="1304"/>
      <c r="AL23" s="1305"/>
      <c r="AM23" s="1305"/>
      <c r="AO23" s="1306">
        <f t="shared" si="14"/>
        <v>1950</v>
      </c>
      <c r="AP23" s="1306"/>
      <c r="AQ23" s="1306"/>
      <c r="AR23" s="1306"/>
      <c r="AS23" s="1306"/>
      <c r="AT23" s="1306"/>
      <c r="AU23" s="1306">
        <f t="shared" si="18"/>
        <v>1950</v>
      </c>
      <c r="AV23" s="1306"/>
      <c r="AW23" s="1306"/>
      <c r="AX23" s="1306"/>
      <c r="AY23" s="1306"/>
      <c r="AZ23" s="1306"/>
      <c r="BA23" s="1306"/>
      <c r="BB23" s="1306"/>
      <c r="BC23" s="1313"/>
      <c r="BD23" s="1313"/>
      <c r="BE23" s="1313"/>
      <c r="BF23" s="1313"/>
      <c r="BG23" s="1313"/>
      <c r="BH23" s="1313"/>
      <c r="BJ23" s="1313">
        <f t="shared" si="17"/>
        <v>150</v>
      </c>
      <c r="BK23" s="1313"/>
      <c r="BL23" s="1313"/>
      <c r="BM23" s="1313"/>
      <c r="BN23" s="1313"/>
      <c r="BO23" s="1313"/>
      <c r="BP23" s="1313"/>
      <c r="BQ23" s="1313"/>
      <c r="BR23" s="1313"/>
      <c r="BS23" s="1313"/>
      <c r="BT23" s="1313"/>
      <c r="BU23" s="1313"/>
      <c r="BV23" s="1313"/>
      <c r="BW23" s="1313"/>
      <c r="BX23" s="1313"/>
      <c r="BY23" s="1313"/>
      <c r="BZ23" s="1012">
        <f t="shared" si="1"/>
        <v>1950</v>
      </c>
      <c r="CA23" s="1009"/>
      <c r="CB23" s="1219"/>
      <c r="CC23" s="1219"/>
      <c r="CD23" s="1009"/>
      <c r="CE23" s="1009">
        <f t="shared" si="2"/>
        <v>1744616</v>
      </c>
      <c r="CF23" s="1009"/>
    </row>
    <row r="24" s="1255" customFormat="1" ht="36" customHeight="1" spans="1:84">
      <c r="A24" s="1269">
        <v>45555</v>
      </c>
      <c r="B24" s="1263" t="s">
        <v>243</v>
      </c>
      <c r="C24" s="1264" t="s">
        <v>213</v>
      </c>
      <c r="D24" s="1265">
        <v>4500145734</v>
      </c>
      <c r="E24" s="1266">
        <v>2950866059</v>
      </c>
      <c r="F24" s="1265" t="s">
        <v>3222</v>
      </c>
      <c r="G24" s="1267" t="s">
        <v>3203</v>
      </c>
      <c r="H24" s="1268" t="s">
        <v>833</v>
      </c>
      <c r="I24" s="1277">
        <v>1950</v>
      </c>
      <c r="J24" s="1278">
        <v>0</v>
      </c>
      <c r="K24" s="1267">
        <v>975</v>
      </c>
      <c r="L24" s="1277">
        <f t="shared" si="0"/>
        <v>2</v>
      </c>
      <c r="M24" s="1279">
        <v>45657</v>
      </c>
      <c r="N24" s="1279">
        <v>45656</v>
      </c>
      <c r="O24" s="1276"/>
      <c r="P24" s="1276" t="s">
        <v>92</v>
      </c>
      <c r="Q24" s="1276" t="s">
        <v>3217</v>
      </c>
      <c r="R24" s="1276">
        <v>45636</v>
      </c>
      <c r="S24" s="1285" t="s">
        <v>123</v>
      </c>
      <c r="T24" s="1286" t="s">
        <v>3223</v>
      </c>
      <c r="U24" s="1266" t="s">
        <v>3224</v>
      </c>
      <c r="V24" s="1266" t="s">
        <v>218</v>
      </c>
      <c r="W24" s="1288">
        <v>1289.8635</v>
      </c>
      <c r="X24" s="1289">
        <f t="shared" si="15"/>
        <v>2579.727</v>
      </c>
      <c r="Y24" s="1277" t="s">
        <v>3434</v>
      </c>
      <c r="Z24" s="1302" t="s">
        <v>3203</v>
      </c>
      <c r="AA24" s="1303" t="s">
        <v>128</v>
      </c>
      <c r="AB24" s="1303"/>
      <c r="AC24" s="1304">
        <v>1950</v>
      </c>
      <c r="AD24" s="1304">
        <f t="shared" si="16"/>
        <v>0</v>
      </c>
      <c r="AE24" s="1304"/>
      <c r="AF24" s="1276"/>
      <c r="AG24" s="1276" t="s">
        <v>3127</v>
      </c>
      <c r="AH24" s="1304">
        <f t="shared" si="5"/>
        <v>1950</v>
      </c>
      <c r="AI24" s="1304"/>
      <c r="AJ24" s="1304"/>
      <c r="AK24" s="1304"/>
      <c r="AL24" s="1304"/>
      <c r="AM24" s="1304"/>
      <c r="AN24" s="1306"/>
      <c r="AO24" s="1306">
        <f t="shared" si="14"/>
        <v>1950</v>
      </c>
      <c r="AP24" s="1306"/>
      <c r="AQ24" s="1306"/>
      <c r="AR24" s="1306"/>
      <c r="AS24" s="1306"/>
      <c r="AT24" s="1306"/>
      <c r="AU24" s="1306">
        <f t="shared" si="18"/>
        <v>1950</v>
      </c>
      <c r="AV24" s="1306"/>
      <c r="AW24" s="1306"/>
      <c r="AX24" s="1306"/>
      <c r="AY24" s="1306"/>
      <c r="AZ24" s="1306"/>
      <c r="BA24" s="1306"/>
      <c r="BB24" s="1306"/>
      <c r="BC24" s="1313"/>
      <c r="BD24" s="1313"/>
      <c r="BE24" s="1313"/>
      <c r="BF24" s="1313"/>
      <c r="BG24" s="1313"/>
      <c r="BH24" s="1313"/>
      <c r="BI24" s="1313"/>
      <c r="BJ24" s="1313">
        <f t="shared" si="17"/>
        <v>150</v>
      </c>
      <c r="BK24" s="1313"/>
      <c r="BL24" s="1313"/>
      <c r="BM24" s="1313"/>
      <c r="BN24" s="1313"/>
      <c r="BO24" s="1313"/>
      <c r="BP24" s="1313"/>
      <c r="BQ24" s="1313"/>
      <c r="BR24" s="1313"/>
      <c r="BS24" s="1313"/>
      <c r="BT24" s="1313"/>
      <c r="BU24" s="1313"/>
      <c r="BV24" s="1313"/>
      <c r="BW24" s="1313"/>
      <c r="BX24" s="1313"/>
      <c r="BY24" s="1313"/>
      <c r="BZ24" s="1012">
        <f t="shared" si="1"/>
        <v>1950</v>
      </c>
      <c r="CA24" s="1009"/>
      <c r="CB24" s="1219"/>
      <c r="CC24" s="1219"/>
      <c r="CD24" s="1009"/>
      <c r="CE24" s="1009">
        <f t="shared" si="2"/>
        <v>1742666</v>
      </c>
      <c r="CF24" s="1009"/>
    </row>
    <row r="25" s="1255" customFormat="1" ht="36" customHeight="1" spans="1:84">
      <c r="A25" s="1262">
        <v>45618</v>
      </c>
      <c r="B25" s="1263" t="s">
        <v>116</v>
      </c>
      <c r="C25" s="1264" t="s">
        <v>117</v>
      </c>
      <c r="D25" s="1265">
        <v>4500152133</v>
      </c>
      <c r="E25" s="1266" t="s">
        <v>3225</v>
      </c>
      <c r="F25" s="1265" t="s">
        <v>3226</v>
      </c>
      <c r="G25" s="1267" t="s">
        <v>120</v>
      </c>
      <c r="H25" s="1268" t="s">
        <v>74</v>
      </c>
      <c r="I25" s="1277">
        <v>5061</v>
      </c>
      <c r="J25" s="1278">
        <v>0</v>
      </c>
      <c r="K25" s="1267">
        <v>21</v>
      </c>
      <c r="L25" s="1277">
        <f t="shared" si="0"/>
        <v>241</v>
      </c>
      <c r="M25" s="1279">
        <v>45657</v>
      </c>
      <c r="N25" s="1279">
        <v>45657</v>
      </c>
      <c r="O25" s="1276"/>
      <c r="P25" s="1276" t="s">
        <v>92</v>
      </c>
      <c r="Q25" s="1276" t="s">
        <v>3435</v>
      </c>
      <c r="R25" s="1276">
        <v>45630</v>
      </c>
      <c r="S25" s="1291" t="s">
        <v>123</v>
      </c>
      <c r="T25" s="1293" t="s">
        <v>3227</v>
      </c>
      <c r="U25" s="1266" t="s">
        <v>3228</v>
      </c>
      <c r="V25" s="1287" t="s">
        <v>126</v>
      </c>
      <c r="W25" s="1288">
        <v>1.4585</v>
      </c>
      <c r="X25" s="1289">
        <f t="shared" ref="X25:X32" si="19">I25*W25</f>
        <v>7381.4685</v>
      </c>
      <c r="Y25" s="1277" t="s">
        <v>3436</v>
      </c>
      <c r="Z25" s="1302" t="s">
        <v>120</v>
      </c>
      <c r="AA25" s="1303" t="s">
        <v>128</v>
      </c>
      <c r="AB25" s="1303"/>
      <c r="AC25" s="1304">
        <v>5061</v>
      </c>
      <c r="AD25" s="1304">
        <f t="shared" si="16"/>
        <v>0</v>
      </c>
      <c r="AE25" s="1304"/>
      <c r="AF25" s="1276"/>
      <c r="AG25" s="1276" t="s">
        <v>3127</v>
      </c>
      <c r="AH25" s="1304">
        <f t="shared" si="5"/>
        <v>5061</v>
      </c>
      <c r="AI25" s="1304"/>
      <c r="AJ25" s="1304"/>
      <c r="AK25" s="1304"/>
      <c r="AL25" s="1304"/>
      <c r="AM25" s="1304"/>
      <c r="AN25" s="1306">
        <f t="shared" ref="AN25:AN27" si="20">I25</f>
        <v>5061</v>
      </c>
      <c r="AO25" s="1306"/>
      <c r="AP25" s="1306"/>
      <c r="AQ25" s="1306"/>
      <c r="AR25" s="1306"/>
      <c r="AS25" s="1306"/>
      <c r="AT25" s="1306"/>
      <c r="AU25" s="1311">
        <f t="shared" si="18"/>
        <v>5061</v>
      </c>
      <c r="AV25" s="1311"/>
      <c r="AW25" s="1306"/>
      <c r="AX25" s="1306"/>
      <c r="AY25" s="1306"/>
      <c r="AZ25" s="1306"/>
      <c r="BA25" s="1306"/>
      <c r="BB25" s="543">
        <f>I25/21</f>
        <v>241</v>
      </c>
      <c r="BC25" s="1313"/>
      <c r="BD25" s="1313"/>
      <c r="BE25" s="1313"/>
      <c r="BF25" s="1313"/>
      <c r="BG25" s="1313"/>
      <c r="BH25" s="1313"/>
      <c r="BI25" s="1314"/>
      <c r="BJ25" s="1313"/>
      <c r="BK25" s="1313"/>
      <c r="BL25" s="1313"/>
      <c r="BM25" s="1313"/>
      <c r="BN25" s="1313"/>
      <c r="BO25" s="1313"/>
      <c r="BP25" s="1313"/>
      <c r="BQ25" s="1313"/>
      <c r="BR25" s="1313"/>
      <c r="BS25" s="1313"/>
      <c r="BT25" s="1313"/>
      <c r="BU25" s="1313"/>
      <c r="BV25" s="1313"/>
      <c r="BW25" s="1313"/>
      <c r="BX25" s="1313"/>
      <c r="BY25" s="1313"/>
      <c r="BZ25" s="1012">
        <f t="shared" si="1"/>
        <v>5061</v>
      </c>
      <c r="CA25" s="1009"/>
      <c r="CB25" s="1219"/>
      <c r="CC25" s="1219"/>
      <c r="CD25" s="1009"/>
      <c r="CE25" s="1009">
        <f t="shared" si="2"/>
        <v>1737605</v>
      </c>
      <c r="CF25" s="1009"/>
    </row>
    <row r="26" s="1255" customFormat="1" ht="36" customHeight="1" spans="1:84">
      <c r="A26" s="1262">
        <v>45621</v>
      </c>
      <c r="B26" s="1263" t="s">
        <v>232</v>
      </c>
      <c r="C26" s="1264" t="s">
        <v>233</v>
      </c>
      <c r="D26" s="1265">
        <v>4500152293</v>
      </c>
      <c r="E26" s="1266">
        <v>20478301</v>
      </c>
      <c r="F26" s="1265" t="s">
        <v>3229</v>
      </c>
      <c r="G26" s="1267" t="s">
        <v>160</v>
      </c>
      <c r="H26" s="1268" t="s">
        <v>74</v>
      </c>
      <c r="I26" s="1277">
        <v>1313</v>
      </c>
      <c r="J26" s="1278">
        <v>0</v>
      </c>
      <c r="K26" s="1267">
        <v>13</v>
      </c>
      <c r="L26" s="1277">
        <f t="shared" si="0"/>
        <v>101</v>
      </c>
      <c r="M26" s="1279">
        <v>45663</v>
      </c>
      <c r="N26" s="1279">
        <v>45663</v>
      </c>
      <c r="O26" s="1276"/>
      <c r="P26" s="1276" t="s">
        <v>92</v>
      </c>
      <c r="Q26" s="1276" t="s">
        <v>3437</v>
      </c>
      <c r="R26" s="1276">
        <v>45629</v>
      </c>
      <c r="S26" s="1291" t="s">
        <v>123</v>
      </c>
      <c r="T26" s="1293" t="s">
        <v>3230</v>
      </c>
      <c r="U26" s="1266" t="s">
        <v>3231</v>
      </c>
      <c r="V26" s="1287" t="s">
        <v>1011</v>
      </c>
      <c r="W26" s="1288">
        <v>1.4432</v>
      </c>
      <c r="X26" s="1289">
        <f t="shared" si="19"/>
        <v>1894.9216</v>
      </c>
      <c r="Y26" s="1277" t="s">
        <v>3438</v>
      </c>
      <c r="Z26" s="1302" t="s">
        <v>160</v>
      </c>
      <c r="AA26" s="1303" t="s">
        <v>128</v>
      </c>
      <c r="AB26" s="1303"/>
      <c r="AC26" s="1304">
        <v>1313</v>
      </c>
      <c r="AD26" s="1304">
        <f t="shared" si="16"/>
        <v>0</v>
      </c>
      <c r="AE26" s="1304"/>
      <c r="AF26" s="1276"/>
      <c r="AG26" s="1276" t="s">
        <v>659</v>
      </c>
      <c r="AH26" s="1304">
        <f t="shared" si="5"/>
        <v>1313</v>
      </c>
      <c r="AI26" s="1304"/>
      <c r="AJ26" s="1304"/>
      <c r="AK26" s="1304"/>
      <c r="AL26" s="1304"/>
      <c r="AM26" s="1304"/>
      <c r="AN26" s="1306">
        <f t="shared" si="20"/>
        <v>1313</v>
      </c>
      <c r="AO26" s="1306"/>
      <c r="AP26" s="1306"/>
      <c r="AQ26" s="1306"/>
      <c r="AR26" s="1306"/>
      <c r="AS26" s="1306"/>
      <c r="AT26" s="1306"/>
      <c r="AU26" s="1311">
        <f t="shared" si="18"/>
        <v>1313</v>
      </c>
      <c r="AV26" s="1311"/>
      <c r="AW26" s="1306"/>
      <c r="AX26" s="1306"/>
      <c r="AY26" s="1306"/>
      <c r="AZ26" s="1306"/>
      <c r="BA26" s="1306"/>
      <c r="BB26" s="1306"/>
      <c r="BC26" s="1313"/>
      <c r="BD26" s="1313"/>
      <c r="BE26" s="1313"/>
      <c r="BF26" s="1313"/>
      <c r="BG26" s="1313"/>
      <c r="BH26" s="1313"/>
      <c r="BI26" s="1313">
        <f t="shared" ref="BI26:BI31" si="21">I26/13</f>
        <v>101</v>
      </c>
      <c r="BJ26" s="1313"/>
      <c r="BK26" s="1313"/>
      <c r="BL26" s="1313"/>
      <c r="BM26" s="1313"/>
      <c r="BN26" s="1313"/>
      <c r="BO26" s="1313"/>
      <c r="BP26" s="1313"/>
      <c r="BQ26" s="1313"/>
      <c r="BR26" s="1313"/>
      <c r="BS26" s="1313"/>
      <c r="BT26" s="1313"/>
      <c r="BU26" s="1313"/>
      <c r="BV26" s="1313"/>
      <c r="BW26" s="1313"/>
      <c r="BX26" s="1313"/>
      <c r="BY26" s="1313"/>
      <c r="BZ26" s="1012">
        <f t="shared" si="1"/>
        <v>1313</v>
      </c>
      <c r="CA26" s="1009"/>
      <c r="CB26" s="1219"/>
      <c r="CC26" s="1219"/>
      <c r="CD26" s="1009"/>
      <c r="CE26" s="1009">
        <f t="shared" si="2"/>
        <v>1736292</v>
      </c>
      <c r="CF26" s="1009"/>
    </row>
    <row r="27" s="1255" customFormat="1" ht="36" customHeight="1" spans="1:84">
      <c r="A27" s="1262">
        <v>45621</v>
      </c>
      <c r="B27" s="1263" t="s">
        <v>189</v>
      </c>
      <c r="C27" s="1264" t="s">
        <v>190</v>
      </c>
      <c r="D27" s="1265">
        <v>4500152292</v>
      </c>
      <c r="E27" s="1266">
        <v>20357441</v>
      </c>
      <c r="F27" s="1265" t="s">
        <v>3232</v>
      </c>
      <c r="G27" s="1267" t="s">
        <v>160</v>
      </c>
      <c r="H27" s="1268" t="s">
        <v>74</v>
      </c>
      <c r="I27" s="1277">
        <v>195</v>
      </c>
      <c r="J27" s="1278">
        <v>0</v>
      </c>
      <c r="K27" s="1267">
        <v>13</v>
      </c>
      <c r="L27" s="1277">
        <f t="shared" si="0"/>
        <v>15</v>
      </c>
      <c r="M27" s="1279">
        <v>45663</v>
      </c>
      <c r="N27" s="1279">
        <v>45663</v>
      </c>
      <c r="O27" s="1276"/>
      <c r="P27" s="1276" t="s">
        <v>92</v>
      </c>
      <c r="Q27" s="1276"/>
      <c r="R27" s="1276">
        <v>45629</v>
      </c>
      <c r="S27" s="1291" t="s">
        <v>123</v>
      </c>
      <c r="T27" s="1293" t="s">
        <v>3230</v>
      </c>
      <c r="U27" s="1266" t="s">
        <v>3233</v>
      </c>
      <c r="V27" s="1287" t="s">
        <v>1011</v>
      </c>
      <c r="W27" s="1288">
        <v>1.4483</v>
      </c>
      <c r="X27" s="1289">
        <f t="shared" si="19"/>
        <v>282.4185</v>
      </c>
      <c r="Y27" s="1277" t="s">
        <v>3439</v>
      </c>
      <c r="Z27" s="1302" t="s">
        <v>160</v>
      </c>
      <c r="AA27" s="1303" t="s">
        <v>128</v>
      </c>
      <c r="AB27" s="1303"/>
      <c r="AC27" s="1304">
        <v>195</v>
      </c>
      <c r="AD27" s="1304">
        <f t="shared" si="16"/>
        <v>0</v>
      </c>
      <c r="AE27" s="1304"/>
      <c r="AF27" s="1276"/>
      <c r="AG27" s="1276" t="s">
        <v>659</v>
      </c>
      <c r="AH27" s="1304">
        <f t="shared" si="5"/>
        <v>195</v>
      </c>
      <c r="AI27" s="1304"/>
      <c r="AJ27" s="1304"/>
      <c r="AK27" s="1304"/>
      <c r="AL27" s="1304"/>
      <c r="AM27" s="1304"/>
      <c r="AN27" s="1306">
        <f t="shared" si="20"/>
        <v>195</v>
      </c>
      <c r="AO27" s="1306"/>
      <c r="AP27" s="1306"/>
      <c r="AQ27" s="1306"/>
      <c r="AR27" s="1306"/>
      <c r="AS27" s="1306"/>
      <c r="AT27" s="1306"/>
      <c r="AU27" s="1311">
        <f t="shared" si="18"/>
        <v>195</v>
      </c>
      <c r="AV27" s="1311"/>
      <c r="AW27" s="1306"/>
      <c r="AX27" s="1306"/>
      <c r="AY27" s="1306"/>
      <c r="AZ27" s="1306"/>
      <c r="BA27" s="1306"/>
      <c r="BB27" s="1306"/>
      <c r="BC27" s="1313"/>
      <c r="BD27" s="1313"/>
      <c r="BE27" s="1313"/>
      <c r="BF27" s="1313"/>
      <c r="BG27" s="1313"/>
      <c r="BH27" s="1313"/>
      <c r="BI27" s="1313">
        <f t="shared" si="21"/>
        <v>15</v>
      </c>
      <c r="BJ27" s="1313"/>
      <c r="BK27" s="1313"/>
      <c r="BL27" s="1313"/>
      <c r="BM27" s="1313"/>
      <c r="BN27" s="1313"/>
      <c r="BO27" s="1313"/>
      <c r="BP27" s="1313"/>
      <c r="BQ27" s="1313"/>
      <c r="BR27" s="1313"/>
      <c r="BS27" s="1313"/>
      <c r="BT27" s="1313"/>
      <c r="BU27" s="1313"/>
      <c r="BV27" s="1313"/>
      <c r="BW27" s="1313"/>
      <c r="BX27" s="1313"/>
      <c r="BY27" s="1313"/>
      <c r="BZ27" s="1012">
        <f t="shared" si="1"/>
        <v>195</v>
      </c>
      <c r="CA27" s="1009"/>
      <c r="CB27" s="1219"/>
      <c r="CC27" s="1219"/>
      <c r="CD27" s="1009"/>
      <c r="CE27" s="1009">
        <f t="shared" si="2"/>
        <v>1736097</v>
      </c>
      <c r="CF27" s="1009"/>
    </row>
    <row r="28" s="1009" customFormat="1" ht="36" customHeight="1" spans="1:83">
      <c r="A28" s="1257">
        <v>45610</v>
      </c>
      <c r="B28" s="1036" t="s">
        <v>250</v>
      </c>
      <c r="C28" s="1037" t="s">
        <v>180</v>
      </c>
      <c r="D28" s="1038">
        <v>4500151118</v>
      </c>
      <c r="E28" s="1039">
        <v>5200005699</v>
      </c>
      <c r="F28" s="1038" t="s">
        <v>3234</v>
      </c>
      <c r="G28" s="1040" t="s">
        <v>1172</v>
      </c>
      <c r="H28" s="1041" t="s">
        <v>1165</v>
      </c>
      <c r="I28" s="1078">
        <v>2000</v>
      </c>
      <c r="J28" s="1078">
        <v>0</v>
      </c>
      <c r="K28" s="1078">
        <v>25</v>
      </c>
      <c r="L28" s="1078">
        <f t="shared" si="0"/>
        <v>80</v>
      </c>
      <c r="M28" s="1079">
        <v>45651</v>
      </c>
      <c r="N28" s="1079">
        <v>45651</v>
      </c>
      <c r="O28" s="579" t="s">
        <v>3235</v>
      </c>
      <c r="P28" s="579" t="s">
        <v>92</v>
      </c>
      <c r="Q28" s="579" t="s">
        <v>3129</v>
      </c>
      <c r="R28" s="579">
        <v>45618</v>
      </c>
      <c r="S28" s="1283" t="s">
        <v>77</v>
      </c>
      <c r="T28" s="581" t="s">
        <v>3236</v>
      </c>
      <c r="U28" s="1111" t="s">
        <v>3237</v>
      </c>
      <c r="V28" s="1112" t="s">
        <v>3007</v>
      </c>
      <c r="W28" s="1113">
        <v>1.4171</v>
      </c>
      <c r="X28" s="1114">
        <f t="shared" si="19"/>
        <v>2834.2</v>
      </c>
      <c r="Y28" s="1012" t="s">
        <v>3440</v>
      </c>
      <c r="Z28" s="1159" t="s">
        <v>877</v>
      </c>
      <c r="AA28" s="1150" t="s">
        <v>128</v>
      </c>
      <c r="AB28" s="1150"/>
      <c r="AC28" s="1151">
        <v>2000</v>
      </c>
      <c r="AD28" s="1151">
        <f t="shared" si="16"/>
        <v>0</v>
      </c>
      <c r="AE28" s="1151"/>
      <c r="AF28" s="579"/>
      <c r="AG28" s="579" t="s">
        <v>3127</v>
      </c>
      <c r="AH28" s="1151"/>
      <c r="AI28" s="1151">
        <f>I28</f>
        <v>2000</v>
      </c>
      <c r="AJ28" s="1151"/>
      <c r="AK28" s="1151"/>
      <c r="AL28" s="1176"/>
      <c r="AM28" s="1176"/>
      <c r="AO28" s="543">
        <f>I28</f>
        <v>2000</v>
      </c>
      <c r="AP28" s="543"/>
      <c r="AQ28" s="543"/>
      <c r="AR28" s="543"/>
      <c r="AS28" s="543"/>
      <c r="AT28" s="543"/>
      <c r="AU28" s="543">
        <f t="shared" si="18"/>
        <v>2000</v>
      </c>
      <c r="AV28" s="543"/>
      <c r="AW28" s="543"/>
      <c r="AX28" s="543"/>
      <c r="AY28" s="543"/>
      <c r="AZ28" s="543"/>
      <c r="BA28" s="543"/>
      <c r="BB28" s="543"/>
      <c r="BC28" s="1200"/>
      <c r="BD28" s="1200"/>
      <c r="BE28" s="1200"/>
      <c r="BF28" s="1200"/>
      <c r="BG28" s="1200"/>
      <c r="BH28" s="1200"/>
      <c r="BJ28" s="1200"/>
      <c r="BK28" s="1200"/>
      <c r="BL28" s="1200"/>
      <c r="BM28" s="1200"/>
      <c r="BN28" s="1200">
        <f>I28/25</f>
        <v>80</v>
      </c>
      <c r="BO28" s="1200"/>
      <c r="BP28" s="1200"/>
      <c r="BQ28" s="1200"/>
      <c r="BR28" s="1200"/>
      <c r="BS28" s="1200"/>
      <c r="BT28" s="1200"/>
      <c r="BU28" s="1200"/>
      <c r="BV28" s="1200"/>
      <c r="BW28" s="1200"/>
      <c r="BX28" s="1200"/>
      <c r="BY28" s="1200"/>
      <c r="BZ28" s="1012">
        <f t="shared" si="1"/>
        <v>2000</v>
      </c>
      <c r="CB28" s="1219"/>
      <c r="CC28" s="1219"/>
      <c r="CE28" s="1009">
        <f t="shared" si="2"/>
        <v>1734097</v>
      </c>
    </row>
    <row r="29" s="1009" customFormat="1" ht="36" customHeight="1" spans="1:83">
      <c r="A29" s="540">
        <v>45611</v>
      </c>
      <c r="B29" s="1036" t="s">
        <v>383</v>
      </c>
      <c r="C29" s="1037" t="s">
        <v>384</v>
      </c>
      <c r="D29" s="1038">
        <v>4500151401</v>
      </c>
      <c r="E29" s="1039">
        <v>2024101316</v>
      </c>
      <c r="F29" s="1038" t="s">
        <v>3238</v>
      </c>
      <c r="G29" s="1040" t="s">
        <v>215</v>
      </c>
      <c r="H29" s="1041" t="s">
        <v>74</v>
      </c>
      <c r="I29" s="1012">
        <v>2436</v>
      </c>
      <c r="J29" s="1087">
        <v>0</v>
      </c>
      <c r="K29" s="1040">
        <v>42</v>
      </c>
      <c r="L29" s="1012">
        <f t="shared" si="0"/>
        <v>58</v>
      </c>
      <c r="M29" s="1079">
        <v>45657</v>
      </c>
      <c r="N29" s="1079">
        <v>45653</v>
      </c>
      <c r="O29" s="579" t="s">
        <v>3239</v>
      </c>
      <c r="P29" s="579" t="s">
        <v>92</v>
      </c>
      <c r="Q29" s="579" t="s">
        <v>3441</v>
      </c>
      <c r="R29" s="579">
        <v>45617</v>
      </c>
      <c r="S29" s="578" t="s">
        <v>77</v>
      </c>
      <c r="T29" s="581" t="s">
        <v>3240</v>
      </c>
      <c r="U29" s="1039" t="s">
        <v>3241</v>
      </c>
      <c r="V29" s="1112" t="s">
        <v>2800</v>
      </c>
      <c r="W29" s="1113">
        <v>1.4539</v>
      </c>
      <c r="X29" s="1114">
        <f t="shared" si="19"/>
        <v>3541.7004</v>
      </c>
      <c r="Y29" s="1012" t="s">
        <v>3442</v>
      </c>
      <c r="Z29" s="1159" t="s">
        <v>220</v>
      </c>
      <c r="AA29" s="1150" t="s">
        <v>2723</v>
      </c>
      <c r="AB29" s="1150"/>
      <c r="AC29" s="1151">
        <v>2436</v>
      </c>
      <c r="AD29" s="1151">
        <f t="shared" si="16"/>
        <v>0</v>
      </c>
      <c r="AE29" s="1151"/>
      <c r="AF29" s="579"/>
      <c r="AG29" s="579" t="s">
        <v>3242</v>
      </c>
      <c r="AH29" s="1151">
        <f t="shared" ref="AH29:AH37" si="22">I29</f>
        <v>2436</v>
      </c>
      <c r="AI29" s="1151"/>
      <c r="AJ29" s="1151"/>
      <c r="AK29" s="1151"/>
      <c r="AL29" s="1151"/>
      <c r="AM29" s="1151"/>
      <c r="AN29" s="543"/>
      <c r="AO29" s="543">
        <f>AH29</f>
        <v>2436</v>
      </c>
      <c r="AP29" s="543"/>
      <c r="AQ29" s="543"/>
      <c r="AR29" s="543"/>
      <c r="AS29" s="543"/>
      <c r="AT29" s="543"/>
      <c r="AU29" s="543">
        <f t="shared" si="18"/>
        <v>2436</v>
      </c>
      <c r="AV29" s="543"/>
      <c r="AW29" s="543"/>
      <c r="AX29" s="543"/>
      <c r="AY29" s="543"/>
      <c r="AZ29" s="543"/>
      <c r="BA29" s="543"/>
      <c r="BB29" s="543"/>
      <c r="BC29" s="1200">
        <f>I29/21</f>
        <v>116</v>
      </c>
      <c r="BD29" s="1200"/>
      <c r="BE29" s="1200"/>
      <c r="BF29" s="1200"/>
      <c r="BG29" s="1200"/>
      <c r="BH29" s="1200"/>
      <c r="BI29" s="1312"/>
      <c r="BJ29" s="1200"/>
      <c r="BK29" s="1200"/>
      <c r="BL29" s="1200"/>
      <c r="BM29" s="1200"/>
      <c r="BN29" s="1200"/>
      <c r="BO29" s="1200"/>
      <c r="BP29" s="1200"/>
      <c r="BQ29" s="1200"/>
      <c r="BR29" s="1200"/>
      <c r="BS29" s="1200"/>
      <c r="BT29" s="1200"/>
      <c r="BU29" s="1200"/>
      <c r="BV29" s="1200"/>
      <c r="BW29" s="1200"/>
      <c r="BX29" s="1200"/>
      <c r="BY29" s="1200"/>
      <c r="BZ29" s="1012">
        <f t="shared" si="1"/>
        <v>2436</v>
      </c>
      <c r="CB29" s="1219"/>
      <c r="CC29" s="1219"/>
      <c r="CE29" s="1009">
        <f t="shared" si="2"/>
        <v>1731661</v>
      </c>
    </row>
    <row r="30" s="1009" customFormat="1" ht="36" customHeight="1" spans="1:83">
      <c r="A30" s="540">
        <v>45616</v>
      </c>
      <c r="B30" s="1036" t="s">
        <v>2763</v>
      </c>
      <c r="C30" s="1037" t="s">
        <v>384</v>
      </c>
      <c r="D30" s="1038">
        <v>4500151832</v>
      </c>
      <c r="E30" s="1039">
        <v>4500054541</v>
      </c>
      <c r="F30" s="1038" t="s">
        <v>3243</v>
      </c>
      <c r="G30" s="1040" t="s">
        <v>215</v>
      </c>
      <c r="H30" s="1041" t="s">
        <v>74</v>
      </c>
      <c r="I30" s="1012">
        <v>1932</v>
      </c>
      <c r="J30" s="1087">
        <v>0</v>
      </c>
      <c r="K30" s="1040">
        <v>42</v>
      </c>
      <c r="L30" s="1012">
        <f t="shared" si="0"/>
        <v>46</v>
      </c>
      <c r="M30" s="1079">
        <v>45657</v>
      </c>
      <c r="N30" s="1079">
        <v>45653</v>
      </c>
      <c r="O30" s="579" t="s">
        <v>3239</v>
      </c>
      <c r="P30" s="1280" t="s">
        <v>1262</v>
      </c>
      <c r="Q30" s="579" t="s">
        <v>3144</v>
      </c>
      <c r="R30" s="579">
        <v>45616</v>
      </c>
      <c r="S30" s="578" t="s">
        <v>77</v>
      </c>
      <c r="T30" s="581" t="s">
        <v>3240</v>
      </c>
      <c r="U30" s="1039" t="s">
        <v>3244</v>
      </c>
      <c r="V30" s="1112" t="s">
        <v>2800</v>
      </c>
      <c r="W30" s="1113">
        <v>1.4539</v>
      </c>
      <c r="X30" s="1114">
        <f t="shared" si="19"/>
        <v>2808.9348</v>
      </c>
      <c r="Y30" s="1012" t="s">
        <v>3443</v>
      </c>
      <c r="Z30" s="1159" t="s">
        <v>220</v>
      </c>
      <c r="AA30" s="1161" t="s">
        <v>2723</v>
      </c>
      <c r="AB30" s="1161"/>
      <c r="AC30" s="1151">
        <v>1932</v>
      </c>
      <c r="AD30" s="1151">
        <f t="shared" si="16"/>
        <v>0</v>
      </c>
      <c r="AE30" s="1151"/>
      <c r="AF30" s="579"/>
      <c r="AG30" s="579" t="s">
        <v>3127</v>
      </c>
      <c r="AH30" s="1151">
        <f t="shared" si="22"/>
        <v>1932</v>
      </c>
      <c r="AI30" s="1151"/>
      <c r="AJ30" s="1151"/>
      <c r="AK30" s="1151"/>
      <c r="AL30" s="1151"/>
      <c r="AM30" s="1151"/>
      <c r="AN30" s="543"/>
      <c r="AO30" s="543">
        <f>AH30</f>
        <v>1932</v>
      </c>
      <c r="AP30" s="543"/>
      <c r="AQ30" s="543"/>
      <c r="AR30" s="543"/>
      <c r="AS30" s="543"/>
      <c r="AT30" s="543"/>
      <c r="AU30" s="543">
        <f t="shared" si="18"/>
        <v>1932</v>
      </c>
      <c r="AV30" s="543"/>
      <c r="AW30" s="543"/>
      <c r="AX30" s="543"/>
      <c r="AY30" s="543"/>
      <c r="AZ30" s="543"/>
      <c r="BA30" s="543"/>
      <c r="BB30" s="543"/>
      <c r="BC30" s="1200">
        <f>AH30/21</f>
        <v>92</v>
      </c>
      <c r="BD30" s="1200"/>
      <c r="BE30" s="1200"/>
      <c r="BF30" s="1200"/>
      <c r="BG30" s="1200"/>
      <c r="BH30" s="1200"/>
      <c r="BI30" s="1312"/>
      <c r="BJ30" s="1200"/>
      <c r="BK30" s="1200"/>
      <c r="BL30" s="1200"/>
      <c r="BM30" s="1200"/>
      <c r="BN30" s="1200"/>
      <c r="BO30" s="1200"/>
      <c r="BP30" s="1200"/>
      <c r="BQ30" s="1200"/>
      <c r="BR30" s="1200"/>
      <c r="BS30" s="1200"/>
      <c r="BT30" s="1200"/>
      <c r="BU30" s="1200"/>
      <c r="BV30" s="1200"/>
      <c r="BW30" s="1200"/>
      <c r="BX30" s="1200"/>
      <c r="BY30" s="1200"/>
      <c r="BZ30" s="1012">
        <f t="shared" si="1"/>
        <v>1932</v>
      </c>
      <c r="CB30" s="1219"/>
      <c r="CC30" s="1219"/>
      <c r="CE30" s="1009">
        <f t="shared" si="2"/>
        <v>1729729</v>
      </c>
    </row>
    <row r="31" s="1009" customFormat="1" ht="36" customHeight="1" spans="1:83">
      <c r="A31" s="540">
        <v>45615</v>
      </c>
      <c r="B31" s="1036" t="s">
        <v>1080</v>
      </c>
      <c r="C31" s="1037" t="s">
        <v>117</v>
      </c>
      <c r="D31" s="1038">
        <v>4500151635</v>
      </c>
      <c r="E31" s="1039">
        <v>4357</v>
      </c>
      <c r="F31" s="1038" t="s">
        <v>3260</v>
      </c>
      <c r="G31" s="1040" t="s">
        <v>160</v>
      </c>
      <c r="H31" s="1041" t="s">
        <v>74</v>
      </c>
      <c r="I31" s="1012">
        <v>5369</v>
      </c>
      <c r="J31" s="1087">
        <v>0</v>
      </c>
      <c r="K31" s="1040">
        <v>13</v>
      </c>
      <c r="L31" s="1012">
        <f t="shared" si="0"/>
        <v>413</v>
      </c>
      <c r="M31" s="1079">
        <v>45665</v>
      </c>
      <c r="N31" s="1079">
        <v>45663</v>
      </c>
      <c r="O31" s="579"/>
      <c r="P31" s="1009" t="s">
        <v>92</v>
      </c>
      <c r="Q31" s="579" t="s">
        <v>3444</v>
      </c>
      <c r="R31" s="579">
        <v>45623</v>
      </c>
      <c r="S31" s="578" t="s">
        <v>123</v>
      </c>
      <c r="T31" s="1284" t="s">
        <v>3261</v>
      </c>
      <c r="U31" s="1039" t="s">
        <v>3262</v>
      </c>
      <c r="V31" s="1112" t="s">
        <v>3263</v>
      </c>
      <c r="W31" s="1113">
        <v>1.4021</v>
      </c>
      <c r="X31" s="1114">
        <f t="shared" si="19"/>
        <v>7527.8749</v>
      </c>
      <c r="Y31" s="1012" t="s">
        <v>3445</v>
      </c>
      <c r="Z31" s="1159" t="s">
        <v>160</v>
      </c>
      <c r="AA31" s="1150" t="s">
        <v>128</v>
      </c>
      <c r="AB31" s="1150"/>
      <c r="AC31" s="1151">
        <v>5369</v>
      </c>
      <c r="AD31" s="1151">
        <f t="shared" si="16"/>
        <v>0</v>
      </c>
      <c r="AE31" s="1151"/>
      <c r="AF31" s="579"/>
      <c r="AG31" s="579"/>
      <c r="AH31" s="1151">
        <f t="shared" si="22"/>
        <v>5369</v>
      </c>
      <c r="AI31" s="1151"/>
      <c r="AJ31" s="1151"/>
      <c r="AK31" s="1151"/>
      <c r="AL31" s="1151"/>
      <c r="AM31" s="1151"/>
      <c r="AN31" s="543">
        <f>I31</f>
        <v>5369</v>
      </c>
      <c r="AO31" s="543"/>
      <c r="AP31" s="543"/>
      <c r="AQ31" s="543"/>
      <c r="AR31" s="543"/>
      <c r="AS31" s="543"/>
      <c r="AT31" s="543"/>
      <c r="AU31" s="543">
        <f t="shared" si="18"/>
        <v>5369</v>
      </c>
      <c r="AV31" s="543"/>
      <c r="AW31" s="543"/>
      <c r="AX31" s="543"/>
      <c r="AY31" s="543"/>
      <c r="AZ31" s="543"/>
      <c r="BA31" s="543"/>
      <c r="BB31" s="543"/>
      <c r="BC31" s="1200"/>
      <c r="BD31" s="1200"/>
      <c r="BE31" s="1200"/>
      <c r="BF31" s="1200"/>
      <c r="BG31" s="1200"/>
      <c r="BH31" s="1200"/>
      <c r="BI31" s="1200">
        <f t="shared" si="21"/>
        <v>413</v>
      </c>
      <c r="BJ31" s="1200"/>
      <c r="BK31" s="1200"/>
      <c r="BL31" s="1200"/>
      <c r="BM31" s="1200"/>
      <c r="BN31" s="1200"/>
      <c r="BO31" s="1200"/>
      <c r="BP31" s="1200"/>
      <c r="BQ31" s="1200"/>
      <c r="BR31" s="1200"/>
      <c r="BS31" s="1200"/>
      <c r="BT31" s="1200"/>
      <c r="BU31" s="1200"/>
      <c r="BV31" s="1200"/>
      <c r="BW31" s="1200"/>
      <c r="BX31" s="1200"/>
      <c r="BY31" s="1200"/>
      <c r="BZ31" s="1012">
        <f t="shared" si="1"/>
        <v>5369</v>
      </c>
      <c r="CB31" s="1219"/>
      <c r="CC31" s="1219"/>
      <c r="CE31" s="1009">
        <f t="shared" si="2"/>
        <v>1724360</v>
      </c>
    </row>
    <row r="32" s="1009" customFormat="1" ht="36" customHeight="1" spans="1:83">
      <c r="A32" s="1257">
        <v>45595</v>
      </c>
      <c r="B32" s="1036" t="s">
        <v>3273</v>
      </c>
      <c r="C32" s="1037" t="s">
        <v>286</v>
      </c>
      <c r="D32" s="1038">
        <v>4500149669</v>
      </c>
      <c r="E32" s="1270"/>
      <c r="F32" s="1038" t="s">
        <v>3274</v>
      </c>
      <c r="G32" s="1040" t="s">
        <v>96</v>
      </c>
      <c r="H32" s="1041" t="s">
        <v>74</v>
      </c>
      <c r="I32" s="1012">
        <v>4250</v>
      </c>
      <c r="J32" s="1087">
        <v>0</v>
      </c>
      <c r="K32" s="1040">
        <v>50</v>
      </c>
      <c r="L32" s="1012">
        <f t="shared" si="0"/>
        <v>85</v>
      </c>
      <c r="M32" s="1079">
        <v>45664</v>
      </c>
      <c r="N32" s="1079">
        <v>45663</v>
      </c>
      <c r="O32" s="579" t="s">
        <v>3275</v>
      </c>
      <c r="P32" s="579" t="s">
        <v>92</v>
      </c>
      <c r="Q32" s="579" t="s">
        <v>3446</v>
      </c>
      <c r="R32" s="579">
        <v>45639</v>
      </c>
      <c r="S32" s="578" t="s">
        <v>77</v>
      </c>
      <c r="T32" s="1294" t="s">
        <v>3276</v>
      </c>
      <c r="U32" s="1039" t="s">
        <v>3277</v>
      </c>
      <c r="V32" s="1112" t="s">
        <v>290</v>
      </c>
      <c r="W32" s="1113">
        <v>1.4344</v>
      </c>
      <c r="X32" s="1114">
        <f t="shared" si="19"/>
        <v>6096.2</v>
      </c>
      <c r="Y32" s="1012" t="s">
        <v>3447</v>
      </c>
      <c r="Z32" s="1159" t="s">
        <v>292</v>
      </c>
      <c r="AA32" s="1150" t="s">
        <v>128</v>
      </c>
      <c r="AB32" s="1150"/>
      <c r="AC32" s="1151">
        <v>4250</v>
      </c>
      <c r="AD32" s="1151">
        <f t="shared" si="16"/>
        <v>0</v>
      </c>
      <c r="AE32" s="1151"/>
      <c r="AF32" s="579"/>
      <c r="AG32" s="579" t="s">
        <v>3242</v>
      </c>
      <c r="AH32" s="1151">
        <f t="shared" si="22"/>
        <v>4250</v>
      </c>
      <c r="AI32" s="1151"/>
      <c r="AJ32" s="1151"/>
      <c r="AK32" s="1151"/>
      <c r="AL32" s="1176"/>
      <c r="AM32" s="1176"/>
      <c r="AN32" s="1307"/>
      <c r="AO32" s="543">
        <f>I32</f>
        <v>4250</v>
      </c>
      <c r="AP32" s="543"/>
      <c r="AQ32" s="543"/>
      <c r="AR32" s="543"/>
      <c r="AS32" s="543"/>
      <c r="AT32" s="543"/>
      <c r="AU32" s="543">
        <f t="shared" si="18"/>
        <v>4250</v>
      </c>
      <c r="AV32" s="543"/>
      <c r="AW32" s="543"/>
      <c r="AX32" s="543"/>
      <c r="AY32" s="543"/>
      <c r="AZ32" s="543"/>
      <c r="BA32" s="543"/>
      <c r="BB32" s="543"/>
      <c r="BC32" s="1200"/>
      <c r="BD32" s="1200"/>
      <c r="BE32" s="1200"/>
      <c r="BF32" s="1200"/>
      <c r="BG32" s="1200"/>
      <c r="BH32" s="1200"/>
      <c r="BI32" s="1312"/>
      <c r="BJ32" s="1200"/>
      <c r="BK32" s="1200"/>
      <c r="BL32" s="1200"/>
      <c r="BM32" s="1200"/>
      <c r="BN32" s="1200">
        <f>I32/25</f>
        <v>170</v>
      </c>
      <c r="BO32" s="1200"/>
      <c r="BP32" s="1200"/>
      <c r="BQ32" s="1200"/>
      <c r="BR32" s="1200"/>
      <c r="BS32" s="1200"/>
      <c r="BT32" s="1200"/>
      <c r="BU32" s="1200"/>
      <c r="BV32" s="1200"/>
      <c r="BW32" s="1200"/>
      <c r="BX32" s="1200"/>
      <c r="BY32" s="1200"/>
      <c r="BZ32" s="1012">
        <f t="shared" si="1"/>
        <v>4250</v>
      </c>
      <c r="CB32" s="1219"/>
      <c r="CC32" s="1219"/>
      <c r="CE32" s="1009">
        <f t="shared" si="2"/>
        <v>1720110</v>
      </c>
    </row>
    <row r="33" s="1009" customFormat="1" ht="36" customHeight="1" spans="1:83">
      <c r="A33" s="540">
        <v>45623</v>
      </c>
      <c r="B33" s="1036" t="s">
        <v>1892</v>
      </c>
      <c r="C33" s="1037" t="s">
        <v>117</v>
      </c>
      <c r="D33" s="1038">
        <v>4500152559</v>
      </c>
      <c r="E33" s="1686" t="s">
        <v>3245</v>
      </c>
      <c r="F33" s="1039" t="s">
        <v>3246</v>
      </c>
      <c r="G33" s="1040" t="s">
        <v>1895</v>
      </c>
      <c r="H33" s="1041" t="s">
        <v>1672</v>
      </c>
      <c r="I33" s="1281">
        <v>510</v>
      </c>
      <c r="J33" s="1271">
        <v>0</v>
      </c>
      <c r="K33" s="1271">
        <v>30</v>
      </c>
      <c r="L33" s="1148">
        <f t="shared" si="0"/>
        <v>17</v>
      </c>
      <c r="M33" s="1079">
        <v>45660</v>
      </c>
      <c r="N33" s="1079">
        <v>45663</v>
      </c>
      <c r="O33" s="579"/>
      <c r="P33" s="579" t="s">
        <v>92</v>
      </c>
      <c r="Q33" s="579" t="s">
        <v>3217</v>
      </c>
      <c r="R33" s="579">
        <v>45630</v>
      </c>
      <c r="S33" s="578" t="s">
        <v>123</v>
      </c>
      <c r="T33" s="1284" t="s">
        <v>3247</v>
      </c>
      <c r="U33" s="1111" t="s">
        <v>3448</v>
      </c>
      <c r="V33" s="1295" t="s">
        <v>3249</v>
      </c>
      <c r="W33" s="1296">
        <v>75.5207</v>
      </c>
      <c r="X33" s="1297">
        <f t="shared" ref="X33:X37" si="23">W33*L33</f>
        <v>1283.8519</v>
      </c>
      <c r="Y33" s="1012" t="s">
        <v>3449</v>
      </c>
      <c r="Z33" s="1159" t="s">
        <v>1895</v>
      </c>
      <c r="AA33" s="1150" t="s">
        <v>128</v>
      </c>
      <c r="AB33" s="1150"/>
      <c r="AC33" s="1151">
        <v>510</v>
      </c>
      <c r="AD33" s="1151">
        <f t="shared" si="16"/>
        <v>0</v>
      </c>
      <c r="AE33" s="1151"/>
      <c r="AF33" s="579"/>
      <c r="AG33" s="579"/>
      <c r="AH33" s="1151">
        <f t="shared" si="22"/>
        <v>510</v>
      </c>
      <c r="AI33" s="1151"/>
      <c r="AJ33" s="1151"/>
      <c r="AK33" s="1151"/>
      <c r="AL33" s="1151"/>
      <c r="AM33" s="1151"/>
      <c r="AN33" s="543">
        <f t="shared" ref="AN33:AN38" si="24">AH33</f>
        <v>510</v>
      </c>
      <c r="AO33" s="543"/>
      <c r="AP33" s="543"/>
      <c r="AQ33" s="543"/>
      <c r="AR33" s="543"/>
      <c r="AS33" s="543"/>
      <c r="AT33" s="543"/>
      <c r="AU33" s="543">
        <f t="shared" ref="AU33:AU38" si="25">AH33</f>
        <v>510</v>
      </c>
      <c r="AV33" s="543"/>
      <c r="AW33" s="543"/>
      <c r="AX33" s="543"/>
      <c r="AY33" s="543"/>
      <c r="AZ33" s="543"/>
      <c r="BA33" s="543"/>
      <c r="BB33" s="543"/>
      <c r="BC33" s="1200"/>
      <c r="BD33" s="1200"/>
      <c r="BE33" s="1200"/>
      <c r="BF33" s="1200"/>
      <c r="BG33" s="1200"/>
      <c r="BH33" s="1200"/>
      <c r="BI33" s="1312"/>
      <c r="BJ33" s="1200"/>
      <c r="BK33" s="1200"/>
      <c r="BL33" s="1200"/>
      <c r="BM33" s="1200"/>
      <c r="BN33" s="1200"/>
      <c r="BO33" s="1200"/>
      <c r="BP33" s="1200"/>
      <c r="BQ33" s="1200"/>
      <c r="BR33" s="1200"/>
      <c r="BS33" s="1200"/>
      <c r="BT33" s="1200"/>
      <c r="BU33" s="1200"/>
      <c r="BV33" s="1200"/>
      <c r="BW33" s="1200"/>
      <c r="BX33" s="1200"/>
      <c r="BY33" s="1200"/>
      <c r="BZ33" s="1012">
        <f t="shared" si="1"/>
        <v>510</v>
      </c>
      <c r="CB33" s="1219"/>
      <c r="CC33" s="1219"/>
      <c r="CE33" s="1009">
        <f t="shared" si="2"/>
        <v>1719600</v>
      </c>
    </row>
    <row r="34" s="1009" customFormat="1" ht="36" customHeight="1" spans="1:83">
      <c r="A34" s="540">
        <v>45623</v>
      </c>
      <c r="B34" s="1036" t="s">
        <v>1892</v>
      </c>
      <c r="C34" s="1037" t="s">
        <v>117</v>
      </c>
      <c r="D34" s="1038">
        <v>4500152559</v>
      </c>
      <c r="E34" s="1686" t="s">
        <v>3250</v>
      </c>
      <c r="F34" s="1039" t="s">
        <v>3251</v>
      </c>
      <c r="G34" s="1040" t="s">
        <v>1895</v>
      </c>
      <c r="H34" s="1041" t="s">
        <v>1672</v>
      </c>
      <c r="I34" s="1281">
        <v>420</v>
      </c>
      <c r="J34" s="1271">
        <v>0</v>
      </c>
      <c r="K34" s="1271">
        <v>30</v>
      </c>
      <c r="L34" s="1148">
        <f t="shared" si="0"/>
        <v>14</v>
      </c>
      <c r="M34" s="1079">
        <v>45660</v>
      </c>
      <c r="N34" s="1079">
        <v>45663</v>
      </c>
      <c r="O34" s="579"/>
      <c r="P34" s="579" t="s">
        <v>92</v>
      </c>
      <c r="Q34" s="579" t="s">
        <v>3217</v>
      </c>
      <c r="R34" s="579">
        <v>45630</v>
      </c>
      <c r="S34" s="578" t="s">
        <v>123</v>
      </c>
      <c r="T34" s="1284" t="s">
        <v>3247</v>
      </c>
      <c r="U34" s="1111" t="s">
        <v>3448</v>
      </c>
      <c r="V34" s="1295" t="s">
        <v>3249</v>
      </c>
      <c r="W34" s="1296">
        <v>75.5207</v>
      </c>
      <c r="X34" s="1297">
        <f t="shared" si="23"/>
        <v>1057.2898</v>
      </c>
      <c r="Y34" s="1012" t="s">
        <v>3449</v>
      </c>
      <c r="Z34" s="1159" t="s">
        <v>1895</v>
      </c>
      <c r="AA34" s="1150" t="s">
        <v>128</v>
      </c>
      <c r="AB34" s="1150"/>
      <c r="AC34" s="1151">
        <v>420</v>
      </c>
      <c r="AD34" s="1151">
        <f t="shared" si="16"/>
        <v>0</v>
      </c>
      <c r="AE34" s="1151"/>
      <c r="AF34" s="579"/>
      <c r="AG34" s="579"/>
      <c r="AH34" s="1151">
        <f t="shared" si="22"/>
        <v>420</v>
      </c>
      <c r="AI34" s="1151"/>
      <c r="AJ34" s="1151"/>
      <c r="AK34" s="1151"/>
      <c r="AL34" s="1151"/>
      <c r="AM34" s="1151"/>
      <c r="AN34" s="543">
        <f t="shared" si="24"/>
        <v>420</v>
      </c>
      <c r="AO34" s="543"/>
      <c r="AP34" s="543"/>
      <c r="AQ34" s="543"/>
      <c r="AR34" s="543"/>
      <c r="AS34" s="543"/>
      <c r="AT34" s="543"/>
      <c r="AU34" s="543">
        <f t="shared" si="25"/>
        <v>420</v>
      </c>
      <c r="AV34" s="543"/>
      <c r="AW34" s="543"/>
      <c r="AX34" s="543"/>
      <c r="AY34" s="543"/>
      <c r="AZ34" s="543"/>
      <c r="BA34" s="543"/>
      <c r="BB34" s="543"/>
      <c r="BC34" s="1200"/>
      <c r="BD34" s="1200"/>
      <c r="BE34" s="1200"/>
      <c r="BF34" s="1200"/>
      <c r="BG34" s="1200"/>
      <c r="BH34" s="1200"/>
      <c r="BI34" s="1312"/>
      <c r="BJ34" s="1200"/>
      <c r="BK34" s="1200"/>
      <c r="BL34" s="1200"/>
      <c r="BM34" s="1200"/>
      <c r="BN34" s="1200"/>
      <c r="BO34" s="1200"/>
      <c r="BP34" s="1200"/>
      <c r="BQ34" s="1200"/>
      <c r="BR34" s="1200"/>
      <c r="BS34" s="1200"/>
      <c r="BT34" s="1200"/>
      <c r="BU34" s="1200"/>
      <c r="BV34" s="1200"/>
      <c r="BW34" s="1200"/>
      <c r="BX34" s="1200"/>
      <c r="BY34" s="1200"/>
      <c r="BZ34" s="1012">
        <f t="shared" si="1"/>
        <v>420</v>
      </c>
      <c r="CB34" s="1219"/>
      <c r="CC34" s="1219"/>
      <c r="CE34" s="1009">
        <f t="shared" si="2"/>
        <v>1719180</v>
      </c>
    </row>
    <row r="35" s="1009" customFormat="1" ht="36" customHeight="1" spans="1:83">
      <c r="A35" s="540">
        <v>45623</v>
      </c>
      <c r="B35" s="1036" t="s">
        <v>1892</v>
      </c>
      <c r="C35" s="1037" t="s">
        <v>117</v>
      </c>
      <c r="D35" s="1038">
        <v>4500152559</v>
      </c>
      <c r="E35" s="1271">
        <v>92242913</v>
      </c>
      <c r="F35" s="1039" t="s">
        <v>3252</v>
      </c>
      <c r="G35" s="1040" t="s">
        <v>1895</v>
      </c>
      <c r="H35" s="1041" t="s">
        <v>1672</v>
      </c>
      <c r="I35" s="1281">
        <v>960</v>
      </c>
      <c r="J35" s="1271">
        <v>0</v>
      </c>
      <c r="K35" s="1271">
        <v>30</v>
      </c>
      <c r="L35" s="1148">
        <f t="shared" si="0"/>
        <v>32</v>
      </c>
      <c r="M35" s="1079">
        <v>45660</v>
      </c>
      <c r="N35" s="1079">
        <v>45663</v>
      </c>
      <c r="O35" s="579"/>
      <c r="P35" s="579" t="s">
        <v>92</v>
      </c>
      <c r="Q35" s="579" t="s">
        <v>3217</v>
      </c>
      <c r="R35" s="579">
        <v>45630</v>
      </c>
      <c r="S35" s="578" t="s">
        <v>123</v>
      </c>
      <c r="T35" s="1284" t="s">
        <v>3253</v>
      </c>
      <c r="U35" s="1111" t="s">
        <v>3448</v>
      </c>
      <c r="V35" s="1295" t="s">
        <v>3249</v>
      </c>
      <c r="W35" s="1296">
        <v>75.5207</v>
      </c>
      <c r="X35" s="1297">
        <f t="shared" si="23"/>
        <v>2416.6624</v>
      </c>
      <c r="Y35" s="1012" t="s">
        <v>3450</v>
      </c>
      <c r="Z35" s="1159" t="s">
        <v>1895</v>
      </c>
      <c r="AA35" s="1150" t="s">
        <v>128</v>
      </c>
      <c r="AB35" s="1150"/>
      <c r="AC35" s="1151">
        <v>960</v>
      </c>
      <c r="AD35" s="1151">
        <f t="shared" si="16"/>
        <v>0</v>
      </c>
      <c r="AE35" s="1151"/>
      <c r="AF35" s="579"/>
      <c r="AG35" s="579"/>
      <c r="AH35" s="1151">
        <f t="shared" si="22"/>
        <v>960</v>
      </c>
      <c r="AI35" s="1151"/>
      <c r="AJ35" s="1151"/>
      <c r="AK35" s="1151"/>
      <c r="AL35" s="1151"/>
      <c r="AM35" s="1151"/>
      <c r="AN35" s="543">
        <f t="shared" si="24"/>
        <v>960</v>
      </c>
      <c r="AO35" s="543"/>
      <c r="AP35" s="543"/>
      <c r="AQ35" s="543"/>
      <c r="AR35" s="543"/>
      <c r="AS35" s="543"/>
      <c r="AT35" s="543"/>
      <c r="AU35" s="543">
        <f t="shared" si="25"/>
        <v>960</v>
      </c>
      <c r="AV35" s="543"/>
      <c r="AW35" s="543"/>
      <c r="AX35" s="543"/>
      <c r="AY35" s="543"/>
      <c r="AZ35" s="543"/>
      <c r="BA35" s="543"/>
      <c r="BB35" s="543"/>
      <c r="BC35" s="1200"/>
      <c r="BD35" s="1200"/>
      <c r="BE35" s="1200"/>
      <c r="BF35" s="1200"/>
      <c r="BG35" s="1200"/>
      <c r="BH35" s="1200"/>
      <c r="BI35" s="1312"/>
      <c r="BJ35" s="1200"/>
      <c r="BK35" s="1200"/>
      <c r="BL35" s="1200"/>
      <c r="BM35" s="1200"/>
      <c r="BN35" s="1200"/>
      <c r="BO35" s="1200"/>
      <c r="BP35" s="1200"/>
      <c r="BQ35" s="1200"/>
      <c r="BR35" s="1200"/>
      <c r="BS35" s="1200"/>
      <c r="BT35" s="1200"/>
      <c r="BU35" s="1200"/>
      <c r="BV35" s="1200"/>
      <c r="BW35" s="1200"/>
      <c r="BX35" s="1200"/>
      <c r="BY35" s="1200"/>
      <c r="BZ35" s="1012">
        <f t="shared" si="1"/>
        <v>960</v>
      </c>
      <c r="CB35" s="1219"/>
      <c r="CC35" s="1219"/>
      <c r="CE35" s="1009">
        <f t="shared" si="2"/>
        <v>1718220</v>
      </c>
    </row>
    <row r="36" s="1009" customFormat="1" ht="36" customHeight="1" spans="1:83">
      <c r="A36" s="540">
        <v>45623</v>
      </c>
      <c r="B36" s="1036" t="s">
        <v>1892</v>
      </c>
      <c r="C36" s="1037" t="s">
        <v>117</v>
      </c>
      <c r="D36" s="1038">
        <v>4500152559</v>
      </c>
      <c r="E36" s="1271">
        <v>92242911</v>
      </c>
      <c r="F36" s="1039" t="s">
        <v>3254</v>
      </c>
      <c r="G36" s="1040" t="s">
        <v>1895</v>
      </c>
      <c r="H36" s="1041" t="s">
        <v>1672</v>
      </c>
      <c r="I36" s="1281">
        <v>1110</v>
      </c>
      <c r="J36" s="1271">
        <v>0</v>
      </c>
      <c r="K36" s="1271">
        <v>30</v>
      </c>
      <c r="L36" s="1148">
        <f t="shared" si="0"/>
        <v>37</v>
      </c>
      <c r="M36" s="1079">
        <v>45660</v>
      </c>
      <c r="N36" s="1079">
        <v>45663</v>
      </c>
      <c r="O36" s="579"/>
      <c r="P36" s="579" t="s">
        <v>92</v>
      </c>
      <c r="Q36" s="579" t="s">
        <v>3217</v>
      </c>
      <c r="R36" s="579">
        <v>45630</v>
      </c>
      <c r="S36" s="578" t="s">
        <v>123</v>
      </c>
      <c r="T36" s="1284" t="s">
        <v>3253</v>
      </c>
      <c r="U36" s="1111" t="s">
        <v>3448</v>
      </c>
      <c r="V36" s="1295" t="s">
        <v>3249</v>
      </c>
      <c r="W36" s="1296">
        <v>75.3677</v>
      </c>
      <c r="X36" s="1297">
        <f t="shared" si="23"/>
        <v>2788.6049</v>
      </c>
      <c r="Y36" s="1012" t="s">
        <v>3449</v>
      </c>
      <c r="Z36" s="1159" t="s">
        <v>1895</v>
      </c>
      <c r="AA36" s="1150" t="s">
        <v>128</v>
      </c>
      <c r="AB36" s="1150"/>
      <c r="AC36" s="1151">
        <v>1110</v>
      </c>
      <c r="AD36" s="1151">
        <f t="shared" si="16"/>
        <v>0</v>
      </c>
      <c r="AE36" s="1151"/>
      <c r="AF36" s="579"/>
      <c r="AG36" s="579"/>
      <c r="AH36" s="1151">
        <f t="shared" si="22"/>
        <v>1110</v>
      </c>
      <c r="AI36" s="1151"/>
      <c r="AJ36" s="1151"/>
      <c r="AK36" s="1151"/>
      <c r="AL36" s="1151"/>
      <c r="AM36" s="1151"/>
      <c r="AN36" s="543">
        <f t="shared" si="24"/>
        <v>1110</v>
      </c>
      <c r="AO36" s="543"/>
      <c r="AP36" s="543"/>
      <c r="AQ36" s="543"/>
      <c r="AR36" s="543"/>
      <c r="AS36" s="543"/>
      <c r="AT36" s="543"/>
      <c r="AU36" s="543">
        <f t="shared" si="25"/>
        <v>1110</v>
      </c>
      <c r="AV36" s="543"/>
      <c r="AW36" s="543"/>
      <c r="AX36" s="543"/>
      <c r="AY36" s="543"/>
      <c r="AZ36" s="543"/>
      <c r="BA36" s="543"/>
      <c r="BB36" s="543"/>
      <c r="BC36" s="1200"/>
      <c r="BD36" s="1200"/>
      <c r="BE36" s="1200"/>
      <c r="BF36" s="1200"/>
      <c r="BG36" s="1200"/>
      <c r="BH36" s="1200"/>
      <c r="BI36" s="1312"/>
      <c r="BJ36" s="1200"/>
      <c r="BK36" s="1200"/>
      <c r="BL36" s="1200"/>
      <c r="BM36" s="1200"/>
      <c r="BN36" s="1200"/>
      <c r="BO36" s="1200"/>
      <c r="BP36" s="1200"/>
      <c r="BQ36" s="1200"/>
      <c r="BR36" s="1200"/>
      <c r="BS36" s="1200"/>
      <c r="BT36" s="1200"/>
      <c r="BU36" s="1200"/>
      <c r="BV36" s="1200"/>
      <c r="BW36" s="1200"/>
      <c r="BX36" s="1200"/>
      <c r="BY36" s="1200"/>
      <c r="BZ36" s="1012">
        <f t="shared" si="1"/>
        <v>1110</v>
      </c>
      <c r="CB36" s="1219"/>
      <c r="CC36" s="1219"/>
      <c r="CE36" s="1009">
        <f t="shared" si="2"/>
        <v>1717110</v>
      </c>
    </row>
    <row r="37" s="1009" customFormat="1" ht="36" customHeight="1" spans="1:83">
      <c r="A37" s="540">
        <v>45623</v>
      </c>
      <c r="B37" s="1036" t="s">
        <v>1892</v>
      </c>
      <c r="C37" s="1037" t="s">
        <v>117</v>
      </c>
      <c r="D37" s="1038">
        <v>4500152559</v>
      </c>
      <c r="E37" s="1271">
        <v>92242912</v>
      </c>
      <c r="F37" s="1039" t="s">
        <v>3255</v>
      </c>
      <c r="G37" s="1040" t="s">
        <v>1895</v>
      </c>
      <c r="H37" s="1041" t="s">
        <v>1672</v>
      </c>
      <c r="I37" s="1281">
        <v>750</v>
      </c>
      <c r="J37" s="1271">
        <v>0</v>
      </c>
      <c r="K37" s="1271">
        <v>30</v>
      </c>
      <c r="L37" s="1148">
        <f t="shared" si="0"/>
        <v>25</v>
      </c>
      <c r="M37" s="1079">
        <v>45660</v>
      </c>
      <c r="N37" s="1079">
        <v>45663</v>
      </c>
      <c r="O37" s="579"/>
      <c r="P37" s="579" t="s">
        <v>92</v>
      </c>
      <c r="Q37" s="579" t="s">
        <v>3217</v>
      </c>
      <c r="R37" s="579">
        <v>45630</v>
      </c>
      <c r="S37" s="578" t="s">
        <v>123</v>
      </c>
      <c r="T37" s="1284" t="s">
        <v>3253</v>
      </c>
      <c r="U37" s="1111" t="s">
        <v>3448</v>
      </c>
      <c r="V37" s="1295" t="s">
        <v>3249</v>
      </c>
      <c r="W37" s="1296">
        <v>75.5207</v>
      </c>
      <c r="X37" s="1297">
        <f t="shared" si="23"/>
        <v>1888.0175</v>
      </c>
      <c r="Y37" s="1012" t="s">
        <v>3450</v>
      </c>
      <c r="Z37" s="1159" t="s">
        <v>1895</v>
      </c>
      <c r="AA37" s="1150" t="s">
        <v>128</v>
      </c>
      <c r="AB37" s="1150"/>
      <c r="AC37" s="1151">
        <v>750</v>
      </c>
      <c r="AD37" s="1151">
        <f t="shared" si="16"/>
        <v>0</v>
      </c>
      <c r="AE37" s="1151"/>
      <c r="AF37" s="579"/>
      <c r="AG37" s="579"/>
      <c r="AH37" s="1151">
        <f t="shared" si="22"/>
        <v>750</v>
      </c>
      <c r="AI37" s="1151"/>
      <c r="AJ37" s="1151"/>
      <c r="AK37" s="1151"/>
      <c r="AL37" s="1151"/>
      <c r="AM37" s="1151"/>
      <c r="AN37" s="543">
        <f t="shared" si="24"/>
        <v>750</v>
      </c>
      <c r="AO37" s="543"/>
      <c r="AP37" s="543"/>
      <c r="AQ37" s="543"/>
      <c r="AR37" s="543"/>
      <c r="AS37" s="543"/>
      <c r="AT37" s="543"/>
      <c r="AU37" s="543">
        <f t="shared" si="25"/>
        <v>750</v>
      </c>
      <c r="AV37" s="543"/>
      <c r="AW37" s="543"/>
      <c r="AX37" s="543"/>
      <c r="AY37" s="543"/>
      <c r="AZ37" s="543"/>
      <c r="BA37" s="543"/>
      <c r="BB37" s="543"/>
      <c r="BC37" s="1200"/>
      <c r="BD37" s="1200"/>
      <c r="BE37" s="1200"/>
      <c r="BF37" s="1200"/>
      <c r="BG37" s="1200"/>
      <c r="BH37" s="1200"/>
      <c r="BI37" s="1312"/>
      <c r="BJ37" s="1200"/>
      <c r="BK37" s="1200"/>
      <c r="BL37" s="1200"/>
      <c r="BM37" s="1200"/>
      <c r="BN37" s="1200"/>
      <c r="BO37" s="1200"/>
      <c r="BP37" s="1200"/>
      <c r="BQ37" s="1200"/>
      <c r="BR37" s="1200"/>
      <c r="BS37" s="1200"/>
      <c r="BT37" s="1200"/>
      <c r="BU37" s="1200"/>
      <c r="BV37" s="1200"/>
      <c r="BW37" s="1200"/>
      <c r="BX37" s="1200"/>
      <c r="BY37" s="1200"/>
      <c r="BZ37" s="1012">
        <f t="shared" si="1"/>
        <v>750</v>
      </c>
      <c r="CB37" s="1219"/>
      <c r="CC37" s="1219"/>
      <c r="CE37" s="1009">
        <f t="shared" si="2"/>
        <v>1716360</v>
      </c>
    </row>
    <row r="38" s="1009" customFormat="1" ht="36" customHeight="1" spans="1:83">
      <c r="A38" s="540">
        <v>45614</v>
      </c>
      <c r="B38" s="1036" t="s">
        <v>3256</v>
      </c>
      <c r="C38" s="1037" t="s">
        <v>117</v>
      </c>
      <c r="D38" s="1038">
        <v>4500151479</v>
      </c>
      <c r="E38" s="1039">
        <v>383017709</v>
      </c>
      <c r="F38" s="1038" t="s">
        <v>3257</v>
      </c>
      <c r="G38" s="1040" t="s">
        <v>628</v>
      </c>
      <c r="H38" s="1041" t="s">
        <v>623</v>
      </c>
      <c r="I38" s="1012">
        <v>2400</v>
      </c>
      <c r="J38" s="1087">
        <v>0</v>
      </c>
      <c r="K38" s="1040">
        <v>12</v>
      </c>
      <c r="L38" s="1012">
        <f t="shared" si="0"/>
        <v>200</v>
      </c>
      <c r="M38" s="1079">
        <v>45663</v>
      </c>
      <c r="N38" s="1079">
        <v>45663</v>
      </c>
      <c r="O38" s="579"/>
      <c r="P38" s="579" t="s">
        <v>92</v>
      </c>
      <c r="Q38" s="579" t="s">
        <v>3451</v>
      </c>
      <c r="R38" s="579">
        <v>45614</v>
      </c>
      <c r="S38" s="578" t="s">
        <v>77</v>
      </c>
      <c r="T38" s="695" t="s">
        <v>3258</v>
      </c>
      <c r="U38" s="1039" t="s">
        <v>3259</v>
      </c>
      <c r="V38" s="1112" t="s">
        <v>1864</v>
      </c>
      <c r="W38" s="1113">
        <v>3.1012</v>
      </c>
      <c r="X38" s="1114">
        <f t="shared" ref="X38:X78" si="26">I38*W38</f>
        <v>7442.88</v>
      </c>
      <c r="Y38" s="1012" t="s">
        <v>3452</v>
      </c>
      <c r="Z38" s="1159" t="s">
        <v>822</v>
      </c>
      <c r="AA38" s="1150" t="s">
        <v>128</v>
      </c>
      <c r="AB38" s="1150"/>
      <c r="AC38" s="1151">
        <v>2400</v>
      </c>
      <c r="AD38" s="1151">
        <f t="shared" si="16"/>
        <v>0</v>
      </c>
      <c r="AE38" s="1151"/>
      <c r="AF38" s="579"/>
      <c r="AG38" s="579"/>
      <c r="AH38" s="1151">
        <f>I38*2</f>
        <v>4800</v>
      </c>
      <c r="AI38" s="1151"/>
      <c r="AJ38" s="1151"/>
      <c r="AK38" s="1151"/>
      <c r="AL38" s="1176"/>
      <c r="AM38" s="1176"/>
      <c r="AN38" s="1307">
        <f t="shared" si="24"/>
        <v>4800</v>
      </c>
      <c r="AO38" s="543"/>
      <c r="AP38" s="543"/>
      <c r="AQ38" s="543"/>
      <c r="AR38" s="543"/>
      <c r="AS38" s="543"/>
      <c r="AT38" s="543"/>
      <c r="AU38" s="1310">
        <f t="shared" si="25"/>
        <v>4800</v>
      </c>
      <c r="AV38" s="1310"/>
      <c r="AW38" s="543"/>
      <c r="AX38" s="543"/>
      <c r="AY38" s="543"/>
      <c r="AZ38" s="543"/>
      <c r="BA38" s="543"/>
      <c r="BB38" s="543"/>
      <c r="BC38" s="1200"/>
      <c r="BD38" s="1200"/>
      <c r="BE38" s="1200"/>
      <c r="BF38" s="1200"/>
      <c r="BG38" s="1200"/>
      <c r="BH38" s="1200"/>
      <c r="BI38" s="1312"/>
      <c r="BJ38" s="1200"/>
      <c r="BK38" s="1200"/>
      <c r="BL38" s="1200"/>
      <c r="BM38" s="1200"/>
      <c r="BN38" s="1200"/>
      <c r="BO38" s="1200"/>
      <c r="BP38" s="1200"/>
      <c r="BQ38" s="1200"/>
      <c r="BR38" s="1200"/>
      <c r="BS38" s="1200"/>
      <c r="BT38" s="1200"/>
      <c r="BU38" s="1200"/>
      <c r="BV38" s="1200"/>
      <c r="BW38" s="1200">
        <f>I38</f>
        <v>2400</v>
      </c>
      <c r="BX38" s="1200">
        <f>I38</f>
        <v>2400</v>
      </c>
      <c r="BY38" s="1200"/>
      <c r="BZ38" s="1012">
        <f t="shared" si="1"/>
        <v>4800</v>
      </c>
      <c r="CB38" s="1219"/>
      <c r="CC38" s="1219"/>
      <c r="CE38" s="1009">
        <f t="shared" si="2"/>
        <v>1711560</v>
      </c>
    </row>
    <row r="39" s="1009" customFormat="1" ht="36" customHeight="1" spans="1:83">
      <c r="A39" s="1257">
        <v>45603</v>
      </c>
      <c r="B39" s="1036" t="s">
        <v>3264</v>
      </c>
      <c r="C39" s="1037" t="s">
        <v>373</v>
      </c>
      <c r="D39" s="1038">
        <v>4500150460</v>
      </c>
      <c r="E39" s="1039"/>
      <c r="F39" s="1038" t="s">
        <v>3265</v>
      </c>
      <c r="G39" s="1040" t="s">
        <v>107</v>
      </c>
      <c r="H39" s="1041" t="s">
        <v>74</v>
      </c>
      <c r="I39" s="541">
        <v>2010</v>
      </c>
      <c r="J39" s="1087">
        <v>0</v>
      </c>
      <c r="K39" s="1040">
        <v>30</v>
      </c>
      <c r="L39" s="1012">
        <f t="shared" si="0"/>
        <v>67</v>
      </c>
      <c r="M39" s="1079">
        <v>45667</v>
      </c>
      <c r="N39" s="1079">
        <v>45663</v>
      </c>
      <c r="O39" s="579" t="s">
        <v>3266</v>
      </c>
      <c r="P39" s="579" t="s">
        <v>92</v>
      </c>
      <c r="Q39" s="579" t="s">
        <v>3453</v>
      </c>
      <c r="R39" s="579">
        <v>45630</v>
      </c>
      <c r="S39" s="579" t="s">
        <v>77</v>
      </c>
      <c r="T39" s="1294" t="s">
        <v>3267</v>
      </c>
      <c r="U39" s="1281" t="s">
        <v>3268</v>
      </c>
      <c r="V39" s="1295" t="s">
        <v>3007</v>
      </c>
      <c r="W39" s="1113">
        <v>57.6474</v>
      </c>
      <c r="X39" s="1114">
        <f>W39*L39</f>
        <v>3862.3758</v>
      </c>
      <c r="Y39" s="1012" t="s">
        <v>3454</v>
      </c>
      <c r="Z39" s="1159" t="s">
        <v>423</v>
      </c>
      <c r="AA39" s="1150" t="s">
        <v>128</v>
      </c>
      <c r="AB39" s="1150"/>
      <c r="AC39" s="1151">
        <v>2010</v>
      </c>
      <c r="AD39" s="1151">
        <f t="shared" si="16"/>
        <v>0</v>
      </c>
      <c r="AE39" s="1151"/>
      <c r="AF39" s="579"/>
      <c r="AG39" s="579" t="s">
        <v>3242</v>
      </c>
      <c r="AH39" s="1151">
        <f t="shared" ref="AH39:AH43" si="27">I39</f>
        <v>2010</v>
      </c>
      <c r="AI39" s="1151"/>
      <c r="AJ39" s="1151"/>
      <c r="AK39" s="1151"/>
      <c r="AL39" s="1176"/>
      <c r="AM39" s="1176"/>
      <c r="AN39" s="1307"/>
      <c r="AO39" s="543">
        <f t="shared" ref="AO39:AO44" si="28">I39</f>
        <v>2010</v>
      </c>
      <c r="AP39" s="543"/>
      <c r="AQ39" s="543"/>
      <c r="AR39" s="543"/>
      <c r="AS39" s="543"/>
      <c r="AT39" s="543"/>
      <c r="AU39" s="543">
        <f t="shared" ref="AU39:AU41" si="29">I39</f>
        <v>2010</v>
      </c>
      <c r="AV39" s="543"/>
      <c r="AW39" s="543"/>
      <c r="AX39" s="543"/>
      <c r="AY39" s="543"/>
      <c r="AZ39" s="543"/>
      <c r="BA39" s="543"/>
      <c r="BB39" s="543"/>
      <c r="BC39" s="1200"/>
      <c r="BD39" s="1200"/>
      <c r="BE39" s="1200"/>
      <c r="BF39" s="1200"/>
      <c r="BG39" s="1200"/>
      <c r="BH39" s="1200"/>
      <c r="BI39" s="1312"/>
      <c r="BJ39" s="1200"/>
      <c r="BK39" s="1200"/>
      <c r="BL39" s="1200"/>
      <c r="BM39" s="1200"/>
      <c r="BN39" s="1200"/>
      <c r="BO39" s="1200"/>
      <c r="BP39" s="1200"/>
      <c r="BQ39" s="1200"/>
      <c r="BR39" s="1200"/>
      <c r="BS39" s="1200">
        <f>I39/30</f>
        <v>67</v>
      </c>
      <c r="BT39" s="1200">
        <f>BS39</f>
        <v>67</v>
      </c>
      <c r="BU39" s="1200"/>
      <c r="BV39" s="1200"/>
      <c r="BW39" s="1200"/>
      <c r="BX39" s="1200"/>
      <c r="BY39" s="1200"/>
      <c r="BZ39" s="1012">
        <f t="shared" si="1"/>
        <v>2010</v>
      </c>
      <c r="CB39" s="1219"/>
      <c r="CC39" s="1219"/>
      <c r="CE39" s="1009">
        <f t="shared" si="2"/>
        <v>1709550</v>
      </c>
    </row>
    <row r="40" s="1009" customFormat="1" ht="36" customHeight="1" spans="1:83">
      <c r="A40" s="540">
        <v>45622</v>
      </c>
      <c r="B40" s="1036" t="s">
        <v>3269</v>
      </c>
      <c r="C40" s="1037" t="s">
        <v>3188</v>
      </c>
      <c r="D40" s="1038">
        <v>4500152326</v>
      </c>
      <c r="E40" s="1039"/>
      <c r="F40" s="1038" t="s">
        <v>3270</v>
      </c>
      <c r="G40" s="1040" t="s">
        <v>96</v>
      </c>
      <c r="H40" s="1041" t="s">
        <v>74</v>
      </c>
      <c r="I40" s="1012">
        <v>250</v>
      </c>
      <c r="J40" s="1087">
        <v>0</v>
      </c>
      <c r="K40" s="1040">
        <v>50</v>
      </c>
      <c r="L40" s="1012">
        <f t="shared" si="0"/>
        <v>5</v>
      </c>
      <c r="M40" s="1079">
        <v>45663</v>
      </c>
      <c r="N40" s="1079">
        <v>45663</v>
      </c>
      <c r="O40" s="579"/>
      <c r="P40" s="579" t="s">
        <v>1262</v>
      </c>
      <c r="Q40" s="579" t="s">
        <v>3455</v>
      </c>
      <c r="R40" s="579">
        <v>45637</v>
      </c>
      <c r="S40" s="578" t="s">
        <v>77</v>
      </c>
      <c r="T40" s="1284" t="s">
        <v>3271</v>
      </c>
      <c r="U40" s="1298" t="s">
        <v>3456</v>
      </c>
      <c r="V40" s="1112" t="s">
        <v>618</v>
      </c>
      <c r="W40" s="1113">
        <v>1.4395</v>
      </c>
      <c r="X40" s="1114">
        <f t="shared" si="26"/>
        <v>359.875</v>
      </c>
      <c r="Y40" s="1012" t="s">
        <v>3457</v>
      </c>
      <c r="Z40" s="1159" t="s">
        <v>292</v>
      </c>
      <c r="AA40" s="1150" t="s">
        <v>128</v>
      </c>
      <c r="AB40" s="1150"/>
      <c r="AC40" s="1151">
        <v>250</v>
      </c>
      <c r="AD40" s="1151">
        <f t="shared" si="16"/>
        <v>0</v>
      </c>
      <c r="AE40" s="1151"/>
      <c r="AF40" s="579"/>
      <c r="AG40" s="579"/>
      <c r="AH40" s="1151">
        <f t="shared" si="27"/>
        <v>250</v>
      </c>
      <c r="AI40" s="1151"/>
      <c r="AJ40" s="1151"/>
      <c r="AK40" s="1151"/>
      <c r="AL40" s="1151"/>
      <c r="AM40" s="1151"/>
      <c r="AN40" s="543"/>
      <c r="AO40" s="543">
        <f t="shared" si="28"/>
        <v>250</v>
      </c>
      <c r="AP40" s="543"/>
      <c r="AQ40" s="543"/>
      <c r="AR40" s="543"/>
      <c r="AS40" s="543"/>
      <c r="AT40" s="543"/>
      <c r="AU40" s="543">
        <f t="shared" si="29"/>
        <v>250</v>
      </c>
      <c r="AV40" s="543"/>
      <c r="AW40" s="543"/>
      <c r="AX40" s="543"/>
      <c r="AY40" s="543"/>
      <c r="AZ40" s="543"/>
      <c r="BA40" s="543"/>
      <c r="BB40" s="543"/>
      <c r="BC40" s="1200"/>
      <c r="BD40" s="1200"/>
      <c r="BE40" s="1200"/>
      <c r="BF40" s="1200"/>
      <c r="BG40" s="1200"/>
      <c r="BH40" s="1200"/>
      <c r="BI40" s="1312"/>
      <c r="BJ40" s="1200"/>
      <c r="BK40" s="1200"/>
      <c r="BL40" s="1200"/>
      <c r="BM40" s="1200"/>
      <c r="BN40" s="1200">
        <f>I40/25</f>
        <v>10</v>
      </c>
      <c r="BO40" s="1200"/>
      <c r="BP40" s="1200"/>
      <c r="BQ40" s="1200"/>
      <c r="BR40" s="1200"/>
      <c r="BS40" s="1200"/>
      <c r="BT40" s="1200"/>
      <c r="BU40" s="1200"/>
      <c r="BV40" s="1200"/>
      <c r="BW40" s="1200"/>
      <c r="BX40" s="1200"/>
      <c r="BY40" s="1200"/>
      <c r="BZ40" s="1012">
        <f t="shared" si="1"/>
        <v>250</v>
      </c>
      <c r="CB40" s="1219"/>
      <c r="CC40" s="1219"/>
      <c r="CE40" s="1009">
        <f t="shared" si="2"/>
        <v>1709300</v>
      </c>
    </row>
    <row r="41" s="1009" customFormat="1" ht="36" customHeight="1" spans="1:83">
      <c r="A41" s="1257">
        <v>45615</v>
      </c>
      <c r="B41" s="1036" t="s">
        <v>2811</v>
      </c>
      <c r="C41" s="1037" t="s">
        <v>117</v>
      </c>
      <c r="D41" s="1038">
        <v>4500151779</v>
      </c>
      <c r="E41" s="1039"/>
      <c r="F41" s="1038" t="s">
        <v>3278</v>
      </c>
      <c r="G41" s="1040" t="s">
        <v>160</v>
      </c>
      <c r="H41" s="1041" t="s">
        <v>74</v>
      </c>
      <c r="I41" s="1012">
        <v>1092</v>
      </c>
      <c r="J41" s="1087">
        <v>0</v>
      </c>
      <c r="K41" s="1040">
        <v>13</v>
      </c>
      <c r="L41" s="1012">
        <f t="shared" si="0"/>
        <v>84</v>
      </c>
      <c r="M41" s="1079">
        <v>45666</v>
      </c>
      <c r="N41" s="1079">
        <v>45663</v>
      </c>
      <c r="O41" s="579"/>
      <c r="P41" s="579" t="s">
        <v>1262</v>
      </c>
      <c r="Q41" s="579" t="s">
        <v>3458</v>
      </c>
      <c r="R41" s="579">
        <v>45637</v>
      </c>
      <c r="S41" s="579" t="s">
        <v>77</v>
      </c>
      <c r="T41" s="1284" t="s">
        <v>77</v>
      </c>
      <c r="U41" s="1039" t="s">
        <v>2814</v>
      </c>
      <c r="V41" s="1112" t="s">
        <v>521</v>
      </c>
      <c r="W41" s="1113">
        <v>1.4071</v>
      </c>
      <c r="X41" s="1114">
        <f t="shared" si="26"/>
        <v>1536.5532</v>
      </c>
      <c r="Y41" s="1012" t="s">
        <v>3459</v>
      </c>
      <c r="Z41" s="1159" t="s">
        <v>160</v>
      </c>
      <c r="AA41" s="1150" t="s">
        <v>128</v>
      </c>
      <c r="AB41" s="1150"/>
      <c r="AC41" s="1151">
        <v>1092</v>
      </c>
      <c r="AD41" s="1151">
        <f t="shared" si="16"/>
        <v>0</v>
      </c>
      <c r="AE41" s="1151"/>
      <c r="AF41" s="579"/>
      <c r="AG41" s="579" t="s">
        <v>659</v>
      </c>
      <c r="AH41" s="1151">
        <f t="shared" si="27"/>
        <v>1092</v>
      </c>
      <c r="AI41" s="1151"/>
      <c r="AJ41" s="1151"/>
      <c r="AK41" s="1151"/>
      <c r="AL41" s="1151"/>
      <c r="AM41" s="1151"/>
      <c r="AN41" s="543">
        <f t="shared" ref="AN41:AN43" si="30">I41</f>
        <v>1092</v>
      </c>
      <c r="AO41" s="543"/>
      <c r="AP41" s="543"/>
      <c r="AQ41" s="543"/>
      <c r="AR41" s="543"/>
      <c r="AS41" s="543"/>
      <c r="AT41" s="543"/>
      <c r="AU41" s="543">
        <f t="shared" si="29"/>
        <v>1092</v>
      </c>
      <c r="AV41" s="543"/>
      <c r="AW41" s="543"/>
      <c r="AX41" s="543"/>
      <c r="AY41" s="543"/>
      <c r="AZ41" s="543"/>
      <c r="BA41" s="543"/>
      <c r="BB41" s="543"/>
      <c r="BC41" s="1200"/>
      <c r="BD41" s="1200"/>
      <c r="BE41" s="1200"/>
      <c r="BF41" s="1200"/>
      <c r="BG41" s="1200"/>
      <c r="BH41" s="1200"/>
      <c r="BI41" s="1200">
        <f>I41/13</f>
        <v>84</v>
      </c>
      <c r="BJ41" s="1200"/>
      <c r="BK41" s="1200"/>
      <c r="BL41" s="1200"/>
      <c r="BM41" s="1200"/>
      <c r="BN41" s="1200"/>
      <c r="BO41" s="1200"/>
      <c r="BP41" s="1200"/>
      <c r="BQ41" s="1200"/>
      <c r="BR41" s="1200"/>
      <c r="BS41" s="1200"/>
      <c r="BT41" s="1200"/>
      <c r="BU41" s="1200"/>
      <c r="BV41" s="1200"/>
      <c r="BW41" s="1200"/>
      <c r="BX41" s="1200"/>
      <c r="BY41" s="1200"/>
      <c r="BZ41" s="1012">
        <f t="shared" si="1"/>
        <v>1092</v>
      </c>
      <c r="CB41" s="1219"/>
      <c r="CC41" s="1219"/>
      <c r="CE41" s="1009">
        <f t="shared" si="2"/>
        <v>1708208</v>
      </c>
    </row>
    <row r="42" s="1009" customFormat="1" ht="36" customHeight="1" spans="1:83">
      <c r="A42" s="540">
        <v>45604</v>
      </c>
      <c r="B42" s="1036" t="s">
        <v>3076</v>
      </c>
      <c r="C42" s="1037" t="s">
        <v>3092</v>
      </c>
      <c r="D42" s="1038">
        <v>4500150683</v>
      </c>
      <c r="E42" s="1039" t="s">
        <v>1571</v>
      </c>
      <c r="F42" s="1038" t="s">
        <v>3279</v>
      </c>
      <c r="G42" s="1040" t="s">
        <v>3079</v>
      </c>
      <c r="H42" s="1041" t="s">
        <v>74</v>
      </c>
      <c r="I42" s="1012">
        <v>504</v>
      </c>
      <c r="J42" s="1087">
        <v>0</v>
      </c>
      <c r="K42" s="1040">
        <v>42</v>
      </c>
      <c r="L42" s="1012">
        <f t="shared" si="0"/>
        <v>12</v>
      </c>
      <c r="M42" s="1079">
        <v>45667</v>
      </c>
      <c r="N42" s="1079">
        <v>45663</v>
      </c>
      <c r="O42" s="579" t="s">
        <v>3080</v>
      </c>
      <c r="P42" s="579" t="s">
        <v>1262</v>
      </c>
      <c r="Q42" s="579" t="s">
        <v>3460</v>
      </c>
      <c r="R42" s="579" t="s">
        <v>3280</v>
      </c>
      <c r="S42" s="1283" t="s">
        <v>77</v>
      </c>
      <c r="T42" s="581" t="s">
        <v>3082</v>
      </c>
      <c r="U42" s="1298" t="s">
        <v>3461</v>
      </c>
      <c r="V42" s="1112" t="s">
        <v>1294</v>
      </c>
      <c r="W42" s="1113">
        <v>1.5571</v>
      </c>
      <c r="X42" s="1114">
        <f t="shared" si="26"/>
        <v>784.7784</v>
      </c>
      <c r="Y42" s="1012" t="s">
        <v>3462</v>
      </c>
      <c r="Z42" s="1159" t="s">
        <v>3079</v>
      </c>
      <c r="AA42" s="1150" t="s">
        <v>128</v>
      </c>
      <c r="AB42" s="1150"/>
      <c r="AC42" s="1151">
        <v>504</v>
      </c>
      <c r="AD42" s="1151">
        <f t="shared" si="16"/>
        <v>0</v>
      </c>
      <c r="AE42" s="1151"/>
      <c r="AF42" s="579"/>
      <c r="AG42" s="579"/>
      <c r="AH42" s="1151">
        <f t="shared" si="27"/>
        <v>504</v>
      </c>
      <c r="AI42" s="1151"/>
      <c r="AJ42" s="1012"/>
      <c r="AK42" s="1151"/>
      <c r="AL42" s="1151"/>
      <c r="AM42" s="1151"/>
      <c r="AN42" s="1012">
        <f t="shared" si="30"/>
        <v>504</v>
      </c>
      <c r="AO42" s="1012"/>
      <c r="AP42" s="1012"/>
      <c r="AQ42" s="1012"/>
      <c r="AR42" s="543"/>
      <c r="AS42" s="543"/>
      <c r="AT42" s="543"/>
      <c r="AU42" s="543"/>
      <c r="AV42" s="543"/>
      <c r="AW42" s="543">
        <f>I42</f>
        <v>504</v>
      </c>
      <c r="AX42" s="543"/>
      <c r="AY42" s="543"/>
      <c r="AZ42" s="543"/>
      <c r="BA42" s="543"/>
      <c r="BB42" s="543"/>
      <c r="BC42" s="543">
        <f>I42/21</f>
        <v>24</v>
      </c>
      <c r="BD42" s="543"/>
      <c r="BE42" s="1200"/>
      <c r="BF42" s="1200"/>
      <c r="BG42" s="1200"/>
      <c r="BH42" s="1200"/>
      <c r="BI42" s="1312"/>
      <c r="BJ42" s="1200"/>
      <c r="BK42" s="1200"/>
      <c r="BL42" s="1200"/>
      <c r="BM42" s="1200"/>
      <c r="BN42" s="1200"/>
      <c r="BO42" s="1200"/>
      <c r="BP42" s="1200"/>
      <c r="BQ42" s="1200"/>
      <c r="BR42" s="1200"/>
      <c r="BS42" s="1200"/>
      <c r="BT42" s="1200"/>
      <c r="BU42" s="1200"/>
      <c r="BV42" s="1200"/>
      <c r="BW42" s="1200"/>
      <c r="BX42" s="1200"/>
      <c r="BY42" s="1200"/>
      <c r="BZ42" s="1012">
        <f t="shared" si="1"/>
        <v>504</v>
      </c>
      <c r="CB42" s="1219"/>
      <c r="CC42" s="1219"/>
      <c r="CE42" s="1009">
        <f t="shared" si="2"/>
        <v>1707704</v>
      </c>
    </row>
    <row r="43" s="1009" customFormat="1" ht="36" customHeight="1" spans="1:83">
      <c r="A43" s="540">
        <v>45604</v>
      </c>
      <c r="B43" s="1036" t="s">
        <v>3076</v>
      </c>
      <c r="C43" s="1037" t="s">
        <v>3092</v>
      </c>
      <c r="D43" s="1038">
        <v>4500150683</v>
      </c>
      <c r="E43" s="1039" t="s">
        <v>1571</v>
      </c>
      <c r="F43" s="1038" t="s">
        <v>3282</v>
      </c>
      <c r="G43" s="1040" t="s">
        <v>3090</v>
      </c>
      <c r="H43" s="1041" t="s">
        <v>74</v>
      </c>
      <c r="I43" s="541">
        <v>1800</v>
      </c>
      <c r="J43" s="1087">
        <v>0</v>
      </c>
      <c r="K43" s="1040">
        <v>60</v>
      </c>
      <c r="L43" s="1012">
        <f t="shared" si="0"/>
        <v>30</v>
      </c>
      <c r="M43" s="1079">
        <v>45667</v>
      </c>
      <c r="N43" s="1079">
        <v>45663</v>
      </c>
      <c r="O43" s="579" t="s">
        <v>3080</v>
      </c>
      <c r="P43" s="579" t="s">
        <v>92</v>
      </c>
      <c r="Q43" s="579" t="s">
        <v>3460</v>
      </c>
      <c r="R43" s="579" t="s">
        <v>3280</v>
      </c>
      <c r="S43" s="1283" t="s">
        <v>77</v>
      </c>
      <c r="T43" s="581" t="s">
        <v>3082</v>
      </c>
      <c r="U43" s="1298" t="s">
        <v>3463</v>
      </c>
      <c r="V43" s="1112" t="s">
        <v>1294</v>
      </c>
      <c r="W43" s="1113">
        <v>106.1213</v>
      </c>
      <c r="X43" s="1114">
        <f t="shared" si="26"/>
        <v>191018.34</v>
      </c>
      <c r="Y43" s="1012" t="s">
        <v>3462</v>
      </c>
      <c r="Z43" s="1159" t="s">
        <v>3090</v>
      </c>
      <c r="AA43" s="1150" t="s">
        <v>128</v>
      </c>
      <c r="AB43" s="1150"/>
      <c r="AC43" s="1151">
        <v>1800</v>
      </c>
      <c r="AD43" s="1151">
        <f t="shared" si="16"/>
        <v>0</v>
      </c>
      <c r="AE43" s="1151"/>
      <c r="AF43" s="579"/>
      <c r="AG43" s="579"/>
      <c r="AH43" s="1151">
        <f t="shared" si="27"/>
        <v>1800</v>
      </c>
      <c r="AI43" s="1151"/>
      <c r="AJ43" s="1012"/>
      <c r="AK43" s="1151"/>
      <c r="AL43" s="1151"/>
      <c r="AM43" s="1151"/>
      <c r="AN43" s="1012">
        <f t="shared" si="30"/>
        <v>1800</v>
      </c>
      <c r="AO43" s="1012"/>
      <c r="AP43" s="1012"/>
      <c r="AQ43" s="1012"/>
      <c r="AR43" s="543"/>
      <c r="AS43" s="543"/>
      <c r="AT43" s="543"/>
      <c r="AU43" s="543"/>
      <c r="AV43" s="543"/>
      <c r="AW43" s="543">
        <f>I43</f>
        <v>1800</v>
      </c>
      <c r="AX43" s="543"/>
      <c r="AY43" s="543"/>
      <c r="AZ43" s="543"/>
      <c r="BA43" s="543"/>
      <c r="BB43" s="543"/>
      <c r="BC43" s="1200"/>
      <c r="BD43" s="1200"/>
      <c r="BE43" s="1200"/>
      <c r="BF43" s="1200"/>
      <c r="BG43" s="1200"/>
      <c r="BH43" s="1200"/>
      <c r="BI43" s="1312"/>
      <c r="BJ43" s="1200"/>
      <c r="BK43" s="1200"/>
      <c r="BL43" s="1200"/>
      <c r="BM43" s="1200"/>
      <c r="BN43" s="1200"/>
      <c r="BO43" s="1200"/>
      <c r="BP43" s="1200"/>
      <c r="BQ43" s="1200">
        <f>I43/60</f>
        <v>30</v>
      </c>
      <c r="BR43" s="1200"/>
      <c r="BS43" s="1200"/>
      <c r="BT43" s="1200"/>
      <c r="BU43" s="1200"/>
      <c r="BV43" s="1200"/>
      <c r="BW43" s="1200"/>
      <c r="BX43" s="1200"/>
      <c r="BY43" s="1200"/>
      <c r="BZ43" s="1012">
        <f t="shared" si="1"/>
        <v>1800</v>
      </c>
      <c r="CB43" s="1219"/>
      <c r="CC43" s="1219"/>
      <c r="CE43" s="1009">
        <f t="shared" si="2"/>
        <v>1705904</v>
      </c>
    </row>
    <row r="44" s="1009" customFormat="1" ht="36" customHeight="1" spans="1:83">
      <c r="A44" s="540">
        <v>45607</v>
      </c>
      <c r="B44" s="1036" t="s">
        <v>250</v>
      </c>
      <c r="C44" s="1037" t="s">
        <v>180</v>
      </c>
      <c r="D44" s="1038">
        <v>4500149708</v>
      </c>
      <c r="E44" s="1039">
        <v>5200005612</v>
      </c>
      <c r="F44" s="1038" t="s">
        <v>3284</v>
      </c>
      <c r="G44" s="1040" t="s">
        <v>1172</v>
      </c>
      <c r="H44" s="1041" t="s">
        <v>1165</v>
      </c>
      <c r="I44" s="1078">
        <v>2000</v>
      </c>
      <c r="J44" s="1078">
        <v>0</v>
      </c>
      <c r="K44" s="1078">
        <v>25</v>
      </c>
      <c r="L44" s="1078">
        <f t="shared" si="0"/>
        <v>80</v>
      </c>
      <c r="M44" s="1079">
        <v>45670</v>
      </c>
      <c r="N44" s="1079">
        <v>45666</v>
      </c>
      <c r="O44" s="579" t="s">
        <v>3235</v>
      </c>
      <c r="P44" s="579" t="s">
        <v>92</v>
      </c>
      <c r="Q44" s="1009" t="s">
        <v>3458</v>
      </c>
      <c r="R44" s="579">
        <v>45632</v>
      </c>
      <c r="S44" s="579" t="s">
        <v>3285</v>
      </c>
      <c r="T44" s="581" t="s">
        <v>3286</v>
      </c>
      <c r="U44" s="1111" t="s">
        <v>3464</v>
      </c>
      <c r="V44" s="1112" t="s">
        <v>3007</v>
      </c>
      <c r="W44" s="1113">
        <v>1.4171</v>
      </c>
      <c r="X44" s="1114">
        <f t="shared" si="26"/>
        <v>2834.2</v>
      </c>
      <c r="Y44" s="1012" t="s">
        <v>3465</v>
      </c>
      <c r="Z44" s="1159" t="s">
        <v>877</v>
      </c>
      <c r="AA44" s="1150" t="s">
        <v>128</v>
      </c>
      <c r="AB44" s="1150"/>
      <c r="AC44" s="1151">
        <v>2000</v>
      </c>
      <c r="AD44" s="1151">
        <f t="shared" si="16"/>
        <v>0</v>
      </c>
      <c r="AE44" s="1151"/>
      <c r="AF44" s="579"/>
      <c r="AG44" s="579"/>
      <c r="AH44" s="1151"/>
      <c r="AI44" s="1151">
        <f>I44</f>
        <v>2000</v>
      </c>
      <c r="AJ44" s="1151"/>
      <c r="AK44" s="1151"/>
      <c r="AL44" s="1176"/>
      <c r="AM44" s="1176"/>
      <c r="AO44" s="543">
        <f t="shared" si="28"/>
        <v>2000</v>
      </c>
      <c r="AP44" s="543"/>
      <c r="AQ44" s="543"/>
      <c r="AR44" s="543"/>
      <c r="AS44" s="543"/>
      <c r="AT44" s="543"/>
      <c r="AU44" s="543">
        <f>I44</f>
        <v>2000</v>
      </c>
      <c r="AV44" s="543"/>
      <c r="AW44" s="543"/>
      <c r="AX44" s="543"/>
      <c r="AY44" s="543"/>
      <c r="AZ44" s="543"/>
      <c r="BA44" s="543"/>
      <c r="BB44" s="543"/>
      <c r="BC44" s="1200"/>
      <c r="BD44" s="1200"/>
      <c r="BE44" s="1200"/>
      <c r="BF44" s="1200"/>
      <c r="BG44" s="1200"/>
      <c r="BH44" s="1200"/>
      <c r="BI44" s="1312"/>
      <c r="BJ44" s="1200"/>
      <c r="BK44" s="1200"/>
      <c r="BL44" s="1200"/>
      <c r="BM44" s="1200"/>
      <c r="BN44" s="1200">
        <f>I44/25</f>
        <v>80</v>
      </c>
      <c r="BO44" s="1200"/>
      <c r="BP44" s="1200"/>
      <c r="BQ44" s="1200"/>
      <c r="BR44" s="1200"/>
      <c r="BS44" s="1200"/>
      <c r="BT44" s="1200"/>
      <c r="BU44" s="1200"/>
      <c r="BV44" s="1200"/>
      <c r="BW44" s="1200"/>
      <c r="BX44" s="1200"/>
      <c r="BY44" s="1200"/>
      <c r="BZ44" s="1012">
        <f t="shared" si="1"/>
        <v>2000</v>
      </c>
      <c r="CB44" s="1219"/>
      <c r="CC44" s="1219"/>
      <c r="CE44" s="1009">
        <f t="shared" si="2"/>
        <v>1703904</v>
      </c>
    </row>
    <row r="45" s="1009" customFormat="1" ht="36" customHeight="1" spans="1:83">
      <c r="A45" s="540">
        <v>45603</v>
      </c>
      <c r="B45" s="1036" t="s">
        <v>3102</v>
      </c>
      <c r="C45" s="1037" t="s">
        <v>117</v>
      </c>
      <c r="D45" s="1038">
        <v>4500150308</v>
      </c>
      <c r="E45" s="1039">
        <v>70054030</v>
      </c>
      <c r="F45" s="1038" t="s">
        <v>3288</v>
      </c>
      <c r="G45" s="1040" t="s">
        <v>628</v>
      </c>
      <c r="H45" s="1041" t="s">
        <v>623</v>
      </c>
      <c r="I45" s="1012">
        <v>1008</v>
      </c>
      <c r="J45" s="1087">
        <v>0</v>
      </c>
      <c r="K45" s="1040">
        <v>12</v>
      </c>
      <c r="L45" s="1012">
        <f t="shared" si="0"/>
        <v>84</v>
      </c>
      <c r="M45" s="1079">
        <v>45670</v>
      </c>
      <c r="N45" s="1079">
        <v>45666</v>
      </c>
      <c r="O45" s="579" t="s">
        <v>3289</v>
      </c>
      <c r="P45" s="1009" t="s">
        <v>92</v>
      </c>
      <c r="Q45" s="579"/>
      <c r="R45" s="579">
        <v>45610</v>
      </c>
      <c r="S45" s="578" t="s">
        <v>77</v>
      </c>
      <c r="T45" s="695" t="s">
        <v>3290</v>
      </c>
      <c r="U45" s="1039" t="s">
        <v>3291</v>
      </c>
      <c r="V45" s="1112" t="s">
        <v>2458</v>
      </c>
      <c r="W45" s="1113">
        <v>3.0641</v>
      </c>
      <c r="X45" s="1114">
        <f t="shared" si="26"/>
        <v>3088.6128</v>
      </c>
      <c r="Y45" s="1012" t="s">
        <v>3466</v>
      </c>
      <c r="Z45" s="1159" t="s">
        <v>729</v>
      </c>
      <c r="AA45" s="1150" t="s">
        <v>128</v>
      </c>
      <c r="AB45" s="1150"/>
      <c r="AC45" s="1151">
        <v>1008</v>
      </c>
      <c r="AD45" s="1151">
        <f t="shared" si="16"/>
        <v>0</v>
      </c>
      <c r="AE45" s="1151"/>
      <c r="AF45" s="579"/>
      <c r="AG45" s="579"/>
      <c r="AH45" s="1151">
        <f t="shared" ref="AH45:AH48" si="31">I45*2</f>
        <v>2016</v>
      </c>
      <c r="AI45" s="1151"/>
      <c r="AJ45" s="1151"/>
      <c r="AK45" s="1151"/>
      <c r="AL45" s="1176"/>
      <c r="AM45" s="1176"/>
      <c r="AO45" s="543">
        <f t="shared" ref="AO45:AO48" si="32">AH45</f>
        <v>2016</v>
      </c>
      <c r="AP45" s="543"/>
      <c r="AQ45" s="543"/>
      <c r="AR45" s="543"/>
      <c r="AS45" s="543"/>
      <c r="AT45" s="543"/>
      <c r="AU45" s="1310">
        <f t="shared" ref="AU45:AU49" si="33">AH45</f>
        <v>2016</v>
      </c>
      <c r="AV45" s="1310"/>
      <c r="AW45" s="543"/>
      <c r="AX45" s="543"/>
      <c r="AY45" s="543"/>
      <c r="AZ45" s="543"/>
      <c r="BA45" s="543"/>
      <c r="BB45" s="543"/>
      <c r="BC45" s="1200"/>
      <c r="BD45" s="1200"/>
      <c r="BE45" s="1200"/>
      <c r="BF45" s="1200"/>
      <c r="BG45" s="1200"/>
      <c r="BH45" s="1200"/>
      <c r="BI45" s="1312"/>
      <c r="BJ45" s="1200"/>
      <c r="BK45" s="1200"/>
      <c r="BL45" s="1200"/>
      <c r="BM45" s="1200"/>
      <c r="BN45" s="1200"/>
      <c r="BO45" s="1200"/>
      <c r="BP45" s="1200"/>
      <c r="BQ45" s="1200"/>
      <c r="BR45" s="1200"/>
      <c r="BS45" s="1200"/>
      <c r="BT45" s="1200"/>
      <c r="BU45" s="1200"/>
      <c r="BV45" s="1200"/>
      <c r="BW45" s="1200">
        <f t="shared" ref="BW45:BW48" si="34">I45</f>
        <v>1008</v>
      </c>
      <c r="BX45" s="1200">
        <f t="shared" ref="BX45:BX48" si="35">I45</f>
        <v>1008</v>
      </c>
      <c r="BY45" s="1200"/>
      <c r="BZ45" s="1012">
        <f t="shared" si="1"/>
        <v>2016</v>
      </c>
      <c r="CB45" s="1219"/>
      <c r="CC45" s="1219"/>
      <c r="CE45" s="1009">
        <f t="shared" si="2"/>
        <v>1701888</v>
      </c>
    </row>
    <row r="46" s="1009" customFormat="1" ht="36" customHeight="1" spans="1:83">
      <c r="A46" s="540">
        <v>45603</v>
      </c>
      <c r="B46" s="1036" t="s">
        <v>816</v>
      </c>
      <c r="C46" s="1037" t="s">
        <v>117</v>
      </c>
      <c r="D46" s="1038">
        <v>4500150464</v>
      </c>
      <c r="E46" s="1039">
        <v>60190494</v>
      </c>
      <c r="F46" s="1038" t="s">
        <v>3292</v>
      </c>
      <c r="G46" s="1040" t="s">
        <v>628</v>
      </c>
      <c r="H46" s="1041" t="s">
        <v>623</v>
      </c>
      <c r="I46" s="1012">
        <v>4800</v>
      </c>
      <c r="J46" s="1087">
        <v>0</v>
      </c>
      <c r="K46" s="1040">
        <v>12</v>
      </c>
      <c r="L46" s="1012">
        <f t="shared" si="0"/>
        <v>400</v>
      </c>
      <c r="M46" s="1079">
        <v>45672</v>
      </c>
      <c r="N46" s="1079">
        <v>45667</v>
      </c>
      <c r="O46" s="579" t="s">
        <v>3289</v>
      </c>
      <c r="P46" s="1009" t="s">
        <v>92</v>
      </c>
      <c r="Q46" s="579" t="s">
        <v>3467</v>
      </c>
      <c r="R46" s="579">
        <v>45610</v>
      </c>
      <c r="S46" s="578" t="s">
        <v>77</v>
      </c>
      <c r="T46" s="695" t="s">
        <v>3293</v>
      </c>
      <c r="U46" s="1111" t="s">
        <v>3468</v>
      </c>
      <c r="V46" s="1112" t="s">
        <v>163</v>
      </c>
      <c r="W46" s="1113">
        <v>3.054</v>
      </c>
      <c r="X46" s="1114">
        <f t="shared" si="26"/>
        <v>14659.2</v>
      </c>
      <c r="Y46" s="1012" t="s">
        <v>3469</v>
      </c>
      <c r="Z46" s="1159" t="s">
        <v>822</v>
      </c>
      <c r="AA46" s="1150" t="s">
        <v>128</v>
      </c>
      <c r="AB46" s="1150"/>
      <c r="AC46" s="1151">
        <v>4800</v>
      </c>
      <c r="AD46" s="1151">
        <f t="shared" si="16"/>
        <v>0</v>
      </c>
      <c r="AE46" s="1151"/>
      <c r="AF46" s="579"/>
      <c r="AG46" s="579"/>
      <c r="AH46" s="1151">
        <f t="shared" si="31"/>
        <v>9600</v>
      </c>
      <c r="AI46" s="1151"/>
      <c r="AJ46" s="1151"/>
      <c r="AK46" s="1151"/>
      <c r="AL46" s="1151"/>
      <c r="AM46" s="1151"/>
      <c r="AN46" s="1012"/>
      <c r="AO46" s="543">
        <f t="shared" si="32"/>
        <v>9600</v>
      </c>
      <c r="AP46" s="543"/>
      <c r="AQ46" s="543"/>
      <c r="AR46" s="543"/>
      <c r="AS46" s="543"/>
      <c r="AT46" s="543"/>
      <c r="AU46" s="1310">
        <f t="shared" si="33"/>
        <v>9600</v>
      </c>
      <c r="AV46" s="1310"/>
      <c r="AW46" s="543"/>
      <c r="AX46" s="543"/>
      <c r="AY46" s="543"/>
      <c r="AZ46" s="543"/>
      <c r="BA46" s="543"/>
      <c r="BB46" s="543"/>
      <c r="BC46" s="1200"/>
      <c r="BD46" s="1200"/>
      <c r="BE46" s="1200"/>
      <c r="BF46" s="1200"/>
      <c r="BG46" s="1200"/>
      <c r="BH46" s="1200"/>
      <c r="BI46" s="1312"/>
      <c r="BJ46" s="1200"/>
      <c r="BK46" s="1200"/>
      <c r="BL46" s="1200"/>
      <c r="BM46" s="1200"/>
      <c r="BN46" s="1200"/>
      <c r="BO46" s="1200"/>
      <c r="BP46" s="1200"/>
      <c r="BQ46" s="1200"/>
      <c r="BR46" s="1200"/>
      <c r="BS46" s="1200"/>
      <c r="BT46" s="1200"/>
      <c r="BU46" s="1200"/>
      <c r="BV46" s="1200"/>
      <c r="BW46" s="1200">
        <f t="shared" si="34"/>
        <v>4800</v>
      </c>
      <c r="BX46" s="1200">
        <f t="shared" si="35"/>
        <v>4800</v>
      </c>
      <c r="BY46" s="1200"/>
      <c r="BZ46" s="1012">
        <f t="shared" si="1"/>
        <v>9600</v>
      </c>
      <c r="CB46" s="1219"/>
      <c r="CC46" s="1219"/>
      <c r="CE46" s="1009">
        <f t="shared" si="2"/>
        <v>1692288</v>
      </c>
    </row>
    <row r="47" s="1009" customFormat="1" ht="36" customHeight="1" spans="1:83">
      <c r="A47" s="540">
        <v>45616</v>
      </c>
      <c r="B47" s="1036" t="s">
        <v>3295</v>
      </c>
      <c r="C47" s="1037" t="s">
        <v>500</v>
      </c>
      <c r="D47" s="1038">
        <v>4500151811</v>
      </c>
      <c r="E47" s="1039"/>
      <c r="F47" s="1038" t="s">
        <v>3296</v>
      </c>
      <c r="G47" s="1040" t="s">
        <v>403</v>
      </c>
      <c r="H47" s="1041" t="s">
        <v>74</v>
      </c>
      <c r="I47" s="1012">
        <v>4160</v>
      </c>
      <c r="J47" s="1087">
        <v>0</v>
      </c>
      <c r="K47" s="1040">
        <v>52</v>
      </c>
      <c r="L47" s="1012">
        <f t="shared" si="0"/>
        <v>80</v>
      </c>
      <c r="M47" s="1079">
        <v>45672</v>
      </c>
      <c r="N47" s="1079">
        <v>45667</v>
      </c>
      <c r="O47" s="579"/>
      <c r="P47" s="579" t="s">
        <v>92</v>
      </c>
      <c r="Q47" s="579" t="s">
        <v>3458</v>
      </c>
      <c r="R47" s="579" t="s">
        <v>3297</v>
      </c>
      <c r="S47" s="578" t="s">
        <v>77</v>
      </c>
      <c r="T47" s="695" t="s">
        <v>3298</v>
      </c>
      <c r="U47" s="1039" t="s">
        <v>3470</v>
      </c>
      <c r="V47" s="1112" t="s">
        <v>482</v>
      </c>
      <c r="W47" s="1113">
        <v>1.4046</v>
      </c>
      <c r="X47" s="1114">
        <f t="shared" si="26"/>
        <v>5843.136</v>
      </c>
      <c r="Y47" s="1012" t="s">
        <v>3471</v>
      </c>
      <c r="Z47" s="1159" t="s">
        <v>2321</v>
      </c>
      <c r="AA47" s="1150" t="s">
        <v>128</v>
      </c>
      <c r="AB47" s="1150"/>
      <c r="AC47" s="1151">
        <v>4160</v>
      </c>
      <c r="AD47" s="1151">
        <f t="shared" si="16"/>
        <v>0</v>
      </c>
      <c r="AE47" s="1151"/>
      <c r="AF47" s="579"/>
      <c r="AG47" s="579"/>
      <c r="AH47" s="1151">
        <f t="shared" ref="AH47:AH61" si="36">I47</f>
        <v>4160</v>
      </c>
      <c r="AI47" s="1151"/>
      <c r="AJ47" s="1151"/>
      <c r="AK47" s="1151"/>
      <c r="AL47" s="1176"/>
      <c r="AM47" s="1176"/>
      <c r="AN47" s="1307"/>
      <c r="AO47" s="543">
        <f t="shared" ref="AO47:AO56" si="37">I47</f>
        <v>4160</v>
      </c>
      <c r="AP47" s="543"/>
      <c r="AQ47" s="543"/>
      <c r="AR47" s="543"/>
      <c r="AS47" s="543"/>
      <c r="AT47" s="543"/>
      <c r="AU47" s="543">
        <f t="shared" si="33"/>
        <v>4160</v>
      </c>
      <c r="AV47" s="543"/>
      <c r="AW47" s="543"/>
      <c r="AX47" s="543"/>
      <c r="AY47" s="543"/>
      <c r="AZ47" s="543"/>
      <c r="BA47" s="543"/>
      <c r="BB47" s="543"/>
      <c r="BC47" s="1200"/>
      <c r="BD47" s="1200"/>
      <c r="BE47" s="1200"/>
      <c r="BF47" s="1200"/>
      <c r="BG47" s="1200"/>
      <c r="BH47" s="1200"/>
      <c r="BI47" s="1312"/>
      <c r="BJ47" s="1200">
        <f>I47/13</f>
        <v>320</v>
      </c>
      <c r="BK47" s="1200"/>
      <c r="BL47" s="1200"/>
      <c r="BM47" s="1200"/>
      <c r="BN47" s="1200"/>
      <c r="BO47" s="1200"/>
      <c r="BP47" s="1200"/>
      <c r="BQ47" s="1200"/>
      <c r="BR47" s="1200"/>
      <c r="BS47" s="1200"/>
      <c r="BT47" s="1200"/>
      <c r="BU47" s="1200"/>
      <c r="BV47" s="1200"/>
      <c r="BW47" s="1200"/>
      <c r="BX47" s="1200"/>
      <c r="BY47" s="1200"/>
      <c r="BZ47" s="1012">
        <f t="shared" si="1"/>
        <v>4160</v>
      </c>
      <c r="CB47" s="1219"/>
      <c r="CC47" s="1219"/>
      <c r="CE47" s="1009">
        <f t="shared" si="2"/>
        <v>1688128</v>
      </c>
    </row>
    <row r="48" s="1009" customFormat="1" ht="36" customHeight="1" spans="1:83">
      <c r="A48" s="540">
        <v>45603</v>
      </c>
      <c r="B48" s="1036" t="s">
        <v>3102</v>
      </c>
      <c r="C48" s="1037" t="s">
        <v>117</v>
      </c>
      <c r="D48" s="1038">
        <v>4500150510</v>
      </c>
      <c r="E48" s="1039">
        <v>70054033</v>
      </c>
      <c r="F48" s="1038" t="s">
        <v>3300</v>
      </c>
      <c r="G48" s="1040" t="s">
        <v>628</v>
      </c>
      <c r="H48" s="1041" t="s">
        <v>623</v>
      </c>
      <c r="I48" s="1012">
        <v>1008</v>
      </c>
      <c r="J48" s="1087">
        <v>0</v>
      </c>
      <c r="K48" s="1040">
        <v>12</v>
      </c>
      <c r="L48" s="1012">
        <f t="shared" si="0"/>
        <v>84</v>
      </c>
      <c r="M48" s="1079">
        <v>45673</v>
      </c>
      <c r="N48" s="1079">
        <v>45670</v>
      </c>
      <c r="O48" s="579" t="s">
        <v>2918</v>
      </c>
      <c r="P48" s="1009" t="s">
        <v>92</v>
      </c>
      <c r="Q48" s="579"/>
      <c r="R48" s="579">
        <v>45610</v>
      </c>
      <c r="S48" s="578" t="s">
        <v>77</v>
      </c>
      <c r="T48" s="695" t="s">
        <v>3293</v>
      </c>
      <c r="U48" s="1039" t="s">
        <v>3291</v>
      </c>
      <c r="V48" s="1112" t="s">
        <v>2458</v>
      </c>
      <c r="W48" s="1113">
        <v>2.3963</v>
      </c>
      <c r="X48" s="1114">
        <f t="shared" si="26"/>
        <v>2415.4704</v>
      </c>
      <c r="Y48" s="1012" t="s">
        <v>3472</v>
      </c>
      <c r="Z48" s="1159" t="s">
        <v>729</v>
      </c>
      <c r="AA48" s="1150" t="s">
        <v>128</v>
      </c>
      <c r="AB48" s="1150"/>
      <c r="AC48" s="1151">
        <v>1008</v>
      </c>
      <c r="AD48" s="1151">
        <f t="shared" si="16"/>
        <v>0</v>
      </c>
      <c r="AE48" s="1151"/>
      <c r="AF48" s="579"/>
      <c r="AG48" s="579"/>
      <c r="AH48" s="1151">
        <f t="shared" si="31"/>
        <v>2016</v>
      </c>
      <c r="AI48" s="1151"/>
      <c r="AJ48" s="1151"/>
      <c r="AK48" s="1151"/>
      <c r="AL48" s="1176"/>
      <c r="AM48" s="1176"/>
      <c r="AN48" s="1307"/>
      <c r="AO48" s="543">
        <f t="shared" si="32"/>
        <v>2016</v>
      </c>
      <c r="AP48" s="543"/>
      <c r="AQ48" s="543"/>
      <c r="AR48" s="543"/>
      <c r="AS48" s="543"/>
      <c r="AT48" s="543"/>
      <c r="AU48" s="1310">
        <f t="shared" si="33"/>
        <v>2016</v>
      </c>
      <c r="AV48" s="1310"/>
      <c r="AW48" s="543"/>
      <c r="AX48" s="543"/>
      <c r="AY48" s="543"/>
      <c r="AZ48" s="543"/>
      <c r="BA48" s="543"/>
      <c r="BB48" s="543"/>
      <c r="BC48" s="1200"/>
      <c r="BD48" s="1200"/>
      <c r="BE48" s="1200"/>
      <c r="BF48" s="1200"/>
      <c r="BG48" s="1200"/>
      <c r="BH48" s="1200"/>
      <c r="BI48" s="1312"/>
      <c r="BJ48" s="1200"/>
      <c r="BK48" s="1200"/>
      <c r="BL48" s="1200"/>
      <c r="BM48" s="1200"/>
      <c r="BN48" s="1200"/>
      <c r="BO48" s="1200"/>
      <c r="BP48" s="1200"/>
      <c r="BQ48" s="1200"/>
      <c r="BR48" s="1200"/>
      <c r="BS48" s="1200"/>
      <c r="BT48" s="1200"/>
      <c r="BU48" s="1200"/>
      <c r="BV48" s="1200"/>
      <c r="BW48" s="1200">
        <f t="shared" si="34"/>
        <v>1008</v>
      </c>
      <c r="BX48" s="1200">
        <f t="shared" si="35"/>
        <v>1008</v>
      </c>
      <c r="BY48" s="1200"/>
      <c r="BZ48" s="1012">
        <f t="shared" si="1"/>
        <v>2016</v>
      </c>
      <c r="CB48" s="1219"/>
      <c r="CC48" s="1219"/>
      <c r="CE48" s="1009">
        <f t="shared" si="2"/>
        <v>1686112</v>
      </c>
    </row>
    <row r="49" s="1009" customFormat="1" ht="36" customHeight="1" spans="1:83">
      <c r="A49" s="540">
        <v>45635</v>
      </c>
      <c r="B49" s="1036" t="s">
        <v>3301</v>
      </c>
      <c r="C49" s="1037" t="s">
        <v>500</v>
      </c>
      <c r="D49" s="1038">
        <v>4500153469</v>
      </c>
      <c r="E49" s="1039"/>
      <c r="F49" s="1038" t="s">
        <v>3302</v>
      </c>
      <c r="G49" s="1040" t="s">
        <v>403</v>
      </c>
      <c r="H49" s="1041" t="s">
        <v>74</v>
      </c>
      <c r="I49" s="1012">
        <v>520</v>
      </c>
      <c r="J49" s="1087">
        <v>0</v>
      </c>
      <c r="K49" s="1040">
        <v>52</v>
      </c>
      <c r="L49" s="1012">
        <f t="shared" si="0"/>
        <v>10</v>
      </c>
      <c r="M49" s="1079">
        <v>45674</v>
      </c>
      <c r="N49" s="1079">
        <v>45670</v>
      </c>
      <c r="O49" s="579" t="s">
        <v>878</v>
      </c>
      <c r="P49" s="579" t="s">
        <v>1262</v>
      </c>
      <c r="Q49" s="579" t="s">
        <v>3473</v>
      </c>
      <c r="R49" s="579">
        <v>45637</v>
      </c>
      <c r="S49" s="578" t="s">
        <v>77</v>
      </c>
      <c r="T49" s="695" t="s">
        <v>3303</v>
      </c>
      <c r="U49" s="1039" t="s">
        <v>3304</v>
      </c>
      <c r="V49" s="1112" t="s">
        <v>2504</v>
      </c>
      <c r="W49" s="1113">
        <v>1.4096</v>
      </c>
      <c r="X49" s="1114">
        <f t="shared" si="26"/>
        <v>732.992</v>
      </c>
      <c r="Y49" s="1012" t="s">
        <v>3474</v>
      </c>
      <c r="Z49" s="1159" t="s">
        <v>2321</v>
      </c>
      <c r="AA49" s="1150" t="s">
        <v>128</v>
      </c>
      <c r="AB49" s="1150"/>
      <c r="AC49" s="1151">
        <v>520</v>
      </c>
      <c r="AD49" s="1151">
        <f t="shared" si="16"/>
        <v>0</v>
      </c>
      <c r="AE49" s="1151"/>
      <c r="AF49" s="579"/>
      <c r="AG49" s="579"/>
      <c r="AH49" s="1151">
        <f t="shared" si="36"/>
        <v>520</v>
      </c>
      <c r="AI49" s="1151"/>
      <c r="AJ49" s="1151"/>
      <c r="AK49" s="1151"/>
      <c r="AL49" s="1176"/>
      <c r="AM49" s="1176"/>
      <c r="AO49" s="543">
        <f t="shared" si="37"/>
        <v>520</v>
      </c>
      <c r="AP49" s="543"/>
      <c r="AQ49" s="543"/>
      <c r="AR49" s="543"/>
      <c r="AS49" s="543"/>
      <c r="AT49" s="543"/>
      <c r="AU49" s="543">
        <f t="shared" si="33"/>
        <v>520</v>
      </c>
      <c r="AV49" s="543"/>
      <c r="AW49" s="543"/>
      <c r="AX49" s="543"/>
      <c r="AY49" s="543"/>
      <c r="AZ49" s="543"/>
      <c r="BA49" s="543"/>
      <c r="BB49" s="543"/>
      <c r="BC49" s="1200"/>
      <c r="BD49" s="1200"/>
      <c r="BE49" s="1200"/>
      <c r="BF49" s="1200"/>
      <c r="BG49" s="1200"/>
      <c r="BH49" s="1200"/>
      <c r="BJ49" s="1200">
        <f>I49/13</f>
        <v>40</v>
      </c>
      <c r="BK49" s="1200"/>
      <c r="BL49" s="1200"/>
      <c r="BM49" s="1200"/>
      <c r="BN49" s="1200"/>
      <c r="BO49" s="1200"/>
      <c r="BP49" s="1200"/>
      <c r="BQ49" s="1200"/>
      <c r="BR49" s="1200"/>
      <c r="BS49" s="1200"/>
      <c r="BT49" s="1200"/>
      <c r="BU49" s="1200"/>
      <c r="BV49" s="1200"/>
      <c r="BW49" s="1200"/>
      <c r="BX49" s="1200"/>
      <c r="BY49" s="1200"/>
      <c r="BZ49" s="1012">
        <f t="shared" si="1"/>
        <v>520</v>
      </c>
      <c r="CB49" s="1219"/>
      <c r="CC49" s="1219"/>
      <c r="CE49" s="1009">
        <f t="shared" si="2"/>
        <v>1685592</v>
      </c>
    </row>
    <row r="50" s="1009" customFormat="1" ht="36" customHeight="1" spans="1:83">
      <c r="A50" s="540">
        <v>45635</v>
      </c>
      <c r="B50" s="1036" t="s">
        <v>1181</v>
      </c>
      <c r="C50" s="1037" t="s">
        <v>3192</v>
      </c>
      <c r="D50" s="1038" t="s">
        <v>3305</v>
      </c>
      <c r="E50" s="1039" t="s">
        <v>3306</v>
      </c>
      <c r="F50" s="1038"/>
      <c r="G50" s="1040" t="s">
        <v>3307</v>
      </c>
      <c r="H50" s="1041" t="s">
        <v>3308</v>
      </c>
      <c r="I50" s="1012">
        <v>480</v>
      </c>
      <c r="J50" s="1087">
        <v>0</v>
      </c>
      <c r="K50" s="1040">
        <v>24</v>
      </c>
      <c r="L50" s="1012">
        <f t="shared" si="0"/>
        <v>20</v>
      </c>
      <c r="M50" s="1079">
        <v>45677</v>
      </c>
      <c r="N50" s="1079">
        <v>45673</v>
      </c>
      <c r="O50" s="579" t="s">
        <v>3309</v>
      </c>
      <c r="P50" s="579" t="s">
        <v>1262</v>
      </c>
      <c r="Q50" s="579" t="s">
        <v>3311</v>
      </c>
      <c r="R50" s="579" t="s">
        <v>3312</v>
      </c>
      <c r="S50" s="578" t="s">
        <v>77</v>
      </c>
      <c r="T50" s="578" t="s">
        <v>77</v>
      </c>
      <c r="U50" s="1039" t="s">
        <v>3475</v>
      </c>
      <c r="V50" s="1112" t="s">
        <v>971</v>
      </c>
      <c r="W50" s="1113">
        <v>1.3507</v>
      </c>
      <c r="X50" s="1114">
        <f t="shared" si="26"/>
        <v>648.336</v>
      </c>
      <c r="Y50" s="1012" t="s">
        <v>3476</v>
      </c>
      <c r="Z50" s="1159" t="s">
        <v>3307</v>
      </c>
      <c r="AA50" s="1150" t="s">
        <v>128</v>
      </c>
      <c r="AB50" s="1150"/>
      <c r="AC50" s="1151">
        <v>480</v>
      </c>
      <c r="AD50" s="1151">
        <f t="shared" si="16"/>
        <v>0</v>
      </c>
      <c r="AE50" s="1151"/>
      <c r="AF50" s="579"/>
      <c r="AG50" s="579"/>
      <c r="AH50" s="1151">
        <f t="shared" si="36"/>
        <v>480</v>
      </c>
      <c r="AI50" s="1151"/>
      <c r="AJ50" s="1151"/>
      <c r="AK50" s="1151"/>
      <c r="AL50" s="1176"/>
      <c r="AM50" s="1176"/>
      <c r="AN50" s="1009">
        <f>I50</f>
        <v>480</v>
      </c>
      <c r="AO50" s="543"/>
      <c r="AP50" s="543"/>
      <c r="AQ50" s="543"/>
      <c r="AR50" s="543"/>
      <c r="AS50" s="543"/>
      <c r="AT50" s="543"/>
      <c r="AU50" s="543">
        <f t="shared" ref="AU50:AU61" si="38">I50</f>
        <v>480</v>
      </c>
      <c r="AV50" s="543"/>
      <c r="AW50" s="543"/>
      <c r="AX50" s="543"/>
      <c r="AY50" s="543"/>
      <c r="AZ50" s="543"/>
      <c r="BA50" s="543"/>
      <c r="BB50" s="543"/>
      <c r="BC50" s="1200"/>
      <c r="BD50" s="1200"/>
      <c r="BE50" s="1200"/>
      <c r="BF50" s="1200"/>
      <c r="BG50" s="1200"/>
      <c r="BH50" s="1200"/>
      <c r="BJ50" s="1200"/>
      <c r="BK50" s="1200"/>
      <c r="BL50" s="1200"/>
      <c r="BM50" s="1200"/>
      <c r="BN50" s="1200"/>
      <c r="BO50" s="1200"/>
      <c r="BP50" s="1200"/>
      <c r="BQ50" s="1200"/>
      <c r="BR50" s="1200"/>
      <c r="BS50" s="1200"/>
      <c r="BT50" s="1200"/>
      <c r="BU50" s="1200"/>
      <c r="BV50" s="1200"/>
      <c r="BW50" s="1200"/>
      <c r="BX50" s="1200"/>
      <c r="BY50" s="1200"/>
      <c r="BZ50" s="1012">
        <f t="shared" si="1"/>
        <v>480</v>
      </c>
      <c r="CB50" s="1219"/>
      <c r="CC50" s="1219"/>
      <c r="CE50" s="1009">
        <f t="shared" si="2"/>
        <v>1685112</v>
      </c>
    </row>
    <row r="51" s="1009" customFormat="1" ht="36" customHeight="1" spans="1:83">
      <c r="A51" s="540">
        <v>45639</v>
      </c>
      <c r="B51" s="1036" t="s">
        <v>1217</v>
      </c>
      <c r="C51" s="1037" t="s">
        <v>1218</v>
      </c>
      <c r="D51" s="1038">
        <v>4500153864</v>
      </c>
      <c r="E51" s="1039" t="s">
        <v>3314</v>
      </c>
      <c r="F51" s="1038" t="s">
        <v>3315</v>
      </c>
      <c r="G51" s="1040" t="s">
        <v>96</v>
      </c>
      <c r="H51" s="1041" t="s">
        <v>74</v>
      </c>
      <c r="I51" s="1012">
        <v>750</v>
      </c>
      <c r="J51" s="1087">
        <v>0</v>
      </c>
      <c r="K51" s="1040">
        <v>50</v>
      </c>
      <c r="L51" s="1012">
        <f t="shared" si="0"/>
        <v>15</v>
      </c>
      <c r="M51" s="1079">
        <v>45677</v>
      </c>
      <c r="N51" s="1079">
        <v>45673</v>
      </c>
      <c r="O51" s="579" t="s">
        <v>3316</v>
      </c>
      <c r="P51" s="579" t="s">
        <v>1262</v>
      </c>
      <c r="Q51" s="579" t="s">
        <v>3477</v>
      </c>
      <c r="R51" s="579">
        <v>45639</v>
      </c>
      <c r="S51" s="578" t="s">
        <v>77</v>
      </c>
      <c r="T51" s="695" t="s">
        <v>3317</v>
      </c>
      <c r="U51" s="1039" t="s">
        <v>3318</v>
      </c>
      <c r="V51" s="1112" t="s">
        <v>1631</v>
      </c>
      <c r="W51" s="1113">
        <v>1.4225</v>
      </c>
      <c r="X51" s="1114">
        <f t="shared" si="26"/>
        <v>1066.875</v>
      </c>
      <c r="Y51" s="1012" t="s">
        <v>3478</v>
      </c>
      <c r="Z51" s="1159" t="s">
        <v>292</v>
      </c>
      <c r="AA51" s="1150" t="s">
        <v>128</v>
      </c>
      <c r="AB51" s="1150"/>
      <c r="AC51" s="1151">
        <v>750</v>
      </c>
      <c r="AD51" s="1151">
        <f t="shared" si="16"/>
        <v>0</v>
      </c>
      <c r="AE51" s="1151"/>
      <c r="AF51" s="579"/>
      <c r="AG51" s="579"/>
      <c r="AH51" s="1151">
        <f t="shared" si="36"/>
        <v>750</v>
      </c>
      <c r="AI51" s="1151"/>
      <c r="AJ51" s="1151"/>
      <c r="AK51" s="1151"/>
      <c r="AL51" s="1176"/>
      <c r="AM51" s="1176"/>
      <c r="AO51" s="543">
        <f t="shared" si="37"/>
        <v>750</v>
      </c>
      <c r="AP51" s="543"/>
      <c r="AQ51" s="543"/>
      <c r="AR51" s="543"/>
      <c r="AS51" s="543"/>
      <c r="AT51" s="543"/>
      <c r="AU51" s="543">
        <f t="shared" si="38"/>
        <v>750</v>
      </c>
      <c r="AV51" s="543"/>
      <c r="AW51" s="543"/>
      <c r="AX51" s="543"/>
      <c r="AY51" s="543"/>
      <c r="AZ51" s="543"/>
      <c r="BA51" s="543"/>
      <c r="BB51" s="543"/>
      <c r="BC51" s="1200"/>
      <c r="BD51" s="1200"/>
      <c r="BE51" s="1200"/>
      <c r="BF51" s="1200"/>
      <c r="BG51" s="1200"/>
      <c r="BH51" s="1200"/>
      <c r="BJ51" s="1200"/>
      <c r="BK51" s="1200"/>
      <c r="BL51" s="1200"/>
      <c r="BM51" s="1200"/>
      <c r="BN51" s="1200">
        <f t="shared" ref="BN51:BN55" si="39">I51/25</f>
        <v>30</v>
      </c>
      <c r="BO51" s="1200"/>
      <c r="BP51" s="1200"/>
      <c r="BQ51" s="1200"/>
      <c r="BR51" s="1200"/>
      <c r="BS51" s="1200"/>
      <c r="BT51" s="1200"/>
      <c r="BU51" s="1200"/>
      <c r="BV51" s="1200"/>
      <c r="BW51" s="1200"/>
      <c r="BX51" s="1200"/>
      <c r="BY51" s="1200"/>
      <c r="BZ51" s="1012">
        <f t="shared" si="1"/>
        <v>750</v>
      </c>
      <c r="CB51" s="1219"/>
      <c r="CC51" s="1219"/>
      <c r="CE51" s="1009">
        <f t="shared" si="2"/>
        <v>1684362</v>
      </c>
    </row>
    <row r="52" s="1009" customFormat="1" ht="36" customHeight="1" spans="1:83">
      <c r="A52" s="540">
        <v>45639</v>
      </c>
      <c r="B52" s="1036" t="s">
        <v>1210</v>
      </c>
      <c r="C52" s="1037" t="s">
        <v>1211</v>
      </c>
      <c r="D52" s="1038">
        <v>4500153836</v>
      </c>
      <c r="E52" s="1039" t="s">
        <v>3319</v>
      </c>
      <c r="F52" s="1038" t="s">
        <v>3320</v>
      </c>
      <c r="G52" s="1040" t="s">
        <v>96</v>
      </c>
      <c r="H52" s="1041" t="s">
        <v>74</v>
      </c>
      <c r="I52" s="1012">
        <v>4600</v>
      </c>
      <c r="J52" s="1087">
        <v>0</v>
      </c>
      <c r="K52" s="1040">
        <v>50</v>
      </c>
      <c r="L52" s="1012">
        <f t="shared" si="0"/>
        <v>92</v>
      </c>
      <c r="M52" s="1079">
        <v>45677</v>
      </c>
      <c r="N52" s="1079">
        <v>45673</v>
      </c>
      <c r="O52" s="579" t="s">
        <v>3321</v>
      </c>
      <c r="P52" s="579" t="s">
        <v>92</v>
      </c>
      <c r="Q52" s="579" t="s">
        <v>3479</v>
      </c>
      <c r="R52" s="579">
        <v>45639</v>
      </c>
      <c r="S52" s="578" t="s">
        <v>77</v>
      </c>
      <c r="T52" s="695" t="s">
        <v>3322</v>
      </c>
      <c r="U52" s="1039" t="s">
        <v>3323</v>
      </c>
      <c r="V52" s="1112" t="s">
        <v>1631</v>
      </c>
      <c r="W52" s="1113">
        <v>1.4344</v>
      </c>
      <c r="X52" s="1114">
        <f t="shared" si="26"/>
        <v>6598.24</v>
      </c>
      <c r="Y52" s="1012" t="s">
        <v>3480</v>
      </c>
      <c r="Z52" s="1159" t="s">
        <v>292</v>
      </c>
      <c r="AA52" s="1150" t="s">
        <v>128</v>
      </c>
      <c r="AB52" s="1150"/>
      <c r="AC52" s="1151">
        <v>4600</v>
      </c>
      <c r="AD52" s="1151">
        <f t="shared" si="16"/>
        <v>0</v>
      </c>
      <c r="AE52" s="1151"/>
      <c r="AF52" s="579"/>
      <c r="AG52" s="579"/>
      <c r="AH52" s="1151">
        <f t="shared" si="36"/>
        <v>4600</v>
      </c>
      <c r="AI52" s="1151"/>
      <c r="AJ52" s="1151"/>
      <c r="AK52" s="1151"/>
      <c r="AL52" s="1176"/>
      <c r="AM52" s="1176"/>
      <c r="AO52" s="543">
        <f t="shared" si="37"/>
        <v>4600</v>
      </c>
      <c r="AP52" s="543"/>
      <c r="AQ52" s="543"/>
      <c r="AR52" s="543"/>
      <c r="AS52" s="543"/>
      <c r="AT52" s="543"/>
      <c r="AU52" s="543">
        <f t="shared" si="38"/>
        <v>4600</v>
      </c>
      <c r="AV52" s="543"/>
      <c r="AW52" s="543"/>
      <c r="AX52" s="543"/>
      <c r="AY52" s="543"/>
      <c r="AZ52" s="543"/>
      <c r="BA52" s="543"/>
      <c r="BB52" s="543"/>
      <c r="BC52" s="1200"/>
      <c r="BD52" s="1200"/>
      <c r="BE52" s="1200"/>
      <c r="BF52" s="1200"/>
      <c r="BG52" s="1200"/>
      <c r="BH52" s="1200"/>
      <c r="BJ52" s="1200"/>
      <c r="BK52" s="1200"/>
      <c r="BL52" s="1200"/>
      <c r="BM52" s="1200"/>
      <c r="BN52" s="1200">
        <f t="shared" si="39"/>
        <v>184</v>
      </c>
      <c r="BO52" s="1200"/>
      <c r="BP52" s="1200"/>
      <c r="BQ52" s="1200"/>
      <c r="BR52" s="1200"/>
      <c r="BS52" s="1200"/>
      <c r="BT52" s="1200"/>
      <c r="BU52" s="1200"/>
      <c r="BV52" s="1200"/>
      <c r="BW52" s="1200"/>
      <c r="BX52" s="1200"/>
      <c r="BY52" s="1200"/>
      <c r="BZ52" s="1012">
        <f t="shared" si="1"/>
        <v>4600</v>
      </c>
      <c r="CB52" s="1219"/>
      <c r="CC52" s="1219"/>
      <c r="CE52" s="1009">
        <f t="shared" si="2"/>
        <v>1679762</v>
      </c>
    </row>
    <row r="53" s="1009" customFormat="1" ht="36" customHeight="1" spans="1:83">
      <c r="A53" s="1257">
        <v>45560</v>
      </c>
      <c r="B53" s="1036" t="s">
        <v>1357</v>
      </c>
      <c r="C53" s="1037" t="s">
        <v>286</v>
      </c>
      <c r="D53" s="1038">
        <v>4500145574</v>
      </c>
      <c r="E53" s="1039"/>
      <c r="F53" s="1038" t="s">
        <v>3335</v>
      </c>
      <c r="G53" s="1040" t="s">
        <v>96</v>
      </c>
      <c r="H53" s="1041" t="s">
        <v>74</v>
      </c>
      <c r="I53" s="1012">
        <v>1500</v>
      </c>
      <c r="J53" s="1087">
        <v>0</v>
      </c>
      <c r="K53" s="1040">
        <v>50</v>
      </c>
      <c r="L53" s="1012">
        <f t="shared" si="0"/>
        <v>30</v>
      </c>
      <c r="M53" s="1079">
        <v>45649</v>
      </c>
      <c r="N53" s="1079">
        <v>45671</v>
      </c>
      <c r="O53" s="579" t="s">
        <v>1359</v>
      </c>
      <c r="P53" s="579" t="s">
        <v>92</v>
      </c>
      <c r="Q53" s="579" t="s">
        <v>3481</v>
      </c>
      <c r="R53" s="579" t="s">
        <v>1361</v>
      </c>
      <c r="S53" s="579" t="s">
        <v>123</v>
      </c>
      <c r="T53" s="584" t="s">
        <v>3336</v>
      </c>
      <c r="U53" s="1039" t="s">
        <v>3337</v>
      </c>
      <c r="V53" s="1112" t="s">
        <v>1631</v>
      </c>
      <c r="W53" s="1113">
        <v>1.4344</v>
      </c>
      <c r="X53" s="1114">
        <f t="shared" si="26"/>
        <v>2151.6</v>
      </c>
      <c r="Y53" s="1012" t="s">
        <v>3482</v>
      </c>
      <c r="Z53" s="1159" t="s">
        <v>292</v>
      </c>
      <c r="AA53" s="1150" t="s">
        <v>128</v>
      </c>
      <c r="AB53" s="1150"/>
      <c r="AC53" s="1151">
        <v>1500</v>
      </c>
      <c r="AD53" s="1151">
        <f t="shared" si="16"/>
        <v>0</v>
      </c>
      <c r="AE53" s="1151"/>
      <c r="AF53" s="579"/>
      <c r="AG53" s="579" t="s">
        <v>3242</v>
      </c>
      <c r="AH53" s="1151">
        <f t="shared" si="36"/>
        <v>1500</v>
      </c>
      <c r="AI53" s="1151"/>
      <c r="AJ53" s="1151"/>
      <c r="AK53" s="1151"/>
      <c r="AL53" s="1176"/>
      <c r="AM53" s="1176"/>
      <c r="AO53" s="543">
        <f t="shared" si="37"/>
        <v>1500</v>
      </c>
      <c r="AP53" s="543"/>
      <c r="AQ53" s="543"/>
      <c r="AR53" s="543"/>
      <c r="AS53" s="543"/>
      <c r="AT53" s="543"/>
      <c r="AU53" s="543">
        <f t="shared" si="38"/>
        <v>1500</v>
      </c>
      <c r="AV53" s="543"/>
      <c r="AW53" s="543"/>
      <c r="AX53" s="543"/>
      <c r="AY53" s="543"/>
      <c r="AZ53" s="543"/>
      <c r="BA53" s="543"/>
      <c r="BB53" s="543"/>
      <c r="BC53" s="1200"/>
      <c r="BD53" s="1200"/>
      <c r="BE53" s="1200"/>
      <c r="BF53" s="1200"/>
      <c r="BG53" s="1200"/>
      <c r="BH53" s="1200"/>
      <c r="BJ53" s="1200"/>
      <c r="BK53" s="1200"/>
      <c r="BL53" s="1200"/>
      <c r="BM53" s="1200"/>
      <c r="BN53" s="1200">
        <f t="shared" si="39"/>
        <v>60</v>
      </c>
      <c r="BO53" s="1200"/>
      <c r="BP53" s="1200"/>
      <c r="BQ53" s="1200"/>
      <c r="BR53" s="1200"/>
      <c r="BS53" s="1200"/>
      <c r="BT53" s="1200"/>
      <c r="BU53" s="1200"/>
      <c r="BV53" s="1200"/>
      <c r="BW53" s="1200"/>
      <c r="BX53" s="1200"/>
      <c r="BY53" s="1200"/>
      <c r="BZ53" s="1012">
        <f t="shared" si="1"/>
        <v>1500</v>
      </c>
      <c r="CB53" s="1219"/>
      <c r="CC53" s="1219"/>
      <c r="CE53" s="1009">
        <f t="shared" si="2"/>
        <v>1678262</v>
      </c>
    </row>
    <row r="54" s="1009" customFormat="1" ht="36" customHeight="1" spans="1:83">
      <c r="A54" s="540">
        <v>45631</v>
      </c>
      <c r="B54" s="1036" t="s">
        <v>499</v>
      </c>
      <c r="C54" s="1037" t="s">
        <v>500</v>
      </c>
      <c r="D54" s="1038">
        <v>4500153302</v>
      </c>
      <c r="E54" s="1039">
        <v>2000006814</v>
      </c>
      <c r="F54" s="1038" t="s">
        <v>3324</v>
      </c>
      <c r="G54" s="1040" t="s">
        <v>96</v>
      </c>
      <c r="H54" s="1041" t="s">
        <v>74</v>
      </c>
      <c r="I54" s="1012">
        <v>2750</v>
      </c>
      <c r="J54" s="1087">
        <v>0</v>
      </c>
      <c r="K54" s="1040">
        <v>50</v>
      </c>
      <c r="L54" s="1012">
        <f t="shared" si="0"/>
        <v>55</v>
      </c>
      <c r="M54" s="1079">
        <v>45672</v>
      </c>
      <c r="N54" s="1079">
        <v>45672</v>
      </c>
      <c r="O54" s="1280" t="s">
        <v>3483</v>
      </c>
      <c r="P54" s="579" t="s">
        <v>92</v>
      </c>
      <c r="Q54" s="579" t="s">
        <v>3484</v>
      </c>
      <c r="R54" s="579">
        <v>45637</v>
      </c>
      <c r="S54" s="578" t="s">
        <v>77</v>
      </c>
      <c r="T54" s="695" t="s">
        <v>3485</v>
      </c>
      <c r="U54" s="1039" t="s">
        <v>3486</v>
      </c>
      <c r="V54" s="1112" t="s">
        <v>3007</v>
      </c>
      <c r="W54" s="1113">
        <v>1.4174</v>
      </c>
      <c r="X54" s="1114">
        <f t="shared" si="26"/>
        <v>3897.85</v>
      </c>
      <c r="Y54" s="1012" t="s">
        <v>3487</v>
      </c>
      <c r="Z54" s="1159" t="s">
        <v>292</v>
      </c>
      <c r="AA54" s="1150" t="s">
        <v>128</v>
      </c>
      <c r="AB54" s="1150"/>
      <c r="AC54" s="1151">
        <v>2750</v>
      </c>
      <c r="AD54" s="1151">
        <f t="shared" si="16"/>
        <v>0</v>
      </c>
      <c r="AE54" s="1151"/>
      <c r="AF54" s="579"/>
      <c r="AG54" s="579"/>
      <c r="AH54" s="1151">
        <f t="shared" si="36"/>
        <v>2750</v>
      </c>
      <c r="AI54" s="1151"/>
      <c r="AJ54" s="1151"/>
      <c r="AK54" s="1151"/>
      <c r="AL54" s="1176"/>
      <c r="AM54" s="1176"/>
      <c r="AN54" s="1307"/>
      <c r="AO54" s="543">
        <f t="shared" si="37"/>
        <v>2750</v>
      </c>
      <c r="AP54" s="543"/>
      <c r="AQ54" s="543"/>
      <c r="AR54" s="543"/>
      <c r="AS54" s="543"/>
      <c r="AT54" s="543"/>
      <c r="AU54" s="543">
        <f t="shared" si="38"/>
        <v>2750</v>
      </c>
      <c r="AV54" s="543"/>
      <c r="AW54" s="543"/>
      <c r="AX54" s="543"/>
      <c r="AY54" s="543"/>
      <c r="AZ54" s="543"/>
      <c r="BA54" s="543"/>
      <c r="BB54" s="543"/>
      <c r="BC54" s="1200"/>
      <c r="BD54" s="1200"/>
      <c r="BE54" s="1200"/>
      <c r="BF54" s="1200"/>
      <c r="BG54" s="1200"/>
      <c r="BH54" s="1200"/>
      <c r="BI54" s="1312"/>
      <c r="BJ54" s="1200"/>
      <c r="BK54" s="1200"/>
      <c r="BL54" s="1200"/>
      <c r="BM54" s="1200"/>
      <c r="BN54" s="1200">
        <f t="shared" si="39"/>
        <v>110</v>
      </c>
      <c r="BO54" s="1200"/>
      <c r="BP54" s="1200"/>
      <c r="BQ54" s="1200"/>
      <c r="BR54" s="1200"/>
      <c r="BS54" s="1200"/>
      <c r="BT54" s="1200"/>
      <c r="BU54" s="1200"/>
      <c r="BV54" s="1200"/>
      <c r="BW54" s="1200"/>
      <c r="BX54" s="1200"/>
      <c r="BY54" s="1200"/>
      <c r="BZ54" s="1012">
        <f t="shared" si="1"/>
        <v>2750</v>
      </c>
      <c r="CB54" s="1219"/>
      <c r="CC54" s="1219"/>
      <c r="CE54" s="1009">
        <f t="shared" si="2"/>
        <v>1675512</v>
      </c>
    </row>
    <row r="55" s="1009" customFormat="1" ht="36" customHeight="1" spans="1:83">
      <c r="A55" s="540">
        <v>45638</v>
      </c>
      <c r="B55" s="1036" t="s">
        <v>379</v>
      </c>
      <c r="C55" s="1037" t="s">
        <v>373</v>
      </c>
      <c r="D55" s="1038">
        <v>4500153788</v>
      </c>
      <c r="E55" s="1039"/>
      <c r="F55" s="1038" t="s">
        <v>3342</v>
      </c>
      <c r="G55" s="1040" t="s">
        <v>96</v>
      </c>
      <c r="H55" s="1041" t="s">
        <v>74</v>
      </c>
      <c r="I55" s="1012">
        <v>1200</v>
      </c>
      <c r="J55" s="1087">
        <v>0</v>
      </c>
      <c r="K55" s="1040">
        <v>50</v>
      </c>
      <c r="L55" s="1012">
        <f t="shared" si="0"/>
        <v>24</v>
      </c>
      <c r="M55" s="1079">
        <v>45687</v>
      </c>
      <c r="N55" s="1079">
        <v>45677</v>
      </c>
      <c r="O55" s="579"/>
      <c r="P55" s="579" t="s">
        <v>92</v>
      </c>
      <c r="Q55" s="579" t="s">
        <v>3488</v>
      </c>
      <c r="R55" s="579">
        <v>45642</v>
      </c>
      <c r="S55" s="578" t="s">
        <v>77</v>
      </c>
      <c r="T55" s="695" t="s">
        <v>3343</v>
      </c>
      <c r="U55" s="1039" t="s">
        <v>3344</v>
      </c>
      <c r="V55" s="1112" t="s">
        <v>2535</v>
      </c>
      <c r="W55" s="1113">
        <v>1.4344</v>
      </c>
      <c r="X55" s="1114">
        <f t="shared" si="26"/>
        <v>1721.28</v>
      </c>
      <c r="Y55" s="1012" t="s">
        <v>3489</v>
      </c>
      <c r="Z55" s="1159" t="s">
        <v>292</v>
      </c>
      <c r="AA55" s="1150" t="s">
        <v>128</v>
      </c>
      <c r="AB55" s="1150"/>
      <c r="AC55" s="1151">
        <v>1200</v>
      </c>
      <c r="AD55" s="1151">
        <f t="shared" si="16"/>
        <v>0</v>
      </c>
      <c r="AE55" s="1151"/>
      <c r="AF55" s="579"/>
      <c r="AG55" s="579"/>
      <c r="AH55" s="1151">
        <f t="shared" si="36"/>
        <v>1200</v>
      </c>
      <c r="AI55" s="1151"/>
      <c r="AJ55" s="1151"/>
      <c r="AK55" s="1151"/>
      <c r="AL55" s="1176"/>
      <c r="AM55" s="1176"/>
      <c r="AO55" s="543">
        <f t="shared" si="37"/>
        <v>1200</v>
      </c>
      <c r="AP55" s="543"/>
      <c r="AQ55" s="543"/>
      <c r="AR55" s="543"/>
      <c r="AS55" s="543"/>
      <c r="AT55" s="543"/>
      <c r="AU55" s="543">
        <f t="shared" si="38"/>
        <v>1200</v>
      </c>
      <c r="AV55" s="543"/>
      <c r="AW55" s="543"/>
      <c r="AX55" s="543"/>
      <c r="AY55" s="543"/>
      <c r="AZ55" s="543"/>
      <c r="BA55" s="543"/>
      <c r="BB55" s="543"/>
      <c r="BC55" s="1200"/>
      <c r="BD55" s="1200"/>
      <c r="BE55" s="1200"/>
      <c r="BF55" s="1200"/>
      <c r="BG55" s="1200"/>
      <c r="BH55" s="1200"/>
      <c r="BJ55" s="1200"/>
      <c r="BK55" s="1200"/>
      <c r="BL55" s="1200"/>
      <c r="BM55" s="1200"/>
      <c r="BN55" s="1200">
        <f t="shared" si="39"/>
        <v>48</v>
      </c>
      <c r="BO55" s="1200"/>
      <c r="BP55" s="1200"/>
      <c r="BQ55" s="1200"/>
      <c r="BR55" s="1200"/>
      <c r="BS55" s="1200"/>
      <c r="BT55" s="1200"/>
      <c r="BU55" s="1200"/>
      <c r="BV55" s="1200"/>
      <c r="BW55" s="1200"/>
      <c r="BX55" s="1200"/>
      <c r="BY55" s="1200"/>
      <c r="BZ55" s="1012">
        <f t="shared" si="1"/>
        <v>1200</v>
      </c>
      <c r="CB55" s="1219"/>
      <c r="CC55" s="1219"/>
      <c r="CE55" s="1009">
        <f t="shared" si="2"/>
        <v>1674312</v>
      </c>
    </row>
    <row r="56" s="1009" customFormat="1" ht="36" customHeight="1" spans="1:83">
      <c r="A56" s="540">
        <v>45616</v>
      </c>
      <c r="B56" s="1036" t="s">
        <v>507</v>
      </c>
      <c r="C56" s="1037" t="s">
        <v>213</v>
      </c>
      <c r="D56" s="1038">
        <v>4500151646</v>
      </c>
      <c r="E56" s="1039" t="s">
        <v>3345</v>
      </c>
      <c r="F56" s="1038" t="s">
        <v>3346</v>
      </c>
      <c r="G56" s="1040" t="s">
        <v>160</v>
      </c>
      <c r="H56" s="1041" t="s">
        <v>74</v>
      </c>
      <c r="I56" s="1012">
        <v>3003</v>
      </c>
      <c r="J56" s="1087">
        <v>0</v>
      </c>
      <c r="K56" s="1040">
        <v>13</v>
      </c>
      <c r="L56" s="1012">
        <f t="shared" si="0"/>
        <v>231</v>
      </c>
      <c r="M56" s="1079">
        <v>45695</v>
      </c>
      <c r="N56" s="1079">
        <v>45679</v>
      </c>
      <c r="O56" s="579"/>
      <c r="P56" s="579" t="s">
        <v>92</v>
      </c>
      <c r="Q56" s="579" t="s">
        <v>3490</v>
      </c>
      <c r="R56" s="579">
        <v>45642</v>
      </c>
      <c r="S56" s="578" t="s">
        <v>77</v>
      </c>
      <c r="T56" s="578" t="s">
        <v>3347</v>
      </c>
      <c r="U56" s="1039" t="s">
        <v>3348</v>
      </c>
      <c r="V56" s="1112" t="s">
        <v>3045</v>
      </c>
      <c r="W56" s="1113">
        <v>1.4071</v>
      </c>
      <c r="X56" s="1114">
        <f t="shared" si="26"/>
        <v>4225.5213</v>
      </c>
      <c r="Y56" s="1012" t="s">
        <v>3491</v>
      </c>
      <c r="Z56" s="1159" t="s">
        <v>239</v>
      </c>
      <c r="AA56" s="1150" t="s">
        <v>128</v>
      </c>
      <c r="AB56" s="1150"/>
      <c r="AC56" s="1151">
        <v>3003</v>
      </c>
      <c r="AD56" s="1151">
        <f t="shared" si="16"/>
        <v>0</v>
      </c>
      <c r="AE56" s="1151"/>
      <c r="AF56" s="579"/>
      <c r="AG56" s="579"/>
      <c r="AH56" s="1151">
        <f t="shared" si="36"/>
        <v>3003</v>
      </c>
      <c r="AI56" s="1151"/>
      <c r="AJ56" s="1151"/>
      <c r="AK56" s="1151"/>
      <c r="AL56" s="1151"/>
      <c r="AM56" s="1151"/>
      <c r="AN56" s="1012"/>
      <c r="AO56" s="543">
        <f t="shared" si="37"/>
        <v>3003</v>
      </c>
      <c r="AP56" s="543"/>
      <c r="AQ56" s="543"/>
      <c r="AR56" s="543"/>
      <c r="AS56" s="543"/>
      <c r="AT56" s="543"/>
      <c r="AU56" s="543">
        <f t="shared" si="38"/>
        <v>3003</v>
      </c>
      <c r="AV56" s="543"/>
      <c r="AW56" s="543"/>
      <c r="AX56" s="543"/>
      <c r="AY56" s="543"/>
      <c r="AZ56" s="543"/>
      <c r="BA56" s="543"/>
      <c r="BB56" s="543"/>
      <c r="BC56" s="1200"/>
      <c r="BD56" s="1200"/>
      <c r="BE56" s="1200"/>
      <c r="BF56" s="1200"/>
      <c r="BG56" s="1200"/>
      <c r="BH56" s="1200"/>
      <c r="BI56" s="1012"/>
      <c r="BJ56" s="1200">
        <f>I56/13</f>
        <v>231</v>
      </c>
      <c r="BK56" s="1200"/>
      <c r="BL56" s="1200"/>
      <c r="BM56" s="1200"/>
      <c r="BN56" s="1200"/>
      <c r="BO56" s="1200"/>
      <c r="BP56" s="1200"/>
      <c r="BQ56" s="1200"/>
      <c r="BR56" s="1200"/>
      <c r="BS56" s="1200"/>
      <c r="BT56" s="1200"/>
      <c r="BU56" s="1200"/>
      <c r="BV56" s="1200"/>
      <c r="BW56" s="1200"/>
      <c r="BX56" s="1200"/>
      <c r="BY56" s="1200"/>
      <c r="BZ56" s="1012">
        <f t="shared" si="1"/>
        <v>3003</v>
      </c>
      <c r="CB56" s="1219"/>
      <c r="CC56" s="1219"/>
      <c r="CE56" s="1009">
        <f t="shared" si="2"/>
        <v>1671309</v>
      </c>
    </row>
    <row r="57" s="1009" customFormat="1" ht="36" customHeight="1" spans="1:83">
      <c r="A57" s="1272">
        <v>45642</v>
      </c>
      <c r="B57" s="1273" t="s">
        <v>116</v>
      </c>
      <c r="C57" s="1274" t="s">
        <v>117</v>
      </c>
      <c r="D57" s="1275">
        <v>4500154167</v>
      </c>
      <c r="E57" s="1039" t="s">
        <v>3349</v>
      </c>
      <c r="F57" s="1038" t="s">
        <v>3350</v>
      </c>
      <c r="G57" s="1040" t="s">
        <v>120</v>
      </c>
      <c r="H57" s="1041" t="s">
        <v>74</v>
      </c>
      <c r="I57" s="1012">
        <v>3507</v>
      </c>
      <c r="J57" s="1087">
        <v>0</v>
      </c>
      <c r="K57" s="1040">
        <v>21</v>
      </c>
      <c r="L57" s="1012">
        <f t="shared" si="0"/>
        <v>167</v>
      </c>
      <c r="M57" s="1079">
        <v>45695</v>
      </c>
      <c r="N57" s="1079">
        <v>45679</v>
      </c>
      <c r="O57" s="579"/>
      <c r="P57" s="579" t="s">
        <v>92</v>
      </c>
      <c r="Q57" s="579" t="s">
        <v>3492</v>
      </c>
      <c r="R57" s="579">
        <v>45650</v>
      </c>
      <c r="S57" s="578" t="s">
        <v>123</v>
      </c>
      <c r="T57" s="695" t="s">
        <v>3493</v>
      </c>
      <c r="U57" s="1039" t="s">
        <v>3352</v>
      </c>
      <c r="V57" s="1112" t="s">
        <v>126</v>
      </c>
      <c r="W57" s="1113">
        <v>1.4397</v>
      </c>
      <c r="X57" s="1114">
        <f t="shared" si="26"/>
        <v>5049.0279</v>
      </c>
      <c r="Y57" s="1012" t="s">
        <v>3494</v>
      </c>
      <c r="Z57" s="1159" t="s">
        <v>120</v>
      </c>
      <c r="AA57" s="1150" t="s">
        <v>128</v>
      </c>
      <c r="AB57" s="1150"/>
      <c r="AC57" s="1151">
        <v>3507</v>
      </c>
      <c r="AD57" s="1151">
        <f t="shared" si="16"/>
        <v>0</v>
      </c>
      <c r="AE57" s="1151"/>
      <c r="AF57" s="579"/>
      <c r="AG57" s="579"/>
      <c r="AH57" s="1151">
        <f t="shared" si="36"/>
        <v>3507</v>
      </c>
      <c r="AI57" s="1151"/>
      <c r="AJ57" s="1151"/>
      <c r="AK57" s="1151"/>
      <c r="AL57" s="1151"/>
      <c r="AM57" s="1151"/>
      <c r="AN57" s="543">
        <f t="shared" ref="AN57:AN61" si="40">I57</f>
        <v>3507</v>
      </c>
      <c r="AO57" s="1012"/>
      <c r="AP57" s="1012"/>
      <c r="AQ57" s="1012"/>
      <c r="AR57" s="543"/>
      <c r="AS57" s="543"/>
      <c r="AT57" s="543"/>
      <c r="AU57" s="1310">
        <f t="shared" si="38"/>
        <v>3507</v>
      </c>
      <c r="AV57" s="1310"/>
      <c r="AW57" s="543"/>
      <c r="AX57" s="543"/>
      <c r="AY57" s="543"/>
      <c r="AZ57" s="543"/>
      <c r="BA57" s="543"/>
      <c r="BB57" s="543">
        <f>I57/21</f>
        <v>167</v>
      </c>
      <c r="BC57" s="1200"/>
      <c r="BD57" s="1200"/>
      <c r="BE57" s="1200"/>
      <c r="BF57" s="1200"/>
      <c r="BG57" s="1200"/>
      <c r="BH57" s="1200"/>
      <c r="BI57" s="1200"/>
      <c r="BJ57" s="1200"/>
      <c r="BK57" s="1200"/>
      <c r="BL57" s="1200"/>
      <c r="BM57" s="1200"/>
      <c r="BN57" s="1200"/>
      <c r="BO57" s="1200"/>
      <c r="BP57" s="1200"/>
      <c r="BQ57" s="1200"/>
      <c r="BR57" s="1200"/>
      <c r="BS57" s="1200"/>
      <c r="BT57" s="1200"/>
      <c r="BU57" s="1200"/>
      <c r="BV57" s="1200"/>
      <c r="BW57" s="1200"/>
      <c r="BX57" s="1200"/>
      <c r="BY57" s="1200"/>
      <c r="BZ57" s="1012">
        <f t="shared" si="1"/>
        <v>3507</v>
      </c>
      <c r="CB57" s="1219"/>
      <c r="CC57" s="1219"/>
      <c r="CE57" s="1009">
        <f t="shared" si="2"/>
        <v>1667802</v>
      </c>
    </row>
    <row r="58" s="1009" customFormat="1" ht="36" customHeight="1" spans="1:83">
      <c r="A58" s="1272">
        <v>45623</v>
      </c>
      <c r="B58" s="1273" t="s">
        <v>225</v>
      </c>
      <c r="C58" s="1274" t="s">
        <v>213</v>
      </c>
      <c r="D58" s="1275">
        <v>4500152538</v>
      </c>
      <c r="E58" s="1039" t="s">
        <v>3353</v>
      </c>
      <c r="F58" s="1038" t="s">
        <v>3354</v>
      </c>
      <c r="G58" s="1040" t="s">
        <v>403</v>
      </c>
      <c r="H58" s="1041" t="s">
        <v>74</v>
      </c>
      <c r="I58" s="1012">
        <v>1144</v>
      </c>
      <c r="J58" s="1087">
        <v>0</v>
      </c>
      <c r="K58" s="1040">
        <v>52</v>
      </c>
      <c r="L58" s="1012">
        <f t="shared" si="0"/>
        <v>22</v>
      </c>
      <c r="M58" s="1079">
        <v>45696</v>
      </c>
      <c r="N58" s="1079">
        <v>45679</v>
      </c>
      <c r="O58" s="579"/>
      <c r="P58" s="579" t="s">
        <v>92</v>
      </c>
      <c r="Q58" s="579" t="s">
        <v>3495</v>
      </c>
      <c r="R58" s="579">
        <v>45624</v>
      </c>
      <c r="S58" s="578" t="s">
        <v>77</v>
      </c>
      <c r="T58" s="579" t="s">
        <v>3355</v>
      </c>
      <c r="U58" s="1039" t="s">
        <v>3356</v>
      </c>
      <c r="V58" s="1112" t="s">
        <v>3207</v>
      </c>
      <c r="W58" s="1113">
        <v>1.4046</v>
      </c>
      <c r="X58" s="1114">
        <f t="shared" si="26"/>
        <v>1606.8624</v>
      </c>
      <c r="Y58" s="1012" t="s">
        <v>3496</v>
      </c>
      <c r="Z58" s="1159" t="s">
        <v>403</v>
      </c>
      <c r="AA58" s="1150" t="s">
        <v>128</v>
      </c>
      <c r="AB58" s="1150"/>
      <c r="AC58" s="1151">
        <v>1144</v>
      </c>
      <c r="AD58" s="1151">
        <f t="shared" si="16"/>
        <v>0</v>
      </c>
      <c r="AE58" s="1151"/>
      <c r="AF58" s="579"/>
      <c r="AG58" s="579"/>
      <c r="AH58" s="1151">
        <f t="shared" si="36"/>
        <v>1144</v>
      </c>
      <c r="AI58" s="1151"/>
      <c r="AJ58" s="1151"/>
      <c r="AK58" s="1151"/>
      <c r="AL58" s="1151"/>
      <c r="AM58" s="1151"/>
      <c r="AN58" s="543">
        <f t="shared" si="40"/>
        <v>1144</v>
      </c>
      <c r="AO58" s="1012"/>
      <c r="AP58" s="1012"/>
      <c r="AQ58" s="1012"/>
      <c r="AR58" s="543"/>
      <c r="AS58" s="543"/>
      <c r="AT58" s="543"/>
      <c r="AU58" s="1310">
        <f t="shared" si="38"/>
        <v>1144</v>
      </c>
      <c r="AV58" s="1310"/>
      <c r="AW58" s="543"/>
      <c r="AX58" s="543"/>
      <c r="AY58" s="543"/>
      <c r="AZ58" s="543"/>
      <c r="BA58" s="543"/>
      <c r="BB58" s="543"/>
      <c r="BC58" s="1200"/>
      <c r="BD58" s="1200"/>
      <c r="BE58" s="1200"/>
      <c r="BF58" s="1200"/>
      <c r="BG58" s="1200"/>
      <c r="BH58" s="1200"/>
      <c r="BI58" s="1200">
        <f t="shared" ref="BI58:BI61" si="41">I58/13</f>
        <v>88</v>
      </c>
      <c r="BJ58" s="1200"/>
      <c r="BK58" s="1200"/>
      <c r="BL58" s="1200"/>
      <c r="BM58" s="1200"/>
      <c r="BN58" s="1200"/>
      <c r="BO58" s="1200"/>
      <c r="BP58" s="1200"/>
      <c r="BQ58" s="1200"/>
      <c r="BR58" s="1200"/>
      <c r="BS58" s="1200"/>
      <c r="BT58" s="1200"/>
      <c r="BU58" s="1200"/>
      <c r="BV58" s="1200"/>
      <c r="BW58" s="1200"/>
      <c r="BX58" s="1200"/>
      <c r="BY58" s="1200"/>
      <c r="BZ58" s="1012">
        <f t="shared" si="1"/>
        <v>1144</v>
      </c>
      <c r="CB58" s="1219"/>
      <c r="CC58" s="1219"/>
      <c r="CE58" s="1009">
        <f t="shared" si="2"/>
        <v>1666658</v>
      </c>
    </row>
    <row r="59" s="1009" customFormat="1" ht="36" customHeight="1" spans="1:83">
      <c r="A59" s="1272">
        <v>45623</v>
      </c>
      <c r="B59" s="1273" t="s">
        <v>225</v>
      </c>
      <c r="C59" s="1274" t="s">
        <v>213</v>
      </c>
      <c r="D59" s="1275">
        <v>4500152538</v>
      </c>
      <c r="E59" s="1039" t="s">
        <v>3357</v>
      </c>
      <c r="F59" s="1038" t="s">
        <v>3358</v>
      </c>
      <c r="G59" s="1040" t="s">
        <v>403</v>
      </c>
      <c r="H59" s="1041" t="s">
        <v>74</v>
      </c>
      <c r="I59" s="1012">
        <v>1456</v>
      </c>
      <c r="J59" s="1087">
        <v>0</v>
      </c>
      <c r="K59" s="1040">
        <v>52</v>
      </c>
      <c r="L59" s="1012">
        <f t="shared" si="0"/>
        <v>28</v>
      </c>
      <c r="M59" s="1079">
        <v>45696</v>
      </c>
      <c r="N59" s="1079">
        <v>45679</v>
      </c>
      <c r="O59" s="579"/>
      <c r="P59" s="579" t="s">
        <v>92</v>
      </c>
      <c r="Q59" s="579" t="s">
        <v>3495</v>
      </c>
      <c r="R59" s="579">
        <v>45624</v>
      </c>
      <c r="S59" s="578" t="s">
        <v>77</v>
      </c>
      <c r="T59" s="579" t="s">
        <v>3355</v>
      </c>
      <c r="U59" s="1039" t="s">
        <v>3356</v>
      </c>
      <c r="V59" s="1112" t="s">
        <v>3207</v>
      </c>
      <c r="W59" s="1113">
        <v>1.4046</v>
      </c>
      <c r="X59" s="1114">
        <f t="shared" si="26"/>
        <v>2045.0976</v>
      </c>
      <c r="Y59" s="1012" t="s">
        <v>3496</v>
      </c>
      <c r="Z59" s="1159" t="s">
        <v>403</v>
      </c>
      <c r="AA59" s="1150" t="s">
        <v>128</v>
      </c>
      <c r="AB59" s="1150"/>
      <c r="AC59" s="1151">
        <v>1456</v>
      </c>
      <c r="AD59" s="1151">
        <f t="shared" si="16"/>
        <v>0</v>
      </c>
      <c r="AE59" s="1151"/>
      <c r="AF59" s="579"/>
      <c r="AG59" s="579"/>
      <c r="AH59" s="1151">
        <f t="shared" si="36"/>
        <v>1456</v>
      </c>
      <c r="AI59" s="1151"/>
      <c r="AJ59" s="1151"/>
      <c r="AK59" s="1151"/>
      <c r="AL59" s="1151"/>
      <c r="AM59" s="1151"/>
      <c r="AN59" s="543">
        <f t="shared" si="40"/>
        <v>1456</v>
      </c>
      <c r="AO59" s="1012"/>
      <c r="AP59" s="1012"/>
      <c r="AQ59" s="1012"/>
      <c r="AR59" s="543"/>
      <c r="AS59" s="543"/>
      <c r="AT59" s="543"/>
      <c r="AU59" s="1310">
        <f t="shared" si="38"/>
        <v>1456</v>
      </c>
      <c r="AV59" s="1310"/>
      <c r="AW59" s="543"/>
      <c r="AX59" s="543"/>
      <c r="AY59" s="543"/>
      <c r="AZ59" s="543"/>
      <c r="BA59" s="543"/>
      <c r="BB59" s="543"/>
      <c r="BC59" s="1200"/>
      <c r="BD59" s="1200"/>
      <c r="BE59" s="1200"/>
      <c r="BF59" s="1200"/>
      <c r="BG59" s="1200"/>
      <c r="BH59" s="1200"/>
      <c r="BI59" s="1200">
        <f t="shared" si="41"/>
        <v>112</v>
      </c>
      <c r="BJ59" s="1200"/>
      <c r="BK59" s="1200"/>
      <c r="BL59" s="1200"/>
      <c r="BM59" s="1200"/>
      <c r="BN59" s="1200"/>
      <c r="BO59" s="1200"/>
      <c r="BP59" s="1200"/>
      <c r="BQ59" s="1200"/>
      <c r="BR59" s="1200"/>
      <c r="BS59" s="1200"/>
      <c r="BT59" s="1200"/>
      <c r="BU59" s="1200"/>
      <c r="BV59" s="1200"/>
      <c r="BW59" s="1200"/>
      <c r="BX59" s="1200"/>
      <c r="BY59" s="1200"/>
      <c r="BZ59" s="1012">
        <f t="shared" si="1"/>
        <v>1456</v>
      </c>
      <c r="CB59" s="1219"/>
      <c r="CC59" s="1219"/>
      <c r="CE59" s="1009">
        <f t="shared" si="2"/>
        <v>1665202</v>
      </c>
    </row>
    <row r="60" s="1009" customFormat="1" ht="36" customHeight="1" spans="1:83">
      <c r="A60" s="1272">
        <v>45623</v>
      </c>
      <c r="B60" s="1273" t="s">
        <v>225</v>
      </c>
      <c r="C60" s="1274" t="s">
        <v>213</v>
      </c>
      <c r="D60" s="1275">
        <v>4500152538</v>
      </c>
      <c r="E60" s="1039" t="s">
        <v>3359</v>
      </c>
      <c r="F60" s="1038" t="s">
        <v>3360</v>
      </c>
      <c r="G60" s="1040" t="s">
        <v>403</v>
      </c>
      <c r="H60" s="1041" t="s">
        <v>74</v>
      </c>
      <c r="I60" s="1012">
        <v>1300</v>
      </c>
      <c r="J60" s="1087">
        <v>0</v>
      </c>
      <c r="K60" s="1040">
        <v>52</v>
      </c>
      <c r="L60" s="1012">
        <f t="shared" si="0"/>
        <v>25</v>
      </c>
      <c r="M60" s="1079">
        <v>45696</v>
      </c>
      <c r="N60" s="1079">
        <v>45679</v>
      </c>
      <c r="O60" s="579"/>
      <c r="P60" s="579" t="s">
        <v>92</v>
      </c>
      <c r="Q60" s="579" t="s">
        <v>3495</v>
      </c>
      <c r="R60" s="579">
        <v>45624</v>
      </c>
      <c r="S60" s="578" t="s">
        <v>77</v>
      </c>
      <c r="T60" s="579" t="s">
        <v>3355</v>
      </c>
      <c r="U60" s="1039" t="s">
        <v>3356</v>
      </c>
      <c r="V60" s="1112" t="s">
        <v>3207</v>
      </c>
      <c r="W60" s="1113">
        <v>1.4046</v>
      </c>
      <c r="X60" s="1114">
        <f t="shared" si="26"/>
        <v>1825.98</v>
      </c>
      <c r="Y60" s="1012" t="s">
        <v>3496</v>
      </c>
      <c r="Z60" s="1159" t="s">
        <v>403</v>
      </c>
      <c r="AA60" s="1150" t="s">
        <v>128</v>
      </c>
      <c r="AB60" s="1150"/>
      <c r="AC60" s="1151">
        <v>1300</v>
      </c>
      <c r="AD60" s="1151">
        <f t="shared" si="16"/>
        <v>0</v>
      </c>
      <c r="AE60" s="1151"/>
      <c r="AF60" s="579"/>
      <c r="AG60" s="579"/>
      <c r="AH60" s="1151">
        <f t="shared" si="36"/>
        <v>1300</v>
      </c>
      <c r="AI60" s="1151"/>
      <c r="AJ60" s="1151"/>
      <c r="AK60" s="1151"/>
      <c r="AL60" s="1151"/>
      <c r="AM60" s="1151"/>
      <c r="AN60" s="543">
        <f t="shared" si="40"/>
        <v>1300</v>
      </c>
      <c r="AO60" s="1012"/>
      <c r="AP60" s="1012"/>
      <c r="AQ60" s="1012"/>
      <c r="AR60" s="543"/>
      <c r="AS60" s="543"/>
      <c r="AT60" s="543"/>
      <c r="AU60" s="1310">
        <f t="shared" si="38"/>
        <v>1300</v>
      </c>
      <c r="AV60" s="1310"/>
      <c r="AW60" s="543"/>
      <c r="AX60" s="543"/>
      <c r="AY60" s="543"/>
      <c r="AZ60" s="543"/>
      <c r="BA60" s="543"/>
      <c r="BB60" s="543"/>
      <c r="BC60" s="1200"/>
      <c r="BD60" s="1200"/>
      <c r="BE60" s="1200"/>
      <c r="BF60" s="1200"/>
      <c r="BG60" s="1200"/>
      <c r="BH60" s="1200"/>
      <c r="BI60" s="1200">
        <f t="shared" si="41"/>
        <v>100</v>
      </c>
      <c r="BJ60" s="1200"/>
      <c r="BK60" s="1200"/>
      <c r="BL60" s="1200"/>
      <c r="BM60" s="1200"/>
      <c r="BN60" s="1200"/>
      <c r="BO60" s="1200"/>
      <c r="BP60" s="1200"/>
      <c r="BQ60" s="1200"/>
      <c r="BR60" s="1200"/>
      <c r="BS60" s="1200"/>
      <c r="BT60" s="1200"/>
      <c r="BU60" s="1200"/>
      <c r="BV60" s="1200"/>
      <c r="BW60" s="1200"/>
      <c r="BX60" s="1200"/>
      <c r="BY60" s="1200"/>
      <c r="BZ60" s="1012">
        <f t="shared" si="1"/>
        <v>1300</v>
      </c>
      <c r="CB60" s="1219"/>
      <c r="CC60" s="1219"/>
      <c r="CE60" s="1009">
        <f t="shared" si="2"/>
        <v>1663902</v>
      </c>
    </row>
    <row r="61" s="1009" customFormat="1" ht="36" customHeight="1" spans="1:83">
      <c r="A61" s="1272">
        <v>45632</v>
      </c>
      <c r="B61" s="1273" t="s">
        <v>1709</v>
      </c>
      <c r="C61" s="1274" t="s">
        <v>233</v>
      </c>
      <c r="D61" s="1275">
        <v>4500153390</v>
      </c>
      <c r="E61" s="1039">
        <v>4503999972</v>
      </c>
      <c r="F61" s="1275" t="s">
        <v>3361</v>
      </c>
      <c r="G61" s="1040" t="s">
        <v>160</v>
      </c>
      <c r="H61" s="1041" t="s">
        <v>74</v>
      </c>
      <c r="I61" s="1012">
        <v>1040</v>
      </c>
      <c r="J61" s="1087">
        <v>0</v>
      </c>
      <c r="K61" s="1040">
        <v>13</v>
      </c>
      <c r="L61" s="1012">
        <f t="shared" si="0"/>
        <v>80</v>
      </c>
      <c r="M61" s="1079">
        <v>45702</v>
      </c>
      <c r="N61" s="1079">
        <v>45698</v>
      </c>
      <c r="O61" s="579"/>
      <c r="P61" s="579" t="s">
        <v>92</v>
      </c>
      <c r="Q61" s="579" t="s">
        <v>3497</v>
      </c>
      <c r="R61" s="579">
        <v>45632</v>
      </c>
      <c r="S61" s="578" t="s">
        <v>77</v>
      </c>
      <c r="T61" s="1284" t="s">
        <v>3362</v>
      </c>
      <c r="U61" s="1039" t="s">
        <v>3363</v>
      </c>
      <c r="V61" s="1112" t="s">
        <v>3364</v>
      </c>
      <c r="W61" s="1113">
        <v>1.4071</v>
      </c>
      <c r="X61" s="1114">
        <f t="shared" si="26"/>
        <v>1463.384</v>
      </c>
      <c r="Y61" s="1012" t="s">
        <v>3498</v>
      </c>
      <c r="Z61" s="1159" t="s">
        <v>160</v>
      </c>
      <c r="AA61" s="1150" t="s">
        <v>128</v>
      </c>
      <c r="AB61" s="1150"/>
      <c r="AC61" s="1151">
        <v>1040</v>
      </c>
      <c r="AD61" s="1151">
        <f t="shared" si="16"/>
        <v>0</v>
      </c>
      <c r="AE61" s="1151"/>
      <c r="AF61" s="579"/>
      <c r="AG61" s="579"/>
      <c r="AH61" s="1151">
        <f t="shared" si="36"/>
        <v>1040</v>
      </c>
      <c r="AI61" s="1151"/>
      <c r="AJ61" s="1151"/>
      <c r="AK61" s="1151"/>
      <c r="AL61" s="1151"/>
      <c r="AM61" s="1151"/>
      <c r="AN61" s="543">
        <f t="shared" si="40"/>
        <v>1040</v>
      </c>
      <c r="AO61" s="1012"/>
      <c r="AP61" s="1012"/>
      <c r="AQ61" s="1012"/>
      <c r="AR61" s="543"/>
      <c r="AS61" s="543"/>
      <c r="AT61" s="543"/>
      <c r="AU61" s="543">
        <f t="shared" si="38"/>
        <v>1040</v>
      </c>
      <c r="AV61" s="543"/>
      <c r="AW61" s="543"/>
      <c r="AX61" s="543"/>
      <c r="AY61" s="543"/>
      <c r="AZ61" s="543"/>
      <c r="BA61" s="543"/>
      <c r="BB61" s="543"/>
      <c r="BC61" s="1200"/>
      <c r="BD61" s="1200"/>
      <c r="BE61" s="1200"/>
      <c r="BF61" s="1200"/>
      <c r="BG61" s="1200"/>
      <c r="BH61" s="1200"/>
      <c r="BI61" s="1200">
        <f t="shared" si="41"/>
        <v>80</v>
      </c>
      <c r="BJ61" s="1200"/>
      <c r="BK61" s="1200"/>
      <c r="BL61" s="1200"/>
      <c r="BM61" s="1200"/>
      <c r="BN61" s="1200"/>
      <c r="BO61" s="1200"/>
      <c r="BP61" s="1200"/>
      <c r="BQ61" s="1200"/>
      <c r="BR61" s="1200"/>
      <c r="BS61" s="1200"/>
      <c r="BT61" s="1200"/>
      <c r="BU61" s="1200"/>
      <c r="BV61" s="1200"/>
      <c r="BW61" s="1200"/>
      <c r="BX61" s="1200"/>
      <c r="BY61" s="1200"/>
      <c r="BZ61" s="1012">
        <f t="shared" si="1"/>
        <v>1040</v>
      </c>
      <c r="CB61" s="1219"/>
      <c r="CC61" s="1219"/>
      <c r="CE61" s="1009">
        <f t="shared" si="2"/>
        <v>1662862</v>
      </c>
    </row>
    <row r="62" s="1009" customFormat="1" ht="36" customHeight="1" spans="1:83">
      <c r="A62" s="540">
        <v>45615</v>
      </c>
      <c r="B62" s="1036" t="s">
        <v>3102</v>
      </c>
      <c r="C62" s="1037" t="s">
        <v>117</v>
      </c>
      <c r="D62" s="1038">
        <v>4500151537</v>
      </c>
      <c r="E62" s="1039">
        <v>70054036</v>
      </c>
      <c r="F62" s="1038" t="s">
        <v>3365</v>
      </c>
      <c r="G62" s="1040" t="s">
        <v>628</v>
      </c>
      <c r="H62" s="1041" t="s">
        <v>623</v>
      </c>
      <c r="I62" s="1012">
        <v>504</v>
      </c>
      <c r="J62" s="1087">
        <v>0</v>
      </c>
      <c r="K62" s="1040">
        <v>12</v>
      </c>
      <c r="L62" s="1012">
        <f t="shared" si="0"/>
        <v>42</v>
      </c>
      <c r="M62" s="1079">
        <v>45705</v>
      </c>
      <c r="N62" s="1079">
        <v>45701</v>
      </c>
      <c r="O62" s="579"/>
      <c r="P62" s="579" t="s">
        <v>92</v>
      </c>
      <c r="Q62" s="579" t="s">
        <v>3499</v>
      </c>
      <c r="R62" s="579">
        <v>45616</v>
      </c>
      <c r="S62" s="578" t="s">
        <v>77</v>
      </c>
      <c r="T62" s="695" t="s">
        <v>3500</v>
      </c>
      <c r="U62" s="1111" t="s">
        <v>3501</v>
      </c>
      <c r="V62" s="1112" t="s">
        <v>2458</v>
      </c>
      <c r="W62" s="1113">
        <v>3.1012</v>
      </c>
      <c r="X62" s="1114">
        <f t="shared" si="26"/>
        <v>1563.0048</v>
      </c>
      <c r="Y62" s="1012" t="s">
        <v>3502</v>
      </c>
      <c r="Z62" s="1159" t="s">
        <v>822</v>
      </c>
      <c r="AA62" s="1150" t="s">
        <v>128</v>
      </c>
      <c r="AB62" s="1150"/>
      <c r="AC62" s="1151">
        <v>504</v>
      </c>
      <c r="AD62" s="1151">
        <f t="shared" si="16"/>
        <v>0</v>
      </c>
      <c r="AE62" s="1151"/>
      <c r="AF62" s="579"/>
      <c r="AG62" s="579"/>
      <c r="AH62" s="1151">
        <f>I62*2</f>
        <v>1008</v>
      </c>
      <c r="AI62" s="1151"/>
      <c r="AJ62" s="1151"/>
      <c r="AK62" s="1151"/>
      <c r="AL62" s="1151"/>
      <c r="AM62" s="1151"/>
      <c r="AN62" s="1012"/>
      <c r="AO62" s="543">
        <f>AH62</f>
        <v>1008</v>
      </c>
      <c r="AP62" s="543"/>
      <c r="AQ62" s="543"/>
      <c r="AR62" s="543"/>
      <c r="AS62" s="543"/>
      <c r="AT62" s="543"/>
      <c r="AU62" s="1310">
        <f>AH62</f>
        <v>1008</v>
      </c>
      <c r="AV62" s="1310"/>
      <c r="AW62" s="543"/>
      <c r="AX62" s="543"/>
      <c r="AY62" s="543"/>
      <c r="AZ62" s="543"/>
      <c r="BA62" s="543"/>
      <c r="BB62" s="543"/>
      <c r="BC62" s="1200"/>
      <c r="BD62" s="1200"/>
      <c r="BE62" s="1200"/>
      <c r="BF62" s="1200"/>
      <c r="BG62" s="1200"/>
      <c r="BH62" s="1200"/>
      <c r="BI62" s="1200"/>
      <c r="BJ62" s="1200"/>
      <c r="BK62" s="1200"/>
      <c r="BL62" s="1200"/>
      <c r="BM62" s="1200"/>
      <c r="BN62" s="1200"/>
      <c r="BO62" s="1200"/>
      <c r="BP62" s="1200"/>
      <c r="BQ62" s="1200"/>
      <c r="BR62" s="1200"/>
      <c r="BS62" s="1200"/>
      <c r="BT62" s="1200"/>
      <c r="BU62" s="1200"/>
      <c r="BV62" s="1200"/>
      <c r="BW62" s="1200">
        <f>I62</f>
        <v>504</v>
      </c>
      <c r="BX62" s="1200">
        <f>I62</f>
        <v>504</v>
      </c>
      <c r="BY62" s="1200"/>
      <c r="BZ62" s="1012">
        <f t="shared" si="1"/>
        <v>1008</v>
      </c>
      <c r="CB62" s="1219"/>
      <c r="CC62" s="1219"/>
      <c r="CE62" s="1009">
        <f t="shared" si="2"/>
        <v>1661854</v>
      </c>
    </row>
    <row r="63" s="1009" customFormat="1" ht="36" customHeight="1" spans="1:83">
      <c r="A63" s="540">
        <v>45651</v>
      </c>
      <c r="B63" s="1036" t="s">
        <v>580</v>
      </c>
      <c r="C63" s="1037" t="s">
        <v>581</v>
      </c>
      <c r="D63" s="1038">
        <v>4500154694</v>
      </c>
      <c r="E63" s="1039" t="s">
        <v>3384</v>
      </c>
      <c r="F63" s="1038" t="s">
        <v>3385</v>
      </c>
      <c r="G63" s="1040" t="s">
        <v>207</v>
      </c>
      <c r="H63" s="1041" t="s">
        <v>74</v>
      </c>
      <c r="I63" s="1012">
        <v>816</v>
      </c>
      <c r="J63" s="1087">
        <v>0</v>
      </c>
      <c r="K63" s="1040">
        <v>48</v>
      </c>
      <c r="L63" s="1012">
        <f t="shared" si="0"/>
        <v>17</v>
      </c>
      <c r="M63" s="1079">
        <v>45713</v>
      </c>
      <c r="N63" s="1079">
        <f>M63-4</f>
        <v>45709</v>
      </c>
      <c r="O63" s="579"/>
      <c r="P63" s="579" t="s">
        <v>1690</v>
      </c>
      <c r="Q63" s="579" t="s">
        <v>3497</v>
      </c>
      <c r="R63" s="579">
        <v>45651</v>
      </c>
      <c r="S63" s="578" t="s">
        <v>77</v>
      </c>
      <c r="T63" s="1284" t="s">
        <v>3503</v>
      </c>
      <c r="U63" s="1039" t="s">
        <v>3387</v>
      </c>
      <c r="V63" s="1112" t="s">
        <v>585</v>
      </c>
      <c r="W63" s="1113">
        <v>1.3917</v>
      </c>
      <c r="X63" s="1114">
        <f t="shared" si="26"/>
        <v>1135.6272</v>
      </c>
      <c r="Y63" s="1012" t="s">
        <v>3504</v>
      </c>
      <c r="Z63" s="1159" t="s">
        <v>207</v>
      </c>
      <c r="AA63" s="1150" t="s">
        <v>128</v>
      </c>
      <c r="AB63" s="1150"/>
      <c r="AC63" s="1151">
        <v>816</v>
      </c>
      <c r="AD63" s="1151">
        <f t="shared" si="16"/>
        <v>0</v>
      </c>
      <c r="AE63" s="1151"/>
      <c r="AF63" s="579"/>
      <c r="AG63" s="579"/>
      <c r="AH63" s="1151">
        <f t="shared" ref="AH63:AH73" si="42">I63</f>
        <v>816</v>
      </c>
      <c r="AI63" s="1151"/>
      <c r="AJ63" s="1151"/>
      <c r="AK63" s="1151"/>
      <c r="AL63" s="1176"/>
      <c r="AM63" s="1176"/>
      <c r="AN63" s="1307">
        <f t="shared" ref="AN63:AN67" si="43">I63</f>
        <v>816</v>
      </c>
      <c r="AO63" s="1310"/>
      <c r="AP63" s="1310"/>
      <c r="AQ63" s="1310"/>
      <c r="AR63" s="543"/>
      <c r="AS63" s="543"/>
      <c r="AT63" s="543"/>
      <c r="AU63" s="1310">
        <f t="shared" ref="AU63:AU79" si="44">I63</f>
        <v>816</v>
      </c>
      <c r="AV63" s="1310"/>
      <c r="AW63" s="543"/>
      <c r="AX63" s="543"/>
      <c r="AY63" s="543"/>
      <c r="AZ63" s="543"/>
      <c r="BA63" s="543"/>
      <c r="BB63" s="543"/>
      <c r="BC63" s="1200"/>
      <c r="BD63" s="1200"/>
      <c r="BE63" s="1200"/>
      <c r="BF63" s="1200"/>
      <c r="BG63" s="1200">
        <f>I63/12</f>
        <v>68</v>
      </c>
      <c r="BH63" s="1200"/>
      <c r="BI63" s="1200"/>
      <c r="BJ63" s="1200"/>
      <c r="BK63" s="1200"/>
      <c r="BL63" s="1200"/>
      <c r="BM63" s="1200"/>
      <c r="BN63" s="1200"/>
      <c r="BO63" s="1200"/>
      <c r="BP63" s="1200"/>
      <c r="BQ63" s="1200"/>
      <c r="BR63" s="1200"/>
      <c r="BS63" s="1200"/>
      <c r="BT63" s="1200"/>
      <c r="BU63" s="1200"/>
      <c r="BV63" s="1200"/>
      <c r="BW63" s="1200"/>
      <c r="BX63" s="1200"/>
      <c r="BY63" s="1200"/>
      <c r="BZ63" s="1012">
        <f t="shared" si="1"/>
        <v>816</v>
      </c>
      <c r="CB63" s="1219"/>
      <c r="CC63" s="1219"/>
      <c r="CE63" s="1009">
        <f t="shared" si="2"/>
        <v>1661038</v>
      </c>
    </row>
    <row r="64" s="1009" customFormat="1" ht="36" customHeight="1" spans="1:83">
      <c r="A64" s="540">
        <v>45653</v>
      </c>
      <c r="B64" s="1036" t="s">
        <v>3392</v>
      </c>
      <c r="C64" s="1037" t="s">
        <v>500</v>
      </c>
      <c r="D64" s="1038">
        <v>4500154891</v>
      </c>
      <c r="E64" s="1039" t="s">
        <v>3393</v>
      </c>
      <c r="F64" s="1038" t="s">
        <v>3505</v>
      </c>
      <c r="G64" s="1040" t="s">
        <v>73</v>
      </c>
      <c r="H64" s="1041" t="s">
        <v>74</v>
      </c>
      <c r="I64" s="1012">
        <v>2016</v>
      </c>
      <c r="J64" s="1087">
        <v>0</v>
      </c>
      <c r="K64" s="1040">
        <v>24</v>
      </c>
      <c r="L64" s="1012">
        <f t="shared" si="0"/>
        <v>84</v>
      </c>
      <c r="M64" s="1079">
        <v>45716</v>
      </c>
      <c r="N64" s="1079">
        <v>45712</v>
      </c>
      <c r="O64" s="579"/>
      <c r="P64" s="579" t="s">
        <v>1690</v>
      </c>
      <c r="Q64" s="579" t="s">
        <v>3395</v>
      </c>
      <c r="R64" s="579" t="s">
        <v>3396</v>
      </c>
      <c r="S64" s="578" t="s">
        <v>123</v>
      </c>
      <c r="T64" s="1284" t="s">
        <v>3506</v>
      </c>
      <c r="U64" s="1039" t="s">
        <v>3507</v>
      </c>
      <c r="V64" s="1112" t="s">
        <v>2629</v>
      </c>
      <c r="W64" s="1113">
        <v>1.3595</v>
      </c>
      <c r="X64" s="1114">
        <f t="shared" si="26"/>
        <v>2740.752</v>
      </c>
      <c r="Y64" s="1012" t="s">
        <v>3508</v>
      </c>
      <c r="Z64" s="1159" t="s">
        <v>188</v>
      </c>
      <c r="AA64" s="1150" t="s">
        <v>128</v>
      </c>
      <c r="AB64" s="1150"/>
      <c r="AC64" s="1151">
        <v>2016</v>
      </c>
      <c r="AD64" s="1151">
        <f t="shared" si="16"/>
        <v>0</v>
      </c>
      <c r="AE64" s="1151"/>
      <c r="AF64" s="579"/>
      <c r="AG64" s="579"/>
      <c r="AH64" s="1151">
        <f t="shared" si="42"/>
        <v>2016</v>
      </c>
      <c r="AI64" s="1151"/>
      <c r="AJ64" s="1151"/>
      <c r="AK64" s="1151"/>
      <c r="AL64" s="1176"/>
      <c r="AM64" s="1176"/>
      <c r="AN64" s="1307"/>
      <c r="AO64" s="543">
        <f t="shared" ref="AO64:AO71" si="45">I64</f>
        <v>2016</v>
      </c>
      <c r="AP64" s="543"/>
      <c r="AQ64" s="543"/>
      <c r="AR64" s="543"/>
      <c r="AS64" s="543"/>
      <c r="AT64" s="543"/>
      <c r="AU64" s="1310">
        <f t="shared" si="44"/>
        <v>2016</v>
      </c>
      <c r="AV64" s="1310"/>
      <c r="AW64" s="543"/>
      <c r="AX64" s="543"/>
      <c r="AY64" s="543"/>
      <c r="AZ64" s="543"/>
      <c r="BA64" s="543"/>
      <c r="BB64" s="543"/>
      <c r="BC64" s="1200"/>
      <c r="BD64" s="1200"/>
      <c r="BE64" s="1200"/>
      <c r="BF64" s="1200"/>
      <c r="BG64" s="1200"/>
      <c r="BH64" s="1200"/>
      <c r="BI64" s="1200"/>
      <c r="BJ64" s="1200"/>
      <c r="BK64" s="1200"/>
      <c r="BL64" s="1200"/>
      <c r="BM64" s="1200"/>
      <c r="BN64" s="1200"/>
      <c r="BO64" s="1200"/>
      <c r="BP64" s="1200"/>
      <c r="BQ64" s="1200"/>
      <c r="BR64" s="1200"/>
      <c r="BS64" s="1200"/>
      <c r="BT64" s="1200"/>
      <c r="BU64" s="1200"/>
      <c r="BV64" s="1200"/>
      <c r="BW64" s="1200"/>
      <c r="BX64" s="1200"/>
      <c r="BY64" s="1200"/>
      <c r="BZ64" s="1012">
        <f t="shared" si="1"/>
        <v>2016</v>
      </c>
      <c r="CB64" s="1219"/>
      <c r="CC64" s="1219"/>
      <c r="CE64" s="1009">
        <f t="shared" si="2"/>
        <v>1659022</v>
      </c>
    </row>
    <row r="65" s="1009" customFormat="1" ht="36" customHeight="1" spans="1:83">
      <c r="A65" s="540">
        <v>45652</v>
      </c>
      <c r="B65" s="1036" t="s">
        <v>449</v>
      </c>
      <c r="C65" s="1037" t="s">
        <v>477</v>
      </c>
      <c r="D65" s="1038">
        <v>4500154803</v>
      </c>
      <c r="E65" s="1039" t="s">
        <v>3388</v>
      </c>
      <c r="F65" s="1038" t="s">
        <v>3389</v>
      </c>
      <c r="G65" s="1040" t="s">
        <v>3509</v>
      </c>
      <c r="H65" s="1041" t="s">
        <v>3510</v>
      </c>
      <c r="I65" s="1012">
        <v>504</v>
      </c>
      <c r="J65" s="1087">
        <v>0</v>
      </c>
      <c r="K65" s="1040">
        <v>24</v>
      </c>
      <c r="L65" s="1012">
        <f t="shared" si="0"/>
        <v>21</v>
      </c>
      <c r="M65" s="1079">
        <v>45716</v>
      </c>
      <c r="N65" s="1079">
        <v>45712</v>
      </c>
      <c r="O65" s="579"/>
      <c r="P65" s="579" t="s">
        <v>1262</v>
      </c>
      <c r="Q65" s="579" t="s">
        <v>3395</v>
      </c>
      <c r="R65" s="579" t="s">
        <v>1910</v>
      </c>
      <c r="S65" s="578" t="s">
        <v>123</v>
      </c>
      <c r="T65" s="1284" t="s">
        <v>3511</v>
      </c>
      <c r="U65" s="1039" t="s">
        <v>3512</v>
      </c>
      <c r="V65" s="1112" t="s">
        <v>186</v>
      </c>
      <c r="W65" s="1113">
        <v>1.3645</v>
      </c>
      <c r="X65" s="1114">
        <f t="shared" si="26"/>
        <v>687.708</v>
      </c>
      <c r="Y65" s="1012" t="s">
        <v>3513</v>
      </c>
      <c r="Z65" s="1159" t="s">
        <v>3509</v>
      </c>
      <c r="AA65" s="1150" t="s">
        <v>128</v>
      </c>
      <c r="AB65" s="1150"/>
      <c r="AC65" s="1151">
        <v>504</v>
      </c>
      <c r="AD65" s="1151">
        <f t="shared" si="16"/>
        <v>0</v>
      </c>
      <c r="AE65" s="1151"/>
      <c r="AF65" s="579"/>
      <c r="AG65" s="579"/>
      <c r="AH65" s="1151">
        <f t="shared" si="42"/>
        <v>504</v>
      </c>
      <c r="AI65" s="1151"/>
      <c r="AJ65" s="1151"/>
      <c r="AK65" s="1151"/>
      <c r="AL65" s="1176"/>
      <c r="AM65" s="1176"/>
      <c r="AN65" s="1307"/>
      <c r="AO65" s="543">
        <f t="shared" si="45"/>
        <v>504</v>
      </c>
      <c r="AP65" s="543"/>
      <c r="AQ65" s="543"/>
      <c r="AR65" s="543"/>
      <c r="AS65" s="543"/>
      <c r="AT65" s="543"/>
      <c r="AU65" s="1310">
        <f t="shared" si="44"/>
        <v>504</v>
      </c>
      <c r="AV65" s="1310"/>
      <c r="AW65" s="543"/>
      <c r="AX65" s="543"/>
      <c r="AY65" s="543"/>
      <c r="AZ65" s="543"/>
      <c r="BA65" s="543"/>
      <c r="BB65" s="543"/>
      <c r="BC65" s="1200"/>
      <c r="BD65" s="1200"/>
      <c r="BE65" s="1200"/>
      <c r="BF65" s="1200"/>
      <c r="BG65" s="1200"/>
      <c r="BH65" s="1200"/>
      <c r="BI65" s="1200"/>
      <c r="BJ65" s="1200"/>
      <c r="BK65" s="1200"/>
      <c r="BL65" s="1200"/>
      <c r="BM65" s="1200"/>
      <c r="BN65" s="1200"/>
      <c r="BO65" s="1200"/>
      <c r="BP65" s="1200"/>
      <c r="BQ65" s="1200"/>
      <c r="BR65" s="1200"/>
      <c r="BS65" s="1200"/>
      <c r="BT65" s="1200"/>
      <c r="BU65" s="1200"/>
      <c r="BV65" s="1200"/>
      <c r="BW65" s="1200"/>
      <c r="BX65" s="1200"/>
      <c r="BY65" s="1200"/>
      <c r="BZ65" s="1012">
        <f t="shared" si="1"/>
        <v>504</v>
      </c>
      <c r="CB65" s="1219"/>
      <c r="CC65" s="1219"/>
      <c r="CE65" s="1009">
        <f t="shared" si="2"/>
        <v>1658518</v>
      </c>
    </row>
    <row r="66" s="1009" customFormat="1" ht="36" customHeight="1" spans="1:83">
      <c r="A66" s="540">
        <v>45667</v>
      </c>
      <c r="B66" s="1036" t="s">
        <v>2353</v>
      </c>
      <c r="C66" s="1037" t="s">
        <v>117</v>
      </c>
      <c r="D66" s="1038">
        <v>4500155435</v>
      </c>
      <c r="E66" s="1039" t="s">
        <v>3514</v>
      </c>
      <c r="F66" s="1038" t="s">
        <v>3515</v>
      </c>
      <c r="G66" s="1040" t="s">
        <v>826</v>
      </c>
      <c r="H66" s="1041" t="s">
        <v>74</v>
      </c>
      <c r="I66" s="1078">
        <v>5300</v>
      </c>
      <c r="J66" s="1078">
        <v>0</v>
      </c>
      <c r="K66" s="1078">
        <v>25</v>
      </c>
      <c r="L66" s="1078">
        <f t="shared" si="0"/>
        <v>212</v>
      </c>
      <c r="M66" s="1079">
        <v>45717</v>
      </c>
      <c r="N66" s="1079">
        <v>45715</v>
      </c>
      <c r="O66" s="579"/>
      <c r="P66" s="579" t="s">
        <v>92</v>
      </c>
      <c r="Q66" s="579" t="s">
        <v>3516</v>
      </c>
      <c r="R66" s="579">
        <v>45667</v>
      </c>
      <c r="S66" s="578" t="s">
        <v>77</v>
      </c>
      <c r="T66" s="695" t="s">
        <v>77</v>
      </c>
      <c r="U66" s="1111" t="s">
        <v>3517</v>
      </c>
      <c r="V66" s="1112" t="s">
        <v>829</v>
      </c>
      <c r="W66" s="1113">
        <v>1.4116</v>
      </c>
      <c r="X66" s="1114">
        <f t="shared" si="26"/>
        <v>7481.48</v>
      </c>
      <c r="Y66" s="1012" t="s">
        <v>3518</v>
      </c>
      <c r="Z66" s="1159" t="s">
        <v>826</v>
      </c>
      <c r="AA66" s="1150" t="s">
        <v>128</v>
      </c>
      <c r="AB66" s="1150"/>
      <c r="AC66" s="1151">
        <v>5300</v>
      </c>
      <c r="AD66" s="1151">
        <f t="shared" si="16"/>
        <v>0</v>
      </c>
      <c r="AE66" s="1151"/>
      <c r="AF66" s="579"/>
      <c r="AG66" s="579"/>
      <c r="AH66" s="1151">
        <f t="shared" si="42"/>
        <v>5300</v>
      </c>
      <c r="AI66" s="1151"/>
      <c r="AJ66" s="1151"/>
      <c r="AK66" s="1151"/>
      <c r="AL66" s="1151"/>
      <c r="AM66" s="1151"/>
      <c r="AN66" s="543">
        <f t="shared" si="43"/>
        <v>5300</v>
      </c>
      <c r="AO66" s="543"/>
      <c r="AP66" s="543"/>
      <c r="AQ66" s="543"/>
      <c r="AR66" s="543"/>
      <c r="AS66" s="543"/>
      <c r="AT66" s="543"/>
      <c r="AU66" s="1310">
        <f t="shared" si="44"/>
        <v>5300</v>
      </c>
      <c r="AV66" s="1310"/>
      <c r="AW66" s="543"/>
      <c r="AX66" s="543"/>
      <c r="AY66" s="543"/>
      <c r="AZ66" s="543"/>
      <c r="BA66" s="543"/>
      <c r="BB66" s="543"/>
      <c r="BC66" s="1200"/>
      <c r="BD66" s="1200"/>
      <c r="BE66" s="1200"/>
      <c r="BF66" s="1200"/>
      <c r="BG66" s="1200"/>
      <c r="BH66" s="1200"/>
      <c r="BI66" s="1200"/>
      <c r="BJ66" s="1200"/>
      <c r="BK66" s="1200"/>
      <c r="BL66" s="1200"/>
      <c r="BM66" s="1200">
        <f>I66/25</f>
        <v>212</v>
      </c>
      <c r="BN66" s="1200"/>
      <c r="BO66" s="1200"/>
      <c r="BP66" s="1200"/>
      <c r="BQ66" s="1200"/>
      <c r="BR66" s="1200"/>
      <c r="BS66" s="1200"/>
      <c r="BT66" s="1200"/>
      <c r="BU66" s="1200"/>
      <c r="BV66" s="1200"/>
      <c r="BW66" s="1200"/>
      <c r="BX66" s="1200"/>
      <c r="BY66" s="1200"/>
      <c r="BZ66" s="1012">
        <f t="shared" si="1"/>
        <v>5300</v>
      </c>
      <c r="CB66" s="1219"/>
      <c r="CC66" s="1219"/>
      <c r="CE66" s="1009">
        <f t="shared" si="2"/>
        <v>1653218</v>
      </c>
    </row>
    <row r="67" s="1009" customFormat="1" ht="36" customHeight="1" spans="1:83">
      <c r="A67" s="540">
        <v>45667</v>
      </c>
      <c r="B67" s="1036" t="s">
        <v>2353</v>
      </c>
      <c r="C67" s="1037" t="s">
        <v>117</v>
      </c>
      <c r="D67" s="1038">
        <v>4500155435</v>
      </c>
      <c r="E67" s="1039" t="s">
        <v>3519</v>
      </c>
      <c r="F67" s="1038" t="s">
        <v>3520</v>
      </c>
      <c r="G67" s="1040" t="s">
        <v>826</v>
      </c>
      <c r="H67" s="1041" t="s">
        <v>74</v>
      </c>
      <c r="I67" s="1078">
        <v>2400</v>
      </c>
      <c r="J67" s="1078">
        <v>0</v>
      </c>
      <c r="K67" s="1078">
        <v>25</v>
      </c>
      <c r="L67" s="1078">
        <f t="shared" si="0"/>
        <v>96</v>
      </c>
      <c r="M67" s="1079">
        <v>45717</v>
      </c>
      <c r="N67" s="1079">
        <v>45715</v>
      </c>
      <c r="O67" s="579"/>
      <c r="P67" s="579" t="s">
        <v>92</v>
      </c>
      <c r="Q67" s="579" t="s">
        <v>3516</v>
      </c>
      <c r="R67" s="579">
        <v>45667</v>
      </c>
      <c r="S67" s="578" t="s">
        <v>77</v>
      </c>
      <c r="T67" s="695" t="s">
        <v>77</v>
      </c>
      <c r="U67" s="1111" t="s">
        <v>3517</v>
      </c>
      <c r="V67" s="1112" t="s">
        <v>829</v>
      </c>
      <c r="W67" s="1113">
        <v>1.435</v>
      </c>
      <c r="X67" s="1114">
        <f t="shared" si="26"/>
        <v>3444</v>
      </c>
      <c r="Y67" s="1012" t="s">
        <v>3518</v>
      </c>
      <c r="Z67" s="1159" t="s">
        <v>826</v>
      </c>
      <c r="AA67" s="1150" t="s">
        <v>128</v>
      </c>
      <c r="AB67" s="1150"/>
      <c r="AC67" s="1151">
        <v>2400</v>
      </c>
      <c r="AD67" s="1151">
        <f t="shared" si="16"/>
        <v>0</v>
      </c>
      <c r="AE67" s="1151"/>
      <c r="AF67" s="579"/>
      <c r="AG67" s="579"/>
      <c r="AH67" s="1151">
        <f t="shared" si="42"/>
        <v>2400</v>
      </c>
      <c r="AI67" s="1151"/>
      <c r="AJ67" s="1151"/>
      <c r="AK67" s="1151"/>
      <c r="AL67" s="1151"/>
      <c r="AM67" s="1151"/>
      <c r="AN67" s="543">
        <f t="shared" si="43"/>
        <v>2400</v>
      </c>
      <c r="AO67" s="543"/>
      <c r="AP67" s="543"/>
      <c r="AQ67" s="543"/>
      <c r="AR67" s="543"/>
      <c r="AS67" s="543"/>
      <c r="AT67" s="543"/>
      <c r="AU67" s="1310">
        <f t="shared" si="44"/>
        <v>2400</v>
      </c>
      <c r="AV67" s="1310"/>
      <c r="AW67" s="543"/>
      <c r="AX67" s="543"/>
      <c r="AY67" s="543"/>
      <c r="AZ67" s="543"/>
      <c r="BA67" s="543"/>
      <c r="BB67" s="543"/>
      <c r="BC67" s="1200"/>
      <c r="BD67" s="1200"/>
      <c r="BE67" s="1200"/>
      <c r="BF67" s="1200"/>
      <c r="BG67" s="1200"/>
      <c r="BH67" s="1200"/>
      <c r="BI67" s="1200"/>
      <c r="BJ67" s="1200"/>
      <c r="BK67" s="1200"/>
      <c r="BL67" s="1200"/>
      <c r="BM67" s="1200">
        <f>I67/25</f>
        <v>96</v>
      </c>
      <c r="BN67" s="1200"/>
      <c r="BO67" s="1200"/>
      <c r="BP67" s="1200"/>
      <c r="BQ67" s="1200"/>
      <c r="BR67" s="1200"/>
      <c r="BS67" s="1200"/>
      <c r="BT67" s="1200"/>
      <c r="BU67" s="1200"/>
      <c r="BV67" s="1200"/>
      <c r="BW67" s="1200"/>
      <c r="BX67" s="1200"/>
      <c r="BY67" s="1200"/>
      <c r="BZ67" s="1012">
        <f t="shared" ref="BZ67:BZ79" si="46">AH67+AI67+AJ67</f>
        <v>2400</v>
      </c>
      <c r="CB67" s="1219"/>
      <c r="CC67" s="1219"/>
      <c r="CE67" s="1009">
        <f t="shared" ref="CE67:CE130" si="47">CE66-AH67-AI67-AJ67</f>
        <v>1650818</v>
      </c>
    </row>
    <row r="68" s="1009" customFormat="1" ht="36" customHeight="1" spans="1:83">
      <c r="A68" s="1257">
        <v>45594</v>
      </c>
      <c r="B68" s="1036" t="s">
        <v>285</v>
      </c>
      <c r="C68" s="1037" t="s">
        <v>286</v>
      </c>
      <c r="D68" s="1038">
        <v>4500149460</v>
      </c>
      <c r="E68" s="1039">
        <v>61900883</v>
      </c>
      <c r="F68" s="1038" t="s">
        <v>3329</v>
      </c>
      <c r="G68" s="1040" t="s">
        <v>96</v>
      </c>
      <c r="H68" s="1041" t="s">
        <v>74</v>
      </c>
      <c r="I68" s="1012">
        <v>1700</v>
      </c>
      <c r="J68" s="1087">
        <v>0</v>
      </c>
      <c r="K68" s="1040">
        <v>50</v>
      </c>
      <c r="L68" s="1012">
        <f t="shared" ref="L68:L131" si="48">I68/K68</f>
        <v>34</v>
      </c>
      <c r="M68" s="1079">
        <v>45712</v>
      </c>
      <c r="N68" s="1079">
        <v>45712</v>
      </c>
      <c r="O68" s="579" t="s">
        <v>3331</v>
      </c>
      <c r="P68" s="579" t="s">
        <v>92</v>
      </c>
      <c r="Q68" s="579" t="s">
        <v>3521</v>
      </c>
      <c r="R68" s="579">
        <v>45660</v>
      </c>
      <c r="S68" s="578" t="s">
        <v>77</v>
      </c>
      <c r="T68" s="695" t="s">
        <v>3522</v>
      </c>
      <c r="U68" s="1298" t="s">
        <v>3523</v>
      </c>
      <c r="V68" s="1112" t="s">
        <v>618</v>
      </c>
      <c r="W68" s="1113">
        <v>1.4344</v>
      </c>
      <c r="X68" s="1114">
        <f t="shared" si="26"/>
        <v>2438.48</v>
      </c>
      <c r="Y68" s="1012" t="s">
        <v>3524</v>
      </c>
      <c r="Z68" s="1159" t="s">
        <v>292</v>
      </c>
      <c r="AA68" s="1150" t="s">
        <v>128</v>
      </c>
      <c r="AB68" s="1150"/>
      <c r="AC68" s="1151">
        <v>1700</v>
      </c>
      <c r="AD68" s="1151">
        <f t="shared" si="16"/>
        <v>0</v>
      </c>
      <c r="AE68" s="1151"/>
      <c r="AF68" s="579"/>
      <c r="AG68" s="579" t="s">
        <v>3242</v>
      </c>
      <c r="AH68" s="1151">
        <f t="shared" si="42"/>
        <v>1700</v>
      </c>
      <c r="AI68" s="1151"/>
      <c r="AJ68" s="1151"/>
      <c r="AK68" s="1151"/>
      <c r="AL68" s="1151"/>
      <c r="AM68" s="1151"/>
      <c r="AN68" s="543"/>
      <c r="AO68" s="543">
        <f t="shared" si="45"/>
        <v>1700</v>
      </c>
      <c r="AP68" s="543"/>
      <c r="AQ68" s="543"/>
      <c r="AR68" s="543"/>
      <c r="AS68" s="543"/>
      <c r="AT68" s="543"/>
      <c r="AU68" s="543">
        <f t="shared" si="44"/>
        <v>1700</v>
      </c>
      <c r="AV68" s="543"/>
      <c r="AW68" s="543"/>
      <c r="AX68" s="543"/>
      <c r="AY68" s="543"/>
      <c r="AZ68" s="543"/>
      <c r="BA68" s="543"/>
      <c r="BB68" s="543"/>
      <c r="BC68" s="1200"/>
      <c r="BD68" s="1200"/>
      <c r="BE68" s="1200"/>
      <c r="BF68" s="1200"/>
      <c r="BG68" s="1200"/>
      <c r="BH68" s="1200"/>
      <c r="BI68" s="1200"/>
      <c r="BJ68" s="1200"/>
      <c r="BK68" s="1200"/>
      <c r="BL68" s="1200"/>
      <c r="BM68" s="1200"/>
      <c r="BN68" s="1200">
        <f t="shared" ref="BN68:BN71" si="49">I68/25</f>
        <v>68</v>
      </c>
      <c r="BO68" s="1200"/>
      <c r="BP68" s="1200"/>
      <c r="BQ68" s="1200"/>
      <c r="BR68" s="1200"/>
      <c r="BS68" s="1200"/>
      <c r="BT68" s="1200"/>
      <c r="BU68" s="1200"/>
      <c r="BV68" s="1200"/>
      <c r="BW68" s="1200"/>
      <c r="BX68" s="1200"/>
      <c r="BY68" s="1200"/>
      <c r="BZ68" s="1012">
        <f t="shared" si="46"/>
        <v>1700</v>
      </c>
      <c r="CB68" s="1219"/>
      <c r="CC68" s="1219"/>
      <c r="CE68" s="1009">
        <f t="shared" si="47"/>
        <v>1649118</v>
      </c>
    </row>
    <row r="69" s="1009" customFormat="1" ht="36" customHeight="1" spans="1:83">
      <c r="A69" s="540">
        <v>45611</v>
      </c>
      <c r="B69" s="1036" t="s">
        <v>285</v>
      </c>
      <c r="C69" s="1037" t="s">
        <v>286</v>
      </c>
      <c r="D69" s="1038">
        <v>4500151307</v>
      </c>
      <c r="E69" s="1039"/>
      <c r="F69" s="1038" t="s">
        <v>3338</v>
      </c>
      <c r="G69" s="1040" t="s">
        <v>96</v>
      </c>
      <c r="H69" s="1041" t="s">
        <v>74</v>
      </c>
      <c r="I69" s="1012">
        <v>750</v>
      </c>
      <c r="J69" s="1087">
        <v>0</v>
      </c>
      <c r="K69" s="1040">
        <v>50</v>
      </c>
      <c r="L69" s="1012">
        <f t="shared" si="48"/>
        <v>15</v>
      </c>
      <c r="M69" s="1079">
        <v>45712</v>
      </c>
      <c r="N69" s="1079">
        <v>45712</v>
      </c>
      <c r="O69" s="579" t="s">
        <v>3331</v>
      </c>
      <c r="P69" s="578" t="s">
        <v>92</v>
      </c>
      <c r="Q69" s="579" t="s">
        <v>3521</v>
      </c>
      <c r="R69" s="579">
        <v>45665</v>
      </c>
      <c r="S69" s="578" t="s">
        <v>77</v>
      </c>
      <c r="T69" s="1284" t="s">
        <v>3525</v>
      </c>
      <c r="U69" s="1298" t="s">
        <v>3526</v>
      </c>
      <c r="V69" s="1112" t="s">
        <v>618</v>
      </c>
      <c r="W69" s="1113">
        <v>1.4395</v>
      </c>
      <c r="X69" s="1114">
        <f t="shared" si="26"/>
        <v>1079.625</v>
      </c>
      <c r="Y69" s="1012" t="s">
        <v>3527</v>
      </c>
      <c r="Z69" s="1159" t="s">
        <v>292</v>
      </c>
      <c r="AA69" s="1150" t="s">
        <v>128</v>
      </c>
      <c r="AB69" s="1150"/>
      <c r="AC69" s="1151">
        <v>750</v>
      </c>
      <c r="AD69" s="1151">
        <f t="shared" si="16"/>
        <v>0</v>
      </c>
      <c r="AE69" s="1151"/>
      <c r="AF69" s="579"/>
      <c r="AG69" s="579"/>
      <c r="AH69" s="1151">
        <f t="shared" si="42"/>
        <v>750</v>
      </c>
      <c r="AI69" s="1151"/>
      <c r="AJ69" s="1151"/>
      <c r="AK69" s="1151"/>
      <c r="AL69" s="1151"/>
      <c r="AM69" s="1151"/>
      <c r="AN69" s="543"/>
      <c r="AO69" s="543">
        <f t="shared" si="45"/>
        <v>750</v>
      </c>
      <c r="AP69" s="543"/>
      <c r="AQ69" s="543"/>
      <c r="AR69" s="543"/>
      <c r="AS69" s="543"/>
      <c r="AT69" s="543"/>
      <c r="AU69" s="543">
        <f t="shared" si="44"/>
        <v>750</v>
      </c>
      <c r="AV69" s="543"/>
      <c r="AW69" s="543"/>
      <c r="AX69" s="543"/>
      <c r="AY69" s="543"/>
      <c r="AZ69" s="543"/>
      <c r="BA69" s="543"/>
      <c r="BB69" s="543"/>
      <c r="BC69" s="1200"/>
      <c r="BD69" s="1200"/>
      <c r="BE69" s="1200"/>
      <c r="BF69" s="1200"/>
      <c r="BG69" s="1200"/>
      <c r="BH69" s="1200"/>
      <c r="BI69" s="1312"/>
      <c r="BJ69" s="1200"/>
      <c r="BK69" s="1200"/>
      <c r="BL69" s="1200"/>
      <c r="BM69" s="1200"/>
      <c r="BN69" s="1200">
        <f t="shared" si="49"/>
        <v>30</v>
      </c>
      <c r="BO69" s="1200"/>
      <c r="BP69" s="1200"/>
      <c r="BQ69" s="1200"/>
      <c r="BR69" s="1200"/>
      <c r="BS69" s="1200"/>
      <c r="BT69" s="1200"/>
      <c r="BU69" s="1200"/>
      <c r="BV69" s="1200"/>
      <c r="BW69" s="1200"/>
      <c r="BX69" s="1200"/>
      <c r="BY69" s="1200"/>
      <c r="BZ69" s="1012">
        <f t="shared" si="46"/>
        <v>750</v>
      </c>
      <c r="CB69" s="1219"/>
      <c r="CC69" s="1219"/>
      <c r="CE69" s="1009">
        <f t="shared" si="47"/>
        <v>1648368</v>
      </c>
    </row>
    <row r="70" s="1009" customFormat="1" ht="36" customHeight="1" spans="1:83">
      <c r="A70" s="540">
        <v>45651</v>
      </c>
      <c r="B70" s="1036" t="s">
        <v>285</v>
      </c>
      <c r="C70" s="1037" t="s">
        <v>286</v>
      </c>
      <c r="D70" s="1038">
        <v>4500154604</v>
      </c>
      <c r="E70" s="1039">
        <v>61900884</v>
      </c>
      <c r="F70" s="1038" t="s">
        <v>3372</v>
      </c>
      <c r="G70" s="1040" t="s">
        <v>96</v>
      </c>
      <c r="H70" s="1041" t="s">
        <v>74</v>
      </c>
      <c r="I70" s="1012">
        <v>1650</v>
      </c>
      <c r="J70" s="1087">
        <v>0</v>
      </c>
      <c r="K70" s="1040">
        <v>50</v>
      </c>
      <c r="L70" s="1012">
        <f t="shared" si="48"/>
        <v>33</v>
      </c>
      <c r="M70" s="1079">
        <v>45721</v>
      </c>
      <c r="N70" s="1079">
        <v>45717</v>
      </c>
      <c r="O70" s="579" t="s">
        <v>3373</v>
      </c>
      <c r="P70" s="579" t="s">
        <v>92</v>
      </c>
      <c r="Q70" s="579" t="s">
        <v>3528</v>
      </c>
      <c r="R70" s="579">
        <v>45695</v>
      </c>
      <c r="S70" s="578" t="s">
        <v>77</v>
      </c>
      <c r="T70" s="695" t="s">
        <v>3529</v>
      </c>
      <c r="U70" s="1111" t="s">
        <v>3530</v>
      </c>
      <c r="V70" s="1112" t="s">
        <v>618</v>
      </c>
      <c r="W70" s="1113">
        <v>1.4344</v>
      </c>
      <c r="X70" s="1114">
        <f t="shared" si="26"/>
        <v>2366.76</v>
      </c>
      <c r="Y70" s="1012" t="s">
        <v>3531</v>
      </c>
      <c r="Z70" s="1159" t="s">
        <v>292</v>
      </c>
      <c r="AA70" s="1150" t="s">
        <v>128</v>
      </c>
      <c r="AB70" s="1150"/>
      <c r="AC70" s="1151">
        <v>1650</v>
      </c>
      <c r="AD70" s="1151">
        <f t="shared" si="16"/>
        <v>0</v>
      </c>
      <c r="AE70" s="1151"/>
      <c r="AF70" s="579"/>
      <c r="AG70" s="579"/>
      <c r="AH70" s="1151">
        <f t="shared" si="42"/>
        <v>1650</v>
      </c>
      <c r="AI70" s="1151"/>
      <c r="AJ70" s="1151"/>
      <c r="AK70" s="1151"/>
      <c r="AL70" s="1176"/>
      <c r="AM70" s="1176"/>
      <c r="AN70" s="1307"/>
      <c r="AO70" s="543">
        <f t="shared" si="45"/>
        <v>1650</v>
      </c>
      <c r="AP70" s="543"/>
      <c r="AQ70" s="543"/>
      <c r="AR70" s="543"/>
      <c r="AS70" s="543"/>
      <c r="AT70" s="543"/>
      <c r="AU70" s="543">
        <f t="shared" si="44"/>
        <v>1650</v>
      </c>
      <c r="AV70" s="543"/>
      <c r="AW70" s="543"/>
      <c r="AX70" s="543"/>
      <c r="AY70" s="543"/>
      <c r="AZ70" s="543"/>
      <c r="BA70" s="543"/>
      <c r="BB70" s="543"/>
      <c r="BC70" s="1200"/>
      <c r="BD70" s="1200"/>
      <c r="BE70" s="1200"/>
      <c r="BF70" s="1200"/>
      <c r="BG70" s="1200"/>
      <c r="BH70" s="1200"/>
      <c r="BI70" s="1200"/>
      <c r="BJ70" s="1200"/>
      <c r="BK70" s="1200"/>
      <c r="BL70" s="1200"/>
      <c r="BM70" s="1200"/>
      <c r="BN70" s="1200">
        <f t="shared" si="49"/>
        <v>66</v>
      </c>
      <c r="BO70" s="1200"/>
      <c r="BP70" s="1200"/>
      <c r="BQ70" s="1200"/>
      <c r="BR70" s="1200"/>
      <c r="BS70" s="1200"/>
      <c r="BT70" s="1200"/>
      <c r="BU70" s="1200"/>
      <c r="BV70" s="1200"/>
      <c r="BW70" s="1200"/>
      <c r="BX70" s="1200"/>
      <c r="BY70" s="1200"/>
      <c r="BZ70" s="1012">
        <f t="shared" si="46"/>
        <v>1650</v>
      </c>
      <c r="CB70" s="1219"/>
      <c r="CC70" s="1219"/>
      <c r="CE70" s="1009">
        <f t="shared" si="47"/>
        <v>1646718</v>
      </c>
    </row>
    <row r="71" s="1009" customFormat="1" ht="36" customHeight="1" spans="1:83">
      <c r="A71" s="540">
        <v>45651</v>
      </c>
      <c r="B71" s="1036" t="s">
        <v>285</v>
      </c>
      <c r="C71" s="1037" t="s">
        <v>286</v>
      </c>
      <c r="D71" s="1038">
        <v>4500154624</v>
      </c>
      <c r="E71" s="1039">
        <v>61900885</v>
      </c>
      <c r="F71" s="1038" t="s">
        <v>3399</v>
      </c>
      <c r="G71" s="1040" t="s">
        <v>96</v>
      </c>
      <c r="H71" s="1041" t="s">
        <v>74</v>
      </c>
      <c r="I71" s="1012">
        <v>1650</v>
      </c>
      <c r="J71" s="1087">
        <v>0</v>
      </c>
      <c r="K71" s="1040">
        <v>50</v>
      </c>
      <c r="L71" s="1012">
        <f t="shared" si="48"/>
        <v>33</v>
      </c>
      <c r="M71" s="1079">
        <v>45730</v>
      </c>
      <c r="N71" s="1079">
        <v>45726</v>
      </c>
      <c r="O71" s="579" t="s">
        <v>3373</v>
      </c>
      <c r="P71" s="579" t="s">
        <v>92</v>
      </c>
      <c r="Q71" s="579" t="s">
        <v>3499</v>
      </c>
      <c r="R71" s="579">
        <v>45698</v>
      </c>
      <c r="S71" s="578" t="s">
        <v>77</v>
      </c>
      <c r="T71" s="695" t="s">
        <v>3532</v>
      </c>
      <c r="U71" s="1298" t="s">
        <v>3533</v>
      </c>
      <c r="V71" s="1112" t="s">
        <v>618</v>
      </c>
      <c r="W71" s="1113">
        <v>1.4344</v>
      </c>
      <c r="X71" s="1114">
        <f t="shared" si="26"/>
        <v>2366.76</v>
      </c>
      <c r="Y71" s="1012" t="s">
        <v>3534</v>
      </c>
      <c r="Z71" s="1159" t="s">
        <v>292</v>
      </c>
      <c r="AA71" s="1150" t="s">
        <v>128</v>
      </c>
      <c r="AB71" s="1150"/>
      <c r="AC71" s="1151">
        <v>1650</v>
      </c>
      <c r="AD71" s="1151">
        <f t="shared" si="16"/>
        <v>0</v>
      </c>
      <c r="AE71" s="1151"/>
      <c r="AF71" s="579"/>
      <c r="AG71" s="579"/>
      <c r="AH71" s="1151">
        <f t="shared" si="42"/>
        <v>1650</v>
      </c>
      <c r="AI71" s="1151"/>
      <c r="AJ71" s="1151"/>
      <c r="AK71" s="1151"/>
      <c r="AL71" s="1176"/>
      <c r="AM71" s="1176"/>
      <c r="AN71" s="1307"/>
      <c r="AO71" s="543">
        <f t="shared" si="45"/>
        <v>1650</v>
      </c>
      <c r="AP71" s="543"/>
      <c r="AQ71" s="543"/>
      <c r="AR71" s="543"/>
      <c r="AS71" s="543"/>
      <c r="AT71" s="543"/>
      <c r="AU71" s="543">
        <f t="shared" si="44"/>
        <v>1650</v>
      </c>
      <c r="AV71" s="543"/>
      <c r="AW71" s="543"/>
      <c r="AX71" s="543"/>
      <c r="AY71" s="543"/>
      <c r="AZ71" s="543"/>
      <c r="BA71" s="543"/>
      <c r="BB71" s="543"/>
      <c r="BC71" s="1200"/>
      <c r="BD71" s="1200"/>
      <c r="BE71" s="1200"/>
      <c r="BF71" s="1200"/>
      <c r="BG71" s="1200"/>
      <c r="BH71" s="1200"/>
      <c r="BI71" s="1200"/>
      <c r="BJ71" s="1200"/>
      <c r="BK71" s="1200"/>
      <c r="BL71" s="1200"/>
      <c r="BM71" s="1200"/>
      <c r="BN71" s="1200">
        <f t="shared" si="49"/>
        <v>66</v>
      </c>
      <c r="BO71" s="1200"/>
      <c r="BP71" s="1200"/>
      <c r="BQ71" s="1200"/>
      <c r="BR71" s="1200"/>
      <c r="BS71" s="1200"/>
      <c r="BT71" s="1200"/>
      <c r="BU71" s="1200"/>
      <c r="BV71" s="1200"/>
      <c r="BW71" s="1200"/>
      <c r="BX71" s="1200"/>
      <c r="BY71" s="1200"/>
      <c r="BZ71" s="1012">
        <f t="shared" si="46"/>
        <v>1650</v>
      </c>
      <c r="CB71" s="1219"/>
      <c r="CC71" s="1219"/>
      <c r="CE71" s="1009">
        <f t="shared" si="47"/>
        <v>1645068</v>
      </c>
    </row>
    <row r="72" s="1009" customFormat="1" ht="36" customHeight="1" spans="1:83">
      <c r="A72" s="540">
        <v>45660</v>
      </c>
      <c r="B72" s="1036" t="s">
        <v>225</v>
      </c>
      <c r="C72" s="1037" t="s">
        <v>213</v>
      </c>
      <c r="D72" s="1038">
        <v>4500154847</v>
      </c>
      <c r="E72" s="1039" t="s">
        <v>3535</v>
      </c>
      <c r="F72" s="1038" t="s">
        <v>3536</v>
      </c>
      <c r="G72" s="1040" t="s">
        <v>403</v>
      </c>
      <c r="H72" s="1041" t="s">
        <v>74</v>
      </c>
      <c r="I72" s="1012">
        <v>1352</v>
      </c>
      <c r="J72" s="1087">
        <v>0</v>
      </c>
      <c r="K72" s="1040">
        <v>52</v>
      </c>
      <c r="L72" s="1012">
        <f t="shared" si="48"/>
        <v>26</v>
      </c>
      <c r="M72" s="1079">
        <v>45716</v>
      </c>
      <c r="N72" s="1079">
        <v>45712</v>
      </c>
      <c r="O72" s="579" t="s">
        <v>863</v>
      </c>
      <c r="P72" s="579" t="s">
        <v>92</v>
      </c>
      <c r="Q72" s="579" t="s">
        <v>3537</v>
      </c>
      <c r="R72" s="579">
        <v>45660</v>
      </c>
      <c r="S72" s="578" t="s">
        <v>77</v>
      </c>
      <c r="T72" s="695" t="s">
        <v>3538</v>
      </c>
      <c r="U72" s="1111" t="s">
        <v>3539</v>
      </c>
      <c r="V72" s="1112" t="s">
        <v>389</v>
      </c>
      <c r="W72" s="1113">
        <v>1.3863</v>
      </c>
      <c r="X72" s="1114">
        <f t="shared" si="26"/>
        <v>1874.2776</v>
      </c>
      <c r="Y72" s="1012" t="s">
        <v>3540</v>
      </c>
      <c r="Z72" s="1159" t="s">
        <v>403</v>
      </c>
      <c r="AA72" s="1150" t="s">
        <v>128</v>
      </c>
      <c r="AB72" s="1150"/>
      <c r="AC72" s="1151">
        <v>1352</v>
      </c>
      <c r="AD72" s="1151">
        <f t="shared" si="16"/>
        <v>0</v>
      </c>
      <c r="AE72" s="1151"/>
      <c r="AF72" s="579"/>
      <c r="AG72" s="579"/>
      <c r="AH72" s="1151">
        <f t="shared" si="42"/>
        <v>1352</v>
      </c>
      <c r="AI72" s="1151"/>
      <c r="AJ72" s="1151"/>
      <c r="AK72" s="1151"/>
      <c r="AL72" s="1151"/>
      <c r="AM72" s="1151"/>
      <c r="AN72" s="543">
        <f>I72</f>
        <v>1352</v>
      </c>
      <c r="AO72" s="543"/>
      <c r="AP72" s="543"/>
      <c r="AQ72" s="543"/>
      <c r="AR72" s="543"/>
      <c r="AS72" s="543"/>
      <c r="AT72" s="543"/>
      <c r="AU72" s="1310">
        <f t="shared" si="44"/>
        <v>1352</v>
      </c>
      <c r="AV72" s="1310"/>
      <c r="AW72" s="543"/>
      <c r="AX72" s="543"/>
      <c r="AY72" s="543"/>
      <c r="AZ72" s="543"/>
      <c r="BA72" s="543"/>
      <c r="BB72" s="543"/>
      <c r="BC72" s="1200"/>
      <c r="BD72" s="1200"/>
      <c r="BE72" s="1200"/>
      <c r="BF72" s="1200"/>
      <c r="BG72" s="1200"/>
      <c r="BH72" s="1200"/>
      <c r="BI72" s="1200">
        <f>I72/13</f>
        <v>104</v>
      </c>
      <c r="BJ72" s="1200"/>
      <c r="BK72" s="1200"/>
      <c r="BL72" s="1200"/>
      <c r="BM72" s="1200"/>
      <c r="BN72" s="1200"/>
      <c r="BO72" s="1200"/>
      <c r="BP72" s="1200"/>
      <c r="BQ72" s="1200"/>
      <c r="BR72" s="1200"/>
      <c r="BS72" s="1200"/>
      <c r="BT72" s="1200"/>
      <c r="BU72" s="1200"/>
      <c r="BV72" s="1200"/>
      <c r="BW72" s="1200"/>
      <c r="BX72" s="1200"/>
      <c r="BY72" s="1200"/>
      <c r="BZ72" s="1012">
        <f t="shared" si="46"/>
        <v>1352</v>
      </c>
      <c r="CB72" s="1219"/>
      <c r="CC72" s="1219"/>
      <c r="CE72" s="1009">
        <f t="shared" si="47"/>
        <v>1643716</v>
      </c>
    </row>
    <row r="73" s="1009" customFormat="1" ht="36" customHeight="1" spans="1:83">
      <c r="A73" s="540">
        <v>45670</v>
      </c>
      <c r="B73" s="1036" t="s">
        <v>3392</v>
      </c>
      <c r="C73" s="1037" t="s">
        <v>500</v>
      </c>
      <c r="D73" s="1038">
        <v>4500155641</v>
      </c>
      <c r="E73" s="1039" t="s">
        <v>3541</v>
      </c>
      <c r="F73" s="1038" t="s">
        <v>3542</v>
      </c>
      <c r="G73" s="1040" t="s">
        <v>3509</v>
      </c>
      <c r="H73" s="1041" t="s">
        <v>3510</v>
      </c>
      <c r="I73" s="1012">
        <v>720</v>
      </c>
      <c r="J73" s="1087">
        <v>0</v>
      </c>
      <c r="K73" s="1040">
        <v>24</v>
      </c>
      <c r="L73" s="1012">
        <f t="shared" si="48"/>
        <v>30</v>
      </c>
      <c r="M73" s="1079">
        <v>45723</v>
      </c>
      <c r="N73" s="1079">
        <v>45719</v>
      </c>
      <c r="O73" s="579"/>
      <c r="P73" s="579" t="s">
        <v>92</v>
      </c>
      <c r="Q73" s="579" t="s">
        <v>3543</v>
      </c>
      <c r="R73" s="579" t="s">
        <v>1910</v>
      </c>
      <c r="S73" s="578" t="s">
        <v>123</v>
      </c>
      <c r="T73" s="695" t="s">
        <v>3544</v>
      </c>
      <c r="U73" s="1111" t="s">
        <v>3545</v>
      </c>
      <c r="V73" s="1112" t="s">
        <v>2629</v>
      </c>
      <c r="W73" s="1113">
        <v>1.41</v>
      </c>
      <c r="X73" s="1114">
        <f t="shared" si="26"/>
        <v>1015.2</v>
      </c>
      <c r="Y73" s="1012" t="s">
        <v>3546</v>
      </c>
      <c r="Z73" s="1159" t="s">
        <v>3509</v>
      </c>
      <c r="AA73" s="1150" t="s">
        <v>128</v>
      </c>
      <c r="AB73" s="1150"/>
      <c r="AC73" s="1151">
        <v>720</v>
      </c>
      <c r="AD73" s="1151">
        <f t="shared" si="16"/>
        <v>0</v>
      </c>
      <c r="AE73" s="1151"/>
      <c r="AF73" s="579"/>
      <c r="AG73" s="579"/>
      <c r="AH73" s="1151">
        <f t="shared" si="42"/>
        <v>720</v>
      </c>
      <c r="AI73" s="1151"/>
      <c r="AJ73" s="1151"/>
      <c r="AK73" s="1151"/>
      <c r="AL73" s="1151"/>
      <c r="AM73" s="1151"/>
      <c r="AN73" s="543"/>
      <c r="AO73" s="543">
        <f t="shared" ref="AO73:AO76" si="50">I73</f>
        <v>720</v>
      </c>
      <c r="AP73" s="543"/>
      <c r="AQ73" s="543"/>
      <c r="AR73" s="543"/>
      <c r="AS73" s="543"/>
      <c r="AT73" s="543"/>
      <c r="AU73" s="1310">
        <f t="shared" si="44"/>
        <v>720</v>
      </c>
      <c r="AV73" s="1310"/>
      <c r="AW73" s="543"/>
      <c r="AX73" s="543"/>
      <c r="AY73" s="543"/>
      <c r="AZ73" s="543"/>
      <c r="BA73" s="543"/>
      <c r="BB73" s="543"/>
      <c r="BC73" s="1200"/>
      <c r="BD73" s="1200"/>
      <c r="BE73" s="1200"/>
      <c r="BF73" s="1200"/>
      <c r="BG73" s="1200"/>
      <c r="BH73" s="1200"/>
      <c r="BI73" s="1200"/>
      <c r="BJ73" s="1200"/>
      <c r="BK73" s="1200"/>
      <c r="BL73" s="1200"/>
      <c r="BM73" s="1200"/>
      <c r="BN73" s="1200"/>
      <c r="BO73" s="1200"/>
      <c r="BP73" s="1200"/>
      <c r="BQ73" s="1200"/>
      <c r="BR73" s="1200"/>
      <c r="BS73" s="1200"/>
      <c r="BT73" s="1200"/>
      <c r="BU73" s="1200"/>
      <c r="BV73" s="1200"/>
      <c r="BW73" s="1200"/>
      <c r="BX73" s="1200"/>
      <c r="BY73" s="1200"/>
      <c r="BZ73" s="1012">
        <f t="shared" si="46"/>
        <v>720</v>
      </c>
      <c r="CB73" s="1219"/>
      <c r="CC73" s="1219"/>
      <c r="CE73" s="1009">
        <f t="shared" si="47"/>
        <v>1642996</v>
      </c>
    </row>
    <row r="74" s="1009" customFormat="1" ht="36" customHeight="1" spans="1:83">
      <c r="A74" s="540">
        <v>45672</v>
      </c>
      <c r="B74" s="1036" t="s">
        <v>250</v>
      </c>
      <c r="C74" s="1037" t="s">
        <v>180</v>
      </c>
      <c r="D74" s="1038">
        <v>4500155852</v>
      </c>
      <c r="E74" s="1039">
        <v>5200006018</v>
      </c>
      <c r="F74" s="1038" t="s">
        <v>3547</v>
      </c>
      <c r="G74" s="1040" t="s">
        <v>1172</v>
      </c>
      <c r="H74" s="1041" t="s">
        <v>1165</v>
      </c>
      <c r="I74" s="1078">
        <v>1000</v>
      </c>
      <c r="J74" s="1078">
        <v>0</v>
      </c>
      <c r="K74" s="1078">
        <v>25</v>
      </c>
      <c r="L74" s="1078">
        <f t="shared" si="48"/>
        <v>40</v>
      </c>
      <c r="M74" s="1091">
        <v>45720</v>
      </c>
      <c r="N74" s="1091">
        <v>45716</v>
      </c>
      <c r="O74" s="579"/>
      <c r="P74" s="579" t="s">
        <v>92</v>
      </c>
      <c r="Q74" s="579" t="s">
        <v>3528</v>
      </c>
      <c r="R74" s="579">
        <v>45673</v>
      </c>
      <c r="S74" s="578" t="s">
        <v>77</v>
      </c>
      <c r="T74" s="695" t="s">
        <v>3548</v>
      </c>
      <c r="U74" s="1111" t="s">
        <v>3549</v>
      </c>
      <c r="V74" s="1112" t="s">
        <v>3550</v>
      </c>
      <c r="W74" s="1113">
        <v>1.4171</v>
      </c>
      <c r="X74" s="1114">
        <f t="shared" si="26"/>
        <v>1417.1</v>
      </c>
      <c r="Y74" s="1012" t="s">
        <v>3551</v>
      </c>
      <c r="Z74" s="1159" t="s">
        <v>877</v>
      </c>
      <c r="AA74" s="1150" t="s">
        <v>128</v>
      </c>
      <c r="AB74" s="1150"/>
      <c r="AC74" s="1151">
        <v>1000</v>
      </c>
      <c r="AD74" s="1151">
        <f t="shared" si="16"/>
        <v>0</v>
      </c>
      <c r="AE74" s="1151"/>
      <c r="AF74" s="579"/>
      <c r="AG74" s="579"/>
      <c r="AH74" s="1151"/>
      <c r="AI74" s="1151">
        <f>I74</f>
        <v>1000</v>
      </c>
      <c r="AJ74" s="1151"/>
      <c r="AK74" s="1151"/>
      <c r="AL74" s="1151"/>
      <c r="AM74" s="1151"/>
      <c r="AN74" s="1012"/>
      <c r="AO74" s="543">
        <f t="shared" si="50"/>
        <v>1000</v>
      </c>
      <c r="AP74" s="543"/>
      <c r="AQ74" s="543"/>
      <c r="AR74" s="543"/>
      <c r="AS74" s="543"/>
      <c r="AT74" s="543"/>
      <c r="AU74" s="543">
        <f t="shared" si="44"/>
        <v>1000</v>
      </c>
      <c r="AV74" s="543"/>
      <c r="AW74" s="543"/>
      <c r="AX74" s="543"/>
      <c r="AY74" s="543"/>
      <c r="AZ74" s="543"/>
      <c r="BA74" s="543"/>
      <c r="BB74" s="543"/>
      <c r="BC74" s="1200"/>
      <c r="BD74" s="1200"/>
      <c r="BE74" s="1200"/>
      <c r="BF74" s="1200"/>
      <c r="BG74" s="1200"/>
      <c r="BH74" s="1200"/>
      <c r="BI74" s="1200"/>
      <c r="BJ74" s="1200"/>
      <c r="BK74" s="1200"/>
      <c r="BL74" s="1200"/>
      <c r="BM74" s="1200"/>
      <c r="BN74" s="1200">
        <f>I74/25</f>
        <v>40</v>
      </c>
      <c r="BO74" s="1200"/>
      <c r="BP74" s="1200"/>
      <c r="BQ74" s="1200"/>
      <c r="BR74" s="1200"/>
      <c r="BS74" s="1200"/>
      <c r="BT74" s="1200"/>
      <c r="BU74" s="1200"/>
      <c r="BV74" s="1200"/>
      <c r="BW74" s="1200"/>
      <c r="BX74" s="1200"/>
      <c r="BY74" s="1200"/>
      <c r="BZ74" s="1012">
        <f t="shared" si="46"/>
        <v>1000</v>
      </c>
      <c r="CB74" s="1219"/>
      <c r="CC74" s="1219"/>
      <c r="CE74" s="1009">
        <f t="shared" si="47"/>
        <v>1641996</v>
      </c>
    </row>
    <row r="75" s="1009" customFormat="1" ht="36" customHeight="1" spans="1:83">
      <c r="A75" s="540">
        <v>45677</v>
      </c>
      <c r="B75" s="1036" t="s">
        <v>434</v>
      </c>
      <c r="C75" s="1037" t="s">
        <v>233</v>
      </c>
      <c r="D75" s="1038">
        <v>4500156115</v>
      </c>
      <c r="E75" s="1039">
        <v>7631985</v>
      </c>
      <c r="F75" s="1038" t="s">
        <v>3552</v>
      </c>
      <c r="G75" s="1040" t="s">
        <v>73</v>
      </c>
      <c r="H75" s="1041" t="s">
        <v>74</v>
      </c>
      <c r="I75" s="1012">
        <v>504</v>
      </c>
      <c r="J75" s="1087">
        <v>0</v>
      </c>
      <c r="K75" s="1040">
        <v>24</v>
      </c>
      <c r="L75" s="1012">
        <f t="shared" si="48"/>
        <v>21</v>
      </c>
      <c r="M75" s="1079">
        <v>45730</v>
      </c>
      <c r="N75" s="1079">
        <v>45726</v>
      </c>
      <c r="O75" s="579"/>
      <c r="P75" s="579" t="s">
        <v>1262</v>
      </c>
      <c r="Q75" s="579" t="s">
        <v>3528</v>
      </c>
      <c r="R75" s="579">
        <v>45677</v>
      </c>
      <c r="S75" s="578" t="s">
        <v>77</v>
      </c>
      <c r="T75" s="695" t="s">
        <v>2017</v>
      </c>
      <c r="U75" s="1111" t="s">
        <v>3553</v>
      </c>
      <c r="V75" s="1112" t="s">
        <v>186</v>
      </c>
      <c r="W75" s="1113">
        <v>1.3507</v>
      </c>
      <c r="X75" s="1114">
        <f t="shared" si="26"/>
        <v>680.7528</v>
      </c>
      <c r="Y75" s="1012" t="s">
        <v>3554</v>
      </c>
      <c r="Z75" s="1159" t="s">
        <v>188</v>
      </c>
      <c r="AA75" s="1150" t="s">
        <v>128</v>
      </c>
      <c r="AB75" s="1150"/>
      <c r="AC75" s="1151">
        <v>504</v>
      </c>
      <c r="AD75" s="1151">
        <f t="shared" si="16"/>
        <v>0</v>
      </c>
      <c r="AE75" s="1151"/>
      <c r="AF75" s="579"/>
      <c r="AG75" s="579"/>
      <c r="AH75" s="1151">
        <f t="shared" ref="AH75:AH78" si="51">I75</f>
        <v>504</v>
      </c>
      <c r="AI75" s="1151"/>
      <c r="AJ75" s="1151"/>
      <c r="AK75" s="1151"/>
      <c r="AL75" s="1151"/>
      <c r="AM75" s="1151"/>
      <c r="AN75" s="1012"/>
      <c r="AO75" s="543">
        <f t="shared" si="50"/>
        <v>504</v>
      </c>
      <c r="AP75" s="543"/>
      <c r="AQ75" s="543"/>
      <c r="AR75" s="543"/>
      <c r="AS75" s="543"/>
      <c r="AT75" s="543"/>
      <c r="AU75" s="1310">
        <f t="shared" si="44"/>
        <v>504</v>
      </c>
      <c r="AV75" s="1310"/>
      <c r="AW75" s="543"/>
      <c r="AX75" s="543"/>
      <c r="AY75" s="543"/>
      <c r="AZ75" s="543"/>
      <c r="BA75" s="543"/>
      <c r="BB75" s="543"/>
      <c r="BC75" s="1200"/>
      <c r="BD75" s="1200"/>
      <c r="BE75" s="1200"/>
      <c r="BF75" s="1200"/>
      <c r="BG75" s="1200"/>
      <c r="BH75" s="1200"/>
      <c r="BI75" s="1200"/>
      <c r="BJ75" s="1200"/>
      <c r="BK75" s="1200"/>
      <c r="BL75" s="1200"/>
      <c r="BM75" s="1200"/>
      <c r="BN75" s="1200"/>
      <c r="BO75" s="1200"/>
      <c r="BP75" s="1200"/>
      <c r="BQ75" s="1200"/>
      <c r="BR75" s="1200"/>
      <c r="BS75" s="1200"/>
      <c r="BT75" s="1200"/>
      <c r="BU75" s="1200"/>
      <c r="BV75" s="1200"/>
      <c r="BW75" s="1200"/>
      <c r="BX75" s="1200"/>
      <c r="BY75" s="1200"/>
      <c r="BZ75" s="1012">
        <f t="shared" si="46"/>
        <v>504</v>
      </c>
      <c r="CB75" s="1219"/>
      <c r="CC75" s="1219"/>
      <c r="CE75" s="1009">
        <f t="shared" si="47"/>
        <v>1641492</v>
      </c>
    </row>
    <row r="76" s="1009" customFormat="1" ht="36" customHeight="1" spans="1:83">
      <c r="A76" s="540">
        <v>45672</v>
      </c>
      <c r="B76" s="1036" t="s">
        <v>3555</v>
      </c>
      <c r="C76" s="1037" t="s">
        <v>373</v>
      </c>
      <c r="D76" s="1038">
        <v>4500155934</v>
      </c>
      <c r="E76" s="1039"/>
      <c r="F76" s="1038" t="s">
        <v>3556</v>
      </c>
      <c r="G76" s="1040" t="s">
        <v>96</v>
      </c>
      <c r="H76" s="1041" t="s">
        <v>74</v>
      </c>
      <c r="I76" s="1012">
        <v>300</v>
      </c>
      <c r="J76" s="1087">
        <v>0</v>
      </c>
      <c r="K76" s="1040">
        <v>50</v>
      </c>
      <c r="L76" s="1012">
        <f t="shared" si="48"/>
        <v>6</v>
      </c>
      <c r="M76" s="1079">
        <v>45731</v>
      </c>
      <c r="N76" s="1079">
        <v>45727</v>
      </c>
      <c r="O76" s="579"/>
      <c r="P76" s="579" t="s">
        <v>1262</v>
      </c>
      <c r="Q76" s="579" t="s">
        <v>3557</v>
      </c>
      <c r="R76" s="579">
        <v>45695</v>
      </c>
      <c r="S76" s="578" t="s">
        <v>77</v>
      </c>
      <c r="T76" s="695" t="s">
        <v>3558</v>
      </c>
      <c r="U76" s="1111" t="s">
        <v>3559</v>
      </c>
      <c r="V76" s="1112" t="s">
        <v>3560</v>
      </c>
      <c r="W76" s="1113">
        <v>1.4395</v>
      </c>
      <c r="X76" s="1114">
        <f t="shared" si="26"/>
        <v>431.85</v>
      </c>
      <c r="Y76" s="1012" t="s">
        <v>3561</v>
      </c>
      <c r="Z76" s="1159" t="s">
        <v>292</v>
      </c>
      <c r="AA76" s="1150" t="s">
        <v>128</v>
      </c>
      <c r="AB76" s="1150"/>
      <c r="AC76" s="1151">
        <v>300</v>
      </c>
      <c r="AD76" s="1151">
        <f t="shared" si="16"/>
        <v>0</v>
      </c>
      <c r="AE76" s="1151"/>
      <c r="AF76" s="579"/>
      <c r="AG76" s="579"/>
      <c r="AH76" s="1151">
        <f t="shared" si="51"/>
        <v>300</v>
      </c>
      <c r="AI76" s="1151"/>
      <c r="AJ76" s="1151"/>
      <c r="AK76" s="1151"/>
      <c r="AL76" s="1151"/>
      <c r="AM76" s="1151"/>
      <c r="AN76" s="1012"/>
      <c r="AO76" s="543">
        <f t="shared" si="50"/>
        <v>300</v>
      </c>
      <c r="AP76" s="543"/>
      <c r="AQ76" s="543"/>
      <c r="AR76" s="543"/>
      <c r="AS76" s="543"/>
      <c r="AT76" s="543"/>
      <c r="AU76" s="543">
        <f t="shared" si="44"/>
        <v>300</v>
      </c>
      <c r="AV76" s="543"/>
      <c r="AW76" s="543"/>
      <c r="AX76" s="543"/>
      <c r="AY76" s="543"/>
      <c r="AZ76" s="543"/>
      <c r="BA76" s="543"/>
      <c r="BB76" s="543"/>
      <c r="BC76" s="1200"/>
      <c r="BD76" s="1200"/>
      <c r="BE76" s="1200"/>
      <c r="BF76" s="1200"/>
      <c r="BG76" s="1200"/>
      <c r="BH76" s="1200"/>
      <c r="BI76" s="1200"/>
      <c r="BJ76" s="1200"/>
      <c r="BK76" s="1200"/>
      <c r="BL76" s="1200"/>
      <c r="BM76" s="1200"/>
      <c r="BN76" s="1200">
        <f>I76/25</f>
        <v>12</v>
      </c>
      <c r="BO76" s="1200"/>
      <c r="BP76" s="1200"/>
      <c r="BQ76" s="1200"/>
      <c r="BR76" s="1200"/>
      <c r="BS76" s="1200"/>
      <c r="BT76" s="1200"/>
      <c r="BU76" s="1200"/>
      <c r="BV76" s="1200"/>
      <c r="BW76" s="1200"/>
      <c r="BX76" s="1200"/>
      <c r="BY76" s="1200"/>
      <c r="BZ76" s="1012">
        <f t="shared" si="46"/>
        <v>300</v>
      </c>
      <c r="CB76" s="1219"/>
      <c r="CC76" s="1219"/>
      <c r="CE76" s="1009">
        <f t="shared" si="47"/>
        <v>1641192</v>
      </c>
    </row>
    <row r="77" s="1009" customFormat="1" ht="36" customHeight="1" spans="1:83">
      <c r="A77" s="540">
        <v>45666</v>
      </c>
      <c r="B77" s="1036" t="s">
        <v>225</v>
      </c>
      <c r="C77" s="1037" t="s">
        <v>213</v>
      </c>
      <c r="D77" s="1038">
        <v>4500154984</v>
      </c>
      <c r="E77" s="1039" t="s">
        <v>3562</v>
      </c>
      <c r="F77" s="1038" t="s">
        <v>3563</v>
      </c>
      <c r="G77" s="1040" t="s">
        <v>403</v>
      </c>
      <c r="H77" s="1041" t="s">
        <v>74</v>
      </c>
      <c r="I77" s="1012">
        <v>1196</v>
      </c>
      <c r="J77" s="1087">
        <v>0</v>
      </c>
      <c r="K77" s="1040">
        <v>52</v>
      </c>
      <c r="L77" s="1012">
        <f t="shared" si="48"/>
        <v>23</v>
      </c>
      <c r="M77" s="1079">
        <v>45740</v>
      </c>
      <c r="N77" s="1079">
        <v>45736</v>
      </c>
      <c r="O77" s="579" t="s">
        <v>3210</v>
      </c>
      <c r="P77" s="579"/>
      <c r="Q77" s="579" t="s">
        <v>3564</v>
      </c>
      <c r="R77" s="579">
        <v>45666</v>
      </c>
      <c r="S77" s="578" t="s">
        <v>77</v>
      </c>
      <c r="T77" s="695" t="s">
        <v>3565</v>
      </c>
      <c r="U77" s="1039" t="s">
        <v>3566</v>
      </c>
      <c r="V77" s="1112" t="s">
        <v>389</v>
      </c>
      <c r="W77" s="1113">
        <v>1.4046</v>
      </c>
      <c r="X77" s="1114">
        <f t="shared" si="26"/>
        <v>1679.9016</v>
      </c>
      <c r="Y77" s="1012" t="s">
        <v>3567</v>
      </c>
      <c r="Z77" s="1159" t="s">
        <v>403</v>
      </c>
      <c r="AA77" s="1150" t="s">
        <v>128</v>
      </c>
      <c r="AB77" s="1150"/>
      <c r="AC77" s="1151">
        <v>1196</v>
      </c>
      <c r="AD77" s="1151">
        <f t="shared" si="16"/>
        <v>0</v>
      </c>
      <c r="AE77" s="1151"/>
      <c r="AF77" s="579"/>
      <c r="AG77" s="579"/>
      <c r="AH77" s="1151">
        <f t="shared" si="51"/>
        <v>1196</v>
      </c>
      <c r="AI77" s="1151"/>
      <c r="AJ77" s="1151"/>
      <c r="AK77" s="1151"/>
      <c r="AL77" s="1151"/>
      <c r="AM77" s="1151"/>
      <c r="AN77" s="543">
        <f>I77</f>
        <v>1196</v>
      </c>
      <c r="AO77" s="543"/>
      <c r="AP77" s="543"/>
      <c r="AQ77" s="543"/>
      <c r="AR77" s="543"/>
      <c r="AS77" s="543"/>
      <c r="AT77" s="543"/>
      <c r="AU77" s="1310">
        <f t="shared" si="44"/>
        <v>1196</v>
      </c>
      <c r="AV77" s="1310"/>
      <c r="AW77" s="543"/>
      <c r="AX77" s="543"/>
      <c r="AY77" s="543"/>
      <c r="AZ77" s="543"/>
      <c r="BA77" s="543"/>
      <c r="BB77" s="543"/>
      <c r="BC77" s="1200"/>
      <c r="BD77" s="1200"/>
      <c r="BE77" s="1200"/>
      <c r="BF77" s="1200"/>
      <c r="BG77" s="1200"/>
      <c r="BH77" s="1200"/>
      <c r="BI77" s="1200">
        <f>I77/13</f>
        <v>92</v>
      </c>
      <c r="BJ77" s="1200"/>
      <c r="BK77" s="1200"/>
      <c r="BL77" s="1200"/>
      <c r="BM77" s="1200"/>
      <c r="BN77" s="1200"/>
      <c r="BO77" s="1200"/>
      <c r="BP77" s="1200"/>
      <c r="BQ77" s="1200"/>
      <c r="BR77" s="1200"/>
      <c r="BS77" s="1200"/>
      <c r="BT77" s="1200"/>
      <c r="BU77" s="1200"/>
      <c r="BV77" s="1200"/>
      <c r="BW77" s="1200"/>
      <c r="BX77" s="1200"/>
      <c r="BY77" s="1200"/>
      <c r="BZ77" s="1012">
        <f t="shared" si="46"/>
        <v>1196</v>
      </c>
      <c r="CB77" s="1219"/>
      <c r="CC77" s="1219"/>
      <c r="CE77" s="1009">
        <f t="shared" si="47"/>
        <v>1639996</v>
      </c>
    </row>
    <row r="78" s="1009" customFormat="1" ht="36" customHeight="1" spans="1:83">
      <c r="A78" s="540">
        <v>45666</v>
      </c>
      <c r="B78" s="1036" t="s">
        <v>225</v>
      </c>
      <c r="C78" s="1037" t="s">
        <v>213</v>
      </c>
      <c r="D78" s="1038">
        <v>4500155272</v>
      </c>
      <c r="E78" s="1039" t="s">
        <v>3568</v>
      </c>
      <c r="F78" s="1038" t="s">
        <v>3569</v>
      </c>
      <c r="G78" s="1040" t="s">
        <v>403</v>
      </c>
      <c r="H78" s="1041" t="s">
        <v>74</v>
      </c>
      <c r="I78" s="1012">
        <v>2964</v>
      </c>
      <c r="J78" s="1087">
        <v>0</v>
      </c>
      <c r="K78" s="1040">
        <v>52</v>
      </c>
      <c r="L78" s="1012">
        <f t="shared" si="48"/>
        <v>57</v>
      </c>
      <c r="M78" s="1079">
        <v>45747</v>
      </c>
      <c r="N78" s="1079">
        <v>45743</v>
      </c>
      <c r="O78" s="579" t="s">
        <v>3210</v>
      </c>
      <c r="P78" s="579" t="s">
        <v>92</v>
      </c>
      <c r="Q78" s="579" t="s">
        <v>3570</v>
      </c>
      <c r="R78" s="579">
        <v>45666</v>
      </c>
      <c r="S78" s="578" t="s">
        <v>77</v>
      </c>
      <c r="T78" s="695" t="s">
        <v>3565</v>
      </c>
      <c r="U78" s="1039" t="s">
        <v>3571</v>
      </c>
      <c r="V78" s="1112" t="s">
        <v>389</v>
      </c>
      <c r="W78" s="1113">
        <v>1.3863</v>
      </c>
      <c r="X78" s="1114">
        <f t="shared" si="26"/>
        <v>4108.9932</v>
      </c>
      <c r="Y78" s="1012" t="s">
        <v>3572</v>
      </c>
      <c r="Z78" s="1159" t="s">
        <v>403</v>
      </c>
      <c r="AA78" s="1150" t="s">
        <v>128</v>
      </c>
      <c r="AB78" s="1150"/>
      <c r="AC78" s="1151">
        <v>2964</v>
      </c>
      <c r="AD78" s="1151">
        <f t="shared" si="16"/>
        <v>0</v>
      </c>
      <c r="AE78" s="1151"/>
      <c r="AF78" s="579"/>
      <c r="AG78" s="579"/>
      <c r="AH78" s="1151">
        <f t="shared" si="51"/>
        <v>2964</v>
      </c>
      <c r="AI78" s="1151"/>
      <c r="AJ78" s="1151"/>
      <c r="AK78" s="1151"/>
      <c r="AL78" s="1151"/>
      <c r="AM78" s="1151"/>
      <c r="AN78" s="543">
        <f>I78</f>
        <v>2964</v>
      </c>
      <c r="AO78" s="543"/>
      <c r="AP78" s="543"/>
      <c r="AQ78" s="543"/>
      <c r="AR78" s="543"/>
      <c r="AS78" s="543"/>
      <c r="AT78" s="543"/>
      <c r="AU78" s="1310">
        <f t="shared" si="44"/>
        <v>2964</v>
      </c>
      <c r="AV78" s="1310"/>
      <c r="AW78" s="543"/>
      <c r="AX78" s="543"/>
      <c r="AY78" s="543"/>
      <c r="AZ78" s="543"/>
      <c r="BA78" s="543"/>
      <c r="BB78" s="543"/>
      <c r="BC78" s="1200"/>
      <c r="BD78" s="1200"/>
      <c r="BE78" s="1200"/>
      <c r="BF78" s="1200"/>
      <c r="BG78" s="1200"/>
      <c r="BH78" s="1200"/>
      <c r="BI78" s="1200">
        <f>I78/13</f>
        <v>228</v>
      </c>
      <c r="BJ78" s="1200"/>
      <c r="BK78" s="1200"/>
      <c r="BL78" s="1200"/>
      <c r="BM78" s="1200"/>
      <c r="BN78" s="1200"/>
      <c r="BO78" s="1200"/>
      <c r="BP78" s="1200"/>
      <c r="BQ78" s="1200"/>
      <c r="BR78" s="1200"/>
      <c r="BS78" s="1200"/>
      <c r="BT78" s="1200"/>
      <c r="BU78" s="1200"/>
      <c r="BV78" s="1200"/>
      <c r="BW78" s="1200"/>
      <c r="BX78" s="1200"/>
      <c r="BY78" s="1200"/>
      <c r="BZ78" s="1012">
        <f t="shared" si="46"/>
        <v>2964</v>
      </c>
      <c r="CB78" s="1219"/>
      <c r="CC78" s="1219"/>
      <c r="CE78" s="1009">
        <f t="shared" si="47"/>
        <v>1637032</v>
      </c>
    </row>
    <row r="79" s="1009" customFormat="1" ht="36" customHeight="1" spans="1:83">
      <c r="A79" s="540">
        <v>45672</v>
      </c>
      <c r="B79" s="1036" t="s">
        <v>2599</v>
      </c>
      <c r="C79" s="1037" t="s">
        <v>500</v>
      </c>
      <c r="D79" s="1038">
        <v>4500155954</v>
      </c>
      <c r="E79" s="1039">
        <v>5200006012</v>
      </c>
      <c r="F79" s="1038" t="s">
        <v>3573</v>
      </c>
      <c r="G79" s="1040" t="s">
        <v>3574</v>
      </c>
      <c r="H79" s="1041" t="s">
        <v>1165</v>
      </c>
      <c r="I79" s="1012">
        <v>6000</v>
      </c>
      <c r="J79" s="1087">
        <v>0</v>
      </c>
      <c r="K79" s="1040">
        <v>60</v>
      </c>
      <c r="L79" s="1012">
        <f t="shared" si="48"/>
        <v>100</v>
      </c>
      <c r="M79" s="1079">
        <v>45724</v>
      </c>
      <c r="N79" s="1079">
        <v>45720</v>
      </c>
      <c r="O79" s="579"/>
      <c r="P79" s="579" t="s">
        <v>92</v>
      </c>
      <c r="Q79" s="579" t="s">
        <v>3575</v>
      </c>
      <c r="R79" s="579">
        <v>45673</v>
      </c>
      <c r="S79" s="578" t="s">
        <v>77</v>
      </c>
      <c r="T79" s="695" t="s">
        <v>3548</v>
      </c>
      <c r="U79" s="1111" t="s">
        <v>3576</v>
      </c>
      <c r="V79" s="1112" t="s">
        <v>3007</v>
      </c>
      <c r="W79" s="1113">
        <v>20.9573</v>
      </c>
      <c r="X79" s="1114">
        <f>W79*L79</f>
        <v>2095.73</v>
      </c>
      <c r="Y79" s="1012" t="s">
        <v>3577</v>
      </c>
      <c r="Z79" s="1159" t="s">
        <v>1201</v>
      </c>
      <c r="AA79" s="1150" t="s">
        <v>128</v>
      </c>
      <c r="AB79" s="1150"/>
      <c r="AC79" s="1151">
        <v>6000</v>
      </c>
      <c r="AD79" s="1151">
        <f t="shared" si="16"/>
        <v>0</v>
      </c>
      <c r="AE79" s="1151"/>
      <c r="AF79" s="579"/>
      <c r="AG79" s="579"/>
      <c r="AI79" s="1151">
        <f>I79</f>
        <v>6000</v>
      </c>
      <c r="AJ79" s="1151"/>
      <c r="AK79" s="1151"/>
      <c r="AL79" s="1151"/>
      <c r="AM79" s="1151"/>
      <c r="AN79" s="1012"/>
      <c r="AO79" s="543">
        <f t="shared" ref="AO79:AO83" si="52">I79</f>
        <v>6000</v>
      </c>
      <c r="AP79" s="543"/>
      <c r="AQ79" s="543"/>
      <c r="AR79" s="543"/>
      <c r="AS79" s="543"/>
      <c r="AT79" s="543"/>
      <c r="AU79" s="543">
        <f t="shared" si="44"/>
        <v>6000</v>
      </c>
      <c r="AV79" s="543"/>
      <c r="AW79" s="543"/>
      <c r="AX79" s="543"/>
      <c r="AY79" s="543"/>
      <c r="AZ79" s="543"/>
      <c r="BA79" s="543"/>
      <c r="BB79" s="543"/>
      <c r="BC79" s="1200"/>
      <c r="BD79" s="1200"/>
      <c r="BE79" s="1200"/>
      <c r="BF79" s="1200"/>
      <c r="BG79" s="1200"/>
      <c r="BH79" s="1200"/>
      <c r="BI79" s="1200"/>
      <c r="BJ79" s="1200"/>
      <c r="BK79" s="1200"/>
      <c r="BL79" s="1200"/>
      <c r="BM79" s="1200"/>
      <c r="BN79" s="1200"/>
      <c r="BO79" s="1200"/>
      <c r="BP79" s="1200"/>
      <c r="BQ79" s="1200">
        <f>I79/60</f>
        <v>100</v>
      </c>
      <c r="BR79" s="1200"/>
      <c r="BS79" s="1200"/>
      <c r="BT79" s="1200"/>
      <c r="BU79" s="1200"/>
      <c r="BV79" s="1200"/>
      <c r="BW79" s="1200"/>
      <c r="BX79" s="1200"/>
      <c r="BY79" s="1200"/>
      <c r="BZ79" s="1012">
        <f t="shared" si="46"/>
        <v>6000</v>
      </c>
      <c r="CB79" s="1219"/>
      <c r="CC79" s="1219"/>
      <c r="CE79" s="1009">
        <f t="shared" si="47"/>
        <v>1631032</v>
      </c>
    </row>
    <row r="80" s="1009" customFormat="1" ht="36" customHeight="1" spans="1:83">
      <c r="A80" s="540">
        <v>45719</v>
      </c>
      <c r="B80" s="1036"/>
      <c r="C80" s="1037"/>
      <c r="D80" s="1038" t="s">
        <v>3578</v>
      </c>
      <c r="E80" s="1039"/>
      <c r="F80" s="1038"/>
      <c r="G80" s="1040" t="s">
        <v>73</v>
      </c>
      <c r="H80" s="1041" t="s">
        <v>3579</v>
      </c>
      <c r="I80" s="1078">
        <v>3000</v>
      </c>
      <c r="J80" s="1078">
        <v>0</v>
      </c>
      <c r="K80" s="1078">
        <v>24</v>
      </c>
      <c r="L80" s="1012">
        <f t="shared" si="48"/>
        <v>125</v>
      </c>
      <c r="M80" s="1079">
        <v>45727</v>
      </c>
      <c r="N80" s="1079">
        <v>45723</v>
      </c>
      <c r="O80" s="579"/>
      <c r="P80" s="579" t="s">
        <v>1262</v>
      </c>
      <c r="Q80" s="579"/>
      <c r="R80" s="579" t="s">
        <v>3580</v>
      </c>
      <c r="S80" s="578" t="s">
        <v>77</v>
      </c>
      <c r="T80" s="695" t="s">
        <v>77</v>
      </c>
      <c r="U80" s="1111" t="s">
        <v>3581</v>
      </c>
      <c r="V80" s="1112" t="s">
        <v>2968</v>
      </c>
      <c r="W80" s="1113"/>
      <c r="X80" s="1114"/>
      <c r="Y80" s="1148" t="s">
        <v>3582</v>
      </c>
      <c r="Z80" s="1149" t="s">
        <v>3421</v>
      </c>
      <c r="AA80" s="1150" t="s">
        <v>128</v>
      </c>
      <c r="AB80" s="1150"/>
      <c r="AC80" s="1151">
        <v>3000</v>
      </c>
      <c r="AD80" s="1151">
        <v>0</v>
      </c>
      <c r="AE80" s="1151"/>
      <c r="AF80" s="579"/>
      <c r="AG80" s="579"/>
      <c r="AH80" s="1176"/>
      <c r="AI80" s="1151"/>
      <c r="AJ80" s="1151"/>
      <c r="AK80" s="1151"/>
      <c r="AL80" s="1151"/>
      <c r="AM80" s="1151"/>
      <c r="AN80" s="1012"/>
      <c r="AO80" s="543"/>
      <c r="AP80" s="543"/>
      <c r="AQ80" s="543"/>
      <c r="AR80" s="543"/>
      <c r="AS80" s="543"/>
      <c r="AT80" s="543"/>
      <c r="AU80" s="543"/>
      <c r="AV80" s="543"/>
      <c r="AW80" s="543"/>
      <c r="AX80" s="543"/>
      <c r="AY80" s="543"/>
      <c r="AZ80" s="543"/>
      <c r="BA80" s="543"/>
      <c r="BB80" s="543"/>
      <c r="BC80" s="1200"/>
      <c r="BD80" s="1200"/>
      <c r="BE80" s="1200"/>
      <c r="BF80" s="1200"/>
      <c r="BG80" s="1200"/>
      <c r="BH80" s="1200"/>
      <c r="BI80" s="1200"/>
      <c r="BJ80" s="1200"/>
      <c r="BK80" s="1200"/>
      <c r="BL80" s="1200"/>
      <c r="BM80" s="1200"/>
      <c r="BN80" s="1200"/>
      <c r="BO80" s="1200"/>
      <c r="BP80" s="1200"/>
      <c r="BQ80" s="1200"/>
      <c r="BR80" s="1200"/>
      <c r="BS80" s="1200"/>
      <c r="BT80" s="1200"/>
      <c r="BU80" s="1200"/>
      <c r="BV80" s="1200"/>
      <c r="BW80" s="1200"/>
      <c r="BX80" s="1200"/>
      <c r="BY80" s="1200"/>
      <c r="BZ80" s="1012"/>
      <c r="CB80" s="1219"/>
      <c r="CC80" s="1219"/>
      <c r="CE80" s="1009">
        <f t="shared" si="47"/>
        <v>1631032</v>
      </c>
    </row>
    <row r="81" s="1009" customFormat="1" ht="36" customHeight="1" spans="1:83">
      <c r="A81" s="540">
        <v>45674</v>
      </c>
      <c r="B81" s="1273" t="s">
        <v>1528</v>
      </c>
      <c r="C81" s="1274" t="s">
        <v>373</v>
      </c>
      <c r="D81" s="1275">
        <v>4500156067</v>
      </c>
      <c r="E81" s="1009">
        <v>2000007268</v>
      </c>
      <c r="F81" s="1038" t="s">
        <v>3583</v>
      </c>
      <c r="G81" s="1040" t="s">
        <v>96</v>
      </c>
      <c r="H81" s="1041" t="s">
        <v>74</v>
      </c>
      <c r="I81" s="1012">
        <v>1400</v>
      </c>
      <c r="J81" s="1087">
        <v>0</v>
      </c>
      <c r="K81" s="1040">
        <v>50</v>
      </c>
      <c r="L81" s="1012">
        <f t="shared" si="48"/>
        <v>28</v>
      </c>
      <c r="M81" s="1079">
        <v>45737</v>
      </c>
      <c r="N81" s="1079">
        <v>45733</v>
      </c>
      <c r="O81" s="579" t="s">
        <v>863</v>
      </c>
      <c r="P81" s="579" t="s">
        <v>92</v>
      </c>
      <c r="Q81" s="579"/>
      <c r="R81" s="579">
        <v>45707</v>
      </c>
      <c r="S81" s="578" t="s">
        <v>77</v>
      </c>
      <c r="T81" s="695" t="s">
        <v>3584</v>
      </c>
      <c r="U81" s="1111" t="s">
        <v>3585</v>
      </c>
      <c r="V81" s="1112" t="s">
        <v>3007</v>
      </c>
      <c r="W81" s="1113">
        <v>1.4344</v>
      </c>
      <c r="X81" s="1114">
        <f t="shared" ref="X81:X106" si="53">I81*W81</f>
        <v>2008.16</v>
      </c>
      <c r="Y81" s="1012" t="s">
        <v>3586</v>
      </c>
      <c r="Z81" s="1159" t="s">
        <v>292</v>
      </c>
      <c r="AA81" s="1150" t="s">
        <v>128</v>
      </c>
      <c r="AB81" s="1150"/>
      <c r="AC81" s="1151">
        <v>1400</v>
      </c>
      <c r="AD81" s="1151">
        <f t="shared" ref="AD81:AD98" si="54">AC81-I81</f>
        <v>0</v>
      </c>
      <c r="AE81" s="1151"/>
      <c r="AF81" s="579"/>
      <c r="AG81" s="579"/>
      <c r="AH81" s="1151">
        <f t="shared" ref="AH81:AH83" si="55">I81</f>
        <v>1400</v>
      </c>
      <c r="AI81" s="1151"/>
      <c r="AJ81" s="1151"/>
      <c r="AK81" s="1151"/>
      <c r="AL81" s="1151"/>
      <c r="AM81" s="1151"/>
      <c r="AN81" s="1012"/>
      <c r="AO81" s="543">
        <f t="shared" si="52"/>
        <v>1400</v>
      </c>
      <c r="AP81" s="543"/>
      <c r="AQ81" s="543"/>
      <c r="AR81" s="543"/>
      <c r="AS81" s="543"/>
      <c r="AT81" s="543"/>
      <c r="AU81" s="543">
        <f t="shared" ref="AU81:AU83" si="56">I81</f>
        <v>1400</v>
      </c>
      <c r="AV81" s="543"/>
      <c r="AW81" s="543"/>
      <c r="AX81" s="543"/>
      <c r="AY81" s="543"/>
      <c r="AZ81" s="543"/>
      <c r="BA81" s="543"/>
      <c r="BB81" s="543"/>
      <c r="BC81" s="1200"/>
      <c r="BD81" s="1200"/>
      <c r="BE81" s="1200"/>
      <c r="BF81" s="1200"/>
      <c r="BG81" s="1200"/>
      <c r="BH81" s="1200"/>
      <c r="BI81" s="1200"/>
      <c r="BJ81" s="1200"/>
      <c r="BK81" s="1200"/>
      <c r="BL81" s="1200"/>
      <c r="BM81" s="1200"/>
      <c r="BN81" s="1200">
        <f>I81/25</f>
        <v>56</v>
      </c>
      <c r="BO81" s="1200"/>
      <c r="BP81" s="1200"/>
      <c r="BQ81" s="1200"/>
      <c r="BR81" s="1200"/>
      <c r="BS81" s="1200"/>
      <c r="BT81" s="1200"/>
      <c r="BU81" s="1200"/>
      <c r="BV81" s="1200"/>
      <c r="BW81" s="1200"/>
      <c r="BX81" s="1200"/>
      <c r="BY81" s="1200"/>
      <c r="BZ81" s="1012">
        <f t="shared" ref="BZ81:BZ116" si="57">AH81+AI81+AJ81</f>
        <v>1400</v>
      </c>
      <c r="CB81" s="1219"/>
      <c r="CC81" s="1219"/>
      <c r="CE81" s="1009">
        <f t="shared" si="47"/>
        <v>1629632</v>
      </c>
    </row>
    <row r="82" s="1009" customFormat="1" ht="36" customHeight="1" spans="1:83">
      <c r="A82" s="540">
        <v>45674</v>
      </c>
      <c r="B82" s="1036" t="s">
        <v>2686</v>
      </c>
      <c r="C82" s="1037" t="s">
        <v>477</v>
      </c>
      <c r="D82" s="1038">
        <v>4500156082</v>
      </c>
      <c r="E82" s="1039">
        <v>5200006028</v>
      </c>
      <c r="F82" s="1038" t="s">
        <v>3587</v>
      </c>
      <c r="G82" s="1040" t="s">
        <v>419</v>
      </c>
      <c r="H82" s="1041" t="s">
        <v>74</v>
      </c>
      <c r="I82" s="541">
        <v>1800</v>
      </c>
      <c r="J82" s="1087">
        <v>0</v>
      </c>
      <c r="K82" s="1040">
        <v>30</v>
      </c>
      <c r="L82" s="1012">
        <f t="shared" si="48"/>
        <v>60</v>
      </c>
      <c r="M82" s="1079">
        <v>45738</v>
      </c>
      <c r="N82" s="1079">
        <v>45734</v>
      </c>
      <c r="O82" s="579"/>
      <c r="P82" s="579" t="s">
        <v>92</v>
      </c>
      <c r="Q82" s="579"/>
      <c r="R82" s="579">
        <v>45678</v>
      </c>
      <c r="S82" s="578" t="s">
        <v>77</v>
      </c>
      <c r="T82" s="695" t="s">
        <v>3588</v>
      </c>
      <c r="U82" s="1111" t="s">
        <v>3589</v>
      </c>
      <c r="V82" s="1112" t="s">
        <v>3590</v>
      </c>
      <c r="W82" s="1113">
        <v>57.6474</v>
      </c>
      <c r="X82" s="1114">
        <f>L82*W82</f>
        <v>3458.844</v>
      </c>
      <c r="Y82" s="1012" t="s">
        <v>3591</v>
      </c>
      <c r="Z82" s="1159" t="s">
        <v>423</v>
      </c>
      <c r="AA82" s="1150" t="s">
        <v>128</v>
      </c>
      <c r="AB82" s="1150"/>
      <c r="AC82" s="1151">
        <v>1800</v>
      </c>
      <c r="AD82" s="1151">
        <f t="shared" si="54"/>
        <v>0</v>
      </c>
      <c r="AE82" s="1151"/>
      <c r="AF82" s="579"/>
      <c r="AG82" s="579"/>
      <c r="AH82" s="1151">
        <f t="shared" si="55"/>
        <v>1800</v>
      </c>
      <c r="AI82" s="1151"/>
      <c r="AJ82" s="1151"/>
      <c r="AK82" s="1151"/>
      <c r="AL82" s="1151"/>
      <c r="AM82" s="1151"/>
      <c r="AN82" s="1012"/>
      <c r="AO82" s="543">
        <f t="shared" si="52"/>
        <v>1800</v>
      </c>
      <c r="AP82" s="543"/>
      <c r="AQ82" s="543"/>
      <c r="AR82" s="543"/>
      <c r="AS82" s="543"/>
      <c r="AT82" s="543"/>
      <c r="AU82" s="543">
        <f t="shared" si="56"/>
        <v>1800</v>
      </c>
      <c r="AV82" s="543"/>
      <c r="AW82" s="543"/>
      <c r="AX82" s="543"/>
      <c r="AY82" s="543"/>
      <c r="AZ82" s="543"/>
      <c r="BA82" s="543"/>
      <c r="BB82" s="543"/>
      <c r="BC82" s="1200"/>
      <c r="BD82" s="1200"/>
      <c r="BE82" s="1200"/>
      <c r="BF82" s="1200"/>
      <c r="BG82" s="1200"/>
      <c r="BH82" s="1200"/>
      <c r="BI82" s="1200"/>
      <c r="BJ82" s="1200"/>
      <c r="BK82" s="1200"/>
      <c r="BL82" s="1200"/>
      <c r="BM82" s="1200"/>
      <c r="BN82" s="1200"/>
      <c r="BO82" s="1200"/>
      <c r="BP82" s="1200"/>
      <c r="BQ82" s="1200"/>
      <c r="BR82" s="1200"/>
      <c r="BS82" s="1200">
        <f>I82/30</f>
        <v>60</v>
      </c>
      <c r="BT82" s="1200">
        <f>BS82</f>
        <v>60</v>
      </c>
      <c r="BU82" s="1200"/>
      <c r="BV82" s="1200"/>
      <c r="BW82" s="1200"/>
      <c r="BX82" s="1200"/>
      <c r="BY82" s="1200"/>
      <c r="BZ82" s="1012">
        <f t="shared" si="57"/>
        <v>1800</v>
      </c>
      <c r="CB82" s="1219"/>
      <c r="CC82" s="1219"/>
      <c r="CE82" s="1009">
        <f t="shared" si="47"/>
        <v>1627832</v>
      </c>
    </row>
    <row r="83" s="1009" customFormat="1" ht="36" customHeight="1" spans="1:83">
      <c r="A83" s="540">
        <v>45699</v>
      </c>
      <c r="B83" s="1036" t="s">
        <v>1296</v>
      </c>
      <c r="C83" s="1037" t="s">
        <v>351</v>
      </c>
      <c r="D83" s="1038">
        <v>4500157213</v>
      </c>
      <c r="E83" s="1039" t="s">
        <v>3592</v>
      </c>
      <c r="F83" s="1038" t="s">
        <v>3593</v>
      </c>
      <c r="G83" s="1040" t="s">
        <v>245</v>
      </c>
      <c r="H83" s="1041" t="s">
        <v>74</v>
      </c>
      <c r="I83" s="1012">
        <v>3204</v>
      </c>
      <c r="J83" s="1087">
        <v>0</v>
      </c>
      <c r="K83" s="1040">
        <v>12</v>
      </c>
      <c r="L83" s="1012">
        <f t="shared" si="48"/>
        <v>267</v>
      </c>
      <c r="M83" s="1079">
        <v>45740</v>
      </c>
      <c r="N83" s="1079">
        <f>M83-4</f>
        <v>45736</v>
      </c>
      <c r="O83" s="579"/>
      <c r="P83" s="579" t="s">
        <v>92</v>
      </c>
      <c r="Q83" s="579" t="s">
        <v>3594</v>
      </c>
      <c r="R83" s="579">
        <v>45699</v>
      </c>
      <c r="S83" s="1283" t="s">
        <v>77</v>
      </c>
      <c r="T83" s="695" t="s">
        <v>3595</v>
      </c>
      <c r="U83" s="1039" t="s">
        <v>3596</v>
      </c>
      <c r="V83" s="1112" t="s">
        <v>647</v>
      </c>
      <c r="W83" s="1113">
        <v>1.3886</v>
      </c>
      <c r="X83" s="1114">
        <f t="shared" si="53"/>
        <v>4449.0744</v>
      </c>
      <c r="Y83" s="1012" t="s">
        <v>3597</v>
      </c>
      <c r="Z83" s="1159" t="s">
        <v>249</v>
      </c>
      <c r="AA83" s="1150" t="s">
        <v>128</v>
      </c>
      <c r="AB83" s="1150"/>
      <c r="AC83" s="1151">
        <v>3204</v>
      </c>
      <c r="AD83" s="1151">
        <f t="shared" si="54"/>
        <v>0</v>
      </c>
      <c r="AE83" s="1151"/>
      <c r="AF83" s="579"/>
      <c r="AG83" s="579"/>
      <c r="AH83" s="1151">
        <f t="shared" si="55"/>
        <v>3204</v>
      </c>
      <c r="AI83" s="1151"/>
      <c r="AJ83" s="1151"/>
      <c r="AK83" s="1151"/>
      <c r="AL83" s="1151"/>
      <c r="AM83" s="1151"/>
      <c r="AN83" s="543"/>
      <c r="AO83" s="543">
        <f t="shared" si="52"/>
        <v>3204</v>
      </c>
      <c r="AP83" s="543"/>
      <c r="AQ83" s="543"/>
      <c r="AR83" s="543"/>
      <c r="AS83" s="543"/>
      <c r="AT83" s="543"/>
      <c r="AU83" s="1310">
        <f t="shared" si="56"/>
        <v>3204</v>
      </c>
      <c r="AV83" s="1310"/>
      <c r="AW83" s="543"/>
      <c r="AX83" s="543"/>
      <c r="AY83" s="543"/>
      <c r="AZ83" s="543"/>
      <c r="BA83" s="543"/>
      <c r="BB83" s="543"/>
      <c r="BC83" s="1200"/>
      <c r="BD83" s="1200"/>
      <c r="BE83" s="1200"/>
      <c r="BF83" s="1200"/>
      <c r="BG83" s="1200"/>
      <c r="BH83" s="1200">
        <f>I83/12</f>
        <v>267</v>
      </c>
      <c r="BI83" s="1200"/>
      <c r="BJ83" s="1200"/>
      <c r="BK83" s="1200"/>
      <c r="BL83" s="1200"/>
      <c r="BM83" s="1200"/>
      <c r="BN83" s="1200"/>
      <c r="BO83" s="1200"/>
      <c r="BP83" s="1200"/>
      <c r="BQ83" s="1200"/>
      <c r="BR83" s="1200"/>
      <c r="BS83" s="1200"/>
      <c r="BT83" s="1200"/>
      <c r="BU83" s="1200"/>
      <c r="BV83" s="1200"/>
      <c r="BW83" s="1200"/>
      <c r="BX83" s="1200"/>
      <c r="BY83" s="1200"/>
      <c r="BZ83" s="1012">
        <f t="shared" si="57"/>
        <v>3204</v>
      </c>
      <c r="CB83" s="1219"/>
      <c r="CC83" s="1219"/>
      <c r="CE83" s="1009">
        <f t="shared" si="47"/>
        <v>1624628</v>
      </c>
    </row>
    <row r="84" s="1009" customFormat="1" ht="36" customHeight="1" spans="1:83">
      <c r="A84" s="540">
        <v>45694</v>
      </c>
      <c r="B84" s="1036" t="s">
        <v>151</v>
      </c>
      <c r="C84" s="1037" t="s">
        <v>117</v>
      </c>
      <c r="D84" s="1038">
        <v>4500156625</v>
      </c>
      <c r="E84" s="1039" t="s">
        <v>3598</v>
      </c>
      <c r="F84" s="1038" t="s">
        <v>3599</v>
      </c>
      <c r="G84" s="1040" t="s">
        <v>628</v>
      </c>
      <c r="H84" s="1041" t="s">
        <v>623</v>
      </c>
      <c r="I84" s="1012">
        <v>1332</v>
      </c>
      <c r="J84" s="1087">
        <v>0</v>
      </c>
      <c r="K84" s="1040">
        <v>12</v>
      </c>
      <c r="L84" s="1012">
        <f t="shared" si="48"/>
        <v>111</v>
      </c>
      <c r="M84" s="1079">
        <v>45744</v>
      </c>
      <c r="N84" s="1079">
        <v>45740</v>
      </c>
      <c r="O84" s="579"/>
      <c r="P84" s="579" t="s">
        <v>1690</v>
      </c>
      <c r="Q84" s="579" t="s">
        <v>3600</v>
      </c>
      <c r="R84" s="579">
        <v>45683</v>
      </c>
      <c r="S84" s="578" t="s">
        <v>123</v>
      </c>
      <c r="T84" s="695" t="s">
        <v>3601</v>
      </c>
      <c r="U84" s="1111" t="s">
        <v>3602</v>
      </c>
      <c r="V84" s="1112" t="s">
        <v>396</v>
      </c>
      <c r="W84" s="1113">
        <v>3.0641</v>
      </c>
      <c r="X84" s="1114">
        <f t="shared" si="53"/>
        <v>4081.3812</v>
      </c>
      <c r="Y84" s="1012" t="s">
        <v>3603</v>
      </c>
      <c r="Z84" s="1159" t="s">
        <v>628</v>
      </c>
      <c r="AA84" s="1150" t="s">
        <v>128</v>
      </c>
      <c r="AB84" s="1150"/>
      <c r="AC84" s="1151">
        <v>1332</v>
      </c>
      <c r="AD84" s="1151">
        <f t="shared" si="54"/>
        <v>0</v>
      </c>
      <c r="AE84" s="1151"/>
      <c r="AF84" s="579"/>
      <c r="AG84" s="579"/>
      <c r="AH84" s="1151">
        <f t="shared" ref="AH84:AH88" si="58">I84*2</f>
        <v>2664</v>
      </c>
      <c r="AI84" s="1151"/>
      <c r="AJ84" s="1151"/>
      <c r="AK84" s="1151">
        <f>AH84</f>
        <v>2664</v>
      </c>
      <c r="AL84" s="1151"/>
      <c r="AM84" s="1151"/>
      <c r="AN84" s="1012"/>
      <c r="AO84" s="543"/>
      <c r="AP84" s="543"/>
      <c r="AQ84" s="543"/>
      <c r="AR84" s="543"/>
      <c r="AS84" s="543"/>
      <c r="AT84" s="543"/>
      <c r="AU84" s="1310">
        <f t="shared" ref="AU84:AU88" si="59">AH84</f>
        <v>2664</v>
      </c>
      <c r="AV84" s="1310"/>
      <c r="AW84" s="543"/>
      <c r="AX84" s="543"/>
      <c r="AY84" s="543"/>
      <c r="AZ84" s="543"/>
      <c r="BA84" s="543"/>
      <c r="BB84" s="543"/>
      <c r="BC84" s="1200"/>
      <c r="BD84" s="1200"/>
      <c r="BE84" s="1200"/>
      <c r="BF84" s="1200"/>
      <c r="BG84" s="1200"/>
      <c r="BH84" s="1200"/>
      <c r="BI84" s="1200"/>
      <c r="BJ84" s="1200"/>
      <c r="BK84" s="1200"/>
      <c r="BL84" s="1200"/>
      <c r="BM84" s="1200"/>
      <c r="BN84" s="1200"/>
      <c r="BO84" s="1200"/>
      <c r="BP84" s="1200"/>
      <c r="BQ84" s="1200"/>
      <c r="BR84" s="1200"/>
      <c r="BS84" s="1200"/>
      <c r="BT84" s="1200"/>
      <c r="BU84" s="1200"/>
      <c r="BV84" s="1200"/>
      <c r="BW84" s="1200">
        <f t="shared" ref="BW84:BW88" si="60">I84</f>
        <v>1332</v>
      </c>
      <c r="BX84" s="1200">
        <f>I84</f>
        <v>1332</v>
      </c>
      <c r="BY84" s="1200"/>
      <c r="BZ84" s="1012">
        <f t="shared" si="57"/>
        <v>2664</v>
      </c>
      <c r="CB84" s="1219"/>
      <c r="CC84" s="1219"/>
      <c r="CE84" s="1009">
        <f t="shared" si="47"/>
        <v>1621964</v>
      </c>
    </row>
    <row r="85" s="1009" customFormat="1" ht="36" customHeight="1" spans="1:83">
      <c r="A85" s="540">
        <v>45712</v>
      </c>
      <c r="B85" s="1036" t="s">
        <v>848</v>
      </c>
      <c r="C85" s="1037" t="s">
        <v>849</v>
      </c>
      <c r="D85" s="1038">
        <v>4500158356</v>
      </c>
      <c r="E85" s="1039"/>
      <c r="F85" s="1038" t="s">
        <v>3604</v>
      </c>
      <c r="G85" s="1040" t="s">
        <v>96</v>
      </c>
      <c r="H85" s="1041" t="s">
        <v>74</v>
      </c>
      <c r="I85" s="1012">
        <v>700</v>
      </c>
      <c r="J85" s="1087">
        <v>0</v>
      </c>
      <c r="K85" s="1040">
        <v>50</v>
      </c>
      <c r="L85" s="1012">
        <f t="shared" si="48"/>
        <v>14</v>
      </c>
      <c r="M85" s="1079">
        <v>45744</v>
      </c>
      <c r="N85" s="1079">
        <v>45740</v>
      </c>
      <c r="O85" s="579"/>
      <c r="P85" s="579" t="s">
        <v>92</v>
      </c>
      <c r="Q85" s="579" t="s">
        <v>3605</v>
      </c>
      <c r="R85" s="579">
        <v>45713</v>
      </c>
      <c r="S85" s="578" t="s">
        <v>77</v>
      </c>
      <c r="T85" s="695" t="s">
        <v>3606</v>
      </c>
      <c r="U85" s="1039" t="s">
        <v>3607</v>
      </c>
      <c r="V85" s="1112" t="s">
        <v>618</v>
      </c>
      <c r="W85" s="1113">
        <v>1.4395</v>
      </c>
      <c r="X85" s="1114">
        <f t="shared" si="53"/>
        <v>1007.65</v>
      </c>
      <c r="Y85" s="1012" t="s">
        <v>3608</v>
      </c>
      <c r="Z85" s="1159" t="s">
        <v>292</v>
      </c>
      <c r="AA85" s="1150" t="s">
        <v>128</v>
      </c>
      <c r="AB85" s="1150"/>
      <c r="AC85" s="1151">
        <v>700</v>
      </c>
      <c r="AD85" s="1151">
        <f t="shared" si="54"/>
        <v>0</v>
      </c>
      <c r="AE85" s="1151"/>
      <c r="AF85" s="579"/>
      <c r="AG85" s="579"/>
      <c r="AH85" s="1151">
        <f>I85</f>
        <v>700</v>
      </c>
      <c r="AI85" s="1151"/>
      <c r="AJ85" s="1151"/>
      <c r="AK85" s="1151"/>
      <c r="AL85" s="1151"/>
      <c r="AM85" s="1151"/>
      <c r="AN85" s="543"/>
      <c r="AO85" s="543">
        <f>I85</f>
        <v>700</v>
      </c>
      <c r="AP85" s="543"/>
      <c r="AQ85" s="543"/>
      <c r="AR85" s="543"/>
      <c r="AS85" s="543"/>
      <c r="AT85" s="543"/>
      <c r="AU85" s="543">
        <f>I85</f>
        <v>700</v>
      </c>
      <c r="AV85" s="543"/>
      <c r="AW85" s="543"/>
      <c r="AX85" s="543"/>
      <c r="AY85" s="543"/>
      <c r="AZ85" s="543"/>
      <c r="BA85" s="543"/>
      <c r="BB85" s="543"/>
      <c r="BC85" s="1200"/>
      <c r="BD85" s="1200"/>
      <c r="BE85" s="1200"/>
      <c r="BF85" s="1200"/>
      <c r="BG85" s="1200"/>
      <c r="BH85" s="1200"/>
      <c r="BI85" s="1200"/>
      <c r="BJ85" s="1200"/>
      <c r="BK85" s="1200"/>
      <c r="BL85" s="1200"/>
      <c r="BM85" s="1200"/>
      <c r="BN85" s="1200">
        <f>I85/25</f>
        <v>28</v>
      </c>
      <c r="BO85" s="1200"/>
      <c r="BP85" s="1200"/>
      <c r="BQ85" s="1200"/>
      <c r="BR85" s="1200"/>
      <c r="BS85" s="1200"/>
      <c r="BT85" s="1200"/>
      <c r="BU85" s="1200"/>
      <c r="BV85" s="1200"/>
      <c r="BW85" s="1200"/>
      <c r="BX85" s="1200"/>
      <c r="BY85" s="1200"/>
      <c r="BZ85" s="1012">
        <f t="shared" si="57"/>
        <v>700</v>
      </c>
      <c r="CB85" s="1219"/>
      <c r="CC85" s="1219"/>
      <c r="CE85" s="1009">
        <f t="shared" si="47"/>
        <v>1621264</v>
      </c>
    </row>
    <row r="86" s="1009" customFormat="1" ht="36" customHeight="1" spans="1:83">
      <c r="A86" s="540">
        <v>45695</v>
      </c>
      <c r="B86" s="1036" t="s">
        <v>3102</v>
      </c>
      <c r="C86" s="1037" t="s">
        <v>117</v>
      </c>
      <c r="D86" s="1038">
        <v>4500156877</v>
      </c>
      <c r="E86" s="1039">
        <v>70057987</v>
      </c>
      <c r="F86" s="1038" t="s">
        <v>3609</v>
      </c>
      <c r="G86" s="1040" t="s">
        <v>628</v>
      </c>
      <c r="H86" s="1041" t="s">
        <v>623</v>
      </c>
      <c r="I86" s="1012">
        <v>504</v>
      </c>
      <c r="J86" s="1087">
        <v>0</v>
      </c>
      <c r="K86" s="1040">
        <v>12</v>
      </c>
      <c r="L86" s="1012">
        <f t="shared" si="48"/>
        <v>42</v>
      </c>
      <c r="M86" s="1079">
        <v>45737</v>
      </c>
      <c r="N86" s="1079">
        <f>M86-3</f>
        <v>45734</v>
      </c>
      <c r="O86" s="579"/>
      <c r="P86" s="579" t="s">
        <v>1690</v>
      </c>
      <c r="Q86" s="579" t="s">
        <v>3610</v>
      </c>
      <c r="R86" s="579">
        <v>45695</v>
      </c>
      <c r="S86" s="578" t="s">
        <v>77</v>
      </c>
      <c r="T86" s="695" t="s">
        <v>3611</v>
      </c>
      <c r="U86" s="1111" t="s">
        <v>3612</v>
      </c>
      <c r="V86" s="1112" t="s">
        <v>2458</v>
      </c>
      <c r="W86" s="1113">
        <v>3.1012</v>
      </c>
      <c r="X86" s="1114">
        <f t="shared" si="53"/>
        <v>1563.0048</v>
      </c>
      <c r="Y86" s="1012" t="s">
        <v>3613</v>
      </c>
      <c r="Z86" s="1159" t="s">
        <v>822</v>
      </c>
      <c r="AA86" s="1150" t="s">
        <v>128</v>
      </c>
      <c r="AB86" s="1150"/>
      <c r="AC86" s="1151">
        <v>504</v>
      </c>
      <c r="AD86" s="1151">
        <f t="shared" si="54"/>
        <v>0</v>
      </c>
      <c r="AE86" s="1151"/>
      <c r="AF86" s="579"/>
      <c r="AG86" s="579"/>
      <c r="AH86" s="1151">
        <f t="shared" si="58"/>
        <v>1008</v>
      </c>
      <c r="AI86" s="1151"/>
      <c r="AJ86" s="1151"/>
      <c r="AK86" s="1151"/>
      <c r="AL86" s="1176"/>
      <c r="AM86" s="1176"/>
      <c r="AN86" s="1307">
        <f t="shared" ref="AN86:AN88" si="61">AH86</f>
        <v>1008</v>
      </c>
      <c r="AO86" s="543"/>
      <c r="AP86" s="543"/>
      <c r="AQ86" s="543"/>
      <c r="AR86" s="543"/>
      <c r="AS86" s="543"/>
      <c r="AT86" s="543"/>
      <c r="AU86" s="1310">
        <f t="shared" si="59"/>
        <v>1008</v>
      </c>
      <c r="AV86" s="1310"/>
      <c r="AW86" s="543"/>
      <c r="AX86" s="543"/>
      <c r="AY86" s="543"/>
      <c r="AZ86" s="543"/>
      <c r="BA86" s="543"/>
      <c r="BB86" s="543"/>
      <c r="BC86" s="1200"/>
      <c r="BD86" s="1200"/>
      <c r="BE86" s="1200"/>
      <c r="BF86" s="1200"/>
      <c r="BG86" s="1200"/>
      <c r="BH86" s="1200"/>
      <c r="BI86" s="1200"/>
      <c r="BJ86" s="1200"/>
      <c r="BK86" s="1200"/>
      <c r="BL86" s="1200"/>
      <c r="BM86" s="1200"/>
      <c r="BN86" s="1200"/>
      <c r="BO86" s="1200"/>
      <c r="BP86" s="1200"/>
      <c r="BQ86" s="1200"/>
      <c r="BR86" s="1200"/>
      <c r="BS86" s="1200"/>
      <c r="BT86" s="1200"/>
      <c r="BU86" s="1200"/>
      <c r="BV86" s="1200"/>
      <c r="BW86" s="1200">
        <f t="shared" si="60"/>
        <v>504</v>
      </c>
      <c r="BX86" s="1200">
        <f>I86</f>
        <v>504</v>
      </c>
      <c r="BY86" s="1200"/>
      <c r="BZ86" s="1012">
        <f t="shared" si="57"/>
        <v>1008</v>
      </c>
      <c r="CB86" s="1219"/>
      <c r="CC86" s="1219"/>
      <c r="CE86" s="1009">
        <f t="shared" si="47"/>
        <v>1620256</v>
      </c>
    </row>
    <row r="87" s="1009" customFormat="1" ht="36" customHeight="1" spans="1:83">
      <c r="A87" s="540">
        <v>45701</v>
      </c>
      <c r="B87" s="1036" t="s">
        <v>1794</v>
      </c>
      <c r="C87" s="1037" t="s">
        <v>117</v>
      </c>
      <c r="D87" s="1038">
        <v>4500157300</v>
      </c>
      <c r="E87" s="1039" t="s">
        <v>3614</v>
      </c>
      <c r="F87" s="1038" t="s">
        <v>3615</v>
      </c>
      <c r="G87" s="1040" t="s">
        <v>628</v>
      </c>
      <c r="H87" s="1041" t="s">
        <v>623</v>
      </c>
      <c r="I87" s="1012">
        <v>804</v>
      </c>
      <c r="J87" s="1087">
        <v>0</v>
      </c>
      <c r="K87" s="1040">
        <v>12</v>
      </c>
      <c r="L87" s="1012">
        <f t="shared" si="48"/>
        <v>67</v>
      </c>
      <c r="M87" s="1079">
        <v>45742</v>
      </c>
      <c r="N87" s="1079">
        <v>45738</v>
      </c>
      <c r="O87" s="579"/>
      <c r="P87" s="579" t="s">
        <v>1690</v>
      </c>
      <c r="Q87" s="579" t="s">
        <v>3575</v>
      </c>
      <c r="R87" s="579">
        <v>45701</v>
      </c>
      <c r="S87" s="578" t="s">
        <v>77</v>
      </c>
      <c r="T87" s="695" t="s">
        <v>3616</v>
      </c>
      <c r="U87" s="1039" t="s">
        <v>3617</v>
      </c>
      <c r="V87" s="1112" t="s">
        <v>3618</v>
      </c>
      <c r="W87" s="1113">
        <v>3.1012</v>
      </c>
      <c r="X87" s="1114">
        <f t="shared" si="53"/>
        <v>2493.3648</v>
      </c>
      <c r="Y87" s="541" t="s">
        <v>3619</v>
      </c>
      <c r="Z87" s="1159" t="s">
        <v>822</v>
      </c>
      <c r="AA87" s="1150" t="s">
        <v>128</v>
      </c>
      <c r="AB87" s="1150"/>
      <c r="AC87" s="1151">
        <v>804</v>
      </c>
      <c r="AD87" s="1151">
        <f t="shared" si="54"/>
        <v>0</v>
      </c>
      <c r="AE87" s="1151"/>
      <c r="AF87" s="579"/>
      <c r="AG87" s="579"/>
      <c r="AH87" s="1151">
        <f t="shared" si="58"/>
        <v>1608</v>
      </c>
      <c r="AI87" s="1151"/>
      <c r="AJ87" s="1151"/>
      <c r="AK87" s="1151"/>
      <c r="AL87" s="1151"/>
      <c r="AM87" s="1151"/>
      <c r="AN87" s="543">
        <f t="shared" si="61"/>
        <v>1608</v>
      </c>
      <c r="AO87" s="543"/>
      <c r="AP87" s="543"/>
      <c r="AQ87" s="543"/>
      <c r="AR87" s="543"/>
      <c r="AS87" s="543"/>
      <c r="AT87" s="543"/>
      <c r="AU87" s="1310">
        <f t="shared" si="59"/>
        <v>1608</v>
      </c>
      <c r="AV87" s="1310"/>
      <c r="AW87" s="543"/>
      <c r="AX87" s="543"/>
      <c r="AY87" s="543"/>
      <c r="AZ87" s="543"/>
      <c r="BA87" s="543"/>
      <c r="BB87" s="543"/>
      <c r="BC87" s="1200"/>
      <c r="BD87" s="1200"/>
      <c r="BE87" s="1200"/>
      <c r="BF87" s="1200"/>
      <c r="BG87" s="1200"/>
      <c r="BH87" s="1200"/>
      <c r="BI87" s="1200"/>
      <c r="BJ87" s="1200"/>
      <c r="BK87" s="1200"/>
      <c r="BL87" s="1200"/>
      <c r="BM87" s="1200"/>
      <c r="BN87" s="1200"/>
      <c r="BO87" s="1200"/>
      <c r="BP87" s="1200"/>
      <c r="BQ87" s="1200"/>
      <c r="BR87" s="1200"/>
      <c r="BS87" s="1200"/>
      <c r="BT87" s="1200"/>
      <c r="BU87" s="1200"/>
      <c r="BV87" s="1200"/>
      <c r="BW87" s="1200">
        <f t="shared" si="60"/>
        <v>804</v>
      </c>
      <c r="BX87" s="1200">
        <f>BW87</f>
        <v>804</v>
      </c>
      <c r="BY87" s="1200"/>
      <c r="BZ87" s="1012">
        <f t="shared" si="57"/>
        <v>1608</v>
      </c>
      <c r="CB87" s="1219"/>
      <c r="CC87" s="1219"/>
      <c r="CE87" s="1009">
        <f t="shared" si="47"/>
        <v>1618648</v>
      </c>
    </row>
    <row r="88" s="1009" customFormat="1" ht="36" customHeight="1" spans="1:83">
      <c r="A88" s="540">
        <v>45701</v>
      </c>
      <c r="B88" s="1036" t="s">
        <v>1794</v>
      </c>
      <c r="C88" s="1037" t="s">
        <v>117</v>
      </c>
      <c r="D88" s="1038">
        <v>4500157297</v>
      </c>
      <c r="E88" s="1039" t="s">
        <v>3620</v>
      </c>
      <c r="F88" s="1038" t="s">
        <v>3621</v>
      </c>
      <c r="G88" s="1040" t="s">
        <v>628</v>
      </c>
      <c r="H88" s="1041" t="s">
        <v>623</v>
      </c>
      <c r="I88" s="1012">
        <v>600</v>
      </c>
      <c r="J88" s="1087">
        <v>0</v>
      </c>
      <c r="K88" s="1040">
        <v>12</v>
      </c>
      <c r="L88" s="1012">
        <f t="shared" si="48"/>
        <v>50</v>
      </c>
      <c r="M88" s="1079">
        <v>45742</v>
      </c>
      <c r="N88" s="1079">
        <v>45738</v>
      </c>
      <c r="O88" s="579"/>
      <c r="P88" s="579" t="s">
        <v>1690</v>
      </c>
      <c r="Q88" s="579" t="s">
        <v>3622</v>
      </c>
      <c r="R88" s="579">
        <v>45701</v>
      </c>
      <c r="S88" s="578" t="s">
        <v>77</v>
      </c>
      <c r="T88" s="695" t="s">
        <v>3623</v>
      </c>
      <c r="U88" s="1039" t="s">
        <v>3624</v>
      </c>
      <c r="V88" s="1112" t="s">
        <v>3618</v>
      </c>
      <c r="W88" s="1113">
        <v>3.1012</v>
      </c>
      <c r="X88" s="1114">
        <f t="shared" si="53"/>
        <v>1860.72</v>
      </c>
      <c r="Y88" s="541" t="s">
        <v>3625</v>
      </c>
      <c r="Z88" s="1159" t="s">
        <v>822</v>
      </c>
      <c r="AA88" s="1150" t="s">
        <v>128</v>
      </c>
      <c r="AB88" s="1150"/>
      <c r="AC88" s="1151">
        <v>600</v>
      </c>
      <c r="AD88" s="1151">
        <f t="shared" si="54"/>
        <v>0</v>
      </c>
      <c r="AE88" s="1151"/>
      <c r="AF88" s="579"/>
      <c r="AG88" s="579"/>
      <c r="AH88" s="1151">
        <f t="shared" si="58"/>
        <v>1200</v>
      </c>
      <c r="AI88" s="1151"/>
      <c r="AJ88" s="1151"/>
      <c r="AK88" s="1151"/>
      <c r="AL88" s="1151"/>
      <c r="AM88" s="1151"/>
      <c r="AN88" s="543">
        <f t="shared" si="61"/>
        <v>1200</v>
      </c>
      <c r="AO88" s="543"/>
      <c r="AP88" s="543"/>
      <c r="AQ88" s="543"/>
      <c r="AR88" s="543"/>
      <c r="AS88" s="543"/>
      <c r="AT88" s="543"/>
      <c r="AU88" s="1310">
        <f t="shared" si="59"/>
        <v>1200</v>
      </c>
      <c r="AV88" s="1310"/>
      <c r="AW88" s="543"/>
      <c r="AX88" s="543"/>
      <c r="AY88" s="543"/>
      <c r="AZ88" s="543"/>
      <c r="BA88" s="543"/>
      <c r="BB88" s="543"/>
      <c r="BC88" s="1200"/>
      <c r="BD88" s="1200"/>
      <c r="BE88" s="1200"/>
      <c r="BF88" s="1200"/>
      <c r="BG88" s="1200"/>
      <c r="BH88" s="1200"/>
      <c r="BI88" s="1200"/>
      <c r="BJ88" s="1200"/>
      <c r="BK88" s="1200"/>
      <c r="BL88" s="1200"/>
      <c r="BM88" s="1200"/>
      <c r="BN88" s="1200"/>
      <c r="BO88" s="1200"/>
      <c r="BP88" s="1200"/>
      <c r="BQ88" s="1200"/>
      <c r="BR88" s="1200"/>
      <c r="BS88" s="1200"/>
      <c r="BT88" s="1200"/>
      <c r="BU88" s="1200"/>
      <c r="BV88" s="1200"/>
      <c r="BW88" s="1200">
        <f t="shared" si="60"/>
        <v>600</v>
      </c>
      <c r="BX88" s="1200">
        <f>BW88</f>
        <v>600</v>
      </c>
      <c r="BY88" s="1200"/>
      <c r="BZ88" s="1012">
        <f t="shared" si="57"/>
        <v>1200</v>
      </c>
      <c r="CB88" s="1219"/>
      <c r="CC88" s="1219"/>
      <c r="CE88" s="1009">
        <f t="shared" si="47"/>
        <v>1617448</v>
      </c>
    </row>
    <row r="89" s="1009" customFormat="1" ht="36" customHeight="1" spans="1:83">
      <c r="A89" s="540">
        <v>45722</v>
      </c>
      <c r="B89" s="1036" t="s">
        <v>1433</v>
      </c>
      <c r="C89" s="1037" t="s">
        <v>1162</v>
      </c>
      <c r="D89" s="1038">
        <v>4500158843</v>
      </c>
      <c r="E89" s="1039">
        <v>4508171305</v>
      </c>
      <c r="F89" s="1038" t="s">
        <v>3626</v>
      </c>
      <c r="G89" s="1040" t="s">
        <v>1435</v>
      </c>
      <c r="H89" s="1041" t="s">
        <v>74</v>
      </c>
      <c r="I89" s="1012">
        <v>364</v>
      </c>
      <c r="J89" s="1087">
        <v>0</v>
      </c>
      <c r="K89" s="1040">
        <v>13</v>
      </c>
      <c r="L89" s="1012">
        <f t="shared" si="48"/>
        <v>28</v>
      </c>
      <c r="M89" s="1079">
        <v>45744</v>
      </c>
      <c r="N89" s="1079">
        <v>45740</v>
      </c>
      <c r="O89" s="579"/>
      <c r="P89" s="579" t="s">
        <v>1690</v>
      </c>
      <c r="Q89" s="579" t="s">
        <v>3627</v>
      </c>
      <c r="R89" s="579">
        <v>45722</v>
      </c>
      <c r="S89" s="578" t="s">
        <v>77</v>
      </c>
      <c r="T89" s="695" t="s">
        <v>3628</v>
      </c>
      <c r="U89" s="1039" t="s">
        <v>3629</v>
      </c>
      <c r="V89" s="1112" t="s">
        <v>3630</v>
      </c>
      <c r="W89" s="1113">
        <v>1.4483</v>
      </c>
      <c r="X89" s="1114">
        <f t="shared" si="53"/>
        <v>527.1812</v>
      </c>
      <c r="Y89" s="1012" t="s">
        <v>3631</v>
      </c>
      <c r="Z89" s="1159" t="s">
        <v>862</v>
      </c>
      <c r="AA89" s="1150" t="s">
        <v>128</v>
      </c>
      <c r="AB89" s="1150"/>
      <c r="AC89" s="1151">
        <v>364</v>
      </c>
      <c r="AD89" s="1151">
        <f t="shared" si="54"/>
        <v>0</v>
      </c>
      <c r="AE89" s="1151"/>
      <c r="AF89" s="579"/>
      <c r="AG89" s="579"/>
      <c r="AH89" s="1151"/>
      <c r="AI89" s="1151">
        <f>I89</f>
        <v>364</v>
      </c>
      <c r="AJ89" s="1151"/>
      <c r="AK89" s="1151"/>
      <c r="AL89" s="1151"/>
      <c r="AM89" s="1151"/>
      <c r="AN89" s="543"/>
      <c r="AO89" s="543">
        <f t="shared" ref="AO89:AO95" si="62">I89</f>
        <v>364</v>
      </c>
      <c r="AP89" s="543"/>
      <c r="AQ89" s="543"/>
      <c r="AR89" s="543"/>
      <c r="AS89" s="543"/>
      <c r="AT89" s="543"/>
      <c r="AU89" s="1310">
        <f t="shared" ref="AU89:AU95" si="63">I89</f>
        <v>364</v>
      </c>
      <c r="AV89" s="1310"/>
      <c r="AW89" s="543"/>
      <c r="AX89" s="543"/>
      <c r="AY89" s="543"/>
      <c r="AZ89" s="543"/>
      <c r="BA89" s="543"/>
      <c r="BB89" s="543"/>
      <c r="BC89" s="1200"/>
      <c r="BD89" s="1200"/>
      <c r="BE89" s="1200"/>
      <c r="BF89" s="1200"/>
      <c r="BG89" s="1200"/>
      <c r="BH89" s="1200"/>
      <c r="BI89" s="1200"/>
      <c r="BJ89" s="1200">
        <f>I89/13</f>
        <v>28</v>
      </c>
      <c r="BK89" s="1200"/>
      <c r="BL89" s="1200"/>
      <c r="BM89" s="1200"/>
      <c r="BN89" s="1200"/>
      <c r="BO89" s="1200"/>
      <c r="BP89" s="1200"/>
      <c r="BQ89" s="1200"/>
      <c r="BR89" s="1200"/>
      <c r="BS89" s="1200"/>
      <c r="BT89" s="1200"/>
      <c r="BU89" s="1200"/>
      <c r="BV89" s="1200"/>
      <c r="BW89" s="1200"/>
      <c r="BX89" s="1200"/>
      <c r="BY89" s="1200"/>
      <c r="BZ89" s="1012">
        <f t="shared" si="57"/>
        <v>364</v>
      </c>
      <c r="CB89" s="1219"/>
      <c r="CC89" s="1219"/>
      <c r="CE89" s="1009">
        <f t="shared" si="47"/>
        <v>1617084</v>
      </c>
    </row>
    <row r="90" s="1255" customFormat="1" ht="36" customHeight="1" spans="1:83">
      <c r="A90" s="1262">
        <v>45701</v>
      </c>
      <c r="B90" s="1263" t="s">
        <v>3102</v>
      </c>
      <c r="C90" s="1264" t="s">
        <v>117</v>
      </c>
      <c r="D90" s="1265">
        <v>4500157194</v>
      </c>
      <c r="E90" s="1266">
        <v>70057991</v>
      </c>
      <c r="F90" s="1265" t="s">
        <v>3632</v>
      </c>
      <c r="G90" s="1267" t="s">
        <v>628</v>
      </c>
      <c r="H90" s="1268" t="s">
        <v>623</v>
      </c>
      <c r="I90" s="1277">
        <v>504</v>
      </c>
      <c r="J90" s="1278">
        <v>0</v>
      </c>
      <c r="K90" s="1267">
        <v>12</v>
      </c>
      <c r="L90" s="1277">
        <f t="shared" si="48"/>
        <v>42</v>
      </c>
      <c r="M90" s="1279">
        <v>45783</v>
      </c>
      <c r="N90" s="1279">
        <v>45779</v>
      </c>
      <c r="O90" s="1276" t="s">
        <v>3633</v>
      </c>
      <c r="P90" s="579" t="s">
        <v>1262</v>
      </c>
      <c r="Q90" s="1276" t="s">
        <v>792</v>
      </c>
      <c r="R90" s="1276">
        <v>45701</v>
      </c>
      <c r="S90" s="1291" t="s">
        <v>77</v>
      </c>
      <c r="T90" s="1291" t="s">
        <v>3634</v>
      </c>
      <c r="U90" s="1320" t="s">
        <v>3635</v>
      </c>
      <c r="V90" s="1287" t="s">
        <v>2458</v>
      </c>
      <c r="W90" s="1288">
        <v>3.1012</v>
      </c>
      <c r="X90" s="1289">
        <f t="shared" si="53"/>
        <v>1563.0048</v>
      </c>
      <c r="Y90" s="1277" t="s">
        <v>3636</v>
      </c>
      <c r="Z90" s="1302" t="s">
        <v>822</v>
      </c>
      <c r="AA90" s="1303" t="s">
        <v>128</v>
      </c>
      <c r="AB90" s="1303"/>
      <c r="AC90" s="1304">
        <v>504</v>
      </c>
      <c r="AD90" s="1304">
        <f t="shared" si="54"/>
        <v>0</v>
      </c>
      <c r="AE90" s="1304"/>
      <c r="AF90" s="1276"/>
      <c r="AG90" s="1276"/>
      <c r="AH90" s="1151">
        <f>I90*2</f>
        <v>1008</v>
      </c>
      <c r="AI90" s="1304"/>
      <c r="AJ90" s="1304"/>
      <c r="AK90" s="1304"/>
      <c r="AL90" s="1304"/>
      <c r="AM90" s="1304"/>
      <c r="AN90" s="1306">
        <f>AH90</f>
        <v>1008</v>
      </c>
      <c r="AO90" s="1306"/>
      <c r="AP90" s="1306"/>
      <c r="AQ90" s="1306"/>
      <c r="AR90" s="1306"/>
      <c r="AS90" s="1306"/>
      <c r="AT90" s="1306"/>
      <c r="AU90" s="1311">
        <f>AH90</f>
        <v>1008</v>
      </c>
      <c r="AV90" s="1311"/>
      <c r="AW90" s="1306"/>
      <c r="AX90" s="1306"/>
      <c r="AY90" s="1306"/>
      <c r="AZ90" s="1306"/>
      <c r="BA90" s="1306"/>
      <c r="BB90" s="1306"/>
      <c r="BC90" s="1313"/>
      <c r="BD90" s="1313"/>
      <c r="BE90" s="1313"/>
      <c r="BF90" s="1313"/>
      <c r="BG90" s="1313"/>
      <c r="BH90" s="1313"/>
      <c r="BI90" s="1313"/>
      <c r="BJ90" s="1313"/>
      <c r="BK90" s="1313"/>
      <c r="BL90" s="1313"/>
      <c r="BM90" s="1313"/>
      <c r="BN90" s="1313"/>
      <c r="BO90" s="1313"/>
      <c r="BP90" s="1313"/>
      <c r="BQ90" s="1313"/>
      <c r="BR90" s="1313"/>
      <c r="BS90" s="1313"/>
      <c r="BT90" s="1313"/>
      <c r="BU90" s="1313"/>
      <c r="BV90" s="1313"/>
      <c r="BW90" s="1313">
        <f>I90</f>
        <v>504</v>
      </c>
      <c r="BX90" s="1313">
        <f>I90</f>
        <v>504</v>
      </c>
      <c r="BY90" s="1313"/>
      <c r="BZ90" s="1277">
        <f t="shared" si="57"/>
        <v>1008</v>
      </c>
      <c r="CB90" s="1324"/>
      <c r="CC90" s="1324"/>
      <c r="CE90" s="1009">
        <f t="shared" si="47"/>
        <v>1616076</v>
      </c>
    </row>
    <row r="91" s="1255" customFormat="1" ht="36" customHeight="1" spans="1:83">
      <c r="A91" s="1262">
        <v>45721</v>
      </c>
      <c r="B91" s="1263" t="s">
        <v>3637</v>
      </c>
      <c r="C91" s="1264" t="s">
        <v>3638</v>
      </c>
      <c r="D91" s="1265">
        <v>4500159239</v>
      </c>
      <c r="E91" s="1266"/>
      <c r="F91" s="1265" t="s">
        <v>3639</v>
      </c>
      <c r="G91" s="1267" t="s">
        <v>403</v>
      </c>
      <c r="H91" s="1268" t="s">
        <v>74</v>
      </c>
      <c r="I91" s="1277">
        <v>416</v>
      </c>
      <c r="J91" s="1278">
        <v>0</v>
      </c>
      <c r="K91" s="1267">
        <v>52</v>
      </c>
      <c r="L91" s="1277">
        <f t="shared" si="48"/>
        <v>8</v>
      </c>
      <c r="M91" s="1279">
        <v>45758</v>
      </c>
      <c r="N91" s="1279">
        <f>M91-4</f>
        <v>45754</v>
      </c>
      <c r="O91" s="1276"/>
      <c r="P91" s="579" t="s">
        <v>92</v>
      </c>
      <c r="Q91" s="1276" t="s">
        <v>3640</v>
      </c>
      <c r="R91" s="1276">
        <v>45721</v>
      </c>
      <c r="S91" s="1291" t="s">
        <v>77</v>
      </c>
      <c r="T91" s="1291" t="s">
        <v>77</v>
      </c>
      <c r="U91" s="1320" t="s">
        <v>3641</v>
      </c>
      <c r="V91" s="1287" t="s">
        <v>585</v>
      </c>
      <c r="W91" s="1288">
        <v>1.3914</v>
      </c>
      <c r="X91" s="1289">
        <f t="shared" si="53"/>
        <v>578.8224</v>
      </c>
      <c r="Y91" s="1277" t="s">
        <v>3642</v>
      </c>
      <c r="Z91" s="1302" t="s">
        <v>403</v>
      </c>
      <c r="AA91" s="1303" t="s">
        <v>128</v>
      </c>
      <c r="AB91" s="1303"/>
      <c r="AC91" s="1304">
        <v>416</v>
      </c>
      <c r="AD91" s="1304">
        <f t="shared" si="54"/>
        <v>0</v>
      </c>
      <c r="AE91" s="1304"/>
      <c r="AF91" s="1276"/>
      <c r="AG91" s="1276"/>
      <c r="AH91" s="1304">
        <f t="shared" ref="AH91:AH95" si="64">I91</f>
        <v>416</v>
      </c>
      <c r="AI91" s="1304"/>
      <c r="AJ91" s="1304"/>
      <c r="AK91" s="1304"/>
      <c r="AL91" s="1304"/>
      <c r="AM91" s="1304"/>
      <c r="AN91" s="1306">
        <f>I91</f>
        <v>416</v>
      </c>
      <c r="AO91" s="1306"/>
      <c r="AP91" s="1306"/>
      <c r="AQ91" s="1306"/>
      <c r="AR91" s="1306"/>
      <c r="AS91" s="1306"/>
      <c r="AT91" s="1306"/>
      <c r="AU91" s="1311">
        <f t="shared" si="63"/>
        <v>416</v>
      </c>
      <c r="AV91" s="1311"/>
      <c r="AW91" s="1306"/>
      <c r="AX91" s="1306"/>
      <c r="AY91" s="1306"/>
      <c r="AZ91" s="1306"/>
      <c r="BA91" s="1306"/>
      <c r="BB91" s="1306"/>
      <c r="BC91" s="1313"/>
      <c r="BD91" s="1313"/>
      <c r="BE91" s="1313"/>
      <c r="BF91" s="1313"/>
      <c r="BG91" s="1313"/>
      <c r="BH91" s="1313"/>
      <c r="BI91" s="1313">
        <f>I91/13</f>
        <v>32</v>
      </c>
      <c r="BJ91" s="1313"/>
      <c r="BK91" s="1313"/>
      <c r="BL91" s="1313"/>
      <c r="BM91" s="1313"/>
      <c r="BN91" s="1313"/>
      <c r="BO91" s="1313"/>
      <c r="BP91" s="1313"/>
      <c r="BQ91" s="1313"/>
      <c r="BR91" s="1313"/>
      <c r="BS91" s="1313"/>
      <c r="BT91" s="1313"/>
      <c r="BU91" s="1313"/>
      <c r="BV91" s="1313"/>
      <c r="BW91" s="1313"/>
      <c r="BX91" s="1313"/>
      <c r="BY91" s="1313"/>
      <c r="BZ91" s="1277">
        <f t="shared" si="57"/>
        <v>416</v>
      </c>
      <c r="CB91" s="1324"/>
      <c r="CC91" s="1324"/>
      <c r="CE91" s="1009">
        <f t="shared" si="47"/>
        <v>1615660</v>
      </c>
    </row>
    <row r="92" s="1255" customFormat="1" ht="36" customHeight="1" spans="1:83">
      <c r="A92" s="1262">
        <v>45712</v>
      </c>
      <c r="B92" s="1263" t="s">
        <v>3643</v>
      </c>
      <c r="C92" s="1264" t="s">
        <v>3644</v>
      </c>
      <c r="D92" s="1265">
        <v>4500158302</v>
      </c>
      <c r="E92" s="1266"/>
      <c r="F92" s="1265" t="s">
        <v>3645</v>
      </c>
      <c r="G92" s="1267" t="s">
        <v>96</v>
      </c>
      <c r="H92" s="1268" t="s">
        <v>74</v>
      </c>
      <c r="I92" s="1277">
        <v>600</v>
      </c>
      <c r="J92" s="1278">
        <v>0</v>
      </c>
      <c r="K92" s="1267">
        <v>50</v>
      </c>
      <c r="L92" s="1277">
        <f t="shared" si="48"/>
        <v>12</v>
      </c>
      <c r="M92" s="1279">
        <v>45763</v>
      </c>
      <c r="N92" s="1279">
        <v>45759</v>
      </c>
      <c r="O92" s="1276"/>
      <c r="P92" s="1276" t="s">
        <v>92</v>
      </c>
      <c r="Q92" s="1276" t="s">
        <v>3646</v>
      </c>
      <c r="R92" s="1321" t="s">
        <v>3647</v>
      </c>
      <c r="S92" s="1321" t="s">
        <v>77</v>
      </c>
      <c r="T92" s="1321" t="s">
        <v>3648</v>
      </c>
      <c r="U92" s="1320" t="s">
        <v>3649</v>
      </c>
      <c r="V92" s="1287" t="s">
        <v>290</v>
      </c>
      <c r="W92" s="1288">
        <v>1.4395</v>
      </c>
      <c r="X92" s="1289">
        <f t="shared" si="53"/>
        <v>863.7</v>
      </c>
      <c r="Y92" s="1277" t="s">
        <v>3650</v>
      </c>
      <c r="Z92" s="1302" t="s">
        <v>292</v>
      </c>
      <c r="AA92" s="1303" t="s">
        <v>128</v>
      </c>
      <c r="AB92" s="1303"/>
      <c r="AC92" s="1304">
        <v>600</v>
      </c>
      <c r="AD92" s="1304">
        <f t="shared" si="54"/>
        <v>0</v>
      </c>
      <c r="AE92" s="1304"/>
      <c r="AF92" s="1276"/>
      <c r="AG92" s="1276"/>
      <c r="AH92" s="1304">
        <f t="shared" si="64"/>
        <v>600</v>
      </c>
      <c r="AI92" s="1304"/>
      <c r="AJ92" s="1304"/>
      <c r="AK92" s="1304"/>
      <c r="AL92" s="1304"/>
      <c r="AM92" s="1304"/>
      <c r="AN92" s="1277"/>
      <c r="AO92" s="1306">
        <f t="shared" si="62"/>
        <v>600</v>
      </c>
      <c r="AP92" s="1306"/>
      <c r="AQ92" s="1306"/>
      <c r="AR92" s="1306"/>
      <c r="AS92" s="1306"/>
      <c r="AT92" s="1306"/>
      <c r="AU92" s="1306">
        <f t="shared" si="63"/>
        <v>600</v>
      </c>
      <c r="AV92" s="1306"/>
      <c r="AW92" s="1306"/>
      <c r="AX92" s="1306"/>
      <c r="AY92" s="1306"/>
      <c r="AZ92" s="1306"/>
      <c r="BA92" s="1306"/>
      <c r="BB92" s="1306"/>
      <c r="BC92" s="1313"/>
      <c r="BD92" s="1313"/>
      <c r="BE92" s="1313"/>
      <c r="BF92" s="1313"/>
      <c r="BG92" s="1313"/>
      <c r="BH92" s="1313"/>
      <c r="BI92" s="1313"/>
      <c r="BJ92" s="1313"/>
      <c r="BK92" s="1313"/>
      <c r="BL92" s="1313"/>
      <c r="BM92" s="1313"/>
      <c r="BN92" s="1313">
        <f t="shared" ref="BN92:BN95" si="65">I92/25</f>
        <v>24</v>
      </c>
      <c r="BO92" s="1313"/>
      <c r="BP92" s="1313"/>
      <c r="BQ92" s="1313"/>
      <c r="BR92" s="1313"/>
      <c r="BS92" s="1313"/>
      <c r="BT92" s="1313"/>
      <c r="BU92" s="1313"/>
      <c r="BV92" s="1313"/>
      <c r="BW92" s="1313"/>
      <c r="BX92" s="1313"/>
      <c r="BY92" s="1313"/>
      <c r="BZ92" s="1277">
        <f t="shared" si="57"/>
        <v>600</v>
      </c>
      <c r="CB92" s="1324"/>
      <c r="CC92" s="1324"/>
      <c r="CE92" s="1009">
        <f t="shared" si="47"/>
        <v>1615060</v>
      </c>
    </row>
    <row r="93" s="1255" customFormat="1" ht="36" customHeight="1" spans="1:83">
      <c r="A93" s="1262">
        <v>45714</v>
      </c>
      <c r="B93" s="1263" t="s">
        <v>3651</v>
      </c>
      <c r="C93" s="1264" t="s">
        <v>763</v>
      </c>
      <c r="D93" s="1265">
        <v>4500158447</v>
      </c>
      <c r="E93" s="1266"/>
      <c r="F93" s="1265" t="s">
        <v>3652</v>
      </c>
      <c r="G93" s="1267" t="s">
        <v>96</v>
      </c>
      <c r="H93" s="1268" t="s">
        <v>74</v>
      </c>
      <c r="I93" s="1277">
        <v>1100</v>
      </c>
      <c r="J93" s="1278">
        <v>0</v>
      </c>
      <c r="K93" s="1267">
        <v>50</v>
      </c>
      <c r="L93" s="1277">
        <f t="shared" si="48"/>
        <v>22</v>
      </c>
      <c r="M93" s="1279">
        <v>45763</v>
      </c>
      <c r="N93" s="1279">
        <v>45759</v>
      </c>
      <c r="O93" s="1276"/>
      <c r="P93" s="1276" t="s">
        <v>92</v>
      </c>
      <c r="Q93" s="1276" t="s">
        <v>3646</v>
      </c>
      <c r="R93" s="1321" t="s">
        <v>3647</v>
      </c>
      <c r="S93" s="1321" t="s">
        <v>77</v>
      </c>
      <c r="T93" s="1321" t="s">
        <v>3653</v>
      </c>
      <c r="U93" s="1320" t="s">
        <v>3654</v>
      </c>
      <c r="V93" s="1287" t="s">
        <v>290</v>
      </c>
      <c r="W93" s="1288">
        <v>1.4171</v>
      </c>
      <c r="X93" s="1289">
        <f t="shared" si="53"/>
        <v>1558.81</v>
      </c>
      <c r="Y93" s="1277" t="s">
        <v>3655</v>
      </c>
      <c r="Z93" s="1302" t="s">
        <v>292</v>
      </c>
      <c r="AA93" s="1303" t="s">
        <v>128</v>
      </c>
      <c r="AB93" s="1303"/>
      <c r="AC93" s="1304">
        <v>1100</v>
      </c>
      <c r="AD93" s="1304">
        <f t="shared" si="54"/>
        <v>0</v>
      </c>
      <c r="AE93" s="1304"/>
      <c r="AF93" s="1276"/>
      <c r="AG93" s="1276"/>
      <c r="AH93" s="1304">
        <f t="shared" si="64"/>
        <v>1100</v>
      </c>
      <c r="AI93" s="1304"/>
      <c r="AJ93" s="1304"/>
      <c r="AK93" s="1304"/>
      <c r="AL93" s="1304"/>
      <c r="AM93" s="1304"/>
      <c r="AN93" s="1277"/>
      <c r="AO93" s="1306">
        <f t="shared" si="62"/>
        <v>1100</v>
      </c>
      <c r="AP93" s="1306"/>
      <c r="AQ93" s="1306"/>
      <c r="AR93" s="1306"/>
      <c r="AS93" s="1306"/>
      <c r="AT93" s="1306"/>
      <c r="AU93" s="1306">
        <f t="shared" si="63"/>
        <v>1100</v>
      </c>
      <c r="AV93" s="1306"/>
      <c r="AW93" s="1306"/>
      <c r="AX93" s="1306"/>
      <c r="AY93" s="1306"/>
      <c r="AZ93" s="1306"/>
      <c r="BA93" s="1306"/>
      <c r="BB93" s="1306"/>
      <c r="BC93" s="1313"/>
      <c r="BD93" s="1313"/>
      <c r="BE93" s="1313"/>
      <c r="BF93" s="1313"/>
      <c r="BG93" s="1313"/>
      <c r="BH93" s="1313"/>
      <c r="BI93" s="1313"/>
      <c r="BJ93" s="1313"/>
      <c r="BK93" s="1313"/>
      <c r="BL93" s="1313"/>
      <c r="BM93" s="1313"/>
      <c r="BN93" s="1313">
        <f t="shared" si="65"/>
        <v>44</v>
      </c>
      <c r="BO93" s="1313"/>
      <c r="BP93" s="1313"/>
      <c r="BQ93" s="1313"/>
      <c r="BR93" s="1313"/>
      <c r="BS93" s="1313"/>
      <c r="BT93" s="1313"/>
      <c r="BU93" s="1313"/>
      <c r="BV93" s="1313"/>
      <c r="BW93" s="1313"/>
      <c r="BX93" s="1313"/>
      <c r="BY93" s="1313"/>
      <c r="BZ93" s="1277">
        <f t="shared" si="57"/>
        <v>1100</v>
      </c>
      <c r="CB93" s="1324"/>
      <c r="CC93" s="1324"/>
      <c r="CE93" s="1009">
        <f t="shared" si="47"/>
        <v>1613960</v>
      </c>
    </row>
    <row r="94" s="1255" customFormat="1" ht="36" customHeight="1" spans="1:83">
      <c r="A94" s="1262">
        <v>45714</v>
      </c>
      <c r="B94" s="1263" t="s">
        <v>3656</v>
      </c>
      <c r="C94" s="1264" t="s">
        <v>3214</v>
      </c>
      <c r="D94" s="1265">
        <v>4500158535</v>
      </c>
      <c r="E94" s="1266"/>
      <c r="F94" s="1265" t="s">
        <v>3657</v>
      </c>
      <c r="G94" s="1267" t="s">
        <v>96</v>
      </c>
      <c r="H94" s="1268" t="s">
        <v>74</v>
      </c>
      <c r="I94" s="1277">
        <v>1500</v>
      </c>
      <c r="J94" s="1278">
        <v>0</v>
      </c>
      <c r="K94" s="1267">
        <v>50</v>
      </c>
      <c r="L94" s="1277">
        <f t="shared" si="48"/>
        <v>30</v>
      </c>
      <c r="M94" s="1279">
        <v>45763</v>
      </c>
      <c r="N94" s="1279">
        <v>45759</v>
      </c>
      <c r="O94" s="1276"/>
      <c r="P94" s="1276" t="s">
        <v>92</v>
      </c>
      <c r="Q94" s="1276" t="s">
        <v>3658</v>
      </c>
      <c r="R94" s="1321" t="s">
        <v>3647</v>
      </c>
      <c r="S94" s="1321" t="s">
        <v>77</v>
      </c>
      <c r="T94" s="1321" t="s">
        <v>3653</v>
      </c>
      <c r="U94" s="1320" t="s">
        <v>3659</v>
      </c>
      <c r="V94" s="1287" t="s">
        <v>290</v>
      </c>
      <c r="W94" s="1288">
        <v>1.4344</v>
      </c>
      <c r="X94" s="1289">
        <f t="shared" si="53"/>
        <v>2151.6</v>
      </c>
      <c r="Y94" s="1277" t="s">
        <v>3660</v>
      </c>
      <c r="Z94" s="1302" t="s">
        <v>292</v>
      </c>
      <c r="AA94" s="1303" t="s">
        <v>128</v>
      </c>
      <c r="AB94" s="1303"/>
      <c r="AC94" s="1304">
        <v>1500</v>
      </c>
      <c r="AD94" s="1304">
        <f t="shared" si="54"/>
        <v>0</v>
      </c>
      <c r="AE94" s="1304"/>
      <c r="AF94" s="1276"/>
      <c r="AG94" s="1276"/>
      <c r="AH94" s="1304">
        <f t="shared" si="64"/>
        <v>1500</v>
      </c>
      <c r="AI94" s="1304"/>
      <c r="AJ94" s="1304"/>
      <c r="AK94" s="1304"/>
      <c r="AL94" s="1304"/>
      <c r="AM94" s="1304"/>
      <c r="AN94" s="1277"/>
      <c r="AO94" s="1306">
        <f t="shared" si="62"/>
        <v>1500</v>
      </c>
      <c r="AP94" s="1306"/>
      <c r="AQ94" s="1306"/>
      <c r="AR94" s="1306"/>
      <c r="AS94" s="1306"/>
      <c r="AT94" s="1306"/>
      <c r="AU94" s="1306">
        <f t="shared" si="63"/>
        <v>1500</v>
      </c>
      <c r="AV94" s="1306"/>
      <c r="AW94" s="1306"/>
      <c r="AX94" s="1306"/>
      <c r="AY94" s="1306"/>
      <c r="AZ94" s="1306"/>
      <c r="BA94" s="1306"/>
      <c r="BB94" s="1306"/>
      <c r="BC94" s="1313"/>
      <c r="BD94" s="1313"/>
      <c r="BE94" s="1313"/>
      <c r="BF94" s="1313"/>
      <c r="BG94" s="1313"/>
      <c r="BH94" s="1313"/>
      <c r="BI94" s="1313"/>
      <c r="BJ94" s="1313"/>
      <c r="BK94" s="1313"/>
      <c r="BL94" s="1313"/>
      <c r="BM94" s="1313"/>
      <c r="BN94" s="1313">
        <f t="shared" si="65"/>
        <v>60</v>
      </c>
      <c r="BO94" s="1313"/>
      <c r="BP94" s="1313"/>
      <c r="BQ94" s="1313"/>
      <c r="BR94" s="1313"/>
      <c r="BS94" s="1313"/>
      <c r="BT94" s="1313"/>
      <c r="BU94" s="1313"/>
      <c r="BV94" s="1313"/>
      <c r="BW94" s="1313"/>
      <c r="BX94" s="1313"/>
      <c r="BY94" s="1313"/>
      <c r="BZ94" s="1277">
        <f t="shared" si="57"/>
        <v>1500</v>
      </c>
      <c r="CB94" s="1324"/>
      <c r="CC94" s="1324"/>
      <c r="CE94" s="1009">
        <f t="shared" si="47"/>
        <v>1612460</v>
      </c>
    </row>
    <row r="95" s="1255" customFormat="1" ht="36" customHeight="1" spans="1:83">
      <c r="A95" s="1262">
        <v>45712</v>
      </c>
      <c r="B95" s="1263" t="s">
        <v>3661</v>
      </c>
      <c r="C95" s="1264" t="s">
        <v>3662</v>
      </c>
      <c r="D95" s="1265">
        <v>4500158415</v>
      </c>
      <c r="E95" s="1266"/>
      <c r="F95" s="1265" t="s">
        <v>3663</v>
      </c>
      <c r="G95" s="1267" t="s">
        <v>96</v>
      </c>
      <c r="H95" s="1268" t="s">
        <v>74</v>
      </c>
      <c r="I95" s="1277">
        <v>400</v>
      </c>
      <c r="J95" s="1278">
        <v>0</v>
      </c>
      <c r="K95" s="1267">
        <v>50</v>
      </c>
      <c r="L95" s="1277">
        <f t="shared" si="48"/>
        <v>8</v>
      </c>
      <c r="M95" s="1279">
        <v>45763</v>
      </c>
      <c r="N95" s="1279">
        <v>45759</v>
      </c>
      <c r="O95" s="1276"/>
      <c r="P95" s="1276" t="s">
        <v>92</v>
      </c>
      <c r="Q95" s="1276" t="s">
        <v>3658</v>
      </c>
      <c r="R95" s="1321" t="s">
        <v>3647</v>
      </c>
      <c r="S95" s="1321" t="s">
        <v>77</v>
      </c>
      <c r="T95" s="1321" t="s">
        <v>3653</v>
      </c>
      <c r="U95" s="1320" t="s">
        <v>3664</v>
      </c>
      <c r="V95" s="1287" t="s">
        <v>290</v>
      </c>
      <c r="W95" s="1288">
        <v>1.4395</v>
      </c>
      <c r="X95" s="1289">
        <f t="shared" si="53"/>
        <v>575.8</v>
      </c>
      <c r="Y95" s="709" t="s">
        <v>3665</v>
      </c>
      <c r="Z95" s="1302" t="s">
        <v>292</v>
      </c>
      <c r="AA95" s="1303" t="s">
        <v>128</v>
      </c>
      <c r="AB95" s="1303"/>
      <c r="AC95" s="1304">
        <v>400</v>
      </c>
      <c r="AD95" s="1304">
        <f t="shared" si="54"/>
        <v>0</v>
      </c>
      <c r="AE95" s="1304"/>
      <c r="AF95" s="1276"/>
      <c r="AG95" s="1276"/>
      <c r="AH95" s="1304">
        <f t="shared" si="64"/>
        <v>400</v>
      </c>
      <c r="AI95" s="1304"/>
      <c r="AJ95" s="1304"/>
      <c r="AK95" s="1304"/>
      <c r="AL95" s="1304"/>
      <c r="AM95" s="1304"/>
      <c r="AN95" s="1277"/>
      <c r="AO95" s="1306">
        <f t="shared" si="62"/>
        <v>400</v>
      </c>
      <c r="AP95" s="1306"/>
      <c r="AQ95" s="1306"/>
      <c r="AR95" s="1306"/>
      <c r="AS95" s="1306"/>
      <c r="AT95" s="1306"/>
      <c r="AU95" s="1306">
        <f t="shared" si="63"/>
        <v>400</v>
      </c>
      <c r="AV95" s="1306"/>
      <c r="AW95" s="1306"/>
      <c r="AX95" s="1306"/>
      <c r="AY95" s="1306"/>
      <c r="AZ95" s="1306"/>
      <c r="BA95" s="1306"/>
      <c r="BB95" s="1306"/>
      <c r="BC95" s="1313"/>
      <c r="BD95" s="1313"/>
      <c r="BE95" s="1313"/>
      <c r="BF95" s="1313"/>
      <c r="BG95" s="1313"/>
      <c r="BH95" s="1313"/>
      <c r="BI95" s="1313"/>
      <c r="BJ95" s="1313"/>
      <c r="BK95" s="1313"/>
      <c r="BL95" s="1313"/>
      <c r="BM95" s="1313"/>
      <c r="BN95" s="1313">
        <f t="shared" si="65"/>
        <v>16</v>
      </c>
      <c r="BO95" s="1313"/>
      <c r="BP95" s="1313"/>
      <c r="BQ95" s="1313"/>
      <c r="BR95" s="1313"/>
      <c r="BS95" s="1313"/>
      <c r="BT95" s="1313"/>
      <c r="BU95" s="1313"/>
      <c r="BV95" s="1313"/>
      <c r="BW95" s="1313"/>
      <c r="BX95" s="1313"/>
      <c r="BY95" s="1313"/>
      <c r="BZ95" s="1277">
        <f t="shared" si="57"/>
        <v>400</v>
      </c>
      <c r="CB95" s="1324"/>
      <c r="CC95" s="1324"/>
      <c r="CE95" s="1009">
        <f t="shared" si="47"/>
        <v>1612060</v>
      </c>
    </row>
    <row r="96" s="1255" customFormat="1" ht="36" customHeight="1" spans="1:83">
      <c r="A96" s="1262">
        <v>45701</v>
      </c>
      <c r="B96" s="1263" t="s">
        <v>3102</v>
      </c>
      <c r="C96" s="1264" t="s">
        <v>117</v>
      </c>
      <c r="D96" s="1265">
        <v>4500157202</v>
      </c>
      <c r="E96" s="1266">
        <v>70057992</v>
      </c>
      <c r="F96" s="1265" t="s">
        <v>3666</v>
      </c>
      <c r="G96" s="1267" t="s">
        <v>628</v>
      </c>
      <c r="H96" s="1268" t="s">
        <v>623</v>
      </c>
      <c r="I96" s="1277">
        <v>1008</v>
      </c>
      <c r="J96" s="1278">
        <v>0</v>
      </c>
      <c r="K96" s="1267">
        <v>12</v>
      </c>
      <c r="L96" s="1277">
        <f t="shared" si="48"/>
        <v>84</v>
      </c>
      <c r="M96" s="1279">
        <v>45783</v>
      </c>
      <c r="N96" s="1279">
        <v>45779</v>
      </c>
      <c r="O96" s="1276" t="s">
        <v>3633</v>
      </c>
      <c r="P96" s="1276" t="s">
        <v>92</v>
      </c>
      <c r="Q96" s="1276" t="s">
        <v>792</v>
      </c>
      <c r="R96" s="1321">
        <v>45701</v>
      </c>
      <c r="S96" s="1321" t="s">
        <v>77</v>
      </c>
      <c r="T96" s="1321" t="s">
        <v>3634</v>
      </c>
      <c r="U96" s="1320" t="s">
        <v>3635</v>
      </c>
      <c r="V96" s="1287" t="s">
        <v>2458</v>
      </c>
      <c r="W96" s="1288">
        <v>3.1012</v>
      </c>
      <c r="X96" s="1289">
        <f t="shared" si="53"/>
        <v>3126.0096</v>
      </c>
      <c r="Y96" s="1277" t="s">
        <v>3667</v>
      </c>
      <c r="Z96" s="1302" t="s">
        <v>822</v>
      </c>
      <c r="AA96" s="1303" t="s">
        <v>128</v>
      </c>
      <c r="AB96" s="1303"/>
      <c r="AC96" s="1304">
        <v>1008</v>
      </c>
      <c r="AD96" s="1304">
        <f t="shared" si="54"/>
        <v>0</v>
      </c>
      <c r="AE96" s="1304"/>
      <c r="AF96" s="1276"/>
      <c r="AG96" s="1276"/>
      <c r="AH96" s="1151">
        <f t="shared" ref="AH96:AH98" si="66">I96*2</f>
        <v>2016</v>
      </c>
      <c r="AI96" s="1304"/>
      <c r="AJ96" s="1304"/>
      <c r="AK96" s="1304"/>
      <c r="AL96" s="1304"/>
      <c r="AM96" s="1304"/>
      <c r="AN96" s="1277">
        <f>AH96</f>
        <v>2016</v>
      </c>
      <c r="AO96" s="1306"/>
      <c r="AP96" s="1306"/>
      <c r="AQ96" s="1306"/>
      <c r="AR96" s="1306"/>
      <c r="AS96" s="1306"/>
      <c r="AT96" s="1306"/>
      <c r="AU96" s="1306">
        <f t="shared" ref="AU96:AU98" si="67">AH96</f>
        <v>2016</v>
      </c>
      <c r="AV96" s="1306"/>
      <c r="AW96" s="1306"/>
      <c r="AX96" s="1306"/>
      <c r="AY96" s="1306"/>
      <c r="AZ96" s="1306"/>
      <c r="BA96" s="1306"/>
      <c r="BB96" s="1306"/>
      <c r="BC96" s="1313"/>
      <c r="BD96" s="1313"/>
      <c r="BE96" s="1313"/>
      <c r="BF96" s="1313"/>
      <c r="BG96" s="1313"/>
      <c r="BH96" s="1313"/>
      <c r="BI96" s="1313"/>
      <c r="BJ96" s="1313"/>
      <c r="BK96" s="1313"/>
      <c r="BL96" s="1313"/>
      <c r="BM96" s="1313"/>
      <c r="BN96" s="1313"/>
      <c r="BO96" s="1313"/>
      <c r="BP96" s="1313"/>
      <c r="BQ96" s="1313"/>
      <c r="BR96" s="1313"/>
      <c r="BS96" s="1313"/>
      <c r="BT96" s="1313"/>
      <c r="BU96" s="1313"/>
      <c r="BV96" s="1313"/>
      <c r="BW96" s="1313">
        <f t="shared" ref="BW96:BW98" si="68">I96</f>
        <v>1008</v>
      </c>
      <c r="BX96" s="1313">
        <f t="shared" ref="BX96:BX98" si="69">I96</f>
        <v>1008</v>
      </c>
      <c r="BY96" s="1313"/>
      <c r="BZ96" s="1277">
        <f t="shared" si="57"/>
        <v>2016</v>
      </c>
      <c r="CB96" s="1324"/>
      <c r="CC96" s="1324"/>
      <c r="CE96" s="1009">
        <f t="shared" si="47"/>
        <v>1610044</v>
      </c>
    </row>
    <row r="97" s="1255" customFormat="1" ht="36" customHeight="1" spans="1:83">
      <c r="A97" s="1262">
        <v>45720</v>
      </c>
      <c r="B97" s="1263" t="s">
        <v>2185</v>
      </c>
      <c r="C97" s="1264" t="s">
        <v>351</v>
      </c>
      <c r="D97" s="1265">
        <v>4500158873</v>
      </c>
      <c r="E97" s="1266" t="s">
        <v>3668</v>
      </c>
      <c r="F97" s="1265" t="s">
        <v>3669</v>
      </c>
      <c r="G97" s="1267" t="s">
        <v>628</v>
      </c>
      <c r="H97" s="1268" t="s">
        <v>623</v>
      </c>
      <c r="I97" s="1277">
        <v>444</v>
      </c>
      <c r="J97" s="1278">
        <v>0</v>
      </c>
      <c r="K97" s="1267">
        <v>12</v>
      </c>
      <c r="L97" s="1277">
        <f t="shared" si="48"/>
        <v>37</v>
      </c>
      <c r="M97" s="1279">
        <v>45768</v>
      </c>
      <c r="N97" s="1279">
        <v>45764</v>
      </c>
      <c r="O97" s="1276"/>
      <c r="P97" s="1276" t="s">
        <v>92</v>
      </c>
      <c r="Q97" s="1276" t="s">
        <v>3670</v>
      </c>
      <c r="R97" s="1276">
        <v>45720</v>
      </c>
      <c r="S97" s="1291" t="s">
        <v>77</v>
      </c>
      <c r="T97" s="1293" t="s">
        <v>77</v>
      </c>
      <c r="U97" s="1266" t="s">
        <v>3671</v>
      </c>
      <c r="V97" s="1287" t="s">
        <v>647</v>
      </c>
      <c r="W97" s="1288">
        <v>3.0641</v>
      </c>
      <c r="X97" s="1289">
        <f t="shared" si="53"/>
        <v>1360.4604</v>
      </c>
      <c r="Y97" s="1277"/>
      <c r="Z97" s="1302" t="s">
        <v>729</v>
      </c>
      <c r="AA97" s="1303" t="s">
        <v>128</v>
      </c>
      <c r="AB97" s="1303"/>
      <c r="AC97" s="1304">
        <v>444</v>
      </c>
      <c r="AD97" s="1304">
        <f t="shared" si="54"/>
        <v>0</v>
      </c>
      <c r="AE97" s="1304"/>
      <c r="AF97" s="1276"/>
      <c r="AG97" s="1276"/>
      <c r="AH97" s="1151">
        <f t="shared" si="66"/>
        <v>888</v>
      </c>
      <c r="AI97" s="1304"/>
      <c r="AJ97" s="1304"/>
      <c r="AK97" s="1304"/>
      <c r="AL97" s="1304"/>
      <c r="AM97" s="1304"/>
      <c r="AN97" s="1306"/>
      <c r="AO97" s="1306">
        <f>AH97</f>
        <v>888</v>
      </c>
      <c r="AP97" s="1306"/>
      <c r="AQ97" s="1306"/>
      <c r="AR97" s="1306"/>
      <c r="AS97" s="1306"/>
      <c r="AT97" s="1306"/>
      <c r="AU97" s="1311">
        <f t="shared" si="67"/>
        <v>888</v>
      </c>
      <c r="AV97" s="1311"/>
      <c r="AW97" s="1306"/>
      <c r="AX97" s="1306"/>
      <c r="AY97" s="1306"/>
      <c r="AZ97" s="1306"/>
      <c r="BA97" s="1306"/>
      <c r="BB97" s="1306"/>
      <c r="BC97" s="1313"/>
      <c r="BD97" s="1313"/>
      <c r="BE97" s="1313"/>
      <c r="BF97" s="1313"/>
      <c r="BG97" s="1313"/>
      <c r="BH97" s="1313"/>
      <c r="BI97" s="1313"/>
      <c r="BJ97" s="1313"/>
      <c r="BK97" s="1313"/>
      <c r="BL97" s="1313"/>
      <c r="BM97" s="1313"/>
      <c r="BN97" s="1313"/>
      <c r="BO97" s="1313"/>
      <c r="BP97" s="1313"/>
      <c r="BQ97" s="1313"/>
      <c r="BR97" s="1313"/>
      <c r="BS97" s="1313"/>
      <c r="BT97" s="1313"/>
      <c r="BU97" s="1313"/>
      <c r="BV97" s="1313"/>
      <c r="BW97" s="1313">
        <f t="shared" si="68"/>
        <v>444</v>
      </c>
      <c r="BX97" s="1313">
        <f t="shared" si="69"/>
        <v>444</v>
      </c>
      <c r="BY97" s="1313"/>
      <c r="BZ97" s="1277">
        <f t="shared" si="57"/>
        <v>888</v>
      </c>
      <c r="CB97" s="1324"/>
      <c r="CC97" s="1324"/>
      <c r="CE97" s="1009">
        <f t="shared" si="47"/>
        <v>1609156</v>
      </c>
    </row>
    <row r="98" s="1255" customFormat="1" ht="36" customHeight="1" spans="1:83">
      <c r="A98" s="1262">
        <v>45720</v>
      </c>
      <c r="B98" s="1263" t="s">
        <v>2185</v>
      </c>
      <c r="C98" s="1264" t="s">
        <v>351</v>
      </c>
      <c r="D98" s="1265">
        <v>4500158873</v>
      </c>
      <c r="E98" s="1266" t="s">
        <v>3672</v>
      </c>
      <c r="F98" s="1265" t="s">
        <v>3673</v>
      </c>
      <c r="G98" s="1267" t="s">
        <v>628</v>
      </c>
      <c r="H98" s="1268" t="s">
        <v>623</v>
      </c>
      <c r="I98" s="1277">
        <v>156</v>
      </c>
      <c r="J98" s="1278">
        <v>0</v>
      </c>
      <c r="K98" s="1267">
        <v>12</v>
      </c>
      <c r="L98" s="1277">
        <f t="shared" si="48"/>
        <v>13</v>
      </c>
      <c r="M98" s="1279">
        <v>45768</v>
      </c>
      <c r="N98" s="1279">
        <v>45764</v>
      </c>
      <c r="O98" s="1276"/>
      <c r="P98" s="1276" t="s">
        <v>92</v>
      </c>
      <c r="Q98" s="1276" t="s">
        <v>3670</v>
      </c>
      <c r="R98" s="1276">
        <v>45720</v>
      </c>
      <c r="S98" s="1291" t="s">
        <v>77</v>
      </c>
      <c r="T98" s="1293" t="s">
        <v>77</v>
      </c>
      <c r="U98" s="1266" t="s">
        <v>3671</v>
      </c>
      <c r="V98" s="1287" t="s">
        <v>647</v>
      </c>
      <c r="W98" s="1288">
        <v>3.1012</v>
      </c>
      <c r="X98" s="1289">
        <f t="shared" si="53"/>
        <v>483.7872</v>
      </c>
      <c r="Y98" s="1277"/>
      <c r="Z98" s="1302" t="s">
        <v>729</v>
      </c>
      <c r="AA98" s="1303" t="s">
        <v>128</v>
      </c>
      <c r="AB98" s="1303"/>
      <c r="AC98" s="1304">
        <v>156</v>
      </c>
      <c r="AD98" s="1304">
        <f t="shared" si="54"/>
        <v>0</v>
      </c>
      <c r="AE98" s="1304"/>
      <c r="AF98" s="1276"/>
      <c r="AG98" s="1276"/>
      <c r="AH98" s="1151">
        <f t="shared" si="66"/>
        <v>312</v>
      </c>
      <c r="AI98" s="1304"/>
      <c r="AJ98" s="1304"/>
      <c r="AK98" s="1304"/>
      <c r="AL98" s="1304"/>
      <c r="AM98" s="1304"/>
      <c r="AN98" s="1306"/>
      <c r="AO98" s="1306">
        <f>AH98</f>
        <v>312</v>
      </c>
      <c r="AP98" s="1306"/>
      <c r="AQ98" s="1306"/>
      <c r="AR98" s="1306"/>
      <c r="AS98" s="1306"/>
      <c r="AT98" s="1306"/>
      <c r="AU98" s="1311">
        <f t="shared" si="67"/>
        <v>312</v>
      </c>
      <c r="AV98" s="1311"/>
      <c r="AW98" s="1306"/>
      <c r="AX98" s="1306"/>
      <c r="AY98" s="1306"/>
      <c r="AZ98" s="1306"/>
      <c r="BA98" s="1306"/>
      <c r="BB98" s="1306"/>
      <c r="BC98" s="1313"/>
      <c r="BD98" s="1313"/>
      <c r="BE98" s="1313"/>
      <c r="BF98" s="1313"/>
      <c r="BG98" s="1313"/>
      <c r="BH98" s="1313"/>
      <c r="BI98" s="1313"/>
      <c r="BJ98" s="1313"/>
      <c r="BK98" s="1313"/>
      <c r="BL98" s="1313"/>
      <c r="BM98" s="1313"/>
      <c r="BN98" s="1313"/>
      <c r="BO98" s="1313"/>
      <c r="BP98" s="1313"/>
      <c r="BQ98" s="1313"/>
      <c r="BR98" s="1313"/>
      <c r="BS98" s="1313"/>
      <c r="BT98" s="1313"/>
      <c r="BU98" s="1313"/>
      <c r="BV98" s="1313"/>
      <c r="BW98" s="1313">
        <f t="shared" si="68"/>
        <v>156</v>
      </c>
      <c r="BX98" s="1313">
        <f t="shared" si="69"/>
        <v>156</v>
      </c>
      <c r="BY98" s="1313"/>
      <c r="BZ98" s="1277">
        <f t="shared" si="57"/>
        <v>312</v>
      </c>
      <c r="CB98" s="1324"/>
      <c r="CC98" s="1324"/>
      <c r="CE98" s="1009">
        <f t="shared" si="47"/>
        <v>1608844</v>
      </c>
    </row>
    <row r="99" s="1255" customFormat="1" ht="36" customHeight="1" spans="1:83">
      <c r="A99" s="1262">
        <v>45733</v>
      </c>
      <c r="B99" s="1263" t="s">
        <v>3674</v>
      </c>
      <c r="C99" s="1264" t="s">
        <v>3662</v>
      </c>
      <c r="D99" s="1265">
        <v>4500160421</v>
      </c>
      <c r="E99" s="1266"/>
      <c r="F99" s="1265" t="s">
        <v>3675</v>
      </c>
      <c r="G99" s="1267" t="s">
        <v>96</v>
      </c>
      <c r="H99" s="1268" t="s">
        <v>74</v>
      </c>
      <c r="I99" s="1277">
        <v>400</v>
      </c>
      <c r="J99" s="1278">
        <v>0</v>
      </c>
      <c r="K99" s="1267">
        <v>50</v>
      </c>
      <c r="L99" s="1277">
        <f t="shared" si="48"/>
        <v>8</v>
      </c>
      <c r="M99" s="1279">
        <v>45768</v>
      </c>
      <c r="N99" s="1279">
        <v>45764</v>
      </c>
      <c r="O99" s="1276"/>
      <c r="P99" s="1276" t="s">
        <v>1262</v>
      </c>
      <c r="Q99" s="1291" t="s">
        <v>3670</v>
      </c>
      <c r="R99" s="1276">
        <v>45736</v>
      </c>
      <c r="S99" s="1321" t="s">
        <v>77</v>
      </c>
      <c r="T99" s="1293" t="s">
        <v>3676</v>
      </c>
      <c r="U99" s="1266" t="s">
        <v>3677</v>
      </c>
      <c r="V99" s="1287" t="s">
        <v>618</v>
      </c>
      <c r="W99" s="1288">
        <v>1.4395</v>
      </c>
      <c r="X99" s="1289">
        <f t="shared" si="53"/>
        <v>575.8</v>
      </c>
      <c r="Y99" s="1277" t="s">
        <v>3678</v>
      </c>
      <c r="Z99" s="1302" t="s">
        <v>292</v>
      </c>
      <c r="AA99" s="1303" t="s">
        <v>128</v>
      </c>
      <c r="AB99" s="1303"/>
      <c r="AC99" s="1304">
        <v>400</v>
      </c>
      <c r="AD99" s="1304">
        <v>0</v>
      </c>
      <c r="AE99" s="1304"/>
      <c r="AF99" s="1276"/>
      <c r="AG99" s="1276"/>
      <c r="AH99" s="1304">
        <f t="shared" ref="AH99:AH104" si="70">I99</f>
        <v>400</v>
      </c>
      <c r="AI99" s="1304"/>
      <c r="AJ99" s="1304"/>
      <c r="AK99" s="1304"/>
      <c r="AL99" s="1304"/>
      <c r="AM99" s="1304"/>
      <c r="AN99" s="1306"/>
      <c r="AO99" s="1306">
        <f t="shared" ref="AO99:AO104" si="71">I99</f>
        <v>400</v>
      </c>
      <c r="AP99" s="1306"/>
      <c r="AQ99" s="1306"/>
      <c r="AR99" s="1306"/>
      <c r="AS99" s="1306"/>
      <c r="AT99" s="1306"/>
      <c r="AU99" s="1306">
        <f t="shared" ref="AU99:AU104" si="72">I99</f>
        <v>400</v>
      </c>
      <c r="AV99" s="1306"/>
      <c r="AW99" s="1306"/>
      <c r="AX99" s="1306"/>
      <c r="AY99" s="1306"/>
      <c r="AZ99" s="1306"/>
      <c r="BA99" s="1306"/>
      <c r="BB99" s="1306"/>
      <c r="BC99" s="1313"/>
      <c r="BD99" s="1313"/>
      <c r="BE99" s="1313"/>
      <c r="BF99" s="1313"/>
      <c r="BG99" s="1313"/>
      <c r="BH99" s="1313"/>
      <c r="BI99" s="1313"/>
      <c r="BJ99" s="1313"/>
      <c r="BK99" s="1313"/>
      <c r="BL99" s="1313"/>
      <c r="BM99" s="1313"/>
      <c r="BN99" s="1313">
        <f t="shared" ref="BN99:BN104" si="73">I99/25</f>
        <v>16</v>
      </c>
      <c r="BO99" s="1313"/>
      <c r="BP99" s="1313"/>
      <c r="BQ99" s="1313"/>
      <c r="BR99" s="1313"/>
      <c r="BS99" s="1313"/>
      <c r="BT99" s="1313"/>
      <c r="BU99" s="1313"/>
      <c r="BV99" s="1313"/>
      <c r="BW99" s="1313"/>
      <c r="BX99" s="1313"/>
      <c r="BY99" s="1313"/>
      <c r="BZ99" s="1277">
        <f t="shared" si="57"/>
        <v>400</v>
      </c>
      <c r="CB99" s="1324"/>
      <c r="CC99" s="1324"/>
      <c r="CE99" s="1009">
        <f t="shared" si="47"/>
        <v>1608444</v>
      </c>
    </row>
    <row r="100" s="1255" customFormat="1" ht="36" customHeight="1" spans="1:83">
      <c r="A100" s="1262">
        <v>45730</v>
      </c>
      <c r="B100" s="1263" t="s">
        <v>3679</v>
      </c>
      <c r="C100" s="1264" t="s">
        <v>2223</v>
      </c>
      <c r="D100" s="1265">
        <v>4500160287</v>
      </c>
      <c r="E100" s="1266"/>
      <c r="F100" s="1265" t="s">
        <v>3680</v>
      </c>
      <c r="G100" s="1267" t="s">
        <v>73</v>
      </c>
      <c r="H100" s="1268" t="s">
        <v>74</v>
      </c>
      <c r="I100" s="1277">
        <v>504</v>
      </c>
      <c r="J100" s="1278">
        <v>0</v>
      </c>
      <c r="K100" s="1267">
        <v>24</v>
      </c>
      <c r="L100" s="1277">
        <f t="shared" si="48"/>
        <v>21</v>
      </c>
      <c r="M100" s="1279">
        <v>45794</v>
      </c>
      <c r="N100" s="1279">
        <f t="shared" ref="N100:N102" si="74">M100-4</f>
        <v>45790</v>
      </c>
      <c r="O100" s="1276"/>
      <c r="P100" s="1276" t="s">
        <v>92</v>
      </c>
      <c r="Q100" s="1276" t="s">
        <v>1039</v>
      </c>
      <c r="R100" s="1276">
        <v>45742</v>
      </c>
      <c r="S100" s="1291" t="s">
        <v>77</v>
      </c>
      <c r="T100" s="1293" t="s">
        <v>3681</v>
      </c>
      <c r="U100" s="1266" t="s">
        <v>3682</v>
      </c>
      <c r="V100" s="1287" t="s">
        <v>1140</v>
      </c>
      <c r="W100" s="1288">
        <v>1.3754</v>
      </c>
      <c r="X100" s="1289">
        <f t="shared" si="53"/>
        <v>693.2016</v>
      </c>
      <c r="Y100" s="1277"/>
      <c r="Z100" s="1302" t="s">
        <v>188</v>
      </c>
      <c r="AA100" s="1303" t="s">
        <v>128</v>
      </c>
      <c r="AB100" s="1303"/>
      <c r="AC100" s="1304">
        <v>504</v>
      </c>
      <c r="AD100" s="1304">
        <f t="shared" ref="AD100:AD106" si="75">AC100-I100</f>
        <v>0</v>
      </c>
      <c r="AE100" s="1304"/>
      <c r="AF100" s="1276"/>
      <c r="AG100" s="1276"/>
      <c r="AH100" s="1304">
        <f t="shared" si="70"/>
        <v>504</v>
      </c>
      <c r="AI100" s="1304"/>
      <c r="AJ100" s="1304"/>
      <c r="AK100" s="1304"/>
      <c r="AL100" s="1304"/>
      <c r="AM100" s="1304"/>
      <c r="AN100" s="1306"/>
      <c r="AO100" s="1306">
        <f t="shared" si="71"/>
        <v>504</v>
      </c>
      <c r="AP100" s="1306"/>
      <c r="AQ100" s="1306"/>
      <c r="AR100" s="1306"/>
      <c r="AS100" s="1306"/>
      <c r="AT100" s="1306"/>
      <c r="AU100" s="1311">
        <f t="shared" si="72"/>
        <v>504</v>
      </c>
      <c r="AV100" s="1311"/>
      <c r="AW100" s="1306"/>
      <c r="AX100" s="1306"/>
      <c r="AY100" s="1306"/>
      <c r="AZ100" s="1306"/>
      <c r="BA100" s="1306"/>
      <c r="BB100" s="1306"/>
      <c r="BC100" s="1313"/>
      <c r="BD100" s="1313"/>
      <c r="BE100" s="1313"/>
      <c r="BF100" s="1313"/>
      <c r="BG100" s="1313"/>
      <c r="BH100" s="1313"/>
      <c r="BI100" s="1313"/>
      <c r="BJ100" s="1313"/>
      <c r="BK100" s="1313"/>
      <c r="BL100" s="1313"/>
      <c r="BM100" s="1313"/>
      <c r="BN100" s="1313"/>
      <c r="BO100" s="1313"/>
      <c r="BP100" s="1313"/>
      <c r="BQ100" s="1313"/>
      <c r="BR100" s="1313"/>
      <c r="BS100" s="1313"/>
      <c r="BT100" s="1313"/>
      <c r="BU100" s="1313"/>
      <c r="BV100" s="1313"/>
      <c r="BW100" s="1313"/>
      <c r="BX100" s="1313"/>
      <c r="BY100" s="1313"/>
      <c r="BZ100" s="1277">
        <f t="shared" si="57"/>
        <v>504</v>
      </c>
      <c r="CB100" s="1324"/>
      <c r="CC100" s="1324"/>
      <c r="CE100" s="1009">
        <f t="shared" si="47"/>
        <v>1607940</v>
      </c>
    </row>
    <row r="101" s="1255" customFormat="1" ht="36" customHeight="1" spans="1:83">
      <c r="A101" s="1262">
        <v>45730</v>
      </c>
      <c r="B101" s="1263" t="s">
        <v>3679</v>
      </c>
      <c r="C101" s="1264" t="s">
        <v>2223</v>
      </c>
      <c r="D101" s="1265">
        <v>4500160287</v>
      </c>
      <c r="E101" s="1266"/>
      <c r="F101" s="1265" t="s">
        <v>3683</v>
      </c>
      <c r="G101" s="1267" t="s">
        <v>403</v>
      </c>
      <c r="H101" s="1268" t="s">
        <v>74</v>
      </c>
      <c r="I101" s="1277">
        <v>312</v>
      </c>
      <c r="J101" s="1278">
        <v>0</v>
      </c>
      <c r="K101" s="1267">
        <v>52</v>
      </c>
      <c r="L101" s="1277">
        <f t="shared" si="48"/>
        <v>6</v>
      </c>
      <c r="M101" s="1279">
        <v>45794</v>
      </c>
      <c r="N101" s="1279">
        <f t="shared" si="74"/>
        <v>45790</v>
      </c>
      <c r="O101" s="1276"/>
      <c r="P101" s="1276" t="s">
        <v>1262</v>
      </c>
      <c r="Q101" s="1276" t="s">
        <v>1039</v>
      </c>
      <c r="R101" s="1276">
        <v>45742</v>
      </c>
      <c r="S101" s="1291" t="s">
        <v>77</v>
      </c>
      <c r="T101" s="1293" t="s">
        <v>3681</v>
      </c>
      <c r="U101" s="1266" t="s">
        <v>3682</v>
      </c>
      <c r="V101" s="1287" t="s">
        <v>1140</v>
      </c>
      <c r="W101" s="1288">
        <v>1.4239</v>
      </c>
      <c r="X101" s="1289">
        <f t="shared" si="53"/>
        <v>444.2568</v>
      </c>
      <c r="Y101" s="1277"/>
      <c r="Z101" s="1302" t="s">
        <v>2321</v>
      </c>
      <c r="AA101" s="1303" t="s">
        <v>128</v>
      </c>
      <c r="AB101" s="1303"/>
      <c r="AC101" s="1304">
        <v>312</v>
      </c>
      <c r="AD101" s="1304">
        <f t="shared" si="75"/>
        <v>0</v>
      </c>
      <c r="AE101" s="1304"/>
      <c r="AF101" s="1276"/>
      <c r="AG101" s="1276"/>
      <c r="AH101" s="1304">
        <f t="shared" si="70"/>
        <v>312</v>
      </c>
      <c r="AI101" s="1304"/>
      <c r="AJ101" s="1304"/>
      <c r="AK101" s="1304"/>
      <c r="AL101" s="1304"/>
      <c r="AM101" s="1304"/>
      <c r="AN101" s="1306"/>
      <c r="AO101" s="1306">
        <f t="shared" si="71"/>
        <v>312</v>
      </c>
      <c r="AP101" s="1306"/>
      <c r="AQ101" s="1306"/>
      <c r="AR101" s="1306"/>
      <c r="AS101" s="1306"/>
      <c r="AT101" s="1306"/>
      <c r="AU101" s="1311">
        <f t="shared" si="72"/>
        <v>312</v>
      </c>
      <c r="AV101" s="1311"/>
      <c r="AW101" s="1306"/>
      <c r="AX101" s="1306"/>
      <c r="AY101" s="1306"/>
      <c r="AZ101" s="1306"/>
      <c r="BA101" s="1306"/>
      <c r="BB101" s="1306"/>
      <c r="BC101" s="1313"/>
      <c r="BD101" s="1313"/>
      <c r="BE101" s="1313"/>
      <c r="BF101" s="1313"/>
      <c r="BG101" s="1313"/>
      <c r="BH101" s="1313"/>
      <c r="BI101" s="1313"/>
      <c r="BJ101" s="1313">
        <f>I101/13</f>
        <v>24</v>
      </c>
      <c r="BK101" s="1313"/>
      <c r="BL101" s="1313"/>
      <c r="BM101" s="1313"/>
      <c r="BN101" s="1313"/>
      <c r="BO101" s="1313"/>
      <c r="BP101" s="1313"/>
      <c r="BQ101" s="1313"/>
      <c r="BR101" s="1313"/>
      <c r="BS101" s="1313"/>
      <c r="BT101" s="1313"/>
      <c r="BU101" s="1313"/>
      <c r="BV101" s="1313"/>
      <c r="BW101" s="1313"/>
      <c r="BX101" s="1313"/>
      <c r="BY101" s="1313"/>
      <c r="BZ101" s="1277">
        <f t="shared" si="57"/>
        <v>312</v>
      </c>
      <c r="CB101" s="1324"/>
      <c r="CC101" s="1324"/>
      <c r="CE101" s="1009">
        <f t="shared" si="47"/>
        <v>1607628</v>
      </c>
    </row>
    <row r="102" s="1255" customFormat="1" ht="36" customHeight="1" spans="1:83">
      <c r="A102" s="1262">
        <v>45730</v>
      </c>
      <c r="B102" s="1263" t="s">
        <v>3679</v>
      </c>
      <c r="C102" s="1264" t="s">
        <v>2223</v>
      </c>
      <c r="D102" s="1265">
        <v>4500160287</v>
      </c>
      <c r="E102" s="1266"/>
      <c r="F102" s="1265" t="s">
        <v>3684</v>
      </c>
      <c r="G102" s="1267" t="s">
        <v>96</v>
      </c>
      <c r="H102" s="1268" t="s">
        <v>74</v>
      </c>
      <c r="I102" s="1277">
        <v>300</v>
      </c>
      <c r="J102" s="1278">
        <v>0</v>
      </c>
      <c r="K102" s="1267">
        <v>50</v>
      </c>
      <c r="L102" s="1277">
        <f t="shared" si="48"/>
        <v>6</v>
      </c>
      <c r="M102" s="1279">
        <v>45794</v>
      </c>
      <c r="N102" s="1279">
        <f t="shared" si="74"/>
        <v>45790</v>
      </c>
      <c r="O102" s="1276"/>
      <c r="P102" s="1276" t="s">
        <v>1262</v>
      </c>
      <c r="Q102" s="1276" t="s">
        <v>1039</v>
      </c>
      <c r="R102" s="1276">
        <v>45742</v>
      </c>
      <c r="S102" s="1291" t="s">
        <v>77</v>
      </c>
      <c r="T102" s="1293" t="s">
        <v>3681</v>
      </c>
      <c r="U102" s="1266" t="s">
        <v>3685</v>
      </c>
      <c r="V102" s="1287" t="s">
        <v>1140</v>
      </c>
      <c r="W102" s="1288">
        <v>1.4529</v>
      </c>
      <c r="X102" s="1289">
        <f t="shared" si="53"/>
        <v>435.87</v>
      </c>
      <c r="Y102" s="1277"/>
      <c r="Z102" s="1302" t="s">
        <v>292</v>
      </c>
      <c r="AA102" s="1303" t="s">
        <v>128</v>
      </c>
      <c r="AB102" s="1303"/>
      <c r="AC102" s="1304">
        <v>300</v>
      </c>
      <c r="AD102" s="1304">
        <f t="shared" si="75"/>
        <v>0</v>
      </c>
      <c r="AE102" s="1304"/>
      <c r="AF102" s="1276"/>
      <c r="AG102" s="1276"/>
      <c r="AH102" s="1304">
        <f t="shared" si="70"/>
        <v>300</v>
      </c>
      <c r="AI102" s="1304"/>
      <c r="AJ102" s="1304"/>
      <c r="AK102" s="1304"/>
      <c r="AL102" s="1304"/>
      <c r="AM102" s="1304"/>
      <c r="AN102" s="1306"/>
      <c r="AO102" s="1306">
        <f t="shared" si="71"/>
        <v>300</v>
      </c>
      <c r="AP102" s="1306"/>
      <c r="AQ102" s="1306"/>
      <c r="AR102" s="1306"/>
      <c r="AS102" s="1306"/>
      <c r="AT102" s="1306"/>
      <c r="AU102" s="1306">
        <f t="shared" si="72"/>
        <v>300</v>
      </c>
      <c r="AV102" s="1306"/>
      <c r="AW102" s="1306"/>
      <c r="AX102" s="1306"/>
      <c r="AY102" s="1306"/>
      <c r="AZ102" s="1306"/>
      <c r="BA102" s="1306"/>
      <c r="BB102" s="1306"/>
      <c r="BC102" s="1313"/>
      <c r="BD102" s="1313"/>
      <c r="BE102" s="1313"/>
      <c r="BF102" s="1313"/>
      <c r="BG102" s="1313"/>
      <c r="BH102" s="1313"/>
      <c r="BI102" s="1313"/>
      <c r="BJ102" s="1313"/>
      <c r="BK102" s="1313"/>
      <c r="BL102" s="1313"/>
      <c r="BM102" s="1313"/>
      <c r="BN102" s="1313">
        <f t="shared" si="73"/>
        <v>12</v>
      </c>
      <c r="BO102" s="1313"/>
      <c r="BP102" s="1313"/>
      <c r="BQ102" s="1313"/>
      <c r="BR102" s="1313"/>
      <c r="BS102" s="1313"/>
      <c r="BT102" s="1313"/>
      <c r="BU102" s="1313"/>
      <c r="BV102" s="1313"/>
      <c r="BW102" s="1313"/>
      <c r="BX102" s="1313"/>
      <c r="BY102" s="1313"/>
      <c r="BZ102" s="1277">
        <f t="shared" si="57"/>
        <v>300</v>
      </c>
      <c r="CB102" s="1324"/>
      <c r="CC102" s="1324"/>
      <c r="CE102" s="1009">
        <f t="shared" si="47"/>
        <v>1607328</v>
      </c>
    </row>
    <row r="103" s="1255" customFormat="1" ht="36" customHeight="1" spans="1:83">
      <c r="A103" s="1262">
        <v>45730</v>
      </c>
      <c r="B103" s="1263" t="s">
        <v>315</v>
      </c>
      <c r="C103" s="1264" t="s">
        <v>477</v>
      </c>
      <c r="D103" s="1265">
        <v>4500160230</v>
      </c>
      <c r="E103" s="1266" t="s">
        <v>3686</v>
      </c>
      <c r="F103" s="1265" t="s">
        <v>3687</v>
      </c>
      <c r="G103" s="1267" t="s">
        <v>3509</v>
      </c>
      <c r="H103" s="1268" t="s">
        <v>3510</v>
      </c>
      <c r="I103" s="1277">
        <v>552</v>
      </c>
      <c r="J103" s="1278">
        <v>0</v>
      </c>
      <c r="K103" s="1267">
        <v>24</v>
      </c>
      <c r="L103" s="1277">
        <f t="shared" si="48"/>
        <v>23</v>
      </c>
      <c r="M103" s="1279">
        <v>45771</v>
      </c>
      <c r="N103" s="1279">
        <v>45768</v>
      </c>
      <c r="O103" s="1276"/>
      <c r="P103" s="1276" t="s">
        <v>1262</v>
      </c>
      <c r="Q103" s="1276" t="s">
        <v>3688</v>
      </c>
      <c r="R103" s="1276" t="s">
        <v>1910</v>
      </c>
      <c r="S103" s="1291" t="s">
        <v>123</v>
      </c>
      <c r="T103" s="1293" t="s">
        <v>3689</v>
      </c>
      <c r="U103" s="1266" t="s">
        <v>3690</v>
      </c>
      <c r="V103" s="1287" t="s">
        <v>186</v>
      </c>
      <c r="W103" s="1288">
        <v>1.41</v>
      </c>
      <c r="X103" s="1289">
        <f t="shared" si="53"/>
        <v>778.32</v>
      </c>
      <c r="Y103" s="1277" t="s">
        <v>3691</v>
      </c>
      <c r="Z103" s="1302" t="s">
        <v>3509</v>
      </c>
      <c r="AA103" s="1303" t="s">
        <v>128</v>
      </c>
      <c r="AB103" s="1303"/>
      <c r="AC103" s="1304">
        <v>552</v>
      </c>
      <c r="AD103" s="1304">
        <f t="shared" si="75"/>
        <v>0</v>
      </c>
      <c r="AE103" s="1304"/>
      <c r="AF103" s="1276"/>
      <c r="AG103" s="1276"/>
      <c r="AH103" s="1304">
        <f t="shared" si="70"/>
        <v>552</v>
      </c>
      <c r="AI103" s="1304"/>
      <c r="AJ103" s="1304"/>
      <c r="AK103" s="1304"/>
      <c r="AL103" s="1304"/>
      <c r="AM103" s="1304"/>
      <c r="AN103" s="1306"/>
      <c r="AO103" s="1306">
        <f t="shared" si="71"/>
        <v>552</v>
      </c>
      <c r="AP103" s="1306"/>
      <c r="AQ103" s="1306"/>
      <c r="AR103" s="1306"/>
      <c r="AS103" s="1306"/>
      <c r="AT103" s="1306"/>
      <c r="AU103" s="1311">
        <f t="shared" si="72"/>
        <v>552</v>
      </c>
      <c r="AV103" s="1311"/>
      <c r="AW103" s="1306"/>
      <c r="AX103" s="1306"/>
      <c r="AY103" s="1306"/>
      <c r="AZ103" s="1306"/>
      <c r="BA103" s="1306"/>
      <c r="BB103" s="1306"/>
      <c r="BC103" s="1313"/>
      <c r="BD103" s="1313"/>
      <c r="BE103" s="1313"/>
      <c r="BF103" s="1313"/>
      <c r="BG103" s="1313"/>
      <c r="BH103" s="1313"/>
      <c r="BI103" s="1313"/>
      <c r="BJ103" s="1313"/>
      <c r="BK103" s="1313"/>
      <c r="BL103" s="1313"/>
      <c r="BM103" s="1313"/>
      <c r="BN103" s="1313"/>
      <c r="BO103" s="1313"/>
      <c r="BP103" s="1313"/>
      <c r="BQ103" s="1313"/>
      <c r="BR103" s="1313"/>
      <c r="BS103" s="1313"/>
      <c r="BT103" s="1313"/>
      <c r="BU103" s="1313"/>
      <c r="BV103" s="1313"/>
      <c r="BW103" s="1313"/>
      <c r="BX103" s="1313"/>
      <c r="BY103" s="1313"/>
      <c r="BZ103" s="1277">
        <f t="shared" si="57"/>
        <v>552</v>
      </c>
      <c r="CB103" s="1324"/>
      <c r="CC103" s="1324"/>
      <c r="CE103" s="1009">
        <f t="shared" si="47"/>
        <v>1606776</v>
      </c>
    </row>
    <row r="104" s="1255" customFormat="1" ht="36" customHeight="1" spans="1:83">
      <c r="A104" s="1262">
        <v>45730</v>
      </c>
      <c r="B104" s="1263" t="s">
        <v>3692</v>
      </c>
      <c r="C104" s="1264" t="s">
        <v>3693</v>
      </c>
      <c r="D104" s="1265">
        <v>4500160345</v>
      </c>
      <c r="E104" s="1266"/>
      <c r="F104" s="1265" t="s">
        <v>3694</v>
      </c>
      <c r="G104" s="1267" t="s">
        <v>96</v>
      </c>
      <c r="H104" s="1268" t="s">
        <v>74</v>
      </c>
      <c r="I104" s="1277">
        <v>150</v>
      </c>
      <c r="J104" s="1278">
        <v>0</v>
      </c>
      <c r="K104" s="1267">
        <v>50</v>
      </c>
      <c r="L104" s="1277">
        <f t="shared" si="48"/>
        <v>3</v>
      </c>
      <c r="M104" s="1279">
        <v>45776</v>
      </c>
      <c r="N104" s="1279">
        <v>45772</v>
      </c>
      <c r="O104" s="1276"/>
      <c r="P104" s="1276" t="s">
        <v>1262</v>
      </c>
      <c r="Q104" s="1276"/>
      <c r="R104" s="1276">
        <v>45743</v>
      </c>
      <c r="S104" s="1291" t="s">
        <v>77</v>
      </c>
      <c r="T104" s="1293" t="s">
        <v>3695</v>
      </c>
      <c r="U104" s="1266" t="s">
        <v>3696</v>
      </c>
      <c r="V104" s="1287" t="s">
        <v>618</v>
      </c>
      <c r="W104" s="1288">
        <v>1.4395</v>
      </c>
      <c r="X104" s="1289">
        <f t="shared" si="53"/>
        <v>215.925</v>
      </c>
      <c r="Y104" s="1277" t="s">
        <v>3697</v>
      </c>
      <c r="Z104" s="1302" t="s">
        <v>292</v>
      </c>
      <c r="AA104" s="1303" t="s">
        <v>128</v>
      </c>
      <c r="AB104" s="1303"/>
      <c r="AC104" s="1304">
        <v>150</v>
      </c>
      <c r="AD104" s="1304">
        <f t="shared" si="75"/>
        <v>0</v>
      </c>
      <c r="AE104" s="1304"/>
      <c r="AF104" s="1276"/>
      <c r="AG104" s="1276"/>
      <c r="AH104" s="1304">
        <f t="shared" si="70"/>
        <v>150</v>
      </c>
      <c r="AI104" s="1304"/>
      <c r="AJ104" s="1304"/>
      <c r="AK104" s="1304"/>
      <c r="AL104" s="1304"/>
      <c r="AM104" s="1304"/>
      <c r="AN104" s="1306"/>
      <c r="AO104" s="1306">
        <f t="shared" si="71"/>
        <v>150</v>
      </c>
      <c r="AP104" s="1306"/>
      <c r="AQ104" s="1306"/>
      <c r="AR104" s="1306"/>
      <c r="AS104" s="1306"/>
      <c r="AT104" s="1306"/>
      <c r="AU104" s="1306">
        <f t="shared" si="72"/>
        <v>150</v>
      </c>
      <c r="AV104" s="1306"/>
      <c r="AW104" s="1306"/>
      <c r="AX104" s="1306"/>
      <c r="AY104" s="1306"/>
      <c r="AZ104" s="1306"/>
      <c r="BA104" s="1306"/>
      <c r="BB104" s="1306"/>
      <c r="BC104" s="1313"/>
      <c r="BD104" s="1313"/>
      <c r="BE104" s="1313"/>
      <c r="BF104" s="1313"/>
      <c r="BG104" s="1313"/>
      <c r="BH104" s="1313"/>
      <c r="BI104" s="1313"/>
      <c r="BJ104" s="1313"/>
      <c r="BK104" s="1313"/>
      <c r="BL104" s="1313"/>
      <c r="BM104" s="1313"/>
      <c r="BN104" s="1313">
        <f t="shared" si="73"/>
        <v>6</v>
      </c>
      <c r="BO104" s="1313"/>
      <c r="BP104" s="1313"/>
      <c r="BQ104" s="1313"/>
      <c r="BR104" s="1313"/>
      <c r="BS104" s="1313"/>
      <c r="BT104" s="1313"/>
      <c r="BU104" s="1313"/>
      <c r="BV104" s="1313"/>
      <c r="BW104" s="1313"/>
      <c r="BX104" s="1313"/>
      <c r="BY104" s="1313"/>
      <c r="BZ104" s="1277">
        <f t="shared" si="57"/>
        <v>150</v>
      </c>
      <c r="CB104" s="1324"/>
      <c r="CC104" s="1324"/>
      <c r="CE104" s="1009">
        <f t="shared" si="47"/>
        <v>1606626</v>
      </c>
    </row>
    <row r="105" s="1255" customFormat="1" ht="36" customHeight="1" spans="1:83">
      <c r="A105" s="1262">
        <v>45701</v>
      </c>
      <c r="B105" s="1263" t="s">
        <v>1794</v>
      </c>
      <c r="C105" s="1264" t="s">
        <v>117</v>
      </c>
      <c r="D105" s="1265">
        <v>4500157317</v>
      </c>
      <c r="E105" s="1266" t="s">
        <v>3698</v>
      </c>
      <c r="F105" s="1265" t="s">
        <v>3699</v>
      </c>
      <c r="G105" s="1267" t="s">
        <v>628</v>
      </c>
      <c r="H105" s="1268" t="s">
        <v>623</v>
      </c>
      <c r="I105" s="1277">
        <v>804</v>
      </c>
      <c r="J105" s="1278">
        <v>0</v>
      </c>
      <c r="K105" s="1267">
        <v>12</v>
      </c>
      <c r="L105" s="1277">
        <f t="shared" si="48"/>
        <v>67</v>
      </c>
      <c r="M105" s="1279">
        <v>45772</v>
      </c>
      <c r="N105" s="1279">
        <v>45783</v>
      </c>
      <c r="O105" s="1276"/>
      <c r="P105" s="1276" t="s">
        <v>92</v>
      </c>
      <c r="Q105" s="1276" t="s">
        <v>3700</v>
      </c>
      <c r="R105" s="1276">
        <v>45701</v>
      </c>
      <c r="S105" s="1291" t="s">
        <v>77</v>
      </c>
      <c r="T105" s="1293" t="s">
        <v>3701</v>
      </c>
      <c r="U105" s="1266" t="s">
        <v>3702</v>
      </c>
      <c r="V105" s="1287" t="s">
        <v>3618</v>
      </c>
      <c r="W105" s="1288">
        <v>3.1012</v>
      </c>
      <c r="X105" s="1289">
        <f t="shared" si="53"/>
        <v>2493.3648</v>
      </c>
      <c r="Y105" s="1277" t="s">
        <v>3703</v>
      </c>
      <c r="Z105" s="1302" t="s">
        <v>822</v>
      </c>
      <c r="AA105" s="1303" t="s">
        <v>128</v>
      </c>
      <c r="AB105" s="1303"/>
      <c r="AC105" s="1304">
        <v>804</v>
      </c>
      <c r="AD105" s="1304">
        <f t="shared" si="75"/>
        <v>0</v>
      </c>
      <c r="AE105" s="1304"/>
      <c r="AF105" s="1276"/>
      <c r="AG105" s="1276"/>
      <c r="AH105" s="1151">
        <f>I105*2</f>
        <v>1608</v>
      </c>
      <c r="AI105" s="1304"/>
      <c r="AJ105" s="1304"/>
      <c r="AK105" s="1304"/>
      <c r="AL105" s="1304"/>
      <c r="AM105" s="1304"/>
      <c r="AN105" s="1306">
        <f t="shared" ref="AN105:AN110" si="76">AH105</f>
        <v>1608</v>
      </c>
      <c r="AO105" s="1306"/>
      <c r="AP105" s="1306"/>
      <c r="AQ105" s="1306"/>
      <c r="AR105" s="1306"/>
      <c r="AS105" s="1306"/>
      <c r="AT105" s="1306"/>
      <c r="AU105" s="1311">
        <f>AH105</f>
        <v>1608</v>
      </c>
      <c r="AV105" s="1311"/>
      <c r="AW105" s="1306"/>
      <c r="AX105" s="1306"/>
      <c r="AY105" s="1306"/>
      <c r="AZ105" s="1306"/>
      <c r="BA105" s="1306"/>
      <c r="BB105" s="1306"/>
      <c r="BC105" s="1313"/>
      <c r="BD105" s="1313"/>
      <c r="BE105" s="1313"/>
      <c r="BF105" s="1313"/>
      <c r="BG105" s="1313"/>
      <c r="BH105" s="1313"/>
      <c r="BI105" s="1313"/>
      <c r="BJ105" s="1313"/>
      <c r="BK105" s="1313"/>
      <c r="BL105" s="1313"/>
      <c r="BM105" s="1313"/>
      <c r="BN105" s="1313"/>
      <c r="BO105" s="1313"/>
      <c r="BP105" s="1313"/>
      <c r="BQ105" s="1313"/>
      <c r="BR105" s="1313"/>
      <c r="BS105" s="1313"/>
      <c r="BT105" s="1313"/>
      <c r="BU105" s="1313"/>
      <c r="BV105" s="1313"/>
      <c r="BW105" s="1313">
        <f>I105</f>
        <v>804</v>
      </c>
      <c r="BX105" s="1313">
        <f>BW105</f>
        <v>804</v>
      </c>
      <c r="BY105" s="1313"/>
      <c r="BZ105" s="1277">
        <f t="shared" si="57"/>
        <v>1608</v>
      </c>
      <c r="CB105" s="1324"/>
      <c r="CC105" s="1324"/>
      <c r="CE105" s="1009">
        <f t="shared" si="47"/>
        <v>1605018</v>
      </c>
    </row>
    <row r="106" s="1255" customFormat="1" ht="36" customHeight="1" spans="1:83">
      <c r="A106" s="1262">
        <v>45701</v>
      </c>
      <c r="B106" s="1263" t="s">
        <v>1794</v>
      </c>
      <c r="C106" s="1264" t="s">
        <v>117</v>
      </c>
      <c r="D106" s="1265">
        <v>4500157316</v>
      </c>
      <c r="E106" s="1266" t="s">
        <v>3704</v>
      </c>
      <c r="F106" s="1265" t="s">
        <v>3705</v>
      </c>
      <c r="G106" s="1267" t="s">
        <v>628</v>
      </c>
      <c r="H106" s="1268" t="s">
        <v>623</v>
      </c>
      <c r="I106" s="1277">
        <v>600</v>
      </c>
      <c r="J106" s="1278">
        <v>0</v>
      </c>
      <c r="K106" s="1267">
        <v>12</v>
      </c>
      <c r="L106" s="1277">
        <f t="shared" si="48"/>
        <v>50</v>
      </c>
      <c r="M106" s="1279">
        <v>45772</v>
      </c>
      <c r="N106" s="1279">
        <v>45783</v>
      </c>
      <c r="O106" s="1276"/>
      <c r="P106" s="1276" t="s">
        <v>92</v>
      </c>
      <c r="Q106" s="1276" t="s">
        <v>3700</v>
      </c>
      <c r="R106" s="1276">
        <v>45701</v>
      </c>
      <c r="S106" s="1291" t="s">
        <v>77</v>
      </c>
      <c r="T106" s="1293" t="s">
        <v>3701</v>
      </c>
      <c r="U106" s="1266" t="s">
        <v>3702</v>
      </c>
      <c r="V106" s="1287" t="s">
        <v>3618</v>
      </c>
      <c r="W106" s="1288">
        <v>3.1012</v>
      </c>
      <c r="X106" s="1289">
        <f t="shared" si="53"/>
        <v>1860.72</v>
      </c>
      <c r="Y106" s="1277" t="s">
        <v>3706</v>
      </c>
      <c r="Z106" s="1302" t="s">
        <v>822</v>
      </c>
      <c r="AA106" s="1303" t="s">
        <v>128</v>
      </c>
      <c r="AB106" s="1303"/>
      <c r="AC106" s="1304">
        <v>600</v>
      </c>
      <c r="AD106" s="1304">
        <f t="shared" si="75"/>
        <v>0</v>
      </c>
      <c r="AE106" s="1304"/>
      <c r="AF106" s="1276"/>
      <c r="AG106" s="1276"/>
      <c r="AH106" s="1151">
        <f>I106*2</f>
        <v>1200</v>
      </c>
      <c r="AI106" s="1304"/>
      <c r="AJ106" s="1304"/>
      <c r="AK106" s="1304"/>
      <c r="AL106" s="1304"/>
      <c r="AM106" s="1304"/>
      <c r="AN106" s="1306">
        <f t="shared" si="76"/>
        <v>1200</v>
      </c>
      <c r="AO106" s="1306"/>
      <c r="AP106" s="1306"/>
      <c r="AQ106" s="1306"/>
      <c r="AR106" s="1306"/>
      <c r="AS106" s="1306"/>
      <c r="AT106" s="1306"/>
      <c r="AU106" s="1311">
        <f>AH106</f>
        <v>1200</v>
      </c>
      <c r="AV106" s="1311"/>
      <c r="AW106" s="1306"/>
      <c r="AX106" s="1306"/>
      <c r="AY106" s="1306"/>
      <c r="AZ106" s="1306"/>
      <c r="BA106" s="1306"/>
      <c r="BB106" s="1306"/>
      <c r="BC106" s="1313"/>
      <c r="BD106" s="1313"/>
      <c r="BE106" s="1313"/>
      <c r="BF106" s="1313"/>
      <c r="BG106" s="1313"/>
      <c r="BH106" s="1313"/>
      <c r="BI106" s="1313"/>
      <c r="BJ106" s="1313"/>
      <c r="BK106" s="1313"/>
      <c r="BL106" s="1313"/>
      <c r="BM106" s="1313"/>
      <c r="BN106" s="1313"/>
      <c r="BO106" s="1313"/>
      <c r="BP106" s="1313"/>
      <c r="BQ106" s="1313"/>
      <c r="BR106" s="1313"/>
      <c r="BS106" s="1313"/>
      <c r="BT106" s="1313"/>
      <c r="BU106" s="1313"/>
      <c r="BV106" s="1313"/>
      <c r="BW106" s="1313">
        <f>I106</f>
        <v>600</v>
      </c>
      <c r="BX106" s="1313">
        <f>BW106</f>
        <v>600</v>
      </c>
      <c r="BY106" s="1313"/>
      <c r="BZ106" s="1277">
        <f t="shared" si="57"/>
        <v>1200</v>
      </c>
      <c r="CB106" s="1324"/>
      <c r="CC106" s="1324"/>
      <c r="CE106" s="1009">
        <f t="shared" si="47"/>
        <v>1603818</v>
      </c>
    </row>
    <row r="107" s="1009" customFormat="1" ht="36" customHeight="1" spans="1:83">
      <c r="A107" s="540">
        <v>45758</v>
      </c>
      <c r="B107" s="1036"/>
      <c r="C107" s="1037"/>
      <c r="D107" s="1038" t="s">
        <v>3707</v>
      </c>
      <c r="E107" s="1039"/>
      <c r="F107" s="1038"/>
      <c r="G107" s="1040" t="s">
        <v>73</v>
      </c>
      <c r="H107" s="1041" t="s">
        <v>3708</v>
      </c>
      <c r="I107" s="1012">
        <f>11*15</f>
        <v>165</v>
      </c>
      <c r="J107" s="1087">
        <v>0</v>
      </c>
      <c r="K107" s="1040">
        <v>11</v>
      </c>
      <c r="L107" s="1012">
        <f t="shared" si="48"/>
        <v>15</v>
      </c>
      <c r="M107" s="1079">
        <v>45789</v>
      </c>
      <c r="N107" s="1079">
        <v>45785</v>
      </c>
      <c r="O107" s="579"/>
      <c r="P107" s="579" t="s">
        <v>1262</v>
      </c>
      <c r="Q107" s="579"/>
      <c r="R107" s="579">
        <v>45758</v>
      </c>
      <c r="S107" s="578" t="s">
        <v>77</v>
      </c>
      <c r="T107" s="695" t="s">
        <v>77</v>
      </c>
      <c r="U107" s="1039" t="s">
        <v>3709</v>
      </c>
      <c r="V107" s="1112" t="s">
        <v>2968</v>
      </c>
      <c r="W107" s="1113"/>
      <c r="X107" s="1114"/>
      <c r="Y107" s="1012"/>
      <c r="Z107" s="1159" t="s">
        <v>188</v>
      </c>
      <c r="AA107" s="1150" t="s">
        <v>128</v>
      </c>
      <c r="AB107" s="1150"/>
      <c r="AC107" s="1151">
        <v>165</v>
      </c>
      <c r="AD107" s="1151"/>
      <c r="AE107" s="1151"/>
      <c r="AF107" s="579"/>
      <c r="AG107" s="579"/>
      <c r="AH107" s="1151">
        <f t="shared" ref="AH107:AH111" si="77">I107</f>
        <v>165</v>
      </c>
      <c r="AI107" s="1151"/>
      <c r="AJ107" s="1151"/>
      <c r="AK107" s="1151"/>
      <c r="AL107" s="1151"/>
      <c r="AM107" s="1151"/>
      <c r="AN107" s="543"/>
      <c r="AO107" s="543">
        <f>I107</f>
        <v>165</v>
      </c>
      <c r="AP107" s="543"/>
      <c r="AQ107" s="543"/>
      <c r="AR107" s="543"/>
      <c r="AS107" s="543"/>
      <c r="AT107" s="543"/>
      <c r="AU107" s="1310">
        <f t="shared" ref="AU107:AU111" si="78">I107</f>
        <v>165</v>
      </c>
      <c r="AV107" s="1310"/>
      <c r="AW107" s="543"/>
      <c r="AX107" s="543"/>
      <c r="AY107" s="543"/>
      <c r="AZ107" s="543"/>
      <c r="BA107" s="543"/>
      <c r="BB107" s="543"/>
      <c r="BC107" s="1200"/>
      <c r="BD107" s="1200"/>
      <c r="BE107" s="1200"/>
      <c r="BF107" s="1200"/>
      <c r="BG107" s="1200"/>
      <c r="BH107" s="1200"/>
      <c r="BI107" s="1200"/>
      <c r="BJ107" s="1200"/>
      <c r="BK107" s="1200"/>
      <c r="BL107" s="1200"/>
      <c r="BM107" s="1200"/>
      <c r="BN107" s="1200"/>
      <c r="BO107" s="1200"/>
      <c r="BP107" s="1200"/>
      <c r="BQ107" s="1200"/>
      <c r="BR107" s="1200"/>
      <c r="BS107" s="1200"/>
      <c r="BT107" s="1200"/>
      <c r="BU107" s="1200"/>
      <c r="BV107" s="1200"/>
      <c r="BW107" s="1200"/>
      <c r="BX107" s="1200"/>
      <c r="BY107" s="1200"/>
      <c r="BZ107" s="1012">
        <f t="shared" si="57"/>
        <v>165</v>
      </c>
      <c r="CB107" s="1219"/>
      <c r="CC107" s="1219"/>
      <c r="CE107" s="1009">
        <f t="shared" si="47"/>
        <v>1603653</v>
      </c>
    </row>
    <row r="108" s="1009" customFormat="1" ht="36" customHeight="1" spans="1:83">
      <c r="A108" s="540">
        <v>45747</v>
      </c>
      <c r="B108" s="1036" t="s">
        <v>3710</v>
      </c>
      <c r="C108" s="1037" t="s">
        <v>117</v>
      </c>
      <c r="D108" s="1038">
        <v>4500161385</v>
      </c>
      <c r="E108" s="1039">
        <v>216951862</v>
      </c>
      <c r="F108" s="1038" t="s">
        <v>3711</v>
      </c>
      <c r="G108" s="1040" t="s">
        <v>160</v>
      </c>
      <c r="H108" s="1041" t="s">
        <v>74</v>
      </c>
      <c r="I108" s="1012">
        <v>2418</v>
      </c>
      <c r="J108" s="1087">
        <v>0</v>
      </c>
      <c r="K108" s="1040">
        <v>13</v>
      </c>
      <c r="L108" s="1012">
        <f t="shared" si="48"/>
        <v>186</v>
      </c>
      <c r="M108" s="1079">
        <v>45790</v>
      </c>
      <c r="N108" s="1079">
        <v>45786</v>
      </c>
      <c r="O108" s="579"/>
      <c r="P108" s="1276" t="s">
        <v>92</v>
      </c>
      <c r="Q108" s="1322" t="s">
        <v>3712</v>
      </c>
      <c r="R108" s="579">
        <v>45756</v>
      </c>
      <c r="S108" s="578" t="s">
        <v>77</v>
      </c>
      <c r="T108" s="695" t="s">
        <v>77</v>
      </c>
      <c r="U108" s="1039" t="s">
        <v>3713</v>
      </c>
      <c r="V108" s="1112" t="s">
        <v>3714</v>
      </c>
      <c r="W108" s="1113">
        <v>1.3614</v>
      </c>
      <c r="X108" s="1114">
        <f t="shared" ref="X108:X114" si="79">I108*W108</f>
        <v>3291.8652</v>
      </c>
      <c r="Y108" s="1012"/>
      <c r="Z108" s="1159" t="s">
        <v>160</v>
      </c>
      <c r="AA108" s="1150" t="s">
        <v>128</v>
      </c>
      <c r="AB108" s="1150"/>
      <c r="AC108" s="1151">
        <v>2418</v>
      </c>
      <c r="AD108" s="1151">
        <f t="shared" ref="AD108:AD171" si="80">AC108-I108</f>
        <v>0</v>
      </c>
      <c r="AE108" s="1151"/>
      <c r="AF108" s="579"/>
      <c r="AG108" s="579"/>
      <c r="AH108" s="1151">
        <f t="shared" si="77"/>
        <v>2418</v>
      </c>
      <c r="AI108" s="1151"/>
      <c r="AJ108" s="1151"/>
      <c r="AK108" s="1151"/>
      <c r="AL108" s="1151"/>
      <c r="AM108" s="1151"/>
      <c r="AN108" s="543">
        <f>I108</f>
        <v>2418</v>
      </c>
      <c r="AO108" s="543"/>
      <c r="AP108" s="543"/>
      <c r="AQ108" s="543"/>
      <c r="AR108" s="543"/>
      <c r="AS108" s="543"/>
      <c r="AT108" s="543"/>
      <c r="AU108" s="543">
        <f t="shared" si="78"/>
        <v>2418</v>
      </c>
      <c r="AV108" s="543"/>
      <c r="AW108" s="543"/>
      <c r="AX108" s="543"/>
      <c r="AY108" s="543"/>
      <c r="AZ108" s="543"/>
      <c r="BA108" s="543"/>
      <c r="BB108" s="543"/>
      <c r="BC108" s="1200"/>
      <c r="BD108" s="1200"/>
      <c r="BE108" s="1200"/>
      <c r="BF108" s="1200"/>
      <c r="BG108" s="1200"/>
      <c r="BH108" s="1200"/>
      <c r="BI108" s="1200">
        <f>I108/13</f>
        <v>186</v>
      </c>
      <c r="BJ108" s="1200"/>
      <c r="BK108" s="1200"/>
      <c r="BL108" s="1200"/>
      <c r="BM108" s="1200"/>
      <c r="BN108" s="1200"/>
      <c r="BO108" s="1200"/>
      <c r="BP108" s="1200"/>
      <c r="BQ108" s="1200"/>
      <c r="BR108" s="1200"/>
      <c r="BS108" s="1200"/>
      <c r="BT108" s="1200"/>
      <c r="BU108" s="1200"/>
      <c r="BV108" s="1200"/>
      <c r="BW108" s="1200"/>
      <c r="BX108" s="1200"/>
      <c r="BY108" s="1200"/>
      <c r="BZ108" s="1012">
        <f t="shared" si="57"/>
        <v>2418</v>
      </c>
      <c r="CB108" s="1219"/>
      <c r="CC108" s="1219"/>
      <c r="CE108" s="1009">
        <f t="shared" si="47"/>
        <v>1601235</v>
      </c>
    </row>
    <row r="109" s="1009" customFormat="1" ht="36" customHeight="1" spans="1:83">
      <c r="A109" s="540">
        <v>45747</v>
      </c>
      <c r="B109" s="1036" t="s">
        <v>3710</v>
      </c>
      <c r="C109" s="1037" t="s">
        <v>117</v>
      </c>
      <c r="D109" s="1038">
        <v>4500161459</v>
      </c>
      <c r="E109" s="1039">
        <v>216951855</v>
      </c>
      <c r="F109" s="1038" t="s">
        <v>3715</v>
      </c>
      <c r="G109" s="1040" t="s">
        <v>160</v>
      </c>
      <c r="H109" s="1041" t="s">
        <v>74</v>
      </c>
      <c r="I109" s="1012">
        <v>4628</v>
      </c>
      <c r="J109" s="1087">
        <v>0</v>
      </c>
      <c r="K109" s="1040">
        <v>13</v>
      </c>
      <c r="L109" s="1012">
        <f t="shared" si="48"/>
        <v>356</v>
      </c>
      <c r="M109" s="1079">
        <v>45790</v>
      </c>
      <c r="N109" s="1079">
        <v>45786</v>
      </c>
      <c r="O109" s="579"/>
      <c r="P109" s="1276" t="s">
        <v>92</v>
      </c>
      <c r="Q109" s="579" t="s">
        <v>3716</v>
      </c>
      <c r="R109" s="579">
        <v>45756</v>
      </c>
      <c r="S109" s="578" t="s">
        <v>77</v>
      </c>
      <c r="T109" s="695" t="s">
        <v>77</v>
      </c>
      <c r="U109" s="1039" t="s">
        <v>3713</v>
      </c>
      <c r="V109" s="1112" t="s">
        <v>3714</v>
      </c>
      <c r="W109" s="1113">
        <v>1.4133</v>
      </c>
      <c r="X109" s="1114">
        <f t="shared" si="79"/>
        <v>6540.7524</v>
      </c>
      <c r="Y109" s="543" t="s">
        <v>3717</v>
      </c>
      <c r="Z109" s="1159" t="s">
        <v>160</v>
      </c>
      <c r="AA109" s="1150" t="s">
        <v>128</v>
      </c>
      <c r="AB109" s="1150"/>
      <c r="AC109" s="1151">
        <v>4628</v>
      </c>
      <c r="AD109" s="1151">
        <f t="shared" si="80"/>
        <v>0</v>
      </c>
      <c r="AE109" s="1151"/>
      <c r="AF109" s="579"/>
      <c r="AG109" s="579"/>
      <c r="AH109" s="1151">
        <f t="shared" si="77"/>
        <v>4628</v>
      </c>
      <c r="AI109" s="1151"/>
      <c r="AJ109" s="1151"/>
      <c r="AK109" s="1151"/>
      <c r="AL109" s="1151"/>
      <c r="AM109" s="1151"/>
      <c r="AN109" s="543">
        <f>I109</f>
        <v>4628</v>
      </c>
      <c r="AO109" s="543"/>
      <c r="AP109" s="543"/>
      <c r="AQ109" s="543"/>
      <c r="AR109" s="543"/>
      <c r="AS109" s="543"/>
      <c r="AT109" s="543"/>
      <c r="AU109" s="543">
        <f t="shared" si="78"/>
        <v>4628</v>
      </c>
      <c r="AV109" s="543"/>
      <c r="AW109" s="543"/>
      <c r="AX109" s="543"/>
      <c r="AY109" s="543"/>
      <c r="AZ109" s="543"/>
      <c r="BA109" s="543"/>
      <c r="BB109" s="543"/>
      <c r="BC109" s="1200"/>
      <c r="BD109" s="1200"/>
      <c r="BE109" s="1200"/>
      <c r="BF109" s="1200"/>
      <c r="BG109" s="1200"/>
      <c r="BH109" s="1200"/>
      <c r="BI109" s="1200">
        <f>I109/13</f>
        <v>356</v>
      </c>
      <c r="BJ109" s="1200"/>
      <c r="BK109" s="1200"/>
      <c r="BL109" s="1200"/>
      <c r="BM109" s="1200"/>
      <c r="BN109" s="1200"/>
      <c r="BO109" s="1200"/>
      <c r="BP109" s="1200"/>
      <c r="BQ109" s="1200"/>
      <c r="BR109" s="1200"/>
      <c r="BS109" s="1200"/>
      <c r="BT109" s="1200"/>
      <c r="BU109" s="1200"/>
      <c r="BV109" s="1200"/>
      <c r="BW109" s="1200"/>
      <c r="BX109" s="1200"/>
      <c r="BY109" s="1200"/>
      <c r="BZ109" s="1012">
        <f t="shared" si="57"/>
        <v>4628</v>
      </c>
      <c r="CB109" s="1219"/>
      <c r="CC109" s="1219"/>
      <c r="CE109" s="1009">
        <f t="shared" si="47"/>
        <v>1596607</v>
      </c>
    </row>
    <row r="110" s="1009" customFormat="1" ht="36" customHeight="1" spans="1:83">
      <c r="A110" s="540">
        <v>45750</v>
      </c>
      <c r="B110" s="1036" t="s">
        <v>517</v>
      </c>
      <c r="C110" s="1037" t="s">
        <v>117</v>
      </c>
      <c r="D110" s="1038">
        <v>4500162408</v>
      </c>
      <c r="E110" s="1039" t="s">
        <v>3718</v>
      </c>
      <c r="F110" s="1038" t="s">
        <v>3719</v>
      </c>
      <c r="G110" s="1040" t="s">
        <v>96</v>
      </c>
      <c r="H110" s="1041" t="s">
        <v>74</v>
      </c>
      <c r="I110" s="1012">
        <v>1450</v>
      </c>
      <c r="J110" s="1087">
        <v>0</v>
      </c>
      <c r="K110" s="1040">
        <v>50</v>
      </c>
      <c r="L110" s="1012">
        <f t="shared" si="48"/>
        <v>29</v>
      </c>
      <c r="M110" s="1079">
        <v>45791</v>
      </c>
      <c r="N110" s="1079">
        <v>45789</v>
      </c>
      <c r="O110" s="579"/>
      <c r="P110" s="579" t="s">
        <v>1262</v>
      </c>
      <c r="Q110" s="579" t="s">
        <v>3720</v>
      </c>
      <c r="R110" s="579">
        <v>45761</v>
      </c>
      <c r="S110" s="578" t="s">
        <v>77</v>
      </c>
      <c r="T110" s="695" t="s">
        <v>77</v>
      </c>
      <c r="U110" s="1039" t="s">
        <v>2814</v>
      </c>
      <c r="V110" s="1112" t="s">
        <v>3721</v>
      </c>
      <c r="W110" s="1113">
        <v>1.4344</v>
      </c>
      <c r="X110" s="1114">
        <f t="shared" si="79"/>
        <v>2079.88</v>
      </c>
      <c r="Y110" s="1012"/>
      <c r="Z110" s="1159" t="s">
        <v>96</v>
      </c>
      <c r="AA110" s="1150" t="s">
        <v>128</v>
      </c>
      <c r="AB110" s="1150"/>
      <c r="AC110" s="1151">
        <v>1450</v>
      </c>
      <c r="AD110" s="1151">
        <f t="shared" si="80"/>
        <v>0</v>
      </c>
      <c r="AE110" s="1151"/>
      <c r="AF110" s="579"/>
      <c r="AG110" s="579"/>
      <c r="AH110" s="1151">
        <f t="shared" si="77"/>
        <v>1450</v>
      </c>
      <c r="AI110" s="1151"/>
      <c r="AJ110" s="1151"/>
      <c r="AK110" s="1151"/>
      <c r="AL110" s="1151"/>
      <c r="AM110" s="1151"/>
      <c r="AN110" s="543">
        <f t="shared" si="76"/>
        <v>1450</v>
      </c>
      <c r="AO110" s="543"/>
      <c r="AP110" s="543"/>
      <c r="AQ110" s="543"/>
      <c r="AR110" s="543"/>
      <c r="AS110" s="543"/>
      <c r="AT110" s="543"/>
      <c r="AU110" s="543">
        <f t="shared" si="78"/>
        <v>1450</v>
      </c>
      <c r="AV110" s="543"/>
      <c r="AW110" s="543"/>
      <c r="AX110" s="543"/>
      <c r="AY110" s="543"/>
      <c r="AZ110" s="543"/>
      <c r="BA110" s="543"/>
      <c r="BB110" s="543"/>
      <c r="BC110" s="1200"/>
      <c r="BD110" s="1200"/>
      <c r="BE110" s="1200"/>
      <c r="BF110" s="1200"/>
      <c r="BG110" s="1200"/>
      <c r="BH110" s="1200"/>
      <c r="BI110" s="1200"/>
      <c r="BJ110" s="1200"/>
      <c r="BK110" s="1200"/>
      <c r="BL110" s="1200"/>
      <c r="BM110" s="1200">
        <f>I110/25</f>
        <v>58</v>
      </c>
      <c r="BN110" s="1200"/>
      <c r="BO110" s="1200"/>
      <c r="BP110" s="1200"/>
      <c r="BQ110" s="1200"/>
      <c r="BR110" s="1200"/>
      <c r="BS110" s="1200"/>
      <c r="BT110" s="1200"/>
      <c r="BU110" s="1200"/>
      <c r="BV110" s="1200"/>
      <c r="BW110" s="1200"/>
      <c r="BX110" s="1200"/>
      <c r="BY110" s="1200"/>
      <c r="BZ110" s="1012">
        <f t="shared" si="57"/>
        <v>1450</v>
      </c>
      <c r="CB110" s="1219"/>
      <c r="CC110" s="1219"/>
      <c r="CE110" s="1009">
        <f t="shared" si="47"/>
        <v>1595157</v>
      </c>
    </row>
    <row r="111" s="1009" customFormat="1" ht="36" customHeight="1" spans="1:83">
      <c r="A111" s="540">
        <v>45755</v>
      </c>
      <c r="B111" s="1036" t="s">
        <v>762</v>
      </c>
      <c r="C111" s="1037" t="s">
        <v>763</v>
      </c>
      <c r="D111" s="1038">
        <v>4500162922</v>
      </c>
      <c r="E111" s="1039">
        <v>4504192366</v>
      </c>
      <c r="F111" s="1038" t="s">
        <v>3722</v>
      </c>
      <c r="G111" s="1040" t="s">
        <v>96</v>
      </c>
      <c r="H111" s="1041" t="s">
        <v>74</v>
      </c>
      <c r="I111" s="1012">
        <v>3000</v>
      </c>
      <c r="J111" s="1087">
        <v>0</v>
      </c>
      <c r="K111" s="1040">
        <v>50</v>
      </c>
      <c r="L111" s="1012">
        <f t="shared" si="48"/>
        <v>60</v>
      </c>
      <c r="M111" s="1079">
        <v>45792</v>
      </c>
      <c r="N111" s="1079">
        <v>45789</v>
      </c>
      <c r="O111" s="579" t="s">
        <v>3723</v>
      </c>
      <c r="P111" s="579" t="s">
        <v>92</v>
      </c>
      <c r="Q111" s="1322" t="s">
        <v>3724</v>
      </c>
      <c r="R111" s="584">
        <v>45762</v>
      </c>
      <c r="S111" s="584" t="s">
        <v>77</v>
      </c>
      <c r="T111" s="584" t="s">
        <v>3725</v>
      </c>
      <c r="U111" s="1039" t="s">
        <v>3726</v>
      </c>
      <c r="V111" s="1112" t="s">
        <v>618</v>
      </c>
      <c r="W111" s="1113">
        <v>1.4174</v>
      </c>
      <c r="X111" s="1114">
        <f t="shared" si="79"/>
        <v>4252.2</v>
      </c>
      <c r="Y111" s="1012"/>
      <c r="Z111" s="1159" t="s">
        <v>292</v>
      </c>
      <c r="AA111" s="1150" t="s">
        <v>128</v>
      </c>
      <c r="AB111" s="1150"/>
      <c r="AC111" s="1151">
        <v>3000</v>
      </c>
      <c r="AD111" s="1151">
        <f t="shared" si="80"/>
        <v>0</v>
      </c>
      <c r="AE111" s="1151"/>
      <c r="AF111" s="579"/>
      <c r="AG111" s="579"/>
      <c r="AH111" s="1151">
        <f t="shared" si="77"/>
        <v>3000</v>
      </c>
      <c r="AI111" s="1151"/>
      <c r="AJ111" s="1151"/>
      <c r="AK111" s="1151"/>
      <c r="AL111" s="1151"/>
      <c r="AM111" s="1151"/>
      <c r="AN111" s="543"/>
      <c r="AO111" s="543">
        <f t="shared" ref="AO111:AO116" si="81">I111</f>
        <v>3000</v>
      </c>
      <c r="AP111" s="543"/>
      <c r="AQ111" s="543"/>
      <c r="AR111" s="543"/>
      <c r="AS111" s="543"/>
      <c r="AT111" s="543"/>
      <c r="AU111" s="543">
        <f t="shared" si="78"/>
        <v>3000</v>
      </c>
      <c r="AV111" s="543"/>
      <c r="AW111" s="543"/>
      <c r="AX111" s="543"/>
      <c r="AY111" s="543"/>
      <c r="AZ111" s="543"/>
      <c r="BA111" s="543"/>
      <c r="BB111" s="543"/>
      <c r="BC111" s="1200"/>
      <c r="BD111" s="1200"/>
      <c r="BE111" s="1200"/>
      <c r="BF111" s="1200"/>
      <c r="BG111" s="1200"/>
      <c r="BH111" s="1200"/>
      <c r="BI111" s="1200"/>
      <c r="BJ111" s="1200"/>
      <c r="BK111" s="1200"/>
      <c r="BL111" s="1200"/>
      <c r="BM111" s="1200"/>
      <c r="BN111" s="1200">
        <f>I111/25</f>
        <v>120</v>
      </c>
      <c r="BO111" s="1200"/>
      <c r="BP111" s="1200"/>
      <c r="BQ111" s="1200"/>
      <c r="BR111" s="1200"/>
      <c r="BS111" s="1200"/>
      <c r="BT111" s="1200"/>
      <c r="BU111" s="1200"/>
      <c r="BV111" s="1200"/>
      <c r="BW111" s="1200"/>
      <c r="BX111" s="1200"/>
      <c r="BY111" s="1200"/>
      <c r="BZ111" s="1012">
        <f t="shared" si="57"/>
        <v>3000</v>
      </c>
      <c r="CB111" s="1219"/>
      <c r="CC111" s="1219"/>
      <c r="CE111" s="1009">
        <f t="shared" si="47"/>
        <v>1592157</v>
      </c>
    </row>
    <row r="112" s="1009" customFormat="1" ht="36" customHeight="1" spans="1:83">
      <c r="A112" s="540">
        <v>45616</v>
      </c>
      <c r="B112" s="1036" t="s">
        <v>3102</v>
      </c>
      <c r="C112" s="1037" t="s">
        <v>117</v>
      </c>
      <c r="D112" s="1038">
        <v>4500151720</v>
      </c>
      <c r="E112" s="1039">
        <v>70054037</v>
      </c>
      <c r="F112" s="1038" t="s">
        <v>3383</v>
      </c>
      <c r="G112" s="1040" t="s">
        <v>628</v>
      </c>
      <c r="H112" s="1041" t="s">
        <v>623</v>
      </c>
      <c r="I112" s="1012">
        <v>504</v>
      </c>
      <c r="J112" s="1087">
        <v>0</v>
      </c>
      <c r="K112" s="1040">
        <v>12</v>
      </c>
      <c r="L112" s="1012">
        <f t="shared" si="48"/>
        <v>42</v>
      </c>
      <c r="M112" s="1079">
        <v>45874</v>
      </c>
      <c r="N112" s="1079">
        <v>45870</v>
      </c>
      <c r="O112" s="579"/>
      <c r="P112" s="579" t="s">
        <v>92</v>
      </c>
      <c r="Q112" s="1322" t="s">
        <v>3727</v>
      </c>
      <c r="R112" s="584">
        <v>45616</v>
      </c>
      <c r="S112" s="584" t="s">
        <v>77</v>
      </c>
      <c r="T112" s="584" t="s">
        <v>3728</v>
      </c>
      <c r="U112" s="1039" t="s">
        <v>3501</v>
      </c>
      <c r="V112" s="1112" t="s">
        <v>2458</v>
      </c>
      <c r="W112" s="1113">
        <v>3.1012</v>
      </c>
      <c r="X112" s="1114">
        <f t="shared" si="79"/>
        <v>1563.0048</v>
      </c>
      <c r="Y112" s="1012"/>
      <c r="Z112" s="1159" t="s">
        <v>822</v>
      </c>
      <c r="AA112" s="1150" t="s">
        <v>128</v>
      </c>
      <c r="AB112" s="1150"/>
      <c r="AC112" s="1151">
        <v>504</v>
      </c>
      <c r="AD112" s="1151">
        <f t="shared" si="80"/>
        <v>0</v>
      </c>
      <c r="AE112" s="1151"/>
      <c r="AF112" s="579"/>
      <c r="AG112" s="579"/>
      <c r="AH112" s="1151">
        <f>I112*2</f>
        <v>1008</v>
      </c>
      <c r="AI112" s="1151"/>
      <c r="AJ112" s="1151"/>
      <c r="AK112" s="1151"/>
      <c r="AL112" s="1151"/>
      <c r="AM112" s="1151"/>
      <c r="AN112" s="543"/>
      <c r="AO112" s="543">
        <f>AH112</f>
        <v>1008</v>
      </c>
      <c r="AP112" s="543"/>
      <c r="AQ112" s="543"/>
      <c r="AR112" s="543"/>
      <c r="AS112" s="543"/>
      <c r="AT112" s="543"/>
      <c r="AU112" s="543">
        <f>AH112</f>
        <v>1008</v>
      </c>
      <c r="AV112" s="543"/>
      <c r="AW112" s="543"/>
      <c r="AX112" s="543"/>
      <c r="AY112" s="543"/>
      <c r="AZ112" s="543"/>
      <c r="BA112" s="543"/>
      <c r="BB112" s="543"/>
      <c r="BC112" s="1200"/>
      <c r="BD112" s="1200"/>
      <c r="BE112" s="1200"/>
      <c r="BF112" s="1200"/>
      <c r="BG112" s="1200"/>
      <c r="BH112" s="1200"/>
      <c r="BI112" s="1200"/>
      <c r="BJ112" s="1200"/>
      <c r="BK112" s="1200"/>
      <c r="BL112" s="1200"/>
      <c r="BM112" s="1200"/>
      <c r="BN112" s="1200"/>
      <c r="BO112" s="1200"/>
      <c r="BP112" s="1200"/>
      <c r="BQ112" s="1200"/>
      <c r="BR112" s="1200"/>
      <c r="BS112" s="1200"/>
      <c r="BT112" s="1200"/>
      <c r="BU112" s="1200"/>
      <c r="BV112" s="1200"/>
      <c r="BW112" s="1200">
        <f>I112</f>
        <v>504</v>
      </c>
      <c r="BX112" s="1200">
        <f>I112</f>
        <v>504</v>
      </c>
      <c r="BY112" s="1200"/>
      <c r="BZ112" s="1012">
        <f t="shared" si="57"/>
        <v>1008</v>
      </c>
      <c r="CB112" s="1219"/>
      <c r="CC112" s="1219"/>
      <c r="CE112" s="1009">
        <f t="shared" si="47"/>
        <v>1591149</v>
      </c>
    </row>
    <row r="113" s="1009" customFormat="1" ht="36" customHeight="1" spans="1:83">
      <c r="A113" s="540">
        <v>45763</v>
      </c>
      <c r="B113" s="1036" t="s">
        <v>1161</v>
      </c>
      <c r="C113" s="1037" t="s">
        <v>1162</v>
      </c>
      <c r="D113" s="1038">
        <v>4500163403</v>
      </c>
      <c r="E113" s="1039">
        <v>5200006595</v>
      </c>
      <c r="F113" s="1038" t="s">
        <v>3729</v>
      </c>
      <c r="G113" s="1040" t="s">
        <v>1164</v>
      </c>
      <c r="H113" s="1041" t="s">
        <v>1165</v>
      </c>
      <c r="I113" s="1012">
        <v>234</v>
      </c>
      <c r="J113" s="1087">
        <v>0</v>
      </c>
      <c r="K113" s="1040">
        <v>13</v>
      </c>
      <c r="L113" s="1012">
        <f t="shared" si="48"/>
        <v>18</v>
      </c>
      <c r="M113" s="1079">
        <v>45796</v>
      </c>
      <c r="N113" s="1079">
        <v>45792</v>
      </c>
      <c r="O113" s="579" t="s">
        <v>3730</v>
      </c>
      <c r="P113" s="579" t="s">
        <v>1262</v>
      </c>
      <c r="Q113" s="579" t="s">
        <v>759</v>
      </c>
      <c r="R113" s="579">
        <v>45763</v>
      </c>
      <c r="S113" s="578" t="s">
        <v>77</v>
      </c>
      <c r="T113" s="695" t="s">
        <v>3731</v>
      </c>
      <c r="U113" s="1039" t="s">
        <v>3732</v>
      </c>
      <c r="V113" s="1112" t="s">
        <v>2504</v>
      </c>
      <c r="W113" s="1113">
        <v>1.4126</v>
      </c>
      <c r="X113" s="1114">
        <f t="shared" si="79"/>
        <v>330.5484</v>
      </c>
      <c r="Y113" s="1012"/>
      <c r="Z113" s="1159" t="s">
        <v>862</v>
      </c>
      <c r="AA113" s="1150" t="s">
        <v>128</v>
      </c>
      <c r="AB113" s="1150"/>
      <c r="AC113" s="1151">
        <v>234</v>
      </c>
      <c r="AD113" s="1151">
        <f t="shared" si="80"/>
        <v>0</v>
      </c>
      <c r="AE113" s="1151"/>
      <c r="AF113" s="579"/>
      <c r="AG113" s="579"/>
      <c r="AH113" s="1151"/>
      <c r="AI113" s="1151">
        <f>I113</f>
        <v>234</v>
      </c>
      <c r="AJ113" s="1151"/>
      <c r="AK113" s="1151"/>
      <c r="AL113" s="1151"/>
      <c r="AM113" s="1151"/>
      <c r="AN113" s="543"/>
      <c r="AO113" s="543">
        <f t="shared" si="81"/>
        <v>234</v>
      </c>
      <c r="AP113" s="543"/>
      <c r="AQ113" s="543"/>
      <c r="AR113" s="543"/>
      <c r="AS113" s="543"/>
      <c r="AT113" s="543"/>
      <c r="AU113" s="543">
        <f t="shared" ref="AU113:AU116" si="82">I113</f>
        <v>234</v>
      </c>
      <c r="AV113" s="543"/>
      <c r="AW113" s="543"/>
      <c r="AX113" s="543"/>
      <c r="AY113" s="543"/>
      <c r="AZ113" s="543"/>
      <c r="BA113" s="543"/>
      <c r="BB113" s="543"/>
      <c r="BC113" s="1200"/>
      <c r="BD113" s="1200"/>
      <c r="BE113" s="1200"/>
      <c r="BF113" s="1200"/>
      <c r="BG113" s="1200"/>
      <c r="BH113" s="1200"/>
      <c r="BI113" s="1200"/>
      <c r="BJ113" s="1200">
        <f>I113/13</f>
        <v>18</v>
      </c>
      <c r="BK113" s="1200"/>
      <c r="BL113" s="1200"/>
      <c r="BM113" s="1200"/>
      <c r="BN113" s="1200"/>
      <c r="BO113" s="1200"/>
      <c r="BP113" s="1200"/>
      <c r="BQ113" s="1200"/>
      <c r="BR113" s="1200"/>
      <c r="BS113" s="1200"/>
      <c r="BT113" s="1200"/>
      <c r="BU113" s="1200"/>
      <c r="BV113" s="1200"/>
      <c r="BW113" s="1200"/>
      <c r="BX113" s="1200"/>
      <c r="BY113" s="1200"/>
      <c r="BZ113" s="1012">
        <f t="shared" si="57"/>
        <v>234</v>
      </c>
      <c r="CB113" s="1219"/>
      <c r="CC113" s="1219"/>
      <c r="CE113" s="1009">
        <f t="shared" si="47"/>
        <v>1590915</v>
      </c>
    </row>
    <row r="114" s="1009" customFormat="1" ht="36" customHeight="1" spans="1:83">
      <c r="A114" s="540">
        <v>45758</v>
      </c>
      <c r="B114" s="1036" t="s">
        <v>350</v>
      </c>
      <c r="C114" s="1037" t="s">
        <v>351</v>
      </c>
      <c r="D114" s="1038">
        <v>4500163438</v>
      </c>
      <c r="E114" s="1039">
        <v>3501527805</v>
      </c>
      <c r="F114" s="1038" t="s">
        <v>3733</v>
      </c>
      <c r="G114" s="1040" t="s">
        <v>245</v>
      </c>
      <c r="H114" s="1041" t="s">
        <v>74</v>
      </c>
      <c r="I114" s="1012">
        <v>1104</v>
      </c>
      <c r="J114" s="1087">
        <v>0</v>
      </c>
      <c r="K114" s="1040">
        <v>12</v>
      </c>
      <c r="L114" s="1012">
        <f t="shared" si="48"/>
        <v>92</v>
      </c>
      <c r="M114" s="1079">
        <v>45796</v>
      </c>
      <c r="N114" s="1079">
        <v>45792</v>
      </c>
      <c r="O114" s="579" t="s">
        <v>3734</v>
      </c>
      <c r="P114" s="579" t="s">
        <v>1262</v>
      </c>
      <c r="Q114" s="579" t="s">
        <v>1111</v>
      </c>
      <c r="R114" s="579">
        <v>45764</v>
      </c>
      <c r="S114" s="578" t="s">
        <v>77</v>
      </c>
      <c r="T114" s="695" t="s">
        <v>3735</v>
      </c>
      <c r="U114" s="1039" t="s">
        <v>3736</v>
      </c>
      <c r="V114" s="1112" t="s">
        <v>3737</v>
      </c>
      <c r="W114" s="1113">
        <v>1.407</v>
      </c>
      <c r="X114" s="1114">
        <f t="shared" si="79"/>
        <v>1553.328</v>
      </c>
      <c r="Y114" s="1012"/>
      <c r="Z114" s="1040" t="s">
        <v>249</v>
      </c>
      <c r="AA114" s="1150" t="s">
        <v>128</v>
      </c>
      <c r="AB114" s="1150"/>
      <c r="AC114" s="1151">
        <v>1104</v>
      </c>
      <c r="AD114" s="1151">
        <f t="shared" si="80"/>
        <v>0</v>
      </c>
      <c r="AE114" s="1151"/>
      <c r="AF114" s="579"/>
      <c r="AG114" s="579"/>
      <c r="AH114" s="1151">
        <f t="shared" ref="AH114:AH116" si="83">I114</f>
        <v>1104</v>
      </c>
      <c r="AI114" s="1151"/>
      <c r="AJ114" s="1151"/>
      <c r="AK114" s="1151"/>
      <c r="AL114" s="1151"/>
      <c r="AM114" s="1151"/>
      <c r="AN114" s="543"/>
      <c r="AO114" s="543">
        <f t="shared" si="81"/>
        <v>1104</v>
      </c>
      <c r="AP114" s="543"/>
      <c r="AQ114" s="543"/>
      <c r="AR114" s="543"/>
      <c r="AS114" s="543"/>
      <c r="AT114" s="543"/>
      <c r="AU114" s="1310">
        <f t="shared" si="82"/>
        <v>1104</v>
      </c>
      <c r="AV114" s="1310"/>
      <c r="AW114" s="543"/>
      <c r="AX114" s="543"/>
      <c r="AY114" s="543"/>
      <c r="AZ114" s="543"/>
      <c r="BA114" s="543"/>
      <c r="BB114" s="543"/>
      <c r="BC114" s="1200"/>
      <c r="BD114" s="1200"/>
      <c r="BE114" s="1200"/>
      <c r="BF114" s="1200"/>
      <c r="BG114" s="1200"/>
      <c r="BH114" s="1200">
        <f>I114/12</f>
        <v>92</v>
      </c>
      <c r="BI114" s="1200"/>
      <c r="BJ114" s="1200"/>
      <c r="BK114" s="1200"/>
      <c r="BL114" s="1200"/>
      <c r="BM114" s="1200"/>
      <c r="BN114" s="1200"/>
      <c r="BO114" s="1200"/>
      <c r="BP114" s="1200"/>
      <c r="BQ114" s="1200"/>
      <c r="BR114" s="1200"/>
      <c r="BS114" s="1200"/>
      <c r="BT114" s="1200"/>
      <c r="BU114" s="1200"/>
      <c r="BV114" s="1200"/>
      <c r="BW114" s="1200"/>
      <c r="BX114" s="1200"/>
      <c r="BY114" s="1200"/>
      <c r="BZ114" s="1012">
        <f t="shared" si="57"/>
        <v>1104</v>
      </c>
      <c r="CB114" s="1219"/>
      <c r="CC114" s="1219"/>
      <c r="CE114" s="1009">
        <f t="shared" si="47"/>
        <v>1589811</v>
      </c>
    </row>
    <row r="115" s="1009" customFormat="1" ht="36" customHeight="1" spans="1:83">
      <c r="A115" s="540">
        <v>45761</v>
      </c>
      <c r="B115" s="1036" t="s">
        <v>3679</v>
      </c>
      <c r="C115" s="1037" t="s">
        <v>2223</v>
      </c>
      <c r="D115" s="1038">
        <v>4500163696</v>
      </c>
      <c r="E115" s="1039"/>
      <c r="F115" s="1038" t="s">
        <v>3738</v>
      </c>
      <c r="G115" s="1040" t="s">
        <v>107</v>
      </c>
      <c r="H115" s="1041" t="s">
        <v>74</v>
      </c>
      <c r="I115" s="541">
        <v>360</v>
      </c>
      <c r="J115" s="1087">
        <v>0</v>
      </c>
      <c r="K115" s="1040">
        <v>30</v>
      </c>
      <c r="L115" s="1012">
        <f t="shared" si="48"/>
        <v>12</v>
      </c>
      <c r="M115" s="1079">
        <v>45794</v>
      </c>
      <c r="N115" s="1079">
        <v>45792</v>
      </c>
      <c r="O115" s="579" t="s">
        <v>3739</v>
      </c>
      <c r="P115" s="579" t="s">
        <v>1262</v>
      </c>
      <c r="Q115" s="579" t="s">
        <v>1039</v>
      </c>
      <c r="R115" s="579">
        <v>45765</v>
      </c>
      <c r="S115" s="578" t="s">
        <v>77</v>
      </c>
      <c r="T115" s="695" t="s">
        <v>1503</v>
      </c>
      <c r="U115" s="1039" t="s">
        <v>3740</v>
      </c>
      <c r="V115" s="1112" t="s">
        <v>1140</v>
      </c>
      <c r="W115" s="1113">
        <v>57.2365</v>
      </c>
      <c r="X115" s="1114">
        <f>W115*L115</f>
        <v>686.838</v>
      </c>
      <c r="Y115" s="1012"/>
      <c r="Z115" s="1159" t="s">
        <v>423</v>
      </c>
      <c r="AA115" s="1150" t="s">
        <v>128</v>
      </c>
      <c r="AB115" s="1150"/>
      <c r="AC115" s="1151">
        <v>360</v>
      </c>
      <c r="AD115" s="1151">
        <f t="shared" si="80"/>
        <v>0</v>
      </c>
      <c r="AE115" s="1151"/>
      <c r="AF115" s="579"/>
      <c r="AG115" s="579"/>
      <c r="AH115" s="1151">
        <f t="shared" si="83"/>
        <v>360</v>
      </c>
      <c r="AI115" s="1151"/>
      <c r="AJ115" s="1151"/>
      <c r="AK115" s="1151"/>
      <c r="AL115" s="1151"/>
      <c r="AM115" s="1151"/>
      <c r="AN115" s="543"/>
      <c r="AO115" s="543">
        <f t="shared" si="81"/>
        <v>360</v>
      </c>
      <c r="AP115" s="543"/>
      <c r="AQ115" s="543"/>
      <c r="AR115" s="543"/>
      <c r="AS115" s="543"/>
      <c r="AT115" s="543"/>
      <c r="AU115" s="543">
        <f t="shared" si="82"/>
        <v>360</v>
      </c>
      <c r="AV115" s="543"/>
      <c r="AW115" s="543"/>
      <c r="AX115" s="543"/>
      <c r="AY115" s="543"/>
      <c r="AZ115" s="543"/>
      <c r="BA115" s="543"/>
      <c r="BB115" s="543"/>
      <c r="BC115" s="1200"/>
      <c r="BD115" s="1200"/>
      <c r="BE115" s="1200"/>
      <c r="BF115" s="1200"/>
      <c r="BG115" s="1200"/>
      <c r="BH115" s="1200"/>
      <c r="BI115" s="1200"/>
      <c r="BJ115" s="1200"/>
      <c r="BK115" s="1200"/>
      <c r="BL115" s="1200"/>
      <c r="BM115" s="1200"/>
      <c r="BN115" s="1200"/>
      <c r="BO115" s="1200"/>
      <c r="BP115" s="1200"/>
      <c r="BQ115" s="1200"/>
      <c r="BR115" s="1200"/>
      <c r="BS115" s="1200">
        <f>I115/30</f>
        <v>12</v>
      </c>
      <c r="BT115" s="1200">
        <f>BS115</f>
        <v>12</v>
      </c>
      <c r="BU115" s="1200"/>
      <c r="BV115" s="1200"/>
      <c r="BW115" s="1200"/>
      <c r="BX115" s="1200"/>
      <c r="BY115" s="1200"/>
      <c r="BZ115" s="1012">
        <f t="shared" si="57"/>
        <v>360</v>
      </c>
      <c r="CB115" s="1219"/>
      <c r="CC115" s="1219"/>
      <c r="CE115" s="1009">
        <f t="shared" si="47"/>
        <v>1589451</v>
      </c>
    </row>
    <row r="116" s="1009" customFormat="1" ht="36" customHeight="1" spans="1:83">
      <c r="A116" s="540">
        <v>45722</v>
      </c>
      <c r="B116" s="1036" t="s">
        <v>3741</v>
      </c>
      <c r="C116" s="1037" t="s">
        <v>3742</v>
      </c>
      <c r="D116" s="1038">
        <v>4500159286</v>
      </c>
      <c r="E116" s="1039"/>
      <c r="F116" s="1038" t="s">
        <v>3743</v>
      </c>
      <c r="G116" s="1040" t="s">
        <v>96</v>
      </c>
      <c r="H116" s="1041" t="s">
        <v>74</v>
      </c>
      <c r="I116" s="1012">
        <v>1000</v>
      </c>
      <c r="J116" s="1087">
        <v>0</v>
      </c>
      <c r="K116" s="1040">
        <v>50</v>
      </c>
      <c r="L116" s="1012">
        <f t="shared" si="48"/>
        <v>20</v>
      </c>
      <c r="M116" s="1079">
        <v>45800</v>
      </c>
      <c r="N116" s="1079">
        <v>45796</v>
      </c>
      <c r="O116" s="579"/>
      <c r="P116" s="579" t="s">
        <v>1262</v>
      </c>
      <c r="Q116" s="579" t="s">
        <v>3744</v>
      </c>
      <c r="R116" s="579">
        <v>45757</v>
      </c>
      <c r="S116" s="578" t="s">
        <v>77</v>
      </c>
      <c r="T116" s="695" t="s">
        <v>3745</v>
      </c>
      <c r="U116" s="1039" t="s">
        <v>3746</v>
      </c>
      <c r="V116" s="1112" t="s">
        <v>1294</v>
      </c>
      <c r="W116" s="1113">
        <v>1.4344</v>
      </c>
      <c r="X116" s="1114">
        <f t="shared" ref="X116:X158" si="84">I116*W116</f>
        <v>1434.4</v>
      </c>
      <c r="Y116" s="1012"/>
      <c r="Z116" s="1159" t="s">
        <v>292</v>
      </c>
      <c r="AA116" s="1150" t="s">
        <v>128</v>
      </c>
      <c r="AB116" s="1150"/>
      <c r="AC116" s="1151">
        <v>1000</v>
      </c>
      <c r="AD116" s="1151">
        <f t="shared" si="80"/>
        <v>0</v>
      </c>
      <c r="AE116" s="1151"/>
      <c r="AF116" s="579"/>
      <c r="AG116" s="579"/>
      <c r="AH116" s="1151">
        <f t="shared" si="83"/>
        <v>1000</v>
      </c>
      <c r="AI116" s="1151"/>
      <c r="AJ116" s="1151"/>
      <c r="AK116" s="1151"/>
      <c r="AL116" s="1151"/>
      <c r="AM116" s="1151"/>
      <c r="AN116" s="543"/>
      <c r="AO116" s="543">
        <f t="shared" si="81"/>
        <v>1000</v>
      </c>
      <c r="AP116" s="543"/>
      <c r="AQ116" s="543"/>
      <c r="AR116" s="543"/>
      <c r="AS116" s="543"/>
      <c r="AT116" s="543"/>
      <c r="AU116" s="543">
        <f t="shared" si="82"/>
        <v>1000</v>
      </c>
      <c r="AV116" s="543"/>
      <c r="AW116" s="543"/>
      <c r="AX116" s="543"/>
      <c r="AY116" s="543"/>
      <c r="AZ116" s="543"/>
      <c r="BA116" s="543"/>
      <c r="BB116" s="543"/>
      <c r="BC116" s="1200"/>
      <c r="BD116" s="1200"/>
      <c r="BE116" s="1200"/>
      <c r="BF116" s="1200"/>
      <c r="BG116" s="1200"/>
      <c r="BH116" s="1200"/>
      <c r="BI116" s="1200"/>
      <c r="BJ116" s="1200"/>
      <c r="BK116" s="1200"/>
      <c r="BL116" s="1200"/>
      <c r="BM116" s="1200"/>
      <c r="BN116" s="1200">
        <f>I116/25</f>
        <v>40</v>
      </c>
      <c r="BO116" s="1200"/>
      <c r="BP116" s="1200"/>
      <c r="BQ116" s="1200"/>
      <c r="BR116" s="1200"/>
      <c r="BS116" s="1200"/>
      <c r="BT116" s="1200"/>
      <c r="BU116" s="1200"/>
      <c r="BV116" s="1200"/>
      <c r="BW116" s="1200"/>
      <c r="BX116" s="1200"/>
      <c r="BY116" s="1200"/>
      <c r="BZ116" s="1012">
        <f t="shared" si="57"/>
        <v>1000</v>
      </c>
      <c r="CB116" s="1219"/>
      <c r="CC116" s="1219"/>
      <c r="CE116" s="1009">
        <f t="shared" si="47"/>
        <v>1588451</v>
      </c>
    </row>
    <row r="117" s="649" customFormat="1" ht="36" customHeight="1" spans="1:83">
      <c r="A117" s="778">
        <v>45775</v>
      </c>
      <c r="B117" s="636"/>
      <c r="C117" s="637"/>
      <c r="D117" s="1054" t="s">
        <v>3747</v>
      </c>
      <c r="E117" s="1055"/>
      <c r="F117" s="1054"/>
      <c r="G117" s="1056" t="s">
        <v>73</v>
      </c>
      <c r="H117" s="1057" t="s">
        <v>3579</v>
      </c>
      <c r="I117" s="649">
        <v>3000</v>
      </c>
      <c r="J117" s="1097">
        <v>0</v>
      </c>
      <c r="K117" s="1056">
        <v>24</v>
      </c>
      <c r="L117" s="1013">
        <f t="shared" si="48"/>
        <v>125</v>
      </c>
      <c r="M117" s="1091">
        <v>45802</v>
      </c>
      <c r="N117" s="1091">
        <v>45798</v>
      </c>
      <c r="O117" s="452"/>
      <c r="P117" s="452"/>
      <c r="Q117" s="452"/>
      <c r="R117" s="452">
        <v>45775</v>
      </c>
      <c r="S117" s="453" t="s">
        <v>77</v>
      </c>
      <c r="T117" s="458" t="s">
        <v>77</v>
      </c>
      <c r="U117" s="1055" t="s">
        <v>3748</v>
      </c>
      <c r="V117" s="1129" t="s">
        <v>2968</v>
      </c>
      <c r="W117" s="1130"/>
      <c r="X117" s="1131"/>
      <c r="Y117" s="1013" t="s">
        <v>3749</v>
      </c>
      <c r="Z117" s="1149" t="s">
        <v>3421</v>
      </c>
      <c r="AA117" s="1161" t="s">
        <v>128</v>
      </c>
      <c r="AB117" s="1161"/>
      <c r="AC117" s="1162">
        <v>3000</v>
      </c>
      <c r="AD117" s="1151">
        <f t="shared" si="80"/>
        <v>0</v>
      </c>
      <c r="AE117" s="1162"/>
      <c r="AF117" s="452"/>
      <c r="AG117" s="452"/>
      <c r="AH117" s="1162"/>
      <c r="AI117" s="1162"/>
      <c r="AJ117" s="1162"/>
      <c r="AK117" s="1162"/>
      <c r="AL117" s="1162"/>
      <c r="AM117" s="1162"/>
      <c r="AN117" s="781"/>
      <c r="AO117" s="781"/>
      <c r="AP117" s="781"/>
      <c r="AQ117" s="781"/>
      <c r="AR117" s="781"/>
      <c r="AS117" s="781"/>
      <c r="AT117" s="781"/>
      <c r="AU117" s="1309"/>
      <c r="AV117" s="1309"/>
      <c r="AW117" s="781"/>
      <c r="AX117" s="781"/>
      <c r="AY117" s="781"/>
      <c r="AZ117" s="781"/>
      <c r="BA117" s="781"/>
      <c r="BB117" s="781"/>
      <c r="BC117" s="1203"/>
      <c r="BD117" s="1203"/>
      <c r="BE117" s="1203"/>
      <c r="BF117" s="1203"/>
      <c r="BG117" s="1203"/>
      <c r="BH117" s="1203"/>
      <c r="BI117" s="1203"/>
      <c r="BJ117" s="1203"/>
      <c r="BK117" s="1203"/>
      <c r="BL117" s="1203"/>
      <c r="BM117" s="1203"/>
      <c r="BN117" s="1203"/>
      <c r="BO117" s="1203"/>
      <c r="BP117" s="1203"/>
      <c r="BQ117" s="1203"/>
      <c r="BR117" s="1203"/>
      <c r="BS117" s="1203"/>
      <c r="BT117" s="1203"/>
      <c r="BU117" s="1203"/>
      <c r="BV117" s="1203"/>
      <c r="BW117" s="1203"/>
      <c r="BX117" s="1203"/>
      <c r="BY117" s="1203"/>
      <c r="BZ117" s="1013">
        <v>0</v>
      </c>
      <c r="CB117" s="1024"/>
      <c r="CC117" s="1024"/>
      <c r="CE117" s="1009">
        <f t="shared" si="47"/>
        <v>1588451</v>
      </c>
    </row>
    <row r="118" s="1009" customFormat="1" ht="36" customHeight="1" spans="1:83">
      <c r="A118" s="540">
        <v>45764</v>
      </c>
      <c r="B118" s="1036" t="s">
        <v>541</v>
      </c>
      <c r="C118" s="1037" t="s">
        <v>190</v>
      </c>
      <c r="D118" s="1038">
        <v>4500164006</v>
      </c>
      <c r="E118" s="1039" t="s">
        <v>3750</v>
      </c>
      <c r="F118" s="1038" t="s">
        <v>3751</v>
      </c>
      <c r="G118" s="1040" t="s">
        <v>73</v>
      </c>
      <c r="H118" s="1041" t="s">
        <v>74</v>
      </c>
      <c r="I118" s="1012">
        <v>504</v>
      </c>
      <c r="J118" s="1087">
        <v>0</v>
      </c>
      <c r="K118" s="1040">
        <v>24</v>
      </c>
      <c r="L118" s="1012">
        <f t="shared" si="48"/>
        <v>21</v>
      </c>
      <c r="M118" s="1079">
        <v>45803</v>
      </c>
      <c r="N118" s="1079">
        <v>45799</v>
      </c>
      <c r="O118" s="579"/>
      <c r="P118" s="579" t="s">
        <v>1262</v>
      </c>
      <c r="Q118" s="579" t="s">
        <v>3752</v>
      </c>
      <c r="R118" s="579">
        <v>45763</v>
      </c>
      <c r="S118" s="578" t="s">
        <v>123</v>
      </c>
      <c r="T118" s="695" t="s">
        <v>3753</v>
      </c>
      <c r="U118" s="1039" t="s">
        <v>2658</v>
      </c>
      <c r="V118" s="1112" t="s">
        <v>1011</v>
      </c>
      <c r="W118" s="1113">
        <v>1.3574</v>
      </c>
      <c r="X118" s="1114">
        <f t="shared" si="84"/>
        <v>684.1296</v>
      </c>
      <c r="Y118" s="1012"/>
      <c r="Z118" s="1159" t="s">
        <v>73</v>
      </c>
      <c r="AA118" s="1150" t="s">
        <v>128</v>
      </c>
      <c r="AB118" s="1150"/>
      <c r="AC118" s="1151">
        <v>504</v>
      </c>
      <c r="AD118" s="1151">
        <f t="shared" si="80"/>
        <v>0</v>
      </c>
      <c r="AE118" s="1151"/>
      <c r="AF118" s="579"/>
      <c r="AG118" s="579"/>
      <c r="AH118" s="1151">
        <f t="shared" ref="AH118:AH125" si="85">I118</f>
        <v>504</v>
      </c>
      <c r="AI118" s="1151"/>
      <c r="AJ118" s="1151"/>
      <c r="AK118" s="1151"/>
      <c r="AL118" s="1151"/>
      <c r="AM118" s="1151"/>
      <c r="AN118" s="543">
        <f>I118</f>
        <v>504</v>
      </c>
      <c r="AO118" s="543"/>
      <c r="AP118" s="543"/>
      <c r="AQ118" s="543"/>
      <c r="AR118" s="543"/>
      <c r="AS118" s="543"/>
      <c r="AT118" s="543"/>
      <c r="AU118" s="1310">
        <f t="shared" ref="AU118:AU133" si="86">I118</f>
        <v>504</v>
      </c>
      <c r="AV118" s="1310"/>
      <c r="AW118" s="543"/>
      <c r="AX118" s="543"/>
      <c r="AY118" s="543"/>
      <c r="AZ118" s="543"/>
      <c r="BA118" s="543"/>
      <c r="BB118" s="543"/>
      <c r="BC118" s="1200"/>
      <c r="BD118" s="1200"/>
      <c r="BE118" s="1200"/>
      <c r="BF118" s="1200"/>
      <c r="BG118" s="1200"/>
      <c r="BH118" s="1200"/>
      <c r="BI118" s="1200"/>
      <c r="BJ118" s="1200"/>
      <c r="BK118" s="1200"/>
      <c r="BL118" s="1200"/>
      <c r="BM118" s="1200"/>
      <c r="BN118" s="1200"/>
      <c r="BO118" s="1200"/>
      <c r="BP118" s="1200"/>
      <c r="BQ118" s="1200"/>
      <c r="BR118" s="1200"/>
      <c r="BS118" s="1200"/>
      <c r="BT118" s="1200"/>
      <c r="BU118" s="1200"/>
      <c r="BV118" s="1200"/>
      <c r="BW118" s="1200"/>
      <c r="BX118" s="1200"/>
      <c r="BY118" s="1200"/>
      <c r="BZ118" s="1012">
        <f t="shared" ref="BZ118:BZ181" si="87">AH118+AI118+AJ118</f>
        <v>504</v>
      </c>
      <c r="CB118" s="1219"/>
      <c r="CC118" s="1219"/>
      <c r="CE118" s="1009">
        <f t="shared" si="47"/>
        <v>1587947</v>
      </c>
    </row>
    <row r="119" s="1009" customFormat="1" ht="36" customHeight="1" spans="1:83">
      <c r="A119" s="540">
        <v>45763</v>
      </c>
      <c r="B119" s="1036" t="s">
        <v>1372</v>
      </c>
      <c r="C119" s="1037" t="s">
        <v>351</v>
      </c>
      <c r="D119" s="1038">
        <v>4500163897</v>
      </c>
      <c r="E119" s="1039" t="s">
        <v>3754</v>
      </c>
      <c r="F119" s="1038" t="s">
        <v>3755</v>
      </c>
      <c r="G119" s="1040" t="s">
        <v>73</v>
      </c>
      <c r="H119" s="1041" t="s">
        <v>74</v>
      </c>
      <c r="I119" s="1012">
        <v>48</v>
      </c>
      <c r="J119" s="1087">
        <v>0</v>
      </c>
      <c r="K119" s="1040">
        <v>24</v>
      </c>
      <c r="L119" s="1012">
        <f t="shared" si="48"/>
        <v>2</v>
      </c>
      <c r="M119" s="1079">
        <v>45803</v>
      </c>
      <c r="N119" s="1079">
        <v>45800</v>
      </c>
      <c r="O119" s="579"/>
      <c r="P119" s="579" t="s">
        <v>1262</v>
      </c>
      <c r="Q119" s="579" t="s">
        <v>3756</v>
      </c>
      <c r="R119" s="579">
        <v>45763</v>
      </c>
      <c r="S119" s="578" t="s">
        <v>123</v>
      </c>
      <c r="T119" s="695" t="s">
        <v>3757</v>
      </c>
      <c r="U119" s="1039" t="s">
        <v>3758</v>
      </c>
      <c r="V119" s="1112" t="s">
        <v>3759</v>
      </c>
      <c r="W119" s="1113">
        <v>1.3574</v>
      </c>
      <c r="X119" s="1114">
        <f t="shared" si="84"/>
        <v>65.1552</v>
      </c>
      <c r="Y119" s="1012"/>
      <c r="Z119" s="1159" t="s">
        <v>188</v>
      </c>
      <c r="AA119" s="1150" t="s">
        <v>128</v>
      </c>
      <c r="AB119" s="1150"/>
      <c r="AC119" s="1151">
        <v>48</v>
      </c>
      <c r="AD119" s="1151">
        <f t="shared" si="80"/>
        <v>0</v>
      </c>
      <c r="AE119" s="1151"/>
      <c r="AF119" s="579"/>
      <c r="AG119" s="579"/>
      <c r="AH119" s="1151">
        <f t="shared" si="85"/>
        <v>48</v>
      </c>
      <c r="AI119" s="1151"/>
      <c r="AJ119" s="1151"/>
      <c r="AK119" s="1151"/>
      <c r="AL119" s="1151"/>
      <c r="AM119" s="1151"/>
      <c r="AN119" s="543"/>
      <c r="AO119" s="543">
        <f t="shared" ref="AO119:AO126" si="88">I119</f>
        <v>48</v>
      </c>
      <c r="AP119" s="543"/>
      <c r="AQ119" s="543"/>
      <c r="AR119" s="543"/>
      <c r="AS119" s="543"/>
      <c r="AT119" s="543"/>
      <c r="AU119" s="1310">
        <f t="shared" si="86"/>
        <v>48</v>
      </c>
      <c r="AV119" s="1310"/>
      <c r="AW119" s="543"/>
      <c r="AX119" s="543"/>
      <c r="AY119" s="543"/>
      <c r="AZ119" s="543"/>
      <c r="BA119" s="543"/>
      <c r="BB119" s="543"/>
      <c r="BC119" s="1200"/>
      <c r="BD119" s="1200"/>
      <c r="BE119" s="1200"/>
      <c r="BF119" s="1200"/>
      <c r="BG119" s="1200"/>
      <c r="BH119" s="1200"/>
      <c r="BI119" s="1200"/>
      <c r="BJ119" s="1200"/>
      <c r="BK119" s="1200"/>
      <c r="BL119" s="1200"/>
      <c r="BM119" s="1200"/>
      <c r="BN119" s="1200"/>
      <c r="BO119" s="1200"/>
      <c r="BP119" s="1200"/>
      <c r="BQ119" s="1200"/>
      <c r="BR119" s="1200"/>
      <c r="BS119" s="1200"/>
      <c r="BT119" s="1200"/>
      <c r="BU119" s="1200"/>
      <c r="BV119" s="1200"/>
      <c r="BW119" s="1200"/>
      <c r="BX119" s="1200"/>
      <c r="BY119" s="1200"/>
      <c r="BZ119" s="1012">
        <f t="shared" si="87"/>
        <v>48</v>
      </c>
      <c r="CB119" s="1219"/>
      <c r="CC119" s="1219"/>
      <c r="CE119" s="1009">
        <f t="shared" si="47"/>
        <v>1587899</v>
      </c>
    </row>
    <row r="120" s="1009" customFormat="1" ht="36" customHeight="1" spans="1:83">
      <c r="A120" s="540">
        <v>45763</v>
      </c>
      <c r="B120" s="1036" t="s">
        <v>1372</v>
      </c>
      <c r="C120" s="1037" t="s">
        <v>351</v>
      </c>
      <c r="D120" s="1038">
        <v>4500163897</v>
      </c>
      <c r="E120" s="1039" t="s">
        <v>3760</v>
      </c>
      <c r="F120" s="1038" t="s">
        <v>3761</v>
      </c>
      <c r="G120" s="1040" t="s">
        <v>73</v>
      </c>
      <c r="H120" s="1041" t="s">
        <v>74</v>
      </c>
      <c r="I120" s="1012">
        <v>48</v>
      </c>
      <c r="J120" s="1087">
        <v>0</v>
      </c>
      <c r="K120" s="1040">
        <v>24</v>
      </c>
      <c r="L120" s="1012">
        <f t="shared" si="48"/>
        <v>2</v>
      </c>
      <c r="M120" s="1079">
        <v>45803</v>
      </c>
      <c r="N120" s="1079">
        <v>45800</v>
      </c>
      <c r="O120" s="579"/>
      <c r="P120" s="579" t="s">
        <v>1262</v>
      </c>
      <c r="Q120" s="579" t="s">
        <v>3756</v>
      </c>
      <c r="R120" s="579">
        <v>45763</v>
      </c>
      <c r="S120" s="578" t="s">
        <v>123</v>
      </c>
      <c r="T120" s="695" t="s">
        <v>3757</v>
      </c>
      <c r="U120" s="1039" t="s">
        <v>3758</v>
      </c>
      <c r="V120" s="1112" t="s">
        <v>3759</v>
      </c>
      <c r="W120" s="1113">
        <v>1.3574</v>
      </c>
      <c r="X120" s="1114">
        <f t="shared" si="84"/>
        <v>65.1552</v>
      </c>
      <c r="Y120" s="1012"/>
      <c r="Z120" s="1159" t="s">
        <v>188</v>
      </c>
      <c r="AA120" s="1150" t="s">
        <v>128</v>
      </c>
      <c r="AB120" s="1150"/>
      <c r="AC120" s="1151">
        <v>48</v>
      </c>
      <c r="AD120" s="1151">
        <f t="shared" si="80"/>
        <v>0</v>
      </c>
      <c r="AE120" s="1151"/>
      <c r="AF120" s="579"/>
      <c r="AG120" s="579"/>
      <c r="AH120" s="1151">
        <f t="shared" si="85"/>
        <v>48</v>
      </c>
      <c r="AI120" s="1151"/>
      <c r="AJ120" s="1151"/>
      <c r="AK120" s="1151"/>
      <c r="AL120" s="1151"/>
      <c r="AM120" s="1151"/>
      <c r="AN120" s="543"/>
      <c r="AO120" s="543">
        <f t="shared" si="88"/>
        <v>48</v>
      </c>
      <c r="AP120" s="543"/>
      <c r="AQ120" s="543"/>
      <c r="AR120" s="543"/>
      <c r="AS120" s="543"/>
      <c r="AT120" s="543"/>
      <c r="AU120" s="1310">
        <f t="shared" si="86"/>
        <v>48</v>
      </c>
      <c r="AV120" s="1310"/>
      <c r="AW120" s="543"/>
      <c r="AX120" s="543"/>
      <c r="AY120" s="543"/>
      <c r="AZ120" s="543"/>
      <c r="BA120" s="543"/>
      <c r="BB120" s="543"/>
      <c r="BC120" s="1200"/>
      <c r="BD120" s="1200"/>
      <c r="BE120" s="1200"/>
      <c r="BF120" s="1200"/>
      <c r="BG120" s="1200"/>
      <c r="BH120" s="1200"/>
      <c r="BI120" s="1200"/>
      <c r="BJ120" s="1200"/>
      <c r="BK120" s="1200"/>
      <c r="BL120" s="1200"/>
      <c r="BM120" s="1200"/>
      <c r="BN120" s="1200"/>
      <c r="BO120" s="1200"/>
      <c r="BP120" s="1200"/>
      <c r="BQ120" s="1200"/>
      <c r="BR120" s="1200"/>
      <c r="BS120" s="1200"/>
      <c r="BT120" s="1200"/>
      <c r="BU120" s="1200"/>
      <c r="BV120" s="1200"/>
      <c r="BW120" s="1200"/>
      <c r="BX120" s="1200"/>
      <c r="BY120" s="1200"/>
      <c r="BZ120" s="1012">
        <f t="shared" si="87"/>
        <v>48</v>
      </c>
      <c r="CB120" s="1219"/>
      <c r="CC120" s="1219"/>
      <c r="CE120" s="1009">
        <f t="shared" si="47"/>
        <v>1587851</v>
      </c>
    </row>
    <row r="121" s="1009" customFormat="1" ht="36" customHeight="1" spans="1:83">
      <c r="A121" s="540">
        <v>45763</v>
      </c>
      <c r="B121" s="1036" t="s">
        <v>1372</v>
      </c>
      <c r="C121" s="1037" t="s">
        <v>351</v>
      </c>
      <c r="D121" s="1038">
        <v>4500163897</v>
      </c>
      <c r="E121" s="1039" t="s">
        <v>3762</v>
      </c>
      <c r="F121" s="1038" t="s">
        <v>3763</v>
      </c>
      <c r="G121" s="1040" t="s">
        <v>73</v>
      </c>
      <c r="H121" s="1041" t="s">
        <v>74</v>
      </c>
      <c r="I121" s="1012">
        <v>24</v>
      </c>
      <c r="J121" s="1087">
        <v>0</v>
      </c>
      <c r="K121" s="1040">
        <v>24</v>
      </c>
      <c r="L121" s="1012">
        <f t="shared" si="48"/>
        <v>1</v>
      </c>
      <c r="M121" s="1079">
        <v>45803</v>
      </c>
      <c r="N121" s="1079">
        <v>45800</v>
      </c>
      <c r="O121" s="579"/>
      <c r="P121" s="579" t="s">
        <v>1262</v>
      </c>
      <c r="Q121" s="579" t="s">
        <v>3756</v>
      </c>
      <c r="R121" s="579">
        <v>45763</v>
      </c>
      <c r="S121" s="578" t="s">
        <v>123</v>
      </c>
      <c r="T121" s="695" t="s">
        <v>3757</v>
      </c>
      <c r="U121" s="1039" t="s">
        <v>3758</v>
      </c>
      <c r="V121" s="1112" t="s">
        <v>3759</v>
      </c>
      <c r="W121" s="1113">
        <v>1.3574</v>
      </c>
      <c r="X121" s="1114">
        <f t="shared" si="84"/>
        <v>32.5776</v>
      </c>
      <c r="Y121" s="1012"/>
      <c r="Z121" s="1159" t="s">
        <v>188</v>
      </c>
      <c r="AA121" s="1150" t="s">
        <v>128</v>
      </c>
      <c r="AB121" s="1150"/>
      <c r="AC121" s="1151">
        <v>24</v>
      </c>
      <c r="AD121" s="1151">
        <f t="shared" si="80"/>
        <v>0</v>
      </c>
      <c r="AE121" s="1151"/>
      <c r="AF121" s="579"/>
      <c r="AG121" s="579"/>
      <c r="AH121" s="1151">
        <f t="shared" si="85"/>
        <v>24</v>
      </c>
      <c r="AI121" s="1151"/>
      <c r="AJ121" s="1151"/>
      <c r="AK121" s="1151"/>
      <c r="AL121" s="1151"/>
      <c r="AM121" s="1151"/>
      <c r="AN121" s="543"/>
      <c r="AO121" s="543">
        <f t="shared" si="88"/>
        <v>24</v>
      </c>
      <c r="AP121" s="543"/>
      <c r="AQ121" s="543"/>
      <c r="AR121" s="543"/>
      <c r="AS121" s="543"/>
      <c r="AT121" s="543"/>
      <c r="AU121" s="1310">
        <f t="shared" si="86"/>
        <v>24</v>
      </c>
      <c r="AV121" s="1310"/>
      <c r="AW121" s="543"/>
      <c r="AX121" s="543"/>
      <c r="AY121" s="543"/>
      <c r="AZ121" s="543"/>
      <c r="BA121" s="543"/>
      <c r="BB121" s="543"/>
      <c r="BC121" s="1200"/>
      <c r="BD121" s="1200"/>
      <c r="BE121" s="1200"/>
      <c r="BF121" s="1200"/>
      <c r="BG121" s="1200"/>
      <c r="BH121" s="1200"/>
      <c r="BI121" s="1200"/>
      <c r="BJ121" s="1200"/>
      <c r="BK121" s="1200"/>
      <c r="BL121" s="1200"/>
      <c r="BM121" s="1200"/>
      <c r="BN121" s="1200"/>
      <c r="BO121" s="1200"/>
      <c r="BP121" s="1200"/>
      <c r="BQ121" s="1200"/>
      <c r="BR121" s="1200"/>
      <c r="BS121" s="1200"/>
      <c r="BT121" s="1200"/>
      <c r="BU121" s="1200"/>
      <c r="BV121" s="1200"/>
      <c r="BW121" s="1200"/>
      <c r="BX121" s="1200"/>
      <c r="BY121" s="1200"/>
      <c r="BZ121" s="1012">
        <f t="shared" si="87"/>
        <v>24</v>
      </c>
      <c r="CB121" s="1219"/>
      <c r="CC121" s="1219"/>
      <c r="CE121" s="1009">
        <f t="shared" si="47"/>
        <v>1587827</v>
      </c>
    </row>
    <row r="122" s="1009" customFormat="1" ht="36" customHeight="1" spans="1:83">
      <c r="A122" s="540">
        <v>45763</v>
      </c>
      <c r="B122" s="1036" t="s">
        <v>1372</v>
      </c>
      <c r="C122" s="1037" t="s">
        <v>351</v>
      </c>
      <c r="D122" s="1038">
        <v>4500163897</v>
      </c>
      <c r="E122" s="1039" t="s">
        <v>3764</v>
      </c>
      <c r="F122" s="1038" t="s">
        <v>3765</v>
      </c>
      <c r="G122" s="1040" t="s">
        <v>73</v>
      </c>
      <c r="H122" s="1041" t="s">
        <v>74</v>
      </c>
      <c r="I122" s="1012">
        <v>24</v>
      </c>
      <c r="J122" s="1087">
        <v>0</v>
      </c>
      <c r="K122" s="1040">
        <v>24</v>
      </c>
      <c r="L122" s="1012">
        <f t="shared" si="48"/>
        <v>1</v>
      </c>
      <c r="M122" s="1079">
        <v>45803</v>
      </c>
      <c r="N122" s="1079">
        <v>45800</v>
      </c>
      <c r="O122" s="579"/>
      <c r="P122" s="579" t="s">
        <v>1262</v>
      </c>
      <c r="Q122" s="579" t="s">
        <v>3756</v>
      </c>
      <c r="R122" s="579">
        <v>45763</v>
      </c>
      <c r="S122" s="578" t="s">
        <v>123</v>
      </c>
      <c r="T122" s="695" t="s">
        <v>3757</v>
      </c>
      <c r="U122" s="1039" t="s">
        <v>3758</v>
      </c>
      <c r="V122" s="1112" t="s">
        <v>3759</v>
      </c>
      <c r="W122" s="1113">
        <v>1.3574</v>
      </c>
      <c r="X122" s="1114">
        <f t="shared" si="84"/>
        <v>32.5776</v>
      </c>
      <c r="Y122" s="1012"/>
      <c r="Z122" s="1159" t="s">
        <v>188</v>
      </c>
      <c r="AA122" s="1150" t="s">
        <v>128</v>
      </c>
      <c r="AB122" s="1150"/>
      <c r="AC122" s="1151">
        <v>24</v>
      </c>
      <c r="AD122" s="1151">
        <f t="shared" si="80"/>
        <v>0</v>
      </c>
      <c r="AE122" s="1151"/>
      <c r="AF122" s="579"/>
      <c r="AG122" s="579"/>
      <c r="AH122" s="1151">
        <f t="shared" si="85"/>
        <v>24</v>
      </c>
      <c r="AI122" s="1151"/>
      <c r="AJ122" s="1151"/>
      <c r="AK122" s="1151"/>
      <c r="AL122" s="1151"/>
      <c r="AM122" s="1151"/>
      <c r="AN122" s="543"/>
      <c r="AO122" s="543">
        <f t="shared" si="88"/>
        <v>24</v>
      </c>
      <c r="AP122" s="543"/>
      <c r="AQ122" s="543"/>
      <c r="AR122" s="543"/>
      <c r="AS122" s="543"/>
      <c r="AT122" s="543"/>
      <c r="AU122" s="1310">
        <f t="shared" si="86"/>
        <v>24</v>
      </c>
      <c r="AV122" s="1310"/>
      <c r="AW122" s="543"/>
      <c r="AX122" s="543"/>
      <c r="AY122" s="543"/>
      <c r="AZ122" s="543"/>
      <c r="BA122" s="543"/>
      <c r="BB122" s="543"/>
      <c r="BC122" s="1200"/>
      <c r="BD122" s="1200"/>
      <c r="BE122" s="1200"/>
      <c r="BF122" s="1200"/>
      <c r="BG122" s="1200"/>
      <c r="BH122" s="1200"/>
      <c r="BI122" s="1200"/>
      <c r="BJ122" s="1200"/>
      <c r="BK122" s="1200"/>
      <c r="BL122" s="1200"/>
      <c r="BM122" s="1200"/>
      <c r="BN122" s="1200"/>
      <c r="BO122" s="1200"/>
      <c r="BP122" s="1200"/>
      <c r="BQ122" s="1200"/>
      <c r="BR122" s="1200"/>
      <c r="BS122" s="1200"/>
      <c r="BT122" s="1200"/>
      <c r="BU122" s="1200"/>
      <c r="BV122" s="1200"/>
      <c r="BW122" s="1200"/>
      <c r="BX122" s="1200"/>
      <c r="BY122" s="1200"/>
      <c r="BZ122" s="1012">
        <f t="shared" si="87"/>
        <v>24</v>
      </c>
      <c r="CB122" s="1219"/>
      <c r="CC122" s="1219"/>
      <c r="CE122" s="1009">
        <f t="shared" si="47"/>
        <v>1587803</v>
      </c>
    </row>
    <row r="123" s="1009" customFormat="1" ht="36" customHeight="1" spans="1:83">
      <c r="A123" s="540">
        <v>45763</v>
      </c>
      <c r="B123" s="1036" t="s">
        <v>1372</v>
      </c>
      <c r="C123" s="1037" t="s">
        <v>351</v>
      </c>
      <c r="D123" s="1038">
        <v>4500163897</v>
      </c>
      <c r="E123" s="1039" t="s">
        <v>3766</v>
      </c>
      <c r="F123" s="1038" t="s">
        <v>3767</v>
      </c>
      <c r="G123" s="1040" t="s">
        <v>73</v>
      </c>
      <c r="H123" s="1041" t="s">
        <v>74</v>
      </c>
      <c r="I123" s="1012">
        <v>24</v>
      </c>
      <c r="J123" s="1087">
        <v>0</v>
      </c>
      <c r="K123" s="1040">
        <v>24</v>
      </c>
      <c r="L123" s="1012">
        <f t="shared" si="48"/>
        <v>1</v>
      </c>
      <c r="M123" s="1079">
        <v>45803</v>
      </c>
      <c r="N123" s="1079">
        <v>45800</v>
      </c>
      <c r="O123" s="579"/>
      <c r="P123" s="579" t="s">
        <v>1262</v>
      </c>
      <c r="Q123" s="579" t="s">
        <v>3756</v>
      </c>
      <c r="R123" s="579">
        <v>45763</v>
      </c>
      <c r="S123" s="578" t="s">
        <v>123</v>
      </c>
      <c r="T123" s="695" t="s">
        <v>3757</v>
      </c>
      <c r="U123" s="1039" t="s">
        <v>3758</v>
      </c>
      <c r="V123" s="1112" t="s">
        <v>3759</v>
      </c>
      <c r="W123" s="1113">
        <v>1.3574</v>
      </c>
      <c r="X123" s="1114">
        <f t="shared" si="84"/>
        <v>32.5776</v>
      </c>
      <c r="Y123" s="1012"/>
      <c r="Z123" s="1159" t="s">
        <v>188</v>
      </c>
      <c r="AA123" s="1150" t="s">
        <v>128</v>
      </c>
      <c r="AB123" s="1150"/>
      <c r="AC123" s="1151">
        <v>24</v>
      </c>
      <c r="AD123" s="1151">
        <f t="shared" si="80"/>
        <v>0</v>
      </c>
      <c r="AE123" s="1151"/>
      <c r="AF123" s="579"/>
      <c r="AG123" s="579"/>
      <c r="AH123" s="1151">
        <f t="shared" si="85"/>
        <v>24</v>
      </c>
      <c r="AI123" s="1151"/>
      <c r="AJ123" s="1151"/>
      <c r="AK123" s="1151"/>
      <c r="AL123" s="1151"/>
      <c r="AM123" s="1151"/>
      <c r="AN123" s="543"/>
      <c r="AO123" s="543">
        <f t="shared" si="88"/>
        <v>24</v>
      </c>
      <c r="AP123" s="543"/>
      <c r="AQ123" s="543"/>
      <c r="AR123" s="543"/>
      <c r="AS123" s="543"/>
      <c r="AT123" s="543"/>
      <c r="AU123" s="1310">
        <f t="shared" si="86"/>
        <v>24</v>
      </c>
      <c r="AV123" s="1310"/>
      <c r="AW123" s="543"/>
      <c r="AX123" s="543"/>
      <c r="AY123" s="543"/>
      <c r="AZ123" s="543"/>
      <c r="BA123" s="543"/>
      <c r="BB123" s="543"/>
      <c r="BC123" s="1200"/>
      <c r="BD123" s="1200"/>
      <c r="BE123" s="1200"/>
      <c r="BF123" s="1200"/>
      <c r="BG123" s="1200"/>
      <c r="BH123" s="1200"/>
      <c r="BI123" s="1200"/>
      <c r="BJ123" s="1200"/>
      <c r="BK123" s="1200"/>
      <c r="BL123" s="1200"/>
      <c r="BM123" s="1200"/>
      <c r="BN123" s="1200"/>
      <c r="BO123" s="1200"/>
      <c r="BP123" s="1200"/>
      <c r="BQ123" s="1200"/>
      <c r="BR123" s="1200"/>
      <c r="BS123" s="1200"/>
      <c r="BT123" s="1200"/>
      <c r="BU123" s="1200"/>
      <c r="BV123" s="1200"/>
      <c r="BW123" s="1200"/>
      <c r="BX123" s="1200"/>
      <c r="BY123" s="1200"/>
      <c r="BZ123" s="1012">
        <f t="shared" si="87"/>
        <v>24</v>
      </c>
      <c r="CB123" s="1219"/>
      <c r="CC123" s="1219"/>
      <c r="CE123" s="1009">
        <f t="shared" si="47"/>
        <v>1587779</v>
      </c>
    </row>
    <row r="124" s="1009" customFormat="1" ht="36" customHeight="1" spans="1:83">
      <c r="A124" s="540">
        <v>45763</v>
      </c>
      <c r="B124" s="1036" t="s">
        <v>1372</v>
      </c>
      <c r="C124" s="1037" t="s">
        <v>351</v>
      </c>
      <c r="D124" s="1038">
        <v>4500163897</v>
      </c>
      <c r="E124" s="1039" t="s">
        <v>3768</v>
      </c>
      <c r="F124" s="1038" t="s">
        <v>3769</v>
      </c>
      <c r="G124" s="1040" t="s">
        <v>73</v>
      </c>
      <c r="H124" s="1041" t="s">
        <v>74</v>
      </c>
      <c r="I124" s="1012">
        <v>48</v>
      </c>
      <c r="J124" s="1087">
        <v>0</v>
      </c>
      <c r="K124" s="1040">
        <v>24</v>
      </c>
      <c r="L124" s="1012">
        <f t="shared" si="48"/>
        <v>2</v>
      </c>
      <c r="M124" s="1079">
        <v>45803</v>
      </c>
      <c r="N124" s="1079">
        <v>45800</v>
      </c>
      <c r="O124" s="579"/>
      <c r="P124" s="579" t="s">
        <v>1262</v>
      </c>
      <c r="Q124" s="579" t="s">
        <v>3756</v>
      </c>
      <c r="R124" s="579">
        <v>45763</v>
      </c>
      <c r="S124" s="578" t="s">
        <v>123</v>
      </c>
      <c r="T124" s="695" t="s">
        <v>3757</v>
      </c>
      <c r="U124" s="1039" t="s">
        <v>3758</v>
      </c>
      <c r="V124" s="1112" t="s">
        <v>3759</v>
      </c>
      <c r="W124" s="1113">
        <v>1.3574</v>
      </c>
      <c r="X124" s="1114">
        <f t="shared" si="84"/>
        <v>65.1552</v>
      </c>
      <c r="Y124" s="1012"/>
      <c r="Z124" s="1159" t="s">
        <v>188</v>
      </c>
      <c r="AA124" s="1150" t="s">
        <v>128</v>
      </c>
      <c r="AB124" s="1150"/>
      <c r="AC124" s="1151">
        <v>48</v>
      </c>
      <c r="AD124" s="1151">
        <f t="shared" si="80"/>
        <v>0</v>
      </c>
      <c r="AE124" s="1151"/>
      <c r="AF124" s="579"/>
      <c r="AG124" s="579"/>
      <c r="AH124" s="1151">
        <f t="shared" si="85"/>
        <v>48</v>
      </c>
      <c r="AI124" s="1151"/>
      <c r="AJ124" s="1151"/>
      <c r="AK124" s="1151"/>
      <c r="AL124" s="1151"/>
      <c r="AM124" s="1151"/>
      <c r="AN124" s="543"/>
      <c r="AO124" s="543">
        <f t="shared" si="88"/>
        <v>48</v>
      </c>
      <c r="AP124" s="543"/>
      <c r="AQ124" s="543"/>
      <c r="AR124" s="543"/>
      <c r="AS124" s="543"/>
      <c r="AT124" s="543"/>
      <c r="AU124" s="1310">
        <f t="shared" si="86"/>
        <v>48</v>
      </c>
      <c r="AV124" s="1310"/>
      <c r="AW124" s="543"/>
      <c r="AX124" s="543"/>
      <c r="AY124" s="543"/>
      <c r="AZ124" s="543"/>
      <c r="BA124" s="543"/>
      <c r="BB124" s="543"/>
      <c r="BC124" s="1200"/>
      <c r="BD124" s="1200"/>
      <c r="BE124" s="1200"/>
      <c r="BF124" s="1200"/>
      <c r="BG124" s="1200"/>
      <c r="BH124" s="1200"/>
      <c r="BI124" s="1200"/>
      <c r="BJ124" s="1200"/>
      <c r="BK124" s="1200"/>
      <c r="BL124" s="1200"/>
      <c r="BM124" s="1200"/>
      <c r="BN124" s="1200"/>
      <c r="BO124" s="1200"/>
      <c r="BP124" s="1200"/>
      <c r="BQ124" s="1200"/>
      <c r="BR124" s="1200"/>
      <c r="BS124" s="1200"/>
      <c r="BT124" s="1200"/>
      <c r="BU124" s="1200"/>
      <c r="BV124" s="1200"/>
      <c r="BW124" s="1200"/>
      <c r="BX124" s="1200"/>
      <c r="BY124" s="1200"/>
      <c r="BZ124" s="1012">
        <f t="shared" si="87"/>
        <v>48</v>
      </c>
      <c r="CB124" s="1219"/>
      <c r="CC124" s="1219"/>
      <c r="CE124" s="1009">
        <f t="shared" si="47"/>
        <v>1587731</v>
      </c>
    </row>
    <row r="125" s="1009" customFormat="1" ht="36" customHeight="1" spans="1:83">
      <c r="A125" s="540">
        <v>45758</v>
      </c>
      <c r="B125" s="1036" t="s">
        <v>3770</v>
      </c>
      <c r="C125" s="1037" t="s">
        <v>373</v>
      </c>
      <c r="D125" s="1038">
        <v>4500163040</v>
      </c>
      <c r="E125" s="1039"/>
      <c r="F125" s="1038" t="s">
        <v>3771</v>
      </c>
      <c r="G125" s="1040" t="s">
        <v>96</v>
      </c>
      <c r="H125" s="1041" t="s">
        <v>74</v>
      </c>
      <c r="I125" s="1012">
        <v>450</v>
      </c>
      <c r="J125" s="1087">
        <v>0</v>
      </c>
      <c r="K125" s="1040">
        <v>50</v>
      </c>
      <c r="L125" s="1012">
        <f t="shared" si="48"/>
        <v>9</v>
      </c>
      <c r="M125" s="1079">
        <v>45807</v>
      </c>
      <c r="N125" s="1079">
        <v>45801</v>
      </c>
      <c r="O125" s="579"/>
      <c r="P125" s="579" t="s">
        <v>1262</v>
      </c>
      <c r="Q125" s="579" t="s">
        <v>3772</v>
      </c>
      <c r="R125" s="579">
        <v>45758</v>
      </c>
      <c r="S125" s="578" t="s">
        <v>77</v>
      </c>
      <c r="T125" s="695" t="s">
        <v>3773</v>
      </c>
      <c r="U125" s="1039" t="s">
        <v>3774</v>
      </c>
      <c r="V125" s="1112" t="s">
        <v>3560</v>
      </c>
      <c r="W125" s="1113">
        <v>1.4395</v>
      </c>
      <c r="X125" s="1114">
        <f t="shared" si="84"/>
        <v>647.775</v>
      </c>
      <c r="Y125" s="1012"/>
      <c r="Z125" s="1159" t="s">
        <v>292</v>
      </c>
      <c r="AA125" s="1150" t="s">
        <v>128</v>
      </c>
      <c r="AB125" s="1150"/>
      <c r="AC125" s="1151">
        <v>450</v>
      </c>
      <c r="AD125" s="1151">
        <f t="shared" si="80"/>
        <v>0</v>
      </c>
      <c r="AE125" s="1151"/>
      <c r="AF125" s="579"/>
      <c r="AG125" s="579"/>
      <c r="AH125" s="1151">
        <f t="shared" si="85"/>
        <v>450</v>
      </c>
      <c r="AI125" s="1151"/>
      <c r="AJ125" s="1151"/>
      <c r="AK125" s="1151"/>
      <c r="AL125" s="1151"/>
      <c r="AM125" s="1151"/>
      <c r="AN125" s="543"/>
      <c r="AO125" s="543">
        <f t="shared" si="88"/>
        <v>450</v>
      </c>
      <c r="AP125" s="543"/>
      <c r="AQ125" s="543"/>
      <c r="AR125" s="543"/>
      <c r="AS125" s="543"/>
      <c r="AT125" s="543"/>
      <c r="AU125" s="543">
        <f t="shared" si="86"/>
        <v>450</v>
      </c>
      <c r="AV125" s="543"/>
      <c r="AW125" s="543"/>
      <c r="AX125" s="543"/>
      <c r="AY125" s="543"/>
      <c r="AZ125" s="543"/>
      <c r="BA125" s="543"/>
      <c r="BB125" s="543"/>
      <c r="BC125" s="1200"/>
      <c r="BD125" s="1200"/>
      <c r="BE125" s="1200"/>
      <c r="BF125" s="1200"/>
      <c r="BG125" s="1200"/>
      <c r="BH125" s="1200"/>
      <c r="BI125" s="1200"/>
      <c r="BJ125" s="1200"/>
      <c r="BK125" s="1200"/>
      <c r="BL125" s="1200"/>
      <c r="BM125" s="1200"/>
      <c r="BN125" s="1200">
        <f t="shared" ref="BN125:BN130" si="89">I125/25</f>
        <v>18</v>
      </c>
      <c r="BO125" s="1200"/>
      <c r="BP125" s="1200"/>
      <c r="BQ125" s="1200"/>
      <c r="BR125" s="1200"/>
      <c r="BS125" s="1200"/>
      <c r="BT125" s="1200"/>
      <c r="BU125" s="1200"/>
      <c r="BV125" s="1200"/>
      <c r="BW125" s="1200"/>
      <c r="BX125" s="1200"/>
      <c r="BY125" s="1200"/>
      <c r="BZ125" s="1012">
        <f t="shared" si="87"/>
        <v>450</v>
      </c>
      <c r="CB125" s="1219"/>
      <c r="CC125" s="1219"/>
      <c r="CE125" s="1009">
        <f t="shared" si="47"/>
        <v>1587281</v>
      </c>
    </row>
    <row r="126" s="1255" customFormat="1" ht="36" customHeight="1" spans="1:83">
      <c r="A126" s="1262">
        <v>45775</v>
      </c>
      <c r="B126" s="1263" t="s">
        <v>1118</v>
      </c>
      <c r="C126" s="1264" t="s">
        <v>1119</v>
      </c>
      <c r="D126" s="1265">
        <v>4500160445</v>
      </c>
      <c r="E126" s="1318">
        <v>300565966</v>
      </c>
      <c r="F126" s="1265" t="s">
        <v>3775</v>
      </c>
      <c r="G126" s="1267" t="s">
        <v>877</v>
      </c>
      <c r="H126" s="1268" t="s">
        <v>1165</v>
      </c>
      <c r="I126" s="1319">
        <v>600</v>
      </c>
      <c r="J126" s="1319">
        <v>0</v>
      </c>
      <c r="K126" s="1319">
        <v>25</v>
      </c>
      <c r="L126" s="1319">
        <f t="shared" si="48"/>
        <v>24</v>
      </c>
      <c r="M126" s="1279">
        <v>45817</v>
      </c>
      <c r="N126" s="1279">
        <v>45813</v>
      </c>
      <c r="O126" s="1276"/>
      <c r="P126" s="1276" t="s">
        <v>1262</v>
      </c>
      <c r="Q126" s="1323" t="s">
        <v>3776</v>
      </c>
      <c r="R126" s="1276">
        <v>45775</v>
      </c>
      <c r="S126" s="1291" t="s">
        <v>77</v>
      </c>
      <c r="T126" s="1293" t="s">
        <v>3777</v>
      </c>
      <c r="U126" s="1266" t="s">
        <v>3778</v>
      </c>
      <c r="V126" s="1287" t="s">
        <v>3630</v>
      </c>
      <c r="W126" s="1288">
        <v>1.4405</v>
      </c>
      <c r="X126" s="1289">
        <f t="shared" si="84"/>
        <v>864.3</v>
      </c>
      <c r="Y126" s="1277"/>
      <c r="Z126" s="1302" t="s">
        <v>877</v>
      </c>
      <c r="AA126" s="1303" t="s">
        <v>128</v>
      </c>
      <c r="AB126" s="1303"/>
      <c r="AC126" s="1304">
        <v>600</v>
      </c>
      <c r="AD126" s="1304">
        <f t="shared" si="80"/>
        <v>0</v>
      </c>
      <c r="AE126" s="1304"/>
      <c r="AF126" s="1276"/>
      <c r="AG126" s="1276"/>
      <c r="AH126" s="1304"/>
      <c r="AI126" s="1304">
        <f>I126</f>
        <v>600</v>
      </c>
      <c r="AJ126" s="1304"/>
      <c r="AK126" s="1304"/>
      <c r="AL126" s="1304"/>
      <c r="AM126" s="1304"/>
      <c r="AN126" s="1306"/>
      <c r="AO126" s="1306">
        <f t="shared" si="88"/>
        <v>600</v>
      </c>
      <c r="AP126" s="1306"/>
      <c r="AQ126" s="1306"/>
      <c r="AR126" s="1306"/>
      <c r="AS126" s="1306"/>
      <c r="AT126" s="1306"/>
      <c r="AU126" s="1306">
        <f t="shared" si="86"/>
        <v>600</v>
      </c>
      <c r="AV126" s="1306"/>
      <c r="AW126" s="1306"/>
      <c r="AX126" s="1306"/>
      <c r="AY126" s="1306"/>
      <c r="AZ126" s="1306"/>
      <c r="BA126" s="1306"/>
      <c r="BB126" s="1306"/>
      <c r="BC126" s="1313"/>
      <c r="BD126" s="1313"/>
      <c r="BE126" s="1313"/>
      <c r="BF126" s="1313"/>
      <c r="BG126" s="1313"/>
      <c r="BH126" s="1313"/>
      <c r="BI126" s="1313"/>
      <c r="BJ126" s="1313"/>
      <c r="BK126" s="1313"/>
      <c r="BL126" s="1313"/>
      <c r="BM126" s="1313"/>
      <c r="BN126" s="1313">
        <f t="shared" si="89"/>
        <v>24</v>
      </c>
      <c r="BO126" s="1313"/>
      <c r="BP126" s="1313"/>
      <c r="BQ126" s="1313"/>
      <c r="BR126" s="1313"/>
      <c r="BS126" s="1313"/>
      <c r="BT126" s="1313"/>
      <c r="BU126" s="1313"/>
      <c r="BV126" s="1313"/>
      <c r="BW126" s="1313"/>
      <c r="BX126" s="1313"/>
      <c r="BY126" s="1313"/>
      <c r="BZ126" s="1277">
        <f t="shared" si="87"/>
        <v>600</v>
      </c>
      <c r="CB126" s="1324"/>
      <c r="CC126" s="1324"/>
      <c r="CE126" s="1009">
        <f t="shared" si="47"/>
        <v>1586681</v>
      </c>
    </row>
    <row r="127" s="1009" customFormat="1" ht="36" customHeight="1" spans="1:83">
      <c r="A127" s="540">
        <v>45789</v>
      </c>
      <c r="B127" s="1036" t="s">
        <v>3779</v>
      </c>
      <c r="C127" s="1037" t="s">
        <v>581</v>
      </c>
      <c r="D127" s="1038">
        <v>4500165851</v>
      </c>
      <c r="E127" s="1039" t="s">
        <v>3780</v>
      </c>
      <c r="F127" s="1038" t="s">
        <v>3781</v>
      </c>
      <c r="G127" s="1040" t="s">
        <v>207</v>
      </c>
      <c r="H127" s="1041" t="s">
        <v>74</v>
      </c>
      <c r="I127" s="1012">
        <v>2016</v>
      </c>
      <c r="J127" s="1087">
        <v>0</v>
      </c>
      <c r="K127" s="1040">
        <v>48</v>
      </c>
      <c r="L127" s="1012">
        <f t="shared" si="48"/>
        <v>42</v>
      </c>
      <c r="M127" s="1079">
        <v>45828</v>
      </c>
      <c r="N127" s="1079">
        <v>45824</v>
      </c>
      <c r="O127" s="579"/>
      <c r="P127" s="579" t="s">
        <v>92</v>
      </c>
      <c r="Q127" s="579" t="s">
        <v>3744</v>
      </c>
      <c r="R127" s="579">
        <v>45790</v>
      </c>
      <c r="S127" s="578" t="s">
        <v>77</v>
      </c>
      <c r="T127" s="695" t="s">
        <v>1487</v>
      </c>
      <c r="U127" s="1039" t="s">
        <v>3782</v>
      </c>
      <c r="V127" s="1112" t="s">
        <v>3783</v>
      </c>
      <c r="W127" s="1113">
        <v>1.3773</v>
      </c>
      <c r="X127" s="1114">
        <f t="shared" si="84"/>
        <v>2776.6368</v>
      </c>
      <c r="Y127" s="1012"/>
      <c r="Z127" s="1159" t="s">
        <v>207</v>
      </c>
      <c r="AA127" s="1150" t="s">
        <v>128</v>
      </c>
      <c r="AB127" s="1150"/>
      <c r="AC127" s="1151">
        <v>2016</v>
      </c>
      <c r="AD127" s="1151">
        <f t="shared" si="80"/>
        <v>0</v>
      </c>
      <c r="AE127" s="1151"/>
      <c r="AF127" s="579"/>
      <c r="AG127" s="579"/>
      <c r="AH127" s="1151">
        <f t="shared" ref="AH127:AH133" si="90">I127</f>
        <v>2016</v>
      </c>
      <c r="AI127" s="1151"/>
      <c r="AJ127" s="1151"/>
      <c r="AK127" s="1151"/>
      <c r="AL127" s="1151"/>
      <c r="AM127" s="1151"/>
      <c r="AN127" s="543">
        <f t="shared" ref="AN127:AN129" si="91">I127</f>
        <v>2016</v>
      </c>
      <c r="AO127" s="543"/>
      <c r="AP127" s="543"/>
      <c r="AQ127" s="543"/>
      <c r="AR127" s="543"/>
      <c r="AS127" s="543"/>
      <c r="AT127" s="543"/>
      <c r="AU127" s="1310">
        <f t="shared" si="86"/>
        <v>2016</v>
      </c>
      <c r="AV127" s="1310"/>
      <c r="AW127" s="543"/>
      <c r="AX127" s="543"/>
      <c r="AY127" s="543"/>
      <c r="AZ127" s="543"/>
      <c r="BA127" s="543"/>
      <c r="BB127" s="543"/>
      <c r="BC127" s="1200"/>
      <c r="BD127" s="1200"/>
      <c r="BE127" s="1200"/>
      <c r="BF127" s="1200"/>
      <c r="BG127" s="1200">
        <f>I127/12</f>
        <v>168</v>
      </c>
      <c r="BH127" s="1200"/>
      <c r="BI127" s="1200"/>
      <c r="BJ127" s="1200"/>
      <c r="BK127" s="1200"/>
      <c r="BL127" s="1200"/>
      <c r="BM127" s="1200"/>
      <c r="BN127" s="1200"/>
      <c r="BO127" s="1200"/>
      <c r="BP127" s="1200"/>
      <c r="BQ127" s="1200"/>
      <c r="BR127" s="1200"/>
      <c r="BS127" s="1200"/>
      <c r="BT127" s="1200"/>
      <c r="BU127" s="1200"/>
      <c r="BV127" s="1200"/>
      <c r="BW127" s="1200"/>
      <c r="BX127" s="1200"/>
      <c r="BY127" s="1200"/>
      <c r="BZ127" s="1012">
        <f t="shared" si="87"/>
        <v>2016</v>
      </c>
      <c r="CB127" s="1219"/>
      <c r="CC127" s="1219"/>
      <c r="CE127" s="1009">
        <f t="shared" si="47"/>
        <v>1584665</v>
      </c>
    </row>
    <row r="128" s="1009" customFormat="1" ht="36" customHeight="1" spans="1:83">
      <c r="A128" s="540">
        <v>45701</v>
      </c>
      <c r="B128" s="1036" t="s">
        <v>3784</v>
      </c>
      <c r="C128" s="1037" t="s">
        <v>213</v>
      </c>
      <c r="D128" s="1038" t="s">
        <v>3785</v>
      </c>
      <c r="E128" s="1039" t="s">
        <v>3786</v>
      </c>
      <c r="F128" s="1038"/>
      <c r="G128" s="1040" t="s">
        <v>3787</v>
      </c>
      <c r="H128" s="1041" t="s">
        <v>74</v>
      </c>
      <c r="I128" s="1012">
        <v>14625</v>
      </c>
      <c r="J128" s="1087">
        <v>0</v>
      </c>
      <c r="K128" s="1040">
        <v>15</v>
      </c>
      <c r="L128" s="1012">
        <f t="shared" si="48"/>
        <v>975</v>
      </c>
      <c r="M128" s="1079">
        <v>45832</v>
      </c>
      <c r="N128" s="1079">
        <v>45828</v>
      </c>
      <c r="O128" s="579" t="s">
        <v>863</v>
      </c>
      <c r="P128" s="579" t="s">
        <v>92</v>
      </c>
      <c r="Q128" s="579" t="s">
        <v>3788</v>
      </c>
      <c r="R128" s="579" t="s">
        <v>3789</v>
      </c>
      <c r="S128" s="578" t="s">
        <v>77</v>
      </c>
      <c r="T128" s="578" t="s">
        <v>77</v>
      </c>
      <c r="U128" s="1039" t="s">
        <v>3790</v>
      </c>
      <c r="V128" s="1112" t="s">
        <v>3791</v>
      </c>
      <c r="W128" s="1113">
        <v>1.321</v>
      </c>
      <c r="X128" s="1114">
        <f t="shared" si="84"/>
        <v>19319.625</v>
      </c>
      <c r="Y128" s="1012" t="s">
        <v>3792</v>
      </c>
      <c r="Z128" s="1159" t="s">
        <v>3787</v>
      </c>
      <c r="AA128" s="1150" t="s">
        <v>128</v>
      </c>
      <c r="AB128" s="1150"/>
      <c r="AC128" s="1151">
        <v>14625</v>
      </c>
      <c r="AD128" s="1151">
        <f t="shared" si="80"/>
        <v>0</v>
      </c>
      <c r="AE128" s="1151"/>
      <c r="AF128" s="579"/>
      <c r="AG128" s="579"/>
      <c r="AH128" s="1151">
        <f t="shared" si="90"/>
        <v>14625</v>
      </c>
      <c r="AI128" s="1151"/>
      <c r="AJ128" s="1151"/>
      <c r="AK128" s="1151"/>
      <c r="AL128" s="1151"/>
      <c r="AM128" s="1151"/>
      <c r="AN128" s="543">
        <f t="shared" si="91"/>
        <v>14625</v>
      </c>
      <c r="AO128" s="543"/>
      <c r="AP128" s="543"/>
      <c r="AQ128" s="543"/>
      <c r="AR128" s="543"/>
      <c r="AS128" s="543"/>
      <c r="AT128" s="543"/>
      <c r="AU128" s="1310">
        <f t="shared" si="86"/>
        <v>14625</v>
      </c>
      <c r="AV128" s="1310"/>
      <c r="AW128" s="543"/>
      <c r="AX128" s="543"/>
      <c r="AY128" s="543"/>
      <c r="AZ128" s="543"/>
      <c r="BA128" s="543"/>
      <c r="BB128" s="543"/>
      <c r="BC128" s="1200"/>
      <c r="BD128" s="1200"/>
      <c r="BE128" s="1200"/>
      <c r="BF128" s="1200"/>
      <c r="BG128" s="1200"/>
      <c r="BH128" s="1200"/>
      <c r="BI128" s="1200"/>
      <c r="BJ128" s="1200"/>
      <c r="BK128" s="1200"/>
      <c r="BL128" s="1200"/>
      <c r="BM128" s="1200"/>
      <c r="BN128" s="1200"/>
      <c r="BO128" s="1200"/>
      <c r="BP128" s="1200"/>
      <c r="BQ128" s="1200"/>
      <c r="BR128" s="1200"/>
      <c r="BS128" s="1200"/>
      <c r="BT128" s="1200"/>
      <c r="BU128" s="1200"/>
      <c r="BV128" s="1200"/>
      <c r="BW128" s="1200"/>
      <c r="BX128" s="1200"/>
      <c r="BY128" s="1200"/>
      <c r="BZ128" s="1012">
        <f t="shared" si="87"/>
        <v>14625</v>
      </c>
      <c r="CB128" s="1219"/>
      <c r="CC128" s="1219"/>
      <c r="CE128" s="1009">
        <f t="shared" si="47"/>
        <v>1570040</v>
      </c>
    </row>
    <row r="129" s="1009" customFormat="1" ht="36" customHeight="1" spans="1:83">
      <c r="A129" s="540">
        <v>45701</v>
      </c>
      <c r="B129" s="1036" t="s">
        <v>3784</v>
      </c>
      <c r="C129" s="1037" t="s">
        <v>213</v>
      </c>
      <c r="D129" s="1038" t="s">
        <v>3785</v>
      </c>
      <c r="E129" s="1039" t="s">
        <v>3786</v>
      </c>
      <c r="F129" s="1038"/>
      <c r="G129" s="1040" t="s">
        <v>3787</v>
      </c>
      <c r="H129" s="1041" t="s">
        <v>74</v>
      </c>
      <c r="I129" s="1012">
        <v>2520</v>
      </c>
      <c r="J129" s="1087">
        <v>0</v>
      </c>
      <c r="K129" s="1040">
        <v>15</v>
      </c>
      <c r="L129" s="1012">
        <f t="shared" si="48"/>
        <v>168</v>
      </c>
      <c r="M129" s="1079">
        <v>45832</v>
      </c>
      <c r="N129" s="1079">
        <v>45828</v>
      </c>
      <c r="O129" s="579" t="s">
        <v>3793</v>
      </c>
      <c r="P129" s="579" t="s">
        <v>92</v>
      </c>
      <c r="Q129" s="579" t="s">
        <v>3788</v>
      </c>
      <c r="R129" s="579" t="s">
        <v>3789</v>
      </c>
      <c r="S129" s="578" t="s">
        <v>77</v>
      </c>
      <c r="T129" s="578" t="s">
        <v>77</v>
      </c>
      <c r="U129" s="1039" t="s">
        <v>3790</v>
      </c>
      <c r="V129" s="1112" t="s">
        <v>3791</v>
      </c>
      <c r="W129" s="1113">
        <v>1.3311</v>
      </c>
      <c r="X129" s="1114">
        <f t="shared" si="84"/>
        <v>3354.372</v>
      </c>
      <c r="Y129" s="1012" t="s">
        <v>3792</v>
      </c>
      <c r="Z129" s="1159" t="s">
        <v>3787</v>
      </c>
      <c r="AA129" s="1150" t="s">
        <v>128</v>
      </c>
      <c r="AB129" s="1150"/>
      <c r="AC129" s="1151">
        <v>2520</v>
      </c>
      <c r="AD129" s="1151">
        <f t="shared" si="80"/>
        <v>0</v>
      </c>
      <c r="AE129" s="1151"/>
      <c r="AF129" s="579"/>
      <c r="AG129" s="579"/>
      <c r="AH129" s="1151">
        <f t="shared" si="90"/>
        <v>2520</v>
      </c>
      <c r="AI129" s="1151"/>
      <c r="AJ129" s="1151"/>
      <c r="AK129" s="1151"/>
      <c r="AL129" s="1151"/>
      <c r="AM129" s="1151"/>
      <c r="AN129" s="543">
        <f t="shared" si="91"/>
        <v>2520</v>
      </c>
      <c r="AO129" s="543"/>
      <c r="AP129" s="543"/>
      <c r="AQ129" s="543"/>
      <c r="AR129" s="543"/>
      <c r="AS129" s="543"/>
      <c r="AT129" s="543"/>
      <c r="AU129" s="1310">
        <f t="shared" si="86"/>
        <v>2520</v>
      </c>
      <c r="AV129" s="1310"/>
      <c r="AW129" s="543"/>
      <c r="AX129" s="543"/>
      <c r="AY129" s="543"/>
      <c r="AZ129" s="543"/>
      <c r="BA129" s="543"/>
      <c r="BB129" s="543"/>
      <c r="BC129" s="1200"/>
      <c r="BD129" s="1200"/>
      <c r="BE129" s="1200"/>
      <c r="BF129" s="1200"/>
      <c r="BG129" s="1200"/>
      <c r="BH129" s="1200"/>
      <c r="BI129" s="1200"/>
      <c r="BJ129" s="1200"/>
      <c r="BK129" s="1200"/>
      <c r="BL129" s="1200"/>
      <c r="BM129" s="1200"/>
      <c r="BN129" s="1200"/>
      <c r="BO129" s="1200"/>
      <c r="BP129" s="1200"/>
      <c r="BQ129" s="1200"/>
      <c r="BR129" s="1200"/>
      <c r="BS129" s="1200"/>
      <c r="BT129" s="1200"/>
      <c r="BU129" s="1200"/>
      <c r="BV129" s="1200"/>
      <c r="BW129" s="1200"/>
      <c r="BX129" s="1200"/>
      <c r="BY129" s="1200"/>
      <c r="BZ129" s="1012">
        <f t="shared" si="87"/>
        <v>2520</v>
      </c>
      <c r="CB129" s="1219"/>
      <c r="CC129" s="1219"/>
      <c r="CE129" s="1009">
        <f t="shared" si="47"/>
        <v>1567520</v>
      </c>
    </row>
    <row r="130" s="1009" customFormat="1" ht="36" customHeight="1" spans="1:83">
      <c r="A130" s="540">
        <v>45763</v>
      </c>
      <c r="B130" s="1036" t="s">
        <v>3794</v>
      </c>
      <c r="C130" s="1037" t="s">
        <v>1095</v>
      </c>
      <c r="D130" s="1038">
        <v>4500163691</v>
      </c>
      <c r="E130" s="1039" t="s">
        <v>3795</v>
      </c>
      <c r="F130" s="1038" t="s">
        <v>3796</v>
      </c>
      <c r="G130" s="1040" t="s">
        <v>96</v>
      </c>
      <c r="H130" s="1041" t="s">
        <v>74</v>
      </c>
      <c r="I130" s="1012">
        <v>1000</v>
      </c>
      <c r="J130" s="1087">
        <v>0</v>
      </c>
      <c r="K130" s="1040">
        <v>50</v>
      </c>
      <c r="L130" s="1012">
        <f t="shared" si="48"/>
        <v>20</v>
      </c>
      <c r="M130" s="1079">
        <v>45818</v>
      </c>
      <c r="N130" s="1079">
        <v>45828</v>
      </c>
      <c r="O130" s="579"/>
      <c r="P130" s="1079" t="s">
        <v>1262</v>
      </c>
      <c r="Q130" s="579" t="s">
        <v>1421</v>
      </c>
      <c r="R130" s="579">
        <v>45784</v>
      </c>
      <c r="S130" s="578" t="s">
        <v>77</v>
      </c>
      <c r="T130" s="695" t="s">
        <v>3797</v>
      </c>
      <c r="U130" s="1039" t="s">
        <v>3798</v>
      </c>
      <c r="V130" s="1112" t="s">
        <v>618</v>
      </c>
      <c r="W130" s="1113">
        <v>1.4259</v>
      </c>
      <c r="X130" s="1114">
        <f t="shared" si="84"/>
        <v>1425.9</v>
      </c>
      <c r="Y130" s="1012" t="s">
        <v>3799</v>
      </c>
      <c r="Z130" s="1159" t="s">
        <v>292</v>
      </c>
      <c r="AA130" s="1150" t="s">
        <v>128</v>
      </c>
      <c r="AB130" s="1150"/>
      <c r="AC130" s="1151">
        <v>1000</v>
      </c>
      <c r="AD130" s="1151">
        <f t="shared" si="80"/>
        <v>0</v>
      </c>
      <c r="AE130" s="1151"/>
      <c r="AF130" s="579"/>
      <c r="AG130" s="579"/>
      <c r="AH130" s="1151">
        <f t="shared" si="90"/>
        <v>1000</v>
      </c>
      <c r="AI130" s="1151"/>
      <c r="AJ130" s="1151"/>
      <c r="AK130" s="1151"/>
      <c r="AL130" s="1151"/>
      <c r="AM130" s="1151"/>
      <c r="AN130" s="543"/>
      <c r="AO130" s="543">
        <f>I130</f>
        <v>1000</v>
      </c>
      <c r="AP130" s="543"/>
      <c r="AQ130" s="543"/>
      <c r="AR130" s="543"/>
      <c r="AS130" s="543"/>
      <c r="AT130" s="543"/>
      <c r="AU130" s="543">
        <f t="shared" si="86"/>
        <v>1000</v>
      </c>
      <c r="AV130" s="543"/>
      <c r="AW130" s="543"/>
      <c r="AX130" s="543"/>
      <c r="AY130" s="543"/>
      <c r="AZ130" s="543"/>
      <c r="BA130" s="543"/>
      <c r="BB130" s="543"/>
      <c r="BC130" s="1200"/>
      <c r="BD130" s="1200"/>
      <c r="BE130" s="1200"/>
      <c r="BF130" s="1200"/>
      <c r="BG130" s="1200"/>
      <c r="BH130" s="1200"/>
      <c r="BI130" s="1200"/>
      <c r="BJ130" s="1200"/>
      <c r="BK130" s="1200"/>
      <c r="BL130" s="1200"/>
      <c r="BM130" s="1200"/>
      <c r="BN130" s="1200">
        <f t="shared" si="89"/>
        <v>40</v>
      </c>
      <c r="BO130" s="1200"/>
      <c r="BP130" s="1200"/>
      <c r="BQ130" s="1200"/>
      <c r="BR130" s="1200"/>
      <c r="BS130" s="1200"/>
      <c r="BT130" s="1200"/>
      <c r="BU130" s="1200"/>
      <c r="BV130" s="1200"/>
      <c r="BW130" s="1200"/>
      <c r="BX130" s="1200"/>
      <c r="BY130" s="1200"/>
      <c r="BZ130" s="1012">
        <f t="shared" si="87"/>
        <v>1000</v>
      </c>
      <c r="CB130" s="1219"/>
      <c r="CC130" s="1219"/>
      <c r="CE130" s="1009">
        <f t="shared" si="47"/>
        <v>1566520</v>
      </c>
    </row>
    <row r="131" s="1009" customFormat="1" ht="36" customHeight="1" spans="1:83">
      <c r="A131" s="540">
        <v>45793</v>
      </c>
      <c r="B131" s="1036" t="s">
        <v>3800</v>
      </c>
      <c r="C131" s="1037" t="s">
        <v>351</v>
      </c>
      <c r="D131" s="1038">
        <v>4500166007</v>
      </c>
      <c r="E131" s="1325">
        <v>3501527806</v>
      </c>
      <c r="F131" s="1038" t="s">
        <v>3801</v>
      </c>
      <c r="G131" s="1040" t="s">
        <v>245</v>
      </c>
      <c r="H131" s="1041" t="s">
        <v>74</v>
      </c>
      <c r="I131" s="1012">
        <v>828</v>
      </c>
      <c r="J131" s="1087">
        <v>0</v>
      </c>
      <c r="K131" s="1040">
        <v>12</v>
      </c>
      <c r="L131" s="1012">
        <f t="shared" si="48"/>
        <v>69</v>
      </c>
      <c r="M131" s="1079">
        <v>45831</v>
      </c>
      <c r="N131" s="1079">
        <v>45827</v>
      </c>
      <c r="O131" s="579" t="s">
        <v>3802</v>
      </c>
      <c r="P131" s="579" t="s">
        <v>1262</v>
      </c>
      <c r="Q131" s="579" t="s">
        <v>3803</v>
      </c>
      <c r="R131" s="579">
        <v>45798</v>
      </c>
      <c r="S131" s="578" t="s">
        <v>123</v>
      </c>
      <c r="T131" s="695" t="s">
        <v>3804</v>
      </c>
      <c r="U131" s="1039" t="s">
        <v>3805</v>
      </c>
      <c r="V131" s="1112" t="s">
        <v>3806</v>
      </c>
      <c r="W131" s="1113">
        <v>1.3648</v>
      </c>
      <c r="X131" s="1114">
        <f t="shared" si="84"/>
        <v>1130.0544</v>
      </c>
      <c r="Y131" s="1012" t="s">
        <v>3807</v>
      </c>
      <c r="Z131" s="1159" t="s">
        <v>249</v>
      </c>
      <c r="AA131" s="1150" t="s">
        <v>128</v>
      </c>
      <c r="AB131" s="1150"/>
      <c r="AC131" s="1151">
        <f>816+12</f>
        <v>828</v>
      </c>
      <c r="AD131" s="1151">
        <f t="shared" si="80"/>
        <v>0</v>
      </c>
      <c r="AE131" s="1151"/>
      <c r="AF131" s="579"/>
      <c r="AG131" s="579"/>
      <c r="AH131" s="1151">
        <f t="shared" si="90"/>
        <v>828</v>
      </c>
      <c r="AI131" s="1151"/>
      <c r="AJ131" s="1151"/>
      <c r="AK131" s="1151"/>
      <c r="AL131" s="1151"/>
      <c r="AM131" s="1151"/>
      <c r="AN131" s="543"/>
      <c r="AO131" s="543"/>
      <c r="AP131" s="543"/>
      <c r="AQ131" s="1372">
        <f t="shared" ref="AQ131:AQ140" si="92">AH131</f>
        <v>828</v>
      </c>
      <c r="AR131" s="543"/>
      <c r="AS131" s="543"/>
      <c r="AT131" s="543"/>
      <c r="AU131" s="1373">
        <f t="shared" si="86"/>
        <v>828</v>
      </c>
      <c r="AV131" s="543"/>
      <c r="AW131" s="543"/>
      <c r="AX131" s="543"/>
      <c r="AY131" s="543"/>
      <c r="AZ131" s="543"/>
      <c r="BA131" s="543"/>
      <c r="BB131" s="543"/>
      <c r="BC131" s="1200"/>
      <c r="BD131" s="1200"/>
      <c r="BE131" s="1200"/>
      <c r="BF131" s="1200"/>
      <c r="BG131" s="1200"/>
      <c r="BH131" s="1200">
        <f>I131/12</f>
        <v>69</v>
      </c>
      <c r="BI131" s="1200"/>
      <c r="BJ131" s="1200"/>
      <c r="BK131" s="1200"/>
      <c r="BL131" s="1200"/>
      <c r="BM131" s="1200"/>
      <c r="BN131" s="1200"/>
      <c r="BO131" s="1200"/>
      <c r="BP131" s="1200"/>
      <c r="BQ131" s="1200"/>
      <c r="BR131" s="1200"/>
      <c r="BS131" s="1200"/>
      <c r="BT131" s="1200"/>
      <c r="BU131" s="1200"/>
      <c r="BV131" s="1200"/>
      <c r="BW131" s="1200"/>
      <c r="BX131" s="1200"/>
      <c r="BY131" s="1200"/>
      <c r="BZ131" s="1012">
        <f t="shared" si="87"/>
        <v>828</v>
      </c>
      <c r="CB131" s="1219"/>
      <c r="CC131" s="1219"/>
      <c r="CE131" s="1009">
        <f t="shared" ref="CE131:CE194" si="93">CE130-AH131-AI131-AJ131</f>
        <v>1565692</v>
      </c>
    </row>
    <row r="132" s="1009" customFormat="1" ht="36" customHeight="1" spans="1:83">
      <c r="A132" s="540">
        <v>45777</v>
      </c>
      <c r="B132" s="1036" t="s">
        <v>3808</v>
      </c>
      <c r="C132" s="1037" t="s">
        <v>1288</v>
      </c>
      <c r="D132" s="1038">
        <v>4500165516</v>
      </c>
      <c r="E132" s="1039">
        <v>84207</v>
      </c>
      <c r="F132" s="1038" t="s">
        <v>3809</v>
      </c>
      <c r="G132" s="1040" t="s">
        <v>215</v>
      </c>
      <c r="H132" s="1041" t="s">
        <v>74</v>
      </c>
      <c r="I132" s="1012">
        <v>11004</v>
      </c>
      <c r="J132" s="1087">
        <v>0</v>
      </c>
      <c r="K132" s="1040">
        <v>42</v>
      </c>
      <c r="L132" s="1012">
        <f t="shared" ref="L132:L158" si="94">I132/K132</f>
        <v>262</v>
      </c>
      <c r="M132" s="1079">
        <v>45833</v>
      </c>
      <c r="N132" s="1079">
        <v>45828</v>
      </c>
      <c r="O132" s="579" t="s">
        <v>863</v>
      </c>
      <c r="P132" s="579" t="s">
        <v>92</v>
      </c>
      <c r="Q132" s="579" t="s">
        <v>1421</v>
      </c>
      <c r="R132" s="579">
        <v>45803</v>
      </c>
      <c r="S132" s="578" t="s">
        <v>77</v>
      </c>
      <c r="T132" s="695" t="s">
        <v>3810</v>
      </c>
      <c r="U132" s="1298" t="s">
        <v>3811</v>
      </c>
      <c r="V132" s="1112" t="s">
        <v>3812</v>
      </c>
      <c r="W132" s="1113">
        <v>1.4139</v>
      </c>
      <c r="X132" s="1114">
        <f t="shared" si="84"/>
        <v>15558.5556</v>
      </c>
      <c r="Y132" s="1012" t="s">
        <v>3813</v>
      </c>
      <c r="Z132" s="1159" t="s">
        <v>215</v>
      </c>
      <c r="AA132" s="1150" t="s">
        <v>128</v>
      </c>
      <c r="AB132" s="1150"/>
      <c r="AC132" s="1151">
        <f>8820+2184</f>
        <v>11004</v>
      </c>
      <c r="AD132" s="1151">
        <f t="shared" si="80"/>
        <v>0</v>
      </c>
      <c r="AE132" s="1151"/>
      <c r="AF132" s="579"/>
      <c r="AG132" s="579"/>
      <c r="AH132" s="1151">
        <f t="shared" si="90"/>
        <v>11004</v>
      </c>
      <c r="AI132" s="1151"/>
      <c r="AJ132" s="1151"/>
      <c r="AK132" s="1151"/>
      <c r="AL132" s="1151"/>
      <c r="AM132" s="1151"/>
      <c r="AN132" s="543">
        <f>I132</f>
        <v>11004</v>
      </c>
      <c r="AO132" s="543"/>
      <c r="AP132" s="543"/>
      <c r="AQ132" s="543"/>
      <c r="AR132" s="543"/>
      <c r="AS132" s="543"/>
      <c r="AT132" s="543"/>
      <c r="AU132" s="543">
        <f t="shared" si="86"/>
        <v>11004</v>
      </c>
      <c r="AV132" s="543"/>
      <c r="AW132" s="543"/>
      <c r="AX132" s="543"/>
      <c r="AY132" s="543"/>
      <c r="AZ132" s="543"/>
      <c r="BA132" s="543"/>
      <c r="BB132" s="543">
        <f>I132/21</f>
        <v>524</v>
      </c>
      <c r="BC132" s="1200"/>
      <c r="BD132" s="1200"/>
      <c r="BE132" s="1200"/>
      <c r="BF132" s="1200"/>
      <c r="BG132" s="1200"/>
      <c r="BH132" s="1200"/>
      <c r="BI132" s="1200"/>
      <c r="BJ132" s="1200"/>
      <c r="BK132" s="1200"/>
      <c r="BL132" s="1200"/>
      <c r="BM132" s="1200"/>
      <c r="BN132" s="1200"/>
      <c r="BO132" s="1200"/>
      <c r="BP132" s="1200"/>
      <c r="BQ132" s="1200"/>
      <c r="BR132" s="1200"/>
      <c r="BS132" s="1200"/>
      <c r="BT132" s="1200"/>
      <c r="BU132" s="1200"/>
      <c r="BV132" s="1200"/>
      <c r="BW132" s="1200"/>
      <c r="BX132" s="1200"/>
      <c r="BY132" s="1200"/>
      <c r="BZ132" s="1012">
        <f t="shared" si="87"/>
        <v>11004</v>
      </c>
      <c r="CB132" s="1219"/>
      <c r="CC132" s="1219"/>
      <c r="CE132" s="1009">
        <f t="shared" si="93"/>
        <v>1554688</v>
      </c>
    </row>
    <row r="133" s="1009" customFormat="1" ht="36" customHeight="1" spans="1:83">
      <c r="A133" s="540">
        <v>45798</v>
      </c>
      <c r="B133" s="1036" t="s">
        <v>3814</v>
      </c>
      <c r="C133" s="1037" t="s">
        <v>1047</v>
      </c>
      <c r="D133" s="1038">
        <v>4500167410</v>
      </c>
      <c r="E133" s="1326" t="s">
        <v>3815</v>
      </c>
      <c r="F133" s="1038" t="s">
        <v>3816</v>
      </c>
      <c r="G133" s="1040" t="s">
        <v>403</v>
      </c>
      <c r="H133" s="1041" t="s">
        <v>74</v>
      </c>
      <c r="I133" s="1012">
        <v>2080</v>
      </c>
      <c r="J133" s="1087">
        <v>0</v>
      </c>
      <c r="K133" s="1040">
        <v>52</v>
      </c>
      <c r="L133" s="1012">
        <f t="shared" si="94"/>
        <v>40</v>
      </c>
      <c r="M133" s="1079">
        <v>45829</v>
      </c>
      <c r="N133" s="1079">
        <v>45828</v>
      </c>
      <c r="O133" s="1079" t="s">
        <v>2573</v>
      </c>
      <c r="P133" s="1079" t="s">
        <v>1262</v>
      </c>
      <c r="Q133" s="579" t="s">
        <v>3817</v>
      </c>
      <c r="R133" s="579">
        <v>45803</v>
      </c>
      <c r="S133" s="578" t="s">
        <v>77</v>
      </c>
      <c r="T133" s="695" t="s">
        <v>77</v>
      </c>
      <c r="U133" s="1039" t="s">
        <v>3818</v>
      </c>
      <c r="V133" s="1112" t="s">
        <v>1140</v>
      </c>
      <c r="W133" s="1113">
        <v>1.3755</v>
      </c>
      <c r="X133" s="1114">
        <f t="shared" si="84"/>
        <v>2861.04</v>
      </c>
      <c r="Y133" s="1012" t="s">
        <v>3819</v>
      </c>
      <c r="Z133" s="1159" t="s">
        <v>403</v>
      </c>
      <c r="AA133" s="1150" t="s">
        <v>128</v>
      </c>
      <c r="AB133" s="1150"/>
      <c r="AC133" s="1151">
        <v>2080</v>
      </c>
      <c r="AD133" s="1151">
        <f t="shared" si="80"/>
        <v>0</v>
      </c>
      <c r="AE133" s="1151"/>
      <c r="AF133" s="579"/>
      <c r="AG133" s="579"/>
      <c r="AH133" s="1151">
        <f t="shared" si="90"/>
        <v>2080</v>
      </c>
      <c r="AI133" s="1162"/>
      <c r="AJ133" s="1162"/>
      <c r="AK133" s="1151"/>
      <c r="AL133" s="1151"/>
      <c r="AM133" s="1151"/>
      <c r="AN133" s="543">
        <f>I133</f>
        <v>2080</v>
      </c>
      <c r="AO133" s="543"/>
      <c r="AP133" s="543"/>
      <c r="AQ133" s="543"/>
      <c r="AR133" s="543"/>
      <c r="AS133" s="543"/>
      <c r="AT133" s="543"/>
      <c r="AU133" s="1310">
        <f t="shared" si="86"/>
        <v>2080</v>
      </c>
      <c r="AV133" s="1310"/>
      <c r="AW133" s="543"/>
      <c r="AX133" s="543"/>
      <c r="AY133" s="543"/>
      <c r="AZ133" s="543"/>
      <c r="BA133" s="543"/>
      <c r="BB133" s="543"/>
      <c r="BC133" s="1200"/>
      <c r="BD133" s="1200"/>
      <c r="BE133" s="1200"/>
      <c r="BF133" s="1200"/>
      <c r="BG133" s="1200"/>
      <c r="BH133" s="1200"/>
      <c r="BI133" s="1200">
        <f>I133/13</f>
        <v>160</v>
      </c>
      <c r="BJ133" s="1200"/>
      <c r="BK133" s="1200"/>
      <c r="BL133" s="1200"/>
      <c r="BM133" s="1200"/>
      <c r="BN133" s="1200"/>
      <c r="BO133" s="1200"/>
      <c r="BP133" s="1200"/>
      <c r="BQ133" s="1200"/>
      <c r="BR133" s="1200"/>
      <c r="BS133" s="1200"/>
      <c r="BT133" s="1200"/>
      <c r="BU133" s="1200"/>
      <c r="BV133" s="1200"/>
      <c r="BW133" s="1200"/>
      <c r="BX133" s="1200"/>
      <c r="BY133" s="1200"/>
      <c r="BZ133" s="1012">
        <f t="shared" si="87"/>
        <v>2080</v>
      </c>
      <c r="CB133" s="1219"/>
      <c r="CC133" s="1219"/>
      <c r="CE133" s="1009">
        <f t="shared" si="93"/>
        <v>1552608</v>
      </c>
    </row>
    <row r="134" s="1009" customFormat="1" ht="36" customHeight="1" spans="1:83">
      <c r="A134" s="540">
        <v>45798</v>
      </c>
      <c r="B134" s="1036" t="s">
        <v>1372</v>
      </c>
      <c r="C134" s="1037" t="s">
        <v>351</v>
      </c>
      <c r="D134" s="1038">
        <v>4500167378</v>
      </c>
      <c r="E134" s="1039" t="s">
        <v>3820</v>
      </c>
      <c r="F134" s="1038" t="s">
        <v>3821</v>
      </c>
      <c r="G134" s="1040" t="s">
        <v>628</v>
      </c>
      <c r="H134" s="1041" t="s">
        <v>623</v>
      </c>
      <c r="I134" s="1012">
        <v>48</v>
      </c>
      <c r="J134" s="1087">
        <v>0</v>
      </c>
      <c r="K134" s="1040">
        <v>12</v>
      </c>
      <c r="L134" s="1012">
        <f t="shared" si="94"/>
        <v>4</v>
      </c>
      <c r="M134" s="1079">
        <v>45834</v>
      </c>
      <c r="N134" s="1079">
        <v>45836</v>
      </c>
      <c r="O134" s="1345" t="s">
        <v>3822</v>
      </c>
      <c r="P134" s="579" t="s">
        <v>1262</v>
      </c>
      <c r="Q134" s="579" t="s">
        <v>3823</v>
      </c>
      <c r="R134" s="584">
        <v>45798</v>
      </c>
      <c r="S134" s="579" t="s">
        <v>123</v>
      </c>
      <c r="T134" s="578" t="s">
        <v>3824</v>
      </c>
      <c r="U134" s="1039" t="s">
        <v>3825</v>
      </c>
      <c r="V134" s="1112" t="s">
        <v>396</v>
      </c>
      <c r="W134" s="1113">
        <v>3.037</v>
      </c>
      <c r="X134" s="1114">
        <f t="shared" si="84"/>
        <v>145.776</v>
      </c>
      <c r="Y134" s="1012" t="s">
        <v>3826</v>
      </c>
      <c r="Z134" s="1159" t="s">
        <v>729</v>
      </c>
      <c r="AA134" s="1150" t="s">
        <v>128</v>
      </c>
      <c r="AB134" s="1150"/>
      <c r="AC134" s="1151">
        <v>48</v>
      </c>
      <c r="AD134" s="1151">
        <f t="shared" si="80"/>
        <v>0</v>
      </c>
      <c r="AE134" s="1151"/>
      <c r="AF134" s="579"/>
      <c r="AG134" s="579"/>
      <c r="AH134" s="1151">
        <f t="shared" ref="AH134:AH140" si="95">I134*2</f>
        <v>96</v>
      </c>
      <c r="AI134" s="1151"/>
      <c r="AJ134" s="1151"/>
      <c r="AK134" s="1151"/>
      <c r="AL134" s="1151"/>
      <c r="AM134" s="1151"/>
      <c r="AN134" s="543"/>
      <c r="AO134" s="1012"/>
      <c r="AP134" s="1012"/>
      <c r="AQ134" s="543">
        <f t="shared" si="92"/>
        <v>96</v>
      </c>
      <c r="AR134" s="543"/>
      <c r="AS134" s="543"/>
      <c r="AT134" s="543"/>
      <c r="AV134" s="1310">
        <f t="shared" ref="AV134:AV140" si="96">AH134</f>
        <v>96</v>
      </c>
      <c r="AW134" s="543"/>
      <c r="AX134" s="543"/>
      <c r="AY134" s="543"/>
      <c r="AZ134" s="543"/>
      <c r="BA134" s="543"/>
      <c r="BB134" s="543"/>
      <c r="BC134" s="1200"/>
      <c r="BD134" s="1200"/>
      <c r="BE134" s="1200"/>
      <c r="BF134" s="1200"/>
      <c r="BG134" s="1200"/>
      <c r="BH134" s="1200"/>
      <c r="BI134" s="1200"/>
      <c r="BJ134" s="1200"/>
      <c r="BK134" s="1200"/>
      <c r="BL134" s="1200"/>
      <c r="BM134" s="1200"/>
      <c r="BN134" s="1200"/>
      <c r="BO134" s="1200"/>
      <c r="BP134" s="1200"/>
      <c r="BQ134" s="1200"/>
      <c r="BR134" s="1200"/>
      <c r="BS134" s="1200"/>
      <c r="BT134" s="1200"/>
      <c r="BU134" s="1200"/>
      <c r="BV134" s="1200"/>
      <c r="BW134" s="1200">
        <f t="shared" ref="BW134:BW140" si="97">I134</f>
        <v>48</v>
      </c>
      <c r="BY134" s="1200">
        <f t="shared" ref="BY134:BY140" si="98">I134</f>
        <v>48</v>
      </c>
      <c r="BZ134" s="1012">
        <f t="shared" si="87"/>
        <v>96</v>
      </c>
      <c r="CB134" s="1375" t="s">
        <v>3827</v>
      </c>
      <c r="CC134" s="1219">
        <f>3000-BY134</f>
        <v>2952</v>
      </c>
      <c r="CE134" s="1009">
        <f t="shared" si="93"/>
        <v>1552512</v>
      </c>
    </row>
    <row r="135" s="1009" customFormat="1" ht="36" customHeight="1" spans="1:83">
      <c r="A135" s="540">
        <v>45798</v>
      </c>
      <c r="B135" s="1036" t="s">
        <v>1372</v>
      </c>
      <c r="C135" s="1037" t="s">
        <v>351</v>
      </c>
      <c r="D135" s="1038">
        <v>4500167378</v>
      </c>
      <c r="E135" s="1039" t="s">
        <v>3828</v>
      </c>
      <c r="F135" s="1038" t="s">
        <v>3829</v>
      </c>
      <c r="G135" s="1040" t="s">
        <v>628</v>
      </c>
      <c r="H135" s="1041" t="s">
        <v>623</v>
      </c>
      <c r="I135" s="1012">
        <v>48</v>
      </c>
      <c r="J135" s="1087">
        <v>0</v>
      </c>
      <c r="K135" s="1040">
        <v>12</v>
      </c>
      <c r="L135" s="1012">
        <f t="shared" si="94"/>
        <v>4</v>
      </c>
      <c r="M135" s="1079">
        <v>45834</v>
      </c>
      <c r="N135" s="1079">
        <v>45836</v>
      </c>
      <c r="O135" s="579"/>
      <c r="P135" s="579" t="s">
        <v>1262</v>
      </c>
      <c r="Q135" s="579" t="s">
        <v>3823</v>
      </c>
      <c r="R135" s="584">
        <v>45798</v>
      </c>
      <c r="S135" s="579" t="s">
        <v>123</v>
      </c>
      <c r="T135" s="578" t="s">
        <v>3824</v>
      </c>
      <c r="U135" s="1039" t="s">
        <v>3830</v>
      </c>
      <c r="V135" s="1112" t="s">
        <v>396</v>
      </c>
      <c r="W135" s="1113">
        <v>3.037</v>
      </c>
      <c r="X135" s="1114">
        <f t="shared" si="84"/>
        <v>145.776</v>
      </c>
      <c r="Y135" s="1012" t="s">
        <v>3826</v>
      </c>
      <c r="Z135" s="1159" t="s">
        <v>729</v>
      </c>
      <c r="AA135" s="1150" t="s">
        <v>128</v>
      </c>
      <c r="AB135" s="1150"/>
      <c r="AC135" s="1151">
        <v>48</v>
      </c>
      <c r="AD135" s="1151">
        <f t="shared" si="80"/>
        <v>0</v>
      </c>
      <c r="AE135" s="1151"/>
      <c r="AF135" s="579"/>
      <c r="AG135" s="579"/>
      <c r="AH135" s="1151">
        <f t="shared" si="95"/>
        <v>96</v>
      </c>
      <c r="AI135" s="1151"/>
      <c r="AJ135" s="1151"/>
      <c r="AK135" s="1151"/>
      <c r="AL135" s="1151"/>
      <c r="AM135" s="1151"/>
      <c r="AN135" s="543"/>
      <c r="AO135" s="1012"/>
      <c r="AP135" s="1012"/>
      <c r="AQ135" s="543">
        <f t="shared" si="92"/>
        <v>96</v>
      </c>
      <c r="AR135" s="543"/>
      <c r="AS135" s="543"/>
      <c r="AT135" s="543"/>
      <c r="AV135" s="1310">
        <f t="shared" si="96"/>
        <v>96</v>
      </c>
      <c r="AW135" s="543"/>
      <c r="AX135" s="543"/>
      <c r="AY135" s="543"/>
      <c r="AZ135" s="543"/>
      <c r="BA135" s="543"/>
      <c r="BB135" s="543"/>
      <c r="BC135" s="1200"/>
      <c r="BD135" s="1200"/>
      <c r="BE135" s="1200"/>
      <c r="BF135" s="1200"/>
      <c r="BG135" s="1200"/>
      <c r="BH135" s="1200"/>
      <c r="BI135" s="1200"/>
      <c r="BJ135" s="1200"/>
      <c r="BK135" s="1200"/>
      <c r="BL135" s="1200"/>
      <c r="BM135" s="1200"/>
      <c r="BN135" s="1200"/>
      <c r="BO135" s="1200"/>
      <c r="BP135" s="1200"/>
      <c r="BQ135" s="1200"/>
      <c r="BR135" s="1200"/>
      <c r="BS135" s="1200"/>
      <c r="BT135" s="1200"/>
      <c r="BU135" s="1200"/>
      <c r="BV135" s="1200"/>
      <c r="BW135" s="1200">
        <f t="shared" si="97"/>
        <v>48</v>
      </c>
      <c r="BX135" s="1200"/>
      <c r="BY135" s="1200">
        <f t="shared" si="98"/>
        <v>48</v>
      </c>
      <c r="BZ135" s="1012">
        <f t="shared" si="87"/>
        <v>96</v>
      </c>
      <c r="CB135" s="1375" t="s">
        <v>3827</v>
      </c>
      <c r="CC135" s="1219">
        <f t="shared" ref="CC135:CC140" si="99">CC134-BY135</f>
        <v>2904</v>
      </c>
      <c r="CE135" s="1009">
        <f t="shared" si="93"/>
        <v>1552416</v>
      </c>
    </row>
    <row r="136" s="1009" customFormat="1" ht="36" customHeight="1" spans="1:83">
      <c r="A136" s="540">
        <v>45798</v>
      </c>
      <c r="B136" s="1036" t="s">
        <v>1372</v>
      </c>
      <c r="C136" s="1037" t="s">
        <v>351</v>
      </c>
      <c r="D136" s="1038">
        <v>4500167378</v>
      </c>
      <c r="E136" s="1039" t="s">
        <v>3831</v>
      </c>
      <c r="F136" s="1038" t="s">
        <v>3832</v>
      </c>
      <c r="G136" s="1040" t="s">
        <v>628</v>
      </c>
      <c r="H136" s="1041" t="s">
        <v>623</v>
      </c>
      <c r="I136" s="1012">
        <v>48</v>
      </c>
      <c r="J136" s="1087">
        <v>0</v>
      </c>
      <c r="K136" s="1040">
        <v>12</v>
      </c>
      <c r="L136" s="1012">
        <f t="shared" si="94"/>
        <v>4</v>
      </c>
      <c r="M136" s="1079">
        <v>45834</v>
      </c>
      <c r="N136" s="1079">
        <v>45836</v>
      </c>
      <c r="O136" s="579"/>
      <c r="P136" s="579" t="s">
        <v>1262</v>
      </c>
      <c r="Q136" s="579" t="s">
        <v>3823</v>
      </c>
      <c r="R136" s="584">
        <v>45798</v>
      </c>
      <c r="S136" s="579" t="s">
        <v>123</v>
      </c>
      <c r="T136" s="578" t="s">
        <v>3824</v>
      </c>
      <c r="U136" s="1039" t="s">
        <v>3830</v>
      </c>
      <c r="V136" s="1112" t="s">
        <v>396</v>
      </c>
      <c r="W136" s="1113">
        <v>3.037</v>
      </c>
      <c r="X136" s="1114">
        <f t="shared" si="84"/>
        <v>145.776</v>
      </c>
      <c r="Y136" s="1012" t="s">
        <v>3826</v>
      </c>
      <c r="Z136" s="1159" t="s">
        <v>729</v>
      </c>
      <c r="AA136" s="1150" t="s">
        <v>128</v>
      </c>
      <c r="AB136" s="1150"/>
      <c r="AC136" s="1151">
        <v>48</v>
      </c>
      <c r="AD136" s="1151">
        <f t="shared" si="80"/>
        <v>0</v>
      </c>
      <c r="AE136" s="1151"/>
      <c r="AF136" s="579"/>
      <c r="AG136" s="579"/>
      <c r="AH136" s="1151">
        <f t="shared" si="95"/>
        <v>96</v>
      </c>
      <c r="AI136" s="1151"/>
      <c r="AJ136" s="1151"/>
      <c r="AK136" s="1151"/>
      <c r="AL136" s="1151"/>
      <c r="AM136" s="1151"/>
      <c r="AN136" s="543"/>
      <c r="AO136" s="1012"/>
      <c r="AP136" s="1012"/>
      <c r="AQ136" s="543">
        <f t="shared" si="92"/>
        <v>96</v>
      </c>
      <c r="AR136" s="543"/>
      <c r="AS136" s="543"/>
      <c r="AT136" s="543"/>
      <c r="AV136" s="1310">
        <f t="shared" si="96"/>
        <v>96</v>
      </c>
      <c r="AW136" s="543"/>
      <c r="AX136" s="543"/>
      <c r="AY136" s="543"/>
      <c r="AZ136" s="543"/>
      <c r="BA136" s="543"/>
      <c r="BB136" s="543"/>
      <c r="BC136" s="1200"/>
      <c r="BD136" s="1200"/>
      <c r="BE136" s="1200"/>
      <c r="BF136" s="1200"/>
      <c r="BG136" s="1200"/>
      <c r="BH136" s="1200"/>
      <c r="BI136" s="1200"/>
      <c r="BJ136" s="1200"/>
      <c r="BK136" s="1200"/>
      <c r="BL136" s="1200"/>
      <c r="BM136" s="1200"/>
      <c r="BN136" s="1200"/>
      <c r="BO136" s="1200"/>
      <c r="BP136" s="1200"/>
      <c r="BQ136" s="1200"/>
      <c r="BR136" s="1200"/>
      <c r="BS136" s="1200"/>
      <c r="BT136" s="1200"/>
      <c r="BU136" s="1200"/>
      <c r="BV136" s="1200"/>
      <c r="BW136" s="1200">
        <f t="shared" si="97"/>
        <v>48</v>
      </c>
      <c r="BX136" s="1200"/>
      <c r="BY136" s="1200">
        <f t="shared" si="98"/>
        <v>48</v>
      </c>
      <c r="BZ136" s="1012">
        <f t="shared" si="87"/>
        <v>96</v>
      </c>
      <c r="CB136" s="1375" t="s">
        <v>3827</v>
      </c>
      <c r="CC136" s="1219">
        <f t="shared" si="99"/>
        <v>2856</v>
      </c>
      <c r="CE136" s="1009">
        <f t="shared" si="93"/>
        <v>1552320</v>
      </c>
    </row>
    <row r="137" s="1009" customFormat="1" ht="36" customHeight="1" spans="1:83">
      <c r="A137" s="540">
        <v>45798</v>
      </c>
      <c r="B137" s="1036" t="s">
        <v>1372</v>
      </c>
      <c r="C137" s="1037" t="s">
        <v>351</v>
      </c>
      <c r="D137" s="1038">
        <v>4500167378</v>
      </c>
      <c r="E137" s="1039" t="s">
        <v>3833</v>
      </c>
      <c r="F137" s="1038" t="s">
        <v>3834</v>
      </c>
      <c r="G137" s="1040" t="s">
        <v>628</v>
      </c>
      <c r="H137" s="1041" t="s">
        <v>623</v>
      </c>
      <c r="I137" s="1012">
        <v>48</v>
      </c>
      <c r="J137" s="1087">
        <v>0</v>
      </c>
      <c r="K137" s="1040">
        <v>12</v>
      </c>
      <c r="L137" s="1012">
        <f t="shared" si="94"/>
        <v>4</v>
      </c>
      <c r="M137" s="1079">
        <v>45834</v>
      </c>
      <c r="N137" s="1079">
        <v>45836</v>
      </c>
      <c r="O137" s="579"/>
      <c r="P137" s="579" t="s">
        <v>1262</v>
      </c>
      <c r="Q137" s="579" t="s">
        <v>3823</v>
      </c>
      <c r="R137" s="584">
        <v>45798</v>
      </c>
      <c r="S137" s="579" t="s">
        <v>123</v>
      </c>
      <c r="T137" s="578" t="s">
        <v>3824</v>
      </c>
      <c r="U137" s="1039" t="s">
        <v>3830</v>
      </c>
      <c r="V137" s="1112" t="s">
        <v>396</v>
      </c>
      <c r="W137" s="1113">
        <v>3.037</v>
      </c>
      <c r="X137" s="1114">
        <f t="shared" si="84"/>
        <v>145.776</v>
      </c>
      <c r="Y137" s="1012" t="s">
        <v>3826</v>
      </c>
      <c r="Z137" s="1159" t="s">
        <v>729</v>
      </c>
      <c r="AA137" s="1150" t="s">
        <v>128</v>
      </c>
      <c r="AB137" s="1150"/>
      <c r="AC137" s="1151">
        <v>48</v>
      </c>
      <c r="AD137" s="1151">
        <f t="shared" si="80"/>
        <v>0</v>
      </c>
      <c r="AE137" s="1151"/>
      <c r="AF137" s="579"/>
      <c r="AG137" s="579"/>
      <c r="AH137" s="1151">
        <f t="shared" si="95"/>
        <v>96</v>
      </c>
      <c r="AI137" s="1151"/>
      <c r="AJ137" s="1151"/>
      <c r="AK137" s="1151"/>
      <c r="AL137" s="1151"/>
      <c r="AM137" s="1151"/>
      <c r="AN137" s="543"/>
      <c r="AO137" s="1012"/>
      <c r="AP137" s="1012"/>
      <c r="AQ137" s="543">
        <f t="shared" si="92"/>
        <v>96</v>
      </c>
      <c r="AR137" s="543"/>
      <c r="AS137" s="543"/>
      <c r="AT137" s="543"/>
      <c r="AV137" s="1310">
        <f t="shared" si="96"/>
        <v>96</v>
      </c>
      <c r="AW137" s="543"/>
      <c r="AX137" s="543"/>
      <c r="AY137" s="543"/>
      <c r="AZ137" s="543"/>
      <c r="BA137" s="543"/>
      <c r="BB137" s="543"/>
      <c r="BC137" s="1200"/>
      <c r="BD137" s="1200"/>
      <c r="BE137" s="1200"/>
      <c r="BF137" s="1200"/>
      <c r="BG137" s="1200"/>
      <c r="BH137" s="1200"/>
      <c r="BI137" s="1200"/>
      <c r="BJ137" s="1200"/>
      <c r="BK137" s="1200"/>
      <c r="BL137" s="1200"/>
      <c r="BM137" s="1200"/>
      <c r="BN137" s="1200"/>
      <c r="BO137" s="1200"/>
      <c r="BP137" s="1200"/>
      <c r="BQ137" s="1200"/>
      <c r="BR137" s="1200"/>
      <c r="BS137" s="1200"/>
      <c r="BT137" s="1200"/>
      <c r="BU137" s="1200"/>
      <c r="BV137" s="1200"/>
      <c r="BW137" s="1200">
        <f t="shared" si="97"/>
        <v>48</v>
      </c>
      <c r="BX137" s="1200"/>
      <c r="BY137" s="1200">
        <f t="shared" si="98"/>
        <v>48</v>
      </c>
      <c r="BZ137" s="1012">
        <f t="shared" si="87"/>
        <v>96</v>
      </c>
      <c r="CB137" s="1375" t="s">
        <v>3827</v>
      </c>
      <c r="CC137" s="1219">
        <f t="shared" si="99"/>
        <v>2808</v>
      </c>
      <c r="CE137" s="1009">
        <f t="shared" si="93"/>
        <v>1552224</v>
      </c>
    </row>
    <row r="138" s="1009" customFormat="1" ht="36" customHeight="1" spans="1:83">
      <c r="A138" s="540">
        <v>45798</v>
      </c>
      <c r="B138" s="1036" t="s">
        <v>1372</v>
      </c>
      <c r="C138" s="1037" t="s">
        <v>351</v>
      </c>
      <c r="D138" s="1038">
        <v>4500167378</v>
      </c>
      <c r="E138" s="1039" t="s">
        <v>3835</v>
      </c>
      <c r="F138" s="1038" t="s">
        <v>3836</v>
      </c>
      <c r="G138" s="1040" t="s">
        <v>628</v>
      </c>
      <c r="H138" s="1041" t="s">
        <v>623</v>
      </c>
      <c r="I138" s="1012">
        <v>144</v>
      </c>
      <c r="J138" s="1087">
        <v>0</v>
      </c>
      <c r="K138" s="1040">
        <v>12</v>
      </c>
      <c r="L138" s="1012">
        <f t="shared" si="94"/>
        <v>12</v>
      </c>
      <c r="M138" s="1079">
        <v>45834</v>
      </c>
      <c r="N138" s="1079">
        <v>45836</v>
      </c>
      <c r="O138" s="579"/>
      <c r="P138" s="579" t="s">
        <v>1262</v>
      </c>
      <c r="Q138" s="579" t="s">
        <v>3823</v>
      </c>
      <c r="R138" s="584">
        <v>45798</v>
      </c>
      <c r="S138" s="579" t="s">
        <v>123</v>
      </c>
      <c r="T138" s="578" t="s">
        <v>3824</v>
      </c>
      <c r="U138" s="1039" t="s">
        <v>3830</v>
      </c>
      <c r="V138" s="1112" t="s">
        <v>396</v>
      </c>
      <c r="W138" s="1113">
        <v>3.037</v>
      </c>
      <c r="X138" s="1114">
        <f t="shared" si="84"/>
        <v>437.328</v>
      </c>
      <c r="Y138" s="1012" t="s">
        <v>3826</v>
      </c>
      <c r="Z138" s="1159" t="s">
        <v>729</v>
      </c>
      <c r="AA138" s="1150" t="s">
        <v>128</v>
      </c>
      <c r="AB138" s="1150"/>
      <c r="AC138" s="1151">
        <v>144</v>
      </c>
      <c r="AD138" s="1151">
        <f t="shared" si="80"/>
        <v>0</v>
      </c>
      <c r="AE138" s="1151"/>
      <c r="AF138" s="579"/>
      <c r="AG138" s="579"/>
      <c r="AH138" s="1151">
        <f t="shared" si="95"/>
        <v>288</v>
      </c>
      <c r="AI138" s="1151"/>
      <c r="AJ138" s="1151"/>
      <c r="AK138" s="1151"/>
      <c r="AL138" s="1151"/>
      <c r="AM138" s="1151"/>
      <c r="AN138" s="543"/>
      <c r="AO138" s="1012"/>
      <c r="AP138" s="1012"/>
      <c r="AQ138" s="543">
        <f t="shared" si="92"/>
        <v>288</v>
      </c>
      <c r="AR138" s="543"/>
      <c r="AS138" s="543"/>
      <c r="AT138" s="543"/>
      <c r="AV138" s="1310">
        <f t="shared" si="96"/>
        <v>288</v>
      </c>
      <c r="AW138" s="543"/>
      <c r="AX138" s="543"/>
      <c r="AY138" s="543"/>
      <c r="AZ138" s="543"/>
      <c r="BA138" s="543"/>
      <c r="BB138" s="543"/>
      <c r="BC138" s="1200"/>
      <c r="BD138" s="1200"/>
      <c r="BE138" s="1200"/>
      <c r="BF138" s="1200"/>
      <c r="BG138" s="1200"/>
      <c r="BH138" s="1200"/>
      <c r="BI138" s="1200"/>
      <c r="BJ138" s="1200"/>
      <c r="BK138" s="1200"/>
      <c r="BL138" s="1200"/>
      <c r="BM138" s="1200"/>
      <c r="BN138" s="1200"/>
      <c r="BO138" s="1200"/>
      <c r="BP138" s="1200"/>
      <c r="BQ138" s="1200"/>
      <c r="BR138" s="1200"/>
      <c r="BS138" s="1200"/>
      <c r="BT138" s="1200"/>
      <c r="BU138" s="1200"/>
      <c r="BV138" s="1200"/>
      <c r="BW138" s="1200">
        <f t="shared" si="97"/>
        <v>144</v>
      </c>
      <c r="BX138" s="1200"/>
      <c r="BY138" s="1200">
        <f t="shared" si="98"/>
        <v>144</v>
      </c>
      <c r="BZ138" s="1012">
        <f t="shared" si="87"/>
        <v>288</v>
      </c>
      <c r="CB138" s="1375" t="s">
        <v>3827</v>
      </c>
      <c r="CC138" s="1219">
        <f t="shared" si="99"/>
        <v>2664</v>
      </c>
      <c r="CE138" s="1009">
        <f t="shared" si="93"/>
        <v>1551936</v>
      </c>
    </row>
    <row r="139" s="1009" customFormat="1" ht="36" customHeight="1" spans="1:83">
      <c r="A139" s="540">
        <v>45798</v>
      </c>
      <c r="B139" s="1036" t="s">
        <v>1372</v>
      </c>
      <c r="C139" s="1037" t="s">
        <v>351</v>
      </c>
      <c r="D139" s="1038">
        <v>4500167378</v>
      </c>
      <c r="E139" s="1039" t="s">
        <v>3837</v>
      </c>
      <c r="F139" s="1038" t="s">
        <v>3838</v>
      </c>
      <c r="G139" s="1040" t="s">
        <v>628</v>
      </c>
      <c r="H139" s="1041" t="s">
        <v>623</v>
      </c>
      <c r="I139" s="1012">
        <v>24</v>
      </c>
      <c r="J139" s="1087">
        <v>0</v>
      </c>
      <c r="K139" s="1040">
        <v>12</v>
      </c>
      <c r="L139" s="1012">
        <f t="shared" si="94"/>
        <v>2</v>
      </c>
      <c r="M139" s="1079">
        <v>45834</v>
      </c>
      <c r="N139" s="1079">
        <v>45836</v>
      </c>
      <c r="O139" s="579"/>
      <c r="P139" s="579" t="s">
        <v>1262</v>
      </c>
      <c r="Q139" s="579" t="s">
        <v>3823</v>
      </c>
      <c r="R139" s="584">
        <v>45798</v>
      </c>
      <c r="S139" s="579" t="s">
        <v>123</v>
      </c>
      <c r="T139" s="578" t="s">
        <v>3824</v>
      </c>
      <c r="U139" s="1039" t="s">
        <v>3830</v>
      </c>
      <c r="V139" s="1112" t="s">
        <v>396</v>
      </c>
      <c r="W139" s="1113">
        <v>3.037</v>
      </c>
      <c r="X139" s="1114">
        <f t="shared" si="84"/>
        <v>72.888</v>
      </c>
      <c r="Y139" s="1012" t="s">
        <v>3826</v>
      </c>
      <c r="Z139" s="1159" t="s">
        <v>729</v>
      </c>
      <c r="AA139" s="1150" t="s">
        <v>128</v>
      </c>
      <c r="AB139" s="1150"/>
      <c r="AC139" s="1151">
        <v>24</v>
      </c>
      <c r="AD139" s="1151">
        <f t="shared" si="80"/>
        <v>0</v>
      </c>
      <c r="AE139" s="1151"/>
      <c r="AF139" s="579"/>
      <c r="AG139" s="579"/>
      <c r="AH139" s="1151">
        <f t="shared" si="95"/>
        <v>48</v>
      </c>
      <c r="AI139" s="1151"/>
      <c r="AJ139" s="1151"/>
      <c r="AK139" s="1151"/>
      <c r="AL139" s="1151"/>
      <c r="AM139" s="1151"/>
      <c r="AN139" s="543"/>
      <c r="AO139" s="1012"/>
      <c r="AP139" s="1012"/>
      <c r="AQ139" s="543">
        <f t="shared" si="92"/>
        <v>48</v>
      </c>
      <c r="AR139" s="543"/>
      <c r="AS139" s="543"/>
      <c r="AT139" s="543"/>
      <c r="AV139" s="1310">
        <f t="shared" si="96"/>
        <v>48</v>
      </c>
      <c r="AW139" s="543"/>
      <c r="AX139" s="543"/>
      <c r="AY139" s="543"/>
      <c r="AZ139" s="543"/>
      <c r="BA139" s="543"/>
      <c r="BB139" s="543"/>
      <c r="BC139" s="1200"/>
      <c r="BD139" s="1200"/>
      <c r="BE139" s="1200"/>
      <c r="BF139" s="1200"/>
      <c r="BG139" s="1200"/>
      <c r="BH139" s="1200"/>
      <c r="BI139" s="1200"/>
      <c r="BJ139" s="1200"/>
      <c r="BK139" s="1200"/>
      <c r="BL139" s="1200"/>
      <c r="BM139" s="1200"/>
      <c r="BN139" s="1200"/>
      <c r="BO139" s="1200"/>
      <c r="BP139" s="1200"/>
      <c r="BQ139" s="1200"/>
      <c r="BR139" s="1200"/>
      <c r="BS139" s="1200"/>
      <c r="BT139" s="1200"/>
      <c r="BU139" s="1200"/>
      <c r="BV139" s="1200"/>
      <c r="BW139" s="1200">
        <f t="shared" si="97"/>
        <v>24</v>
      </c>
      <c r="BX139" s="1200"/>
      <c r="BY139" s="1200">
        <f t="shared" si="98"/>
        <v>24</v>
      </c>
      <c r="BZ139" s="1012">
        <f t="shared" si="87"/>
        <v>48</v>
      </c>
      <c r="CB139" s="1375" t="s">
        <v>3827</v>
      </c>
      <c r="CC139" s="1219">
        <f t="shared" si="99"/>
        <v>2640</v>
      </c>
      <c r="CE139" s="1009">
        <f t="shared" si="93"/>
        <v>1551888</v>
      </c>
    </row>
    <row r="140" s="1009" customFormat="1" ht="36" customHeight="1" spans="1:83">
      <c r="A140" s="540">
        <v>45798</v>
      </c>
      <c r="B140" s="1036" t="s">
        <v>1372</v>
      </c>
      <c r="C140" s="1037" t="s">
        <v>351</v>
      </c>
      <c r="D140" s="1038">
        <v>4500167378</v>
      </c>
      <c r="E140" s="1039" t="s">
        <v>3839</v>
      </c>
      <c r="F140" s="1038" t="s">
        <v>3840</v>
      </c>
      <c r="G140" s="1040" t="s">
        <v>628</v>
      </c>
      <c r="H140" s="1041" t="s">
        <v>623</v>
      </c>
      <c r="I140" s="1012">
        <v>48</v>
      </c>
      <c r="J140" s="1087">
        <v>0</v>
      </c>
      <c r="K140" s="1040">
        <v>12</v>
      </c>
      <c r="L140" s="1012">
        <f t="shared" si="94"/>
        <v>4</v>
      </c>
      <c r="M140" s="1079">
        <v>45834</v>
      </c>
      <c r="N140" s="1079">
        <v>45836</v>
      </c>
      <c r="O140" s="579"/>
      <c r="P140" s="579" t="s">
        <v>1262</v>
      </c>
      <c r="Q140" s="579" t="s">
        <v>3823</v>
      </c>
      <c r="R140" s="584">
        <v>45798</v>
      </c>
      <c r="S140" s="579" t="s">
        <v>123</v>
      </c>
      <c r="T140" s="578" t="s">
        <v>3824</v>
      </c>
      <c r="U140" s="1039" t="s">
        <v>3830</v>
      </c>
      <c r="V140" s="1112" t="s">
        <v>396</v>
      </c>
      <c r="W140" s="1113">
        <v>3.037</v>
      </c>
      <c r="X140" s="1114">
        <f t="shared" si="84"/>
        <v>145.776</v>
      </c>
      <c r="Y140" s="1012" t="s">
        <v>3826</v>
      </c>
      <c r="Z140" s="1159" t="s">
        <v>729</v>
      </c>
      <c r="AA140" s="1150" t="s">
        <v>128</v>
      </c>
      <c r="AB140" s="1150"/>
      <c r="AC140" s="1151">
        <v>48</v>
      </c>
      <c r="AD140" s="1151">
        <f t="shared" si="80"/>
        <v>0</v>
      </c>
      <c r="AE140" s="1151"/>
      <c r="AF140" s="579"/>
      <c r="AG140" s="579"/>
      <c r="AH140" s="1151">
        <f t="shared" si="95"/>
        <v>96</v>
      </c>
      <c r="AI140" s="1151"/>
      <c r="AJ140" s="1151"/>
      <c r="AK140" s="1151"/>
      <c r="AL140" s="1151"/>
      <c r="AM140" s="1151"/>
      <c r="AN140" s="543"/>
      <c r="AO140" s="1012"/>
      <c r="AP140" s="1012"/>
      <c r="AQ140" s="543">
        <f t="shared" si="92"/>
        <v>96</v>
      </c>
      <c r="AR140" s="543"/>
      <c r="AS140" s="543"/>
      <c r="AT140" s="543"/>
      <c r="AV140" s="1310">
        <f t="shared" si="96"/>
        <v>96</v>
      </c>
      <c r="AW140" s="543"/>
      <c r="AX140" s="543"/>
      <c r="AY140" s="543"/>
      <c r="AZ140" s="543"/>
      <c r="BA140" s="543"/>
      <c r="BB140" s="543"/>
      <c r="BC140" s="1200"/>
      <c r="BD140" s="1200"/>
      <c r="BE140" s="1200"/>
      <c r="BF140" s="1200"/>
      <c r="BG140" s="1200"/>
      <c r="BH140" s="1200"/>
      <c r="BI140" s="1200"/>
      <c r="BJ140" s="1200"/>
      <c r="BK140" s="1200"/>
      <c r="BL140" s="1200"/>
      <c r="BM140" s="1200"/>
      <c r="BN140" s="1200"/>
      <c r="BO140" s="1200"/>
      <c r="BP140" s="1200"/>
      <c r="BQ140" s="1200"/>
      <c r="BR140" s="1200"/>
      <c r="BS140" s="1200"/>
      <c r="BT140" s="1200"/>
      <c r="BU140" s="1200"/>
      <c r="BV140" s="1200"/>
      <c r="BW140" s="1200">
        <f t="shared" si="97"/>
        <v>48</v>
      </c>
      <c r="BX140" s="1200"/>
      <c r="BY140" s="1200">
        <f t="shared" si="98"/>
        <v>48</v>
      </c>
      <c r="BZ140" s="1012">
        <f t="shared" si="87"/>
        <v>96</v>
      </c>
      <c r="CB140" s="1375" t="s">
        <v>3827</v>
      </c>
      <c r="CC140" s="1219">
        <f t="shared" si="99"/>
        <v>2592</v>
      </c>
      <c r="CE140" s="1009">
        <f t="shared" si="93"/>
        <v>1551792</v>
      </c>
    </row>
    <row r="141" s="1009" customFormat="1" ht="36" customHeight="1" spans="1:83">
      <c r="A141" s="540">
        <v>45747</v>
      </c>
      <c r="B141" s="1036" t="s">
        <v>2617</v>
      </c>
      <c r="C141" s="1037" t="s">
        <v>286</v>
      </c>
      <c r="D141" s="1038">
        <v>4500162040</v>
      </c>
      <c r="E141" s="1039">
        <v>5251215588</v>
      </c>
      <c r="F141" s="1038" t="s">
        <v>3841</v>
      </c>
      <c r="G141" s="1040" t="s">
        <v>96</v>
      </c>
      <c r="H141" s="1041" t="s">
        <v>2619</v>
      </c>
      <c r="I141" s="1012">
        <v>16000</v>
      </c>
      <c r="J141" s="1087">
        <v>0</v>
      </c>
      <c r="K141" s="1040">
        <v>50</v>
      </c>
      <c r="L141" s="1012">
        <f t="shared" si="94"/>
        <v>320</v>
      </c>
      <c r="M141" s="1079">
        <v>45831</v>
      </c>
      <c r="N141" s="1079">
        <v>45836</v>
      </c>
      <c r="O141" s="579" t="s">
        <v>3842</v>
      </c>
      <c r="P141" s="1079" t="s">
        <v>92</v>
      </c>
      <c r="Q141" s="579" t="s">
        <v>3843</v>
      </c>
      <c r="R141" s="579">
        <v>45764</v>
      </c>
      <c r="S141" s="578" t="s">
        <v>77</v>
      </c>
      <c r="T141" s="695" t="s">
        <v>3844</v>
      </c>
      <c r="U141" s="1039" t="s">
        <v>3845</v>
      </c>
      <c r="V141" s="1112" t="s">
        <v>290</v>
      </c>
      <c r="W141" s="1113">
        <v>1.4243</v>
      </c>
      <c r="X141" s="1114">
        <f t="shared" si="84"/>
        <v>22788.8</v>
      </c>
      <c r="Y141" s="1012" t="s">
        <v>3846</v>
      </c>
      <c r="Z141" s="1159" t="s">
        <v>292</v>
      </c>
      <c r="AA141" s="1150" t="s">
        <v>128</v>
      </c>
      <c r="AB141" s="1150"/>
      <c r="AC141" s="1151">
        <f>2600+13400</f>
        <v>16000</v>
      </c>
      <c r="AD141" s="1151">
        <f t="shared" si="80"/>
        <v>0</v>
      </c>
      <c r="AE141" s="1151"/>
      <c r="AF141" s="579"/>
      <c r="AG141" s="579"/>
      <c r="AH141" s="1151">
        <f t="shared" ref="AH141:AH153" si="100">I141</f>
        <v>16000</v>
      </c>
      <c r="AI141" s="1151"/>
      <c r="AJ141" s="1151"/>
      <c r="AK141" s="1151"/>
      <c r="AL141" s="1151"/>
      <c r="AM141" s="1151"/>
      <c r="AN141" s="543"/>
      <c r="AO141" s="543">
        <f>I141</f>
        <v>16000</v>
      </c>
      <c r="AP141" s="543"/>
      <c r="AQ141" s="543"/>
      <c r="AR141" s="543"/>
      <c r="AS141" s="543"/>
      <c r="AT141" s="543"/>
      <c r="AU141" s="543">
        <f t="shared" ref="AU141:AU153" si="101">I141</f>
        <v>16000</v>
      </c>
      <c r="AV141" s="543"/>
      <c r="AW141" s="543"/>
      <c r="AX141" s="543"/>
      <c r="AY141" s="543"/>
      <c r="AZ141" s="543"/>
      <c r="BA141" s="543"/>
      <c r="BB141" s="543"/>
      <c r="BC141" s="1200"/>
      <c r="BD141" s="1200"/>
      <c r="BE141" s="1200"/>
      <c r="BF141" s="1200"/>
      <c r="BG141" s="1200"/>
      <c r="BH141" s="1200"/>
      <c r="BI141" s="1200"/>
      <c r="BJ141" s="1200"/>
      <c r="BK141" s="1200"/>
      <c r="BL141" s="1200"/>
      <c r="BM141" s="1200"/>
      <c r="BN141" s="1200">
        <f>I141/25</f>
        <v>640</v>
      </c>
      <c r="BO141" s="1200"/>
      <c r="BP141" s="1200"/>
      <c r="BQ141" s="1200"/>
      <c r="BR141" s="1200"/>
      <c r="BS141" s="1200"/>
      <c r="BT141" s="1200"/>
      <c r="BU141" s="1200"/>
      <c r="BV141" s="1200"/>
      <c r="BW141" s="1200"/>
      <c r="BX141" s="1200"/>
      <c r="BY141" s="1200"/>
      <c r="BZ141" s="1012">
        <f t="shared" si="87"/>
        <v>16000</v>
      </c>
      <c r="CB141" s="1219"/>
      <c r="CC141" s="1219"/>
      <c r="CE141" s="1009">
        <f t="shared" si="93"/>
        <v>1535792</v>
      </c>
    </row>
    <row r="142" s="1009" customFormat="1" ht="36" customHeight="1" spans="1:83">
      <c r="A142" s="1047">
        <v>45819</v>
      </c>
      <c r="B142" s="1327" t="s">
        <v>322</v>
      </c>
      <c r="C142" s="1328" t="s">
        <v>190</v>
      </c>
      <c r="D142" s="1193">
        <v>4500169702</v>
      </c>
      <c r="E142" s="1327" t="s">
        <v>3847</v>
      </c>
      <c r="F142" s="1193" t="s">
        <v>3848</v>
      </c>
      <c r="G142" s="1040" t="s">
        <v>403</v>
      </c>
      <c r="H142" s="1041" t="s">
        <v>74</v>
      </c>
      <c r="I142" s="1012">
        <v>676</v>
      </c>
      <c r="J142" s="1087">
        <v>0</v>
      </c>
      <c r="K142" s="1040">
        <v>52</v>
      </c>
      <c r="L142" s="1012">
        <f t="shared" si="94"/>
        <v>13</v>
      </c>
      <c r="M142" s="1079">
        <v>45840</v>
      </c>
      <c r="N142" s="1079">
        <f t="shared" ref="N142:N145" si="102">M142-4</f>
        <v>45836</v>
      </c>
      <c r="O142" s="579"/>
      <c r="P142" s="579" t="s">
        <v>1262</v>
      </c>
      <c r="Q142" s="579" t="s">
        <v>3849</v>
      </c>
      <c r="R142" s="579">
        <v>45819</v>
      </c>
      <c r="S142" s="578" t="s">
        <v>77</v>
      </c>
      <c r="T142" s="695" t="s">
        <v>3850</v>
      </c>
      <c r="U142" s="1039" t="s">
        <v>3851</v>
      </c>
      <c r="V142" s="541" t="s">
        <v>3057</v>
      </c>
      <c r="W142" s="1113">
        <v>1.4134</v>
      </c>
      <c r="X142" s="1114">
        <f t="shared" si="84"/>
        <v>955.4584</v>
      </c>
      <c r="Y142" s="1012" t="s">
        <v>3852</v>
      </c>
      <c r="Z142" s="1159" t="s">
        <v>403</v>
      </c>
      <c r="AA142" s="1150" t="s">
        <v>128</v>
      </c>
      <c r="AB142" s="1150"/>
      <c r="AC142" s="1151">
        <v>676</v>
      </c>
      <c r="AD142" s="1151">
        <f t="shared" si="80"/>
        <v>0</v>
      </c>
      <c r="AE142" s="1151"/>
      <c r="AF142" s="579"/>
      <c r="AG142" s="579"/>
      <c r="AH142" s="1151">
        <f t="shared" si="100"/>
        <v>676</v>
      </c>
      <c r="AI142" s="1151"/>
      <c r="AJ142" s="1151"/>
      <c r="AK142" s="1151"/>
      <c r="AL142" s="1151"/>
      <c r="AM142" s="1151"/>
      <c r="AN142" s="543">
        <f t="shared" ref="AN142:AN145" si="103">I142</f>
        <v>676</v>
      </c>
      <c r="AO142" s="543"/>
      <c r="AP142" s="543"/>
      <c r="AQ142" s="543"/>
      <c r="AR142" s="543"/>
      <c r="AS142" s="543"/>
      <c r="AT142" s="543"/>
      <c r="AU142" s="1310">
        <f t="shared" si="101"/>
        <v>676</v>
      </c>
      <c r="AV142" s="543"/>
      <c r="AW142" s="543"/>
      <c r="AX142" s="543"/>
      <c r="AY142" s="543"/>
      <c r="AZ142" s="543"/>
      <c r="BA142" s="543"/>
      <c r="BB142" s="543"/>
      <c r="BC142" s="1200"/>
      <c r="BD142" s="1200"/>
      <c r="BE142" s="1200"/>
      <c r="BF142" s="1200"/>
      <c r="BG142" s="1200"/>
      <c r="BH142" s="1200"/>
      <c r="BI142" s="1200">
        <f t="shared" ref="BI142:BI146" si="104">I142/13</f>
        <v>52</v>
      </c>
      <c r="BJ142" s="1200"/>
      <c r="BK142" s="1200"/>
      <c r="BL142" s="1200"/>
      <c r="BM142" s="1200"/>
      <c r="BN142" s="1200"/>
      <c r="BO142" s="1200"/>
      <c r="BP142" s="1200"/>
      <c r="BQ142" s="1200"/>
      <c r="BR142" s="1200"/>
      <c r="BS142" s="1200"/>
      <c r="BT142" s="1200"/>
      <c r="BU142" s="1200"/>
      <c r="BV142" s="1200"/>
      <c r="BW142" s="1200"/>
      <c r="BX142" s="1200"/>
      <c r="BY142" s="1200"/>
      <c r="BZ142" s="1012">
        <f t="shared" si="87"/>
        <v>676</v>
      </c>
      <c r="CB142" s="1219"/>
      <c r="CC142" s="1219"/>
      <c r="CE142" s="1009">
        <f t="shared" si="93"/>
        <v>1535116</v>
      </c>
    </row>
    <row r="143" s="1009" customFormat="1" ht="36" customHeight="1" spans="1:83">
      <c r="A143" s="1047">
        <v>45819</v>
      </c>
      <c r="B143" s="1327" t="s">
        <v>322</v>
      </c>
      <c r="C143" s="1328" t="s">
        <v>190</v>
      </c>
      <c r="D143" s="1193">
        <v>4500169702</v>
      </c>
      <c r="E143" s="1327" t="s">
        <v>3853</v>
      </c>
      <c r="F143" s="1193" t="s">
        <v>3854</v>
      </c>
      <c r="G143" s="1040" t="s">
        <v>403</v>
      </c>
      <c r="H143" s="1041" t="s">
        <v>74</v>
      </c>
      <c r="I143" s="1012">
        <v>624</v>
      </c>
      <c r="J143" s="1087">
        <v>0</v>
      </c>
      <c r="K143" s="1040">
        <v>52</v>
      </c>
      <c r="L143" s="1012">
        <f t="shared" si="94"/>
        <v>12</v>
      </c>
      <c r="M143" s="1079">
        <v>45840</v>
      </c>
      <c r="N143" s="1079">
        <f t="shared" si="102"/>
        <v>45836</v>
      </c>
      <c r="O143" s="579"/>
      <c r="P143" s="579" t="s">
        <v>1262</v>
      </c>
      <c r="Q143" s="579" t="s">
        <v>3849</v>
      </c>
      <c r="R143" s="579">
        <v>45819</v>
      </c>
      <c r="S143" s="578" t="s">
        <v>77</v>
      </c>
      <c r="T143" s="695" t="s">
        <v>3850</v>
      </c>
      <c r="U143" s="1039" t="s">
        <v>3851</v>
      </c>
      <c r="V143" s="541" t="s">
        <v>3057</v>
      </c>
      <c r="W143" s="1113">
        <v>1.4134</v>
      </c>
      <c r="X143" s="1114">
        <f t="shared" si="84"/>
        <v>881.9616</v>
      </c>
      <c r="Y143" s="1012" t="s">
        <v>3855</v>
      </c>
      <c r="Z143" s="1159" t="s">
        <v>403</v>
      </c>
      <c r="AA143" s="1150" t="s">
        <v>128</v>
      </c>
      <c r="AB143" s="1150"/>
      <c r="AC143" s="1151">
        <v>624</v>
      </c>
      <c r="AD143" s="1151">
        <f t="shared" si="80"/>
        <v>0</v>
      </c>
      <c r="AE143" s="1151"/>
      <c r="AF143" s="579"/>
      <c r="AG143" s="579"/>
      <c r="AH143" s="1151">
        <f t="shared" si="100"/>
        <v>624</v>
      </c>
      <c r="AI143" s="1151"/>
      <c r="AJ143" s="1151"/>
      <c r="AK143" s="1151"/>
      <c r="AL143" s="1151"/>
      <c r="AM143" s="1151"/>
      <c r="AN143" s="543">
        <f t="shared" si="103"/>
        <v>624</v>
      </c>
      <c r="AO143" s="543"/>
      <c r="AP143" s="543"/>
      <c r="AQ143" s="543"/>
      <c r="AR143" s="543"/>
      <c r="AS143" s="543"/>
      <c r="AT143" s="543"/>
      <c r="AU143" s="1310">
        <f t="shared" si="101"/>
        <v>624</v>
      </c>
      <c r="AV143" s="543"/>
      <c r="AW143" s="543"/>
      <c r="AX143" s="543"/>
      <c r="AY143" s="543"/>
      <c r="AZ143" s="543"/>
      <c r="BA143" s="543"/>
      <c r="BB143" s="543"/>
      <c r="BC143" s="1200"/>
      <c r="BD143" s="1200"/>
      <c r="BE143" s="1200"/>
      <c r="BF143" s="1200"/>
      <c r="BG143" s="1200"/>
      <c r="BH143" s="1200"/>
      <c r="BI143" s="1200">
        <f t="shared" si="104"/>
        <v>48</v>
      </c>
      <c r="BJ143" s="1200"/>
      <c r="BK143" s="1200"/>
      <c r="BL143" s="1200"/>
      <c r="BM143" s="1200"/>
      <c r="BN143" s="1200"/>
      <c r="BO143" s="1200"/>
      <c r="BP143" s="1200"/>
      <c r="BQ143" s="1200"/>
      <c r="BR143" s="1200"/>
      <c r="BS143" s="1200"/>
      <c r="BT143" s="1200"/>
      <c r="BU143" s="1200"/>
      <c r="BV143" s="1200"/>
      <c r="BW143" s="1200"/>
      <c r="BX143" s="1200"/>
      <c r="BY143" s="1200"/>
      <c r="BZ143" s="1012">
        <f t="shared" si="87"/>
        <v>624</v>
      </c>
      <c r="CB143" s="1219"/>
      <c r="CC143" s="1219"/>
      <c r="CE143" s="1009">
        <f t="shared" si="93"/>
        <v>1534492</v>
      </c>
    </row>
    <row r="144" s="1009" customFormat="1" ht="36" customHeight="1" spans="1:83">
      <c r="A144" s="1047">
        <v>45819</v>
      </c>
      <c r="B144" s="1327" t="s">
        <v>322</v>
      </c>
      <c r="C144" s="1328" t="s">
        <v>190</v>
      </c>
      <c r="D144" s="1193">
        <v>4500169702</v>
      </c>
      <c r="E144" s="1327" t="s">
        <v>3856</v>
      </c>
      <c r="F144" s="1193" t="s">
        <v>3857</v>
      </c>
      <c r="G144" s="1040" t="s">
        <v>403</v>
      </c>
      <c r="H144" s="1041" t="s">
        <v>74</v>
      </c>
      <c r="I144" s="1012">
        <v>468</v>
      </c>
      <c r="J144" s="1087">
        <v>0</v>
      </c>
      <c r="K144" s="1040">
        <v>52</v>
      </c>
      <c r="L144" s="1012">
        <f t="shared" si="94"/>
        <v>9</v>
      </c>
      <c r="M144" s="1079">
        <v>45840</v>
      </c>
      <c r="N144" s="1079">
        <f t="shared" si="102"/>
        <v>45836</v>
      </c>
      <c r="O144" s="579"/>
      <c r="P144" s="579" t="s">
        <v>1262</v>
      </c>
      <c r="Q144" s="579" t="s">
        <v>3849</v>
      </c>
      <c r="R144" s="579">
        <v>45819</v>
      </c>
      <c r="S144" s="578" t="s">
        <v>77</v>
      </c>
      <c r="T144" s="695" t="s">
        <v>3850</v>
      </c>
      <c r="U144" s="1039" t="s">
        <v>3851</v>
      </c>
      <c r="V144" s="541" t="s">
        <v>3057</v>
      </c>
      <c r="W144" s="1113">
        <v>1.4134</v>
      </c>
      <c r="X144" s="1114">
        <f t="shared" si="84"/>
        <v>661.4712</v>
      </c>
      <c r="Y144" s="1012" t="s">
        <v>3858</v>
      </c>
      <c r="Z144" s="1159" t="s">
        <v>403</v>
      </c>
      <c r="AA144" s="1150" t="s">
        <v>128</v>
      </c>
      <c r="AB144" s="1150"/>
      <c r="AC144" s="1151">
        <v>468</v>
      </c>
      <c r="AD144" s="1151">
        <f t="shared" si="80"/>
        <v>0</v>
      </c>
      <c r="AE144" s="1151"/>
      <c r="AF144" s="579"/>
      <c r="AG144" s="579"/>
      <c r="AH144" s="1151">
        <f t="shared" si="100"/>
        <v>468</v>
      </c>
      <c r="AI144" s="1151"/>
      <c r="AJ144" s="1151"/>
      <c r="AK144" s="1151"/>
      <c r="AL144" s="1151"/>
      <c r="AM144" s="1151"/>
      <c r="AN144" s="543">
        <f t="shared" si="103"/>
        <v>468</v>
      </c>
      <c r="AO144" s="543"/>
      <c r="AP144" s="543"/>
      <c r="AQ144" s="543"/>
      <c r="AR144" s="543"/>
      <c r="AS144" s="543"/>
      <c r="AT144" s="543"/>
      <c r="AU144" s="1310">
        <f t="shared" si="101"/>
        <v>468</v>
      </c>
      <c r="AV144" s="543"/>
      <c r="AW144" s="543"/>
      <c r="AX144" s="543"/>
      <c r="AY144" s="543"/>
      <c r="AZ144" s="543"/>
      <c r="BA144" s="543"/>
      <c r="BB144" s="543"/>
      <c r="BC144" s="1200"/>
      <c r="BD144" s="1200"/>
      <c r="BE144" s="1200"/>
      <c r="BF144" s="1200"/>
      <c r="BG144" s="1200"/>
      <c r="BH144" s="1200"/>
      <c r="BI144" s="1200">
        <f t="shared" si="104"/>
        <v>36</v>
      </c>
      <c r="BJ144" s="1200"/>
      <c r="BK144" s="1200"/>
      <c r="BL144" s="1200"/>
      <c r="BM144" s="1200"/>
      <c r="BN144" s="1200"/>
      <c r="BO144" s="1200"/>
      <c r="BP144" s="1200"/>
      <c r="BQ144" s="1200"/>
      <c r="BR144" s="1200"/>
      <c r="BS144" s="1200"/>
      <c r="BT144" s="1200"/>
      <c r="BU144" s="1200"/>
      <c r="BV144" s="1200"/>
      <c r="BW144" s="1200"/>
      <c r="BX144" s="1200"/>
      <c r="BY144" s="1200"/>
      <c r="BZ144" s="1012">
        <f t="shared" si="87"/>
        <v>468</v>
      </c>
      <c r="CB144" s="1219"/>
      <c r="CC144" s="1219"/>
      <c r="CE144" s="1009">
        <f t="shared" si="93"/>
        <v>1534024</v>
      </c>
    </row>
    <row r="145" s="1009" customFormat="1" ht="36" customHeight="1" spans="1:83">
      <c r="A145" s="1047">
        <v>45819</v>
      </c>
      <c r="B145" s="1327" t="s">
        <v>322</v>
      </c>
      <c r="C145" s="1328" t="s">
        <v>190</v>
      </c>
      <c r="D145" s="1193">
        <v>4500169702</v>
      </c>
      <c r="E145" s="1327" t="s">
        <v>3859</v>
      </c>
      <c r="F145" s="1193" t="s">
        <v>3860</v>
      </c>
      <c r="G145" s="1040" t="s">
        <v>403</v>
      </c>
      <c r="H145" s="1041" t="s">
        <v>74</v>
      </c>
      <c r="I145" s="1012">
        <v>260</v>
      </c>
      <c r="J145" s="1087">
        <v>0</v>
      </c>
      <c r="K145" s="1040">
        <v>52</v>
      </c>
      <c r="L145" s="1012">
        <f t="shared" si="94"/>
        <v>5</v>
      </c>
      <c r="M145" s="1079">
        <v>45840</v>
      </c>
      <c r="N145" s="1079">
        <f t="shared" si="102"/>
        <v>45836</v>
      </c>
      <c r="O145" s="579"/>
      <c r="P145" s="579" t="s">
        <v>1262</v>
      </c>
      <c r="Q145" s="579" t="s">
        <v>3849</v>
      </c>
      <c r="R145" s="579">
        <v>45819</v>
      </c>
      <c r="S145" s="578" t="s">
        <v>77</v>
      </c>
      <c r="T145" s="695" t="s">
        <v>3850</v>
      </c>
      <c r="U145" s="1039" t="s">
        <v>3851</v>
      </c>
      <c r="V145" s="541" t="s">
        <v>3057</v>
      </c>
      <c r="W145" s="1113">
        <v>1.4134</v>
      </c>
      <c r="X145" s="1114">
        <f t="shared" si="84"/>
        <v>367.484</v>
      </c>
      <c r="Y145" s="1012" t="s">
        <v>3861</v>
      </c>
      <c r="Z145" s="1159" t="s">
        <v>403</v>
      </c>
      <c r="AA145" s="1150" t="s">
        <v>128</v>
      </c>
      <c r="AB145" s="1150"/>
      <c r="AC145" s="1151">
        <v>260</v>
      </c>
      <c r="AD145" s="1151">
        <f t="shared" si="80"/>
        <v>0</v>
      </c>
      <c r="AE145" s="1151"/>
      <c r="AF145" s="579"/>
      <c r="AG145" s="579"/>
      <c r="AH145" s="1151">
        <f t="shared" si="100"/>
        <v>260</v>
      </c>
      <c r="AI145" s="1151"/>
      <c r="AJ145" s="1151"/>
      <c r="AK145" s="1151"/>
      <c r="AL145" s="1151"/>
      <c r="AM145" s="1151"/>
      <c r="AN145" s="543">
        <f t="shared" si="103"/>
        <v>260</v>
      </c>
      <c r="AO145" s="543"/>
      <c r="AP145" s="543"/>
      <c r="AQ145" s="543"/>
      <c r="AR145" s="543"/>
      <c r="AS145" s="543"/>
      <c r="AT145" s="543"/>
      <c r="AU145" s="1310">
        <f t="shared" si="101"/>
        <v>260</v>
      </c>
      <c r="AV145" s="543"/>
      <c r="AW145" s="543"/>
      <c r="AX145" s="543"/>
      <c r="AY145" s="543"/>
      <c r="AZ145" s="543"/>
      <c r="BA145" s="543"/>
      <c r="BB145" s="543"/>
      <c r="BC145" s="1200"/>
      <c r="BD145" s="1200"/>
      <c r="BE145" s="1200"/>
      <c r="BF145" s="1200"/>
      <c r="BG145" s="1200"/>
      <c r="BH145" s="1200"/>
      <c r="BI145" s="1200">
        <f t="shared" si="104"/>
        <v>20</v>
      </c>
      <c r="BJ145" s="1200"/>
      <c r="BK145" s="1200"/>
      <c r="BL145" s="1200"/>
      <c r="BM145" s="1200"/>
      <c r="BN145" s="1200"/>
      <c r="BO145" s="1200"/>
      <c r="BP145" s="1200"/>
      <c r="BQ145" s="1200"/>
      <c r="BR145" s="1200"/>
      <c r="BS145" s="1200"/>
      <c r="BT145" s="1200"/>
      <c r="BU145" s="1200"/>
      <c r="BV145" s="1200"/>
      <c r="BW145" s="1200"/>
      <c r="BX145" s="1200"/>
      <c r="BY145" s="1200"/>
      <c r="BZ145" s="1012">
        <f t="shared" si="87"/>
        <v>260</v>
      </c>
      <c r="CB145" s="1219"/>
      <c r="CC145" s="1219"/>
      <c r="CE145" s="1009">
        <f t="shared" si="93"/>
        <v>1533764</v>
      </c>
    </row>
    <row r="146" s="1009" customFormat="1" ht="36" customHeight="1" spans="1:83">
      <c r="A146" s="1047">
        <v>45804</v>
      </c>
      <c r="B146" s="1327" t="s">
        <v>3862</v>
      </c>
      <c r="C146" s="1328" t="s">
        <v>117</v>
      </c>
      <c r="D146" s="1193">
        <v>4500167259</v>
      </c>
      <c r="E146" s="1327" t="s">
        <v>3863</v>
      </c>
      <c r="F146" s="1193" t="s">
        <v>3864</v>
      </c>
      <c r="G146" s="1040" t="s">
        <v>403</v>
      </c>
      <c r="H146" s="1041" t="s">
        <v>74</v>
      </c>
      <c r="I146" s="1012">
        <v>17420</v>
      </c>
      <c r="J146" s="1087">
        <v>0</v>
      </c>
      <c r="K146" s="1040">
        <v>52</v>
      </c>
      <c r="L146" s="1012">
        <f t="shared" si="94"/>
        <v>335</v>
      </c>
      <c r="M146" s="1079">
        <v>45841</v>
      </c>
      <c r="N146" s="1079">
        <f>M146-3</f>
        <v>45838</v>
      </c>
      <c r="O146" s="579"/>
      <c r="P146" s="1079" t="s">
        <v>92</v>
      </c>
      <c r="Q146" s="579" t="s">
        <v>1636</v>
      </c>
      <c r="R146" s="579">
        <v>45811</v>
      </c>
      <c r="S146" s="578" t="s">
        <v>123</v>
      </c>
      <c r="T146" s="695" t="s">
        <v>3865</v>
      </c>
      <c r="U146" s="1039" t="s">
        <v>3866</v>
      </c>
      <c r="V146" s="541" t="s">
        <v>3867</v>
      </c>
      <c r="W146" s="1113">
        <v>0.818</v>
      </c>
      <c r="X146" s="1114">
        <f t="shared" si="84"/>
        <v>14249.56</v>
      </c>
      <c r="Y146" s="1012"/>
      <c r="Z146" s="1159" t="s">
        <v>403</v>
      </c>
      <c r="AA146" s="1150" t="s">
        <v>128</v>
      </c>
      <c r="AB146" s="1150"/>
      <c r="AC146" s="1151">
        <f>17316+104</f>
        <v>17420</v>
      </c>
      <c r="AD146" s="1151">
        <f t="shared" si="80"/>
        <v>0</v>
      </c>
      <c r="AE146" s="1151"/>
      <c r="AF146" s="579"/>
      <c r="AG146" s="579"/>
      <c r="AH146" s="1151">
        <f t="shared" si="100"/>
        <v>17420</v>
      </c>
      <c r="AI146" s="1151"/>
      <c r="AJ146" s="1151"/>
      <c r="AK146" s="1151"/>
      <c r="AL146" s="1176"/>
      <c r="AM146" s="1176"/>
      <c r="AO146" s="543">
        <f>I146</f>
        <v>17420</v>
      </c>
      <c r="AP146" s="543"/>
      <c r="AQ146" s="543"/>
      <c r="AR146" s="543"/>
      <c r="AS146" s="543"/>
      <c r="AT146" s="543"/>
      <c r="AU146" s="1310">
        <f t="shared" si="101"/>
        <v>17420</v>
      </c>
      <c r="AV146" s="543"/>
      <c r="AW146" s="543"/>
      <c r="AX146" s="543"/>
      <c r="AY146" s="543"/>
      <c r="AZ146" s="543"/>
      <c r="BA146" s="543"/>
      <c r="BB146" s="543"/>
      <c r="BC146" s="1200"/>
      <c r="BD146" s="1200"/>
      <c r="BE146" s="1200"/>
      <c r="BF146" s="1200"/>
      <c r="BG146" s="1200"/>
      <c r="BH146" s="1200"/>
      <c r="BI146" s="1200">
        <f t="shared" si="104"/>
        <v>1340</v>
      </c>
      <c r="BJ146" s="1200"/>
      <c r="BK146" s="1200"/>
      <c r="BL146" s="1200"/>
      <c r="BM146" s="1200"/>
      <c r="BN146" s="1200"/>
      <c r="BO146" s="1200"/>
      <c r="BP146" s="1200"/>
      <c r="BQ146" s="1200"/>
      <c r="BR146" s="1200"/>
      <c r="BS146" s="1200"/>
      <c r="BT146" s="1200"/>
      <c r="BU146" s="1200"/>
      <c r="BV146" s="1200"/>
      <c r="BW146" s="1200"/>
      <c r="BX146" s="1200"/>
      <c r="BY146" s="1200"/>
      <c r="BZ146" s="1012">
        <f t="shared" si="87"/>
        <v>17420</v>
      </c>
      <c r="CB146" s="1219"/>
      <c r="CC146" s="1219"/>
      <c r="CE146" s="1009">
        <f t="shared" si="93"/>
        <v>1516344</v>
      </c>
    </row>
    <row r="147" s="1009" customFormat="1" ht="36" customHeight="1" spans="1:83">
      <c r="A147" s="540">
        <v>45777</v>
      </c>
      <c r="B147" s="1036" t="s">
        <v>3868</v>
      </c>
      <c r="C147" s="1037" t="s">
        <v>435</v>
      </c>
      <c r="D147" s="1038">
        <v>4500163986</v>
      </c>
      <c r="E147" s="1039" t="s">
        <v>3869</v>
      </c>
      <c r="F147" s="1038" t="s">
        <v>3870</v>
      </c>
      <c r="G147" s="1040" t="s">
        <v>215</v>
      </c>
      <c r="H147" s="1041" t="s">
        <v>74</v>
      </c>
      <c r="I147" s="1012">
        <v>756</v>
      </c>
      <c r="J147" s="1087">
        <v>0</v>
      </c>
      <c r="K147" s="1040">
        <v>42</v>
      </c>
      <c r="L147" s="1012">
        <f t="shared" si="94"/>
        <v>18</v>
      </c>
      <c r="M147" s="1079">
        <v>45838</v>
      </c>
      <c r="N147" s="1079">
        <v>45836</v>
      </c>
      <c r="O147" s="579" t="s">
        <v>3871</v>
      </c>
      <c r="P147" s="579" t="s">
        <v>1262</v>
      </c>
      <c r="Q147" s="579" t="s">
        <v>1399</v>
      </c>
      <c r="R147" s="579">
        <v>45789</v>
      </c>
      <c r="S147" s="578" t="s">
        <v>77</v>
      </c>
      <c r="T147" s="695" t="s">
        <v>3872</v>
      </c>
      <c r="U147" s="1039" t="s">
        <v>3873</v>
      </c>
      <c r="V147" s="1112" t="s">
        <v>3874</v>
      </c>
      <c r="W147" s="1113">
        <v>1.459</v>
      </c>
      <c r="X147" s="1114">
        <f t="shared" si="84"/>
        <v>1103.004</v>
      </c>
      <c r="Y147" s="1012" t="s">
        <v>3875</v>
      </c>
      <c r="Z147" s="1159" t="s">
        <v>220</v>
      </c>
      <c r="AA147" s="1150" t="s">
        <v>128</v>
      </c>
      <c r="AB147" s="1150"/>
      <c r="AC147" s="1151">
        <v>756</v>
      </c>
      <c r="AD147" s="1151">
        <f t="shared" si="80"/>
        <v>0</v>
      </c>
      <c r="AE147" s="1151"/>
      <c r="AF147" s="579"/>
      <c r="AG147" s="579"/>
      <c r="AH147" s="1151">
        <f t="shared" si="100"/>
        <v>756</v>
      </c>
      <c r="AI147" s="1151"/>
      <c r="AJ147" s="1151"/>
      <c r="AK147" s="1151"/>
      <c r="AL147" s="1151"/>
      <c r="AM147" s="1151"/>
      <c r="AN147" s="543"/>
      <c r="AO147" s="543">
        <f>I147</f>
        <v>756</v>
      </c>
      <c r="AP147" s="543"/>
      <c r="AQ147" s="543"/>
      <c r="AR147" s="543"/>
      <c r="AS147" s="543"/>
      <c r="AT147" s="543"/>
      <c r="AU147" s="543">
        <f t="shared" si="101"/>
        <v>756</v>
      </c>
      <c r="AV147" s="543"/>
      <c r="AW147" s="543"/>
      <c r="AX147" s="543"/>
      <c r="AY147" s="543"/>
      <c r="AZ147" s="543"/>
      <c r="BA147" s="543"/>
      <c r="BB147" s="543"/>
      <c r="BC147" s="1200">
        <f>I147/21</f>
        <v>36</v>
      </c>
      <c r="BD147" s="1200"/>
      <c r="BE147" s="1200"/>
      <c r="BF147" s="1200"/>
      <c r="BG147" s="1200"/>
      <c r="BH147" s="1200"/>
      <c r="BI147" s="1200"/>
      <c r="BJ147" s="1200"/>
      <c r="BK147" s="1200"/>
      <c r="BL147" s="1200"/>
      <c r="BM147" s="1200"/>
      <c r="BN147" s="1200"/>
      <c r="BO147" s="1200"/>
      <c r="BP147" s="1200"/>
      <c r="BQ147" s="1200"/>
      <c r="BR147" s="1200"/>
      <c r="BS147" s="1200"/>
      <c r="BT147" s="1200"/>
      <c r="BU147" s="1200"/>
      <c r="BV147" s="1200"/>
      <c r="BW147" s="1200"/>
      <c r="BX147" s="1200"/>
      <c r="BY147" s="1200"/>
      <c r="BZ147" s="1012">
        <f t="shared" si="87"/>
        <v>756</v>
      </c>
      <c r="CB147" s="1219"/>
      <c r="CC147" s="1219"/>
      <c r="CE147" s="1009">
        <f t="shared" si="93"/>
        <v>1515588</v>
      </c>
    </row>
    <row r="148" s="1009" customFormat="1" ht="36" customHeight="1" spans="1:83">
      <c r="A148" s="1047">
        <v>45805</v>
      </c>
      <c r="B148" s="1327" t="s">
        <v>612</v>
      </c>
      <c r="C148" s="1328" t="s">
        <v>613</v>
      </c>
      <c r="D148" s="1193">
        <v>4500168238</v>
      </c>
      <c r="E148" s="1039"/>
      <c r="F148" s="1193" t="s">
        <v>3876</v>
      </c>
      <c r="G148" s="1040" t="s">
        <v>96</v>
      </c>
      <c r="H148" s="1041" t="s">
        <v>74</v>
      </c>
      <c r="I148" s="1012">
        <v>300</v>
      </c>
      <c r="J148" s="1087">
        <v>0</v>
      </c>
      <c r="K148" s="1040">
        <v>50</v>
      </c>
      <c r="L148" s="1012">
        <f t="shared" si="94"/>
        <v>6</v>
      </c>
      <c r="M148" s="1079">
        <v>45838</v>
      </c>
      <c r="N148" s="1079">
        <v>45840</v>
      </c>
      <c r="O148" s="579"/>
      <c r="P148" s="579" t="s">
        <v>1262</v>
      </c>
      <c r="Q148" s="579" t="s">
        <v>1652</v>
      </c>
      <c r="R148" s="579">
        <v>45814</v>
      </c>
      <c r="S148" s="578" t="s">
        <v>77</v>
      </c>
      <c r="T148" s="695" t="s">
        <v>3877</v>
      </c>
      <c r="U148" s="1039" t="s">
        <v>3878</v>
      </c>
      <c r="V148" s="1012" t="s">
        <v>3879</v>
      </c>
      <c r="W148" s="1113">
        <v>1.4097</v>
      </c>
      <c r="X148" s="1114">
        <f t="shared" si="84"/>
        <v>422.91</v>
      </c>
      <c r="Y148" s="1361" t="s">
        <v>3880</v>
      </c>
      <c r="Z148" s="1159" t="s">
        <v>292</v>
      </c>
      <c r="AA148" s="1150" t="s">
        <v>128</v>
      </c>
      <c r="AB148" s="1150"/>
      <c r="AC148" s="1151">
        <v>300</v>
      </c>
      <c r="AD148" s="1151">
        <f t="shared" si="80"/>
        <v>0</v>
      </c>
      <c r="AE148" s="1151"/>
      <c r="AF148" s="579"/>
      <c r="AG148" s="579"/>
      <c r="AH148" s="1151">
        <f t="shared" si="100"/>
        <v>300</v>
      </c>
      <c r="AI148" s="1151"/>
      <c r="AJ148" s="1151"/>
      <c r="AK148" s="1151"/>
      <c r="AL148" s="1176"/>
      <c r="AM148" s="1176"/>
      <c r="AP148" s="543"/>
      <c r="AQ148" s="543">
        <f t="shared" ref="AQ148:AQ150" si="105">AH148</f>
        <v>300</v>
      </c>
      <c r="AR148" s="543"/>
      <c r="AS148" s="543"/>
      <c r="AT148" s="543"/>
      <c r="AU148" s="543">
        <f t="shared" si="101"/>
        <v>300</v>
      </c>
      <c r="AV148" s="543"/>
      <c r="AW148" s="543"/>
      <c r="AX148" s="543"/>
      <c r="AY148" s="543"/>
      <c r="AZ148" s="543"/>
      <c r="BA148" s="543"/>
      <c r="BB148" s="543"/>
      <c r="BC148" s="1200"/>
      <c r="BD148" s="1200"/>
      <c r="BE148" s="1200"/>
      <c r="BF148" s="1200"/>
      <c r="BG148" s="1200"/>
      <c r="BH148" s="1200"/>
      <c r="BI148" s="1200"/>
      <c r="BJ148" s="1200"/>
      <c r="BK148" s="1200"/>
      <c r="BL148" s="1200"/>
      <c r="BN148" s="1200">
        <f t="shared" ref="BN148:BN150" si="106">I148/25</f>
        <v>12</v>
      </c>
      <c r="BO148" s="1200"/>
      <c r="BP148" s="1200"/>
      <c r="BQ148" s="1200"/>
      <c r="BR148" s="1200"/>
      <c r="BS148" s="1200"/>
      <c r="BT148" s="1200"/>
      <c r="BU148" s="1200"/>
      <c r="BV148" s="1200"/>
      <c r="BW148" s="1200"/>
      <c r="BX148" s="1200"/>
      <c r="BY148" s="1200"/>
      <c r="BZ148" s="1012">
        <f t="shared" si="87"/>
        <v>300</v>
      </c>
      <c r="CB148" s="1219"/>
      <c r="CC148" s="1219"/>
      <c r="CE148" s="1009">
        <f t="shared" si="93"/>
        <v>1515288</v>
      </c>
    </row>
    <row r="149" s="1009" customFormat="1" ht="36" customHeight="1" spans="1:83">
      <c r="A149" s="1047">
        <v>45804</v>
      </c>
      <c r="B149" s="1327" t="s">
        <v>612</v>
      </c>
      <c r="C149" s="1328" t="s">
        <v>613</v>
      </c>
      <c r="D149" s="1193">
        <v>4500168055</v>
      </c>
      <c r="E149" s="1051"/>
      <c r="F149" s="1193" t="s">
        <v>3881</v>
      </c>
      <c r="G149" s="1040" t="s">
        <v>96</v>
      </c>
      <c r="H149" s="1041" t="s">
        <v>74</v>
      </c>
      <c r="I149" s="1012">
        <v>200</v>
      </c>
      <c r="J149" s="1087">
        <v>0</v>
      </c>
      <c r="K149" s="1040">
        <v>50</v>
      </c>
      <c r="L149" s="1012">
        <f t="shared" si="94"/>
        <v>4</v>
      </c>
      <c r="M149" s="1079">
        <v>45838</v>
      </c>
      <c r="N149" s="1079">
        <v>45840</v>
      </c>
      <c r="O149" s="579"/>
      <c r="P149" s="579" t="s">
        <v>1262</v>
      </c>
      <c r="Q149" s="579" t="s">
        <v>2252</v>
      </c>
      <c r="R149" s="579">
        <v>45814</v>
      </c>
      <c r="S149" s="578" t="s">
        <v>77</v>
      </c>
      <c r="T149" s="695" t="s">
        <v>3877</v>
      </c>
      <c r="U149" s="1039" t="s">
        <v>3882</v>
      </c>
      <c r="V149" s="1012" t="s">
        <v>618</v>
      </c>
      <c r="W149" s="1113">
        <v>1.4097</v>
      </c>
      <c r="X149" s="1114">
        <f t="shared" si="84"/>
        <v>281.94</v>
      </c>
      <c r="Y149" s="1012" t="s">
        <v>3883</v>
      </c>
      <c r="Z149" s="1159" t="s">
        <v>292</v>
      </c>
      <c r="AA149" s="1150" t="s">
        <v>128</v>
      </c>
      <c r="AB149" s="1150"/>
      <c r="AC149" s="1151">
        <v>200</v>
      </c>
      <c r="AD149" s="1151">
        <f t="shared" si="80"/>
        <v>0</v>
      </c>
      <c r="AE149" s="1151"/>
      <c r="AF149" s="579"/>
      <c r="AG149" s="579"/>
      <c r="AH149" s="1151">
        <f t="shared" si="100"/>
        <v>200</v>
      </c>
      <c r="AI149" s="1151"/>
      <c r="AJ149" s="1151"/>
      <c r="AK149" s="1151"/>
      <c r="AL149" s="1176"/>
      <c r="AM149" s="1176"/>
      <c r="AP149" s="543"/>
      <c r="AQ149" s="543">
        <f t="shared" si="105"/>
        <v>200</v>
      </c>
      <c r="AR149" s="543"/>
      <c r="AS149" s="543"/>
      <c r="AT149" s="543"/>
      <c r="AU149" s="543">
        <f t="shared" si="101"/>
        <v>200</v>
      </c>
      <c r="AV149" s="543"/>
      <c r="AW149" s="543"/>
      <c r="AX149" s="543"/>
      <c r="AY149" s="543"/>
      <c r="AZ149" s="543"/>
      <c r="BA149" s="543"/>
      <c r="BB149" s="543"/>
      <c r="BC149" s="1200"/>
      <c r="BD149" s="1200"/>
      <c r="BE149" s="1200"/>
      <c r="BF149" s="1200"/>
      <c r="BG149" s="1200"/>
      <c r="BH149" s="1200"/>
      <c r="BI149" s="1200"/>
      <c r="BJ149" s="1200"/>
      <c r="BK149" s="1200"/>
      <c r="BL149" s="1200"/>
      <c r="BN149" s="1200">
        <f t="shared" si="106"/>
        <v>8</v>
      </c>
      <c r="BO149" s="1200"/>
      <c r="BP149" s="1200"/>
      <c r="BQ149" s="1200"/>
      <c r="BR149" s="1200"/>
      <c r="BS149" s="1200"/>
      <c r="BT149" s="1200"/>
      <c r="BU149" s="1200"/>
      <c r="BV149" s="1200"/>
      <c r="BW149" s="1200"/>
      <c r="BX149" s="1200"/>
      <c r="BY149" s="1200"/>
      <c r="BZ149" s="1012">
        <f t="shared" si="87"/>
        <v>200</v>
      </c>
      <c r="CB149" s="1219"/>
      <c r="CC149" s="1219"/>
      <c r="CE149" s="1009">
        <f t="shared" si="93"/>
        <v>1515088</v>
      </c>
    </row>
    <row r="150" s="1009" customFormat="1" ht="36" customHeight="1" spans="1:83">
      <c r="A150" s="1047">
        <v>45806</v>
      </c>
      <c r="B150" s="1327" t="s">
        <v>612</v>
      </c>
      <c r="C150" s="1328" t="s">
        <v>613</v>
      </c>
      <c r="D150" s="1193">
        <v>4500168463</v>
      </c>
      <c r="E150" s="1327"/>
      <c r="F150" s="1193" t="s">
        <v>3884</v>
      </c>
      <c r="G150" s="1040" t="s">
        <v>96</v>
      </c>
      <c r="H150" s="1041" t="s">
        <v>74</v>
      </c>
      <c r="I150" s="1012">
        <v>600</v>
      </c>
      <c r="J150" s="1087">
        <v>0</v>
      </c>
      <c r="K150" s="1040">
        <v>50</v>
      </c>
      <c r="L150" s="1012">
        <f t="shared" si="94"/>
        <v>12</v>
      </c>
      <c r="M150" s="1079">
        <v>45840</v>
      </c>
      <c r="N150" s="1079">
        <v>45840</v>
      </c>
      <c r="O150" s="579"/>
      <c r="P150" s="579" t="s">
        <v>1262</v>
      </c>
      <c r="Q150" s="579" t="s">
        <v>3823</v>
      </c>
      <c r="R150" s="579">
        <v>45814</v>
      </c>
      <c r="S150" s="578" t="s">
        <v>77</v>
      </c>
      <c r="T150" s="695" t="s">
        <v>3877</v>
      </c>
      <c r="U150" s="1039" t="s">
        <v>3885</v>
      </c>
      <c r="V150" s="541" t="s">
        <v>3879</v>
      </c>
      <c r="W150" s="1113">
        <v>1.393</v>
      </c>
      <c r="X150" s="1114">
        <f t="shared" si="84"/>
        <v>835.8</v>
      </c>
      <c r="Y150" s="541" t="s">
        <v>3886</v>
      </c>
      <c r="Z150" s="1159" t="s">
        <v>292</v>
      </c>
      <c r="AA150" s="1150" t="s">
        <v>128</v>
      </c>
      <c r="AB150" s="1150"/>
      <c r="AC150" s="1151">
        <v>600</v>
      </c>
      <c r="AD150" s="1151">
        <f t="shared" si="80"/>
        <v>0</v>
      </c>
      <c r="AE150" s="1151"/>
      <c r="AF150" s="579"/>
      <c r="AG150" s="579"/>
      <c r="AH150" s="1151">
        <f t="shared" si="100"/>
        <v>600</v>
      </c>
      <c r="AI150" s="1151"/>
      <c r="AJ150" s="1151"/>
      <c r="AK150" s="1151"/>
      <c r="AL150" s="1151"/>
      <c r="AM150" s="1151"/>
      <c r="AN150" s="543"/>
      <c r="AP150" s="543"/>
      <c r="AQ150" s="543">
        <f t="shared" si="105"/>
        <v>600</v>
      </c>
      <c r="AR150" s="543"/>
      <c r="AS150" s="543"/>
      <c r="AT150" s="543"/>
      <c r="AU150" s="543">
        <f t="shared" si="101"/>
        <v>600</v>
      </c>
      <c r="AV150" s="543"/>
      <c r="AW150" s="543"/>
      <c r="AX150" s="543"/>
      <c r="AY150" s="543"/>
      <c r="AZ150" s="543"/>
      <c r="BA150" s="543"/>
      <c r="BB150" s="543"/>
      <c r="BC150" s="1200"/>
      <c r="BD150" s="1200"/>
      <c r="BE150" s="1200"/>
      <c r="BF150" s="1200"/>
      <c r="BG150" s="1200"/>
      <c r="BH150" s="1200"/>
      <c r="BI150" s="1200"/>
      <c r="BJ150" s="1200"/>
      <c r="BK150" s="1200"/>
      <c r="BL150" s="1200"/>
      <c r="BM150" s="1200"/>
      <c r="BN150" s="1200">
        <f t="shared" si="106"/>
        <v>24</v>
      </c>
      <c r="BO150" s="1200"/>
      <c r="BP150" s="1200"/>
      <c r="BQ150" s="1200"/>
      <c r="BR150" s="1200"/>
      <c r="BS150" s="1200"/>
      <c r="BT150" s="1200"/>
      <c r="BU150" s="1200"/>
      <c r="BV150" s="1200"/>
      <c r="BW150" s="1200"/>
      <c r="BX150" s="1200"/>
      <c r="BY150" s="1200"/>
      <c r="BZ150" s="1012">
        <f t="shared" si="87"/>
        <v>600</v>
      </c>
      <c r="CB150" s="1219"/>
      <c r="CC150" s="1219"/>
      <c r="CE150" s="1009">
        <f t="shared" si="93"/>
        <v>1514488</v>
      </c>
    </row>
    <row r="151" s="1009" customFormat="1" ht="36" customHeight="1" spans="1:83">
      <c r="A151" s="1047">
        <v>45807</v>
      </c>
      <c r="B151" s="1327" t="s">
        <v>315</v>
      </c>
      <c r="C151" s="1328" t="s">
        <v>213</v>
      </c>
      <c r="D151" s="1193">
        <v>4500168472</v>
      </c>
      <c r="E151" s="1327" t="s">
        <v>3887</v>
      </c>
      <c r="F151" s="1193" t="s">
        <v>3888</v>
      </c>
      <c r="G151" s="1040" t="s">
        <v>3509</v>
      </c>
      <c r="H151" s="1041" t="s">
        <v>3510</v>
      </c>
      <c r="I151" s="1012">
        <v>864</v>
      </c>
      <c r="J151" s="1087">
        <v>0</v>
      </c>
      <c r="K151" s="1040">
        <v>24</v>
      </c>
      <c r="L151" s="1012">
        <f t="shared" si="94"/>
        <v>36</v>
      </c>
      <c r="M151" s="1079">
        <v>45847</v>
      </c>
      <c r="N151" s="1079">
        <v>45845</v>
      </c>
      <c r="O151" s="579"/>
      <c r="P151" s="579" t="s">
        <v>1262</v>
      </c>
      <c r="Q151" s="579" t="s">
        <v>3889</v>
      </c>
      <c r="R151" s="579" t="s">
        <v>1910</v>
      </c>
      <c r="S151" s="578" t="s">
        <v>123</v>
      </c>
      <c r="T151" s="695" t="s">
        <v>3890</v>
      </c>
      <c r="U151" s="1039" t="s">
        <v>3891</v>
      </c>
      <c r="V151" s="541" t="s">
        <v>186</v>
      </c>
      <c r="W151" s="1113">
        <v>1.3556</v>
      </c>
      <c r="X151" s="1114">
        <f t="shared" si="84"/>
        <v>1171.2384</v>
      </c>
      <c r="Y151" s="1012" t="s">
        <v>3892</v>
      </c>
      <c r="Z151" s="1159" t="s">
        <v>3509</v>
      </c>
      <c r="AA151" s="1150" t="s">
        <v>128</v>
      </c>
      <c r="AB151" s="1150"/>
      <c r="AC151" s="1151">
        <v>864</v>
      </c>
      <c r="AD151" s="1151">
        <f t="shared" si="80"/>
        <v>0</v>
      </c>
      <c r="AE151" s="1151"/>
      <c r="AF151" s="579"/>
      <c r="AG151" s="579"/>
      <c r="AH151" s="1151">
        <f t="shared" si="100"/>
        <v>864</v>
      </c>
      <c r="AI151" s="1151"/>
      <c r="AJ151" s="1151"/>
      <c r="AK151" s="1151"/>
      <c r="AL151" s="1151"/>
      <c r="AM151" s="1151"/>
      <c r="AN151" s="543"/>
      <c r="AP151" s="543"/>
      <c r="AQ151" s="543">
        <f>I151</f>
        <v>864</v>
      </c>
      <c r="AR151" s="543"/>
      <c r="AS151" s="543"/>
      <c r="AT151" s="543"/>
      <c r="AU151" s="543">
        <f t="shared" si="101"/>
        <v>864</v>
      </c>
      <c r="AV151" s="543"/>
      <c r="AW151" s="543"/>
      <c r="AX151" s="543"/>
      <c r="AY151" s="543"/>
      <c r="AZ151" s="543"/>
      <c r="BA151" s="543"/>
      <c r="BB151" s="543"/>
      <c r="BC151" s="1200"/>
      <c r="BD151" s="1200"/>
      <c r="BE151" s="1200"/>
      <c r="BF151" s="1200"/>
      <c r="BG151" s="1200"/>
      <c r="BH151" s="1200"/>
      <c r="BI151" s="1200"/>
      <c r="BJ151" s="1200"/>
      <c r="BK151" s="1200"/>
      <c r="BL151" s="1200"/>
      <c r="BM151" s="1200"/>
      <c r="BN151" s="1200"/>
      <c r="BO151" s="1200"/>
      <c r="BP151" s="1200"/>
      <c r="BQ151" s="1200"/>
      <c r="BR151" s="1200"/>
      <c r="BS151" s="1200"/>
      <c r="BT151" s="1200"/>
      <c r="BU151" s="1200"/>
      <c r="BV151" s="1200"/>
      <c r="BW151" s="1200"/>
      <c r="BX151" s="1200"/>
      <c r="BY151" s="1200"/>
      <c r="BZ151" s="1012">
        <f t="shared" si="87"/>
        <v>864</v>
      </c>
      <c r="CB151" s="1219"/>
      <c r="CC151" s="1219"/>
      <c r="CE151" s="1009">
        <f t="shared" si="93"/>
        <v>1513624</v>
      </c>
    </row>
    <row r="152" s="1009" customFormat="1" ht="36" customHeight="1" spans="1:83">
      <c r="A152" s="1047">
        <v>45811</v>
      </c>
      <c r="B152" s="1327" t="s">
        <v>1548</v>
      </c>
      <c r="C152" s="1328" t="s">
        <v>1549</v>
      </c>
      <c r="D152" s="1193">
        <v>4500168730</v>
      </c>
      <c r="E152" s="1327"/>
      <c r="F152" s="1193" t="s">
        <v>3893</v>
      </c>
      <c r="G152" s="1040" t="s">
        <v>403</v>
      </c>
      <c r="H152" s="1041" t="s">
        <v>74</v>
      </c>
      <c r="I152" s="1012">
        <v>832</v>
      </c>
      <c r="J152" s="1087">
        <v>0</v>
      </c>
      <c r="K152" s="1040">
        <v>52</v>
      </c>
      <c r="L152" s="1012">
        <f t="shared" si="94"/>
        <v>16</v>
      </c>
      <c r="M152" s="1079">
        <v>45848</v>
      </c>
      <c r="N152" s="1079">
        <v>45846</v>
      </c>
      <c r="O152" s="579"/>
      <c r="P152" s="579" t="s">
        <v>1262</v>
      </c>
      <c r="Q152" s="579" t="s">
        <v>1214</v>
      </c>
      <c r="R152" s="579">
        <v>45814</v>
      </c>
      <c r="S152" s="578" t="s">
        <v>77</v>
      </c>
      <c r="T152" s="695" t="s">
        <v>3894</v>
      </c>
      <c r="U152" s="1039" t="s">
        <v>3895</v>
      </c>
      <c r="V152" s="541" t="s">
        <v>3896</v>
      </c>
      <c r="W152" s="1113">
        <v>1.3805</v>
      </c>
      <c r="X152" s="1114">
        <f t="shared" si="84"/>
        <v>1148.576</v>
      </c>
      <c r="Y152" s="1012" t="s">
        <v>3897</v>
      </c>
      <c r="Z152" s="1159" t="s">
        <v>403</v>
      </c>
      <c r="AA152" s="1150" t="s">
        <v>128</v>
      </c>
      <c r="AB152" s="1150"/>
      <c r="AC152" s="1151">
        <v>832</v>
      </c>
      <c r="AD152" s="1151">
        <f t="shared" si="80"/>
        <v>0</v>
      </c>
      <c r="AE152" s="1151"/>
      <c r="AF152" s="579"/>
      <c r="AG152" s="579"/>
      <c r="AH152" s="1151">
        <f t="shared" si="100"/>
        <v>832</v>
      </c>
      <c r="AI152" s="1151"/>
      <c r="AJ152" s="1151"/>
      <c r="AK152" s="1151"/>
      <c r="AL152" s="1151"/>
      <c r="AM152" s="1151"/>
      <c r="AN152" s="543">
        <f>I152</f>
        <v>832</v>
      </c>
      <c r="AO152" s="543"/>
      <c r="AP152" s="543"/>
      <c r="AQ152" s="543"/>
      <c r="AR152" s="543"/>
      <c r="AS152" s="543"/>
      <c r="AT152" s="543"/>
      <c r="AU152" s="1310">
        <f t="shared" si="101"/>
        <v>832</v>
      </c>
      <c r="AV152" s="543"/>
      <c r="AW152" s="543"/>
      <c r="AX152" s="543"/>
      <c r="AY152" s="543"/>
      <c r="AZ152" s="543"/>
      <c r="BA152" s="543"/>
      <c r="BB152" s="543"/>
      <c r="BC152" s="1200"/>
      <c r="BD152" s="1200"/>
      <c r="BE152" s="1200"/>
      <c r="BF152" s="1200"/>
      <c r="BG152" s="1200"/>
      <c r="BH152" s="1200"/>
      <c r="BI152" s="1200">
        <f>I152/13</f>
        <v>64</v>
      </c>
      <c r="BJ152" s="1200"/>
      <c r="BK152" s="1200"/>
      <c r="BL152" s="1200"/>
      <c r="BM152" s="1200"/>
      <c r="BN152" s="1200"/>
      <c r="BO152" s="1200"/>
      <c r="BP152" s="1200"/>
      <c r="BQ152" s="1200"/>
      <c r="BR152" s="1200"/>
      <c r="BS152" s="1200"/>
      <c r="BT152" s="1200"/>
      <c r="BU152" s="1200"/>
      <c r="BV152" s="1200"/>
      <c r="BW152" s="1200"/>
      <c r="BX152" s="1200"/>
      <c r="BY152" s="1200"/>
      <c r="BZ152" s="1012">
        <f t="shared" si="87"/>
        <v>832</v>
      </c>
      <c r="CB152" s="1219"/>
      <c r="CC152" s="1219"/>
      <c r="CE152" s="1009">
        <f t="shared" si="93"/>
        <v>1512792</v>
      </c>
    </row>
    <row r="153" s="1009" customFormat="1" ht="36" customHeight="1" spans="1:83">
      <c r="A153" s="540">
        <v>45756</v>
      </c>
      <c r="B153" s="1036" t="s">
        <v>1686</v>
      </c>
      <c r="C153" s="1037" t="s">
        <v>477</v>
      </c>
      <c r="D153" s="1038">
        <v>4500166614</v>
      </c>
      <c r="E153" s="1039"/>
      <c r="F153" s="1038" t="s">
        <v>3898</v>
      </c>
      <c r="G153" s="1040" t="s">
        <v>3899</v>
      </c>
      <c r="H153" s="1041" t="s">
        <v>3900</v>
      </c>
      <c r="I153" s="1012">
        <v>11016</v>
      </c>
      <c r="J153" s="1087">
        <v>0</v>
      </c>
      <c r="K153" s="1040">
        <v>24</v>
      </c>
      <c r="L153" s="1012">
        <f t="shared" si="94"/>
        <v>459</v>
      </c>
      <c r="M153" s="1079">
        <v>45855</v>
      </c>
      <c r="N153" s="1079">
        <v>45852</v>
      </c>
      <c r="O153" s="579" t="s">
        <v>3901</v>
      </c>
      <c r="P153" s="579" t="s">
        <v>92</v>
      </c>
      <c r="Q153" s="579" t="s">
        <v>3902</v>
      </c>
      <c r="R153" s="579" t="s">
        <v>3903</v>
      </c>
      <c r="S153" s="578" t="s">
        <v>77</v>
      </c>
      <c r="T153" s="695" t="s">
        <v>3904</v>
      </c>
      <c r="U153" s="1039" t="s">
        <v>3905</v>
      </c>
      <c r="V153" s="1112" t="s">
        <v>1707</v>
      </c>
      <c r="W153" s="1113">
        <v>1.3493</v>
      </c>
      <c r="X153" s="1114">
        <f t="shared" si="84"/>
        <v>14863.8888</v>
      </c>
      <c r="Y153" s="1012"/>
      <c r="Z153" s="1159" t="s">
        <v>3899</v>
      </c>
      <c r="AA153" s="1150" t="s">
        <v>128</v>
      </c>
      <c r="AB153" s="1150"/>
      <c r="AC153" s="1151">
        <v>11016</v>
      </c>
      <c r="AD153" s="1151">
        <f t="shared" si="80"/>
        <v>0</v>
      </c>
      <c r="AE153" s="1151"/>
      <c r="AF153" s="579"/>
      <c r="AG153" s="579"/>
      <c r="AH153" s="1151">
        <f t="shared" si="100"/>
        <v>11016</v>
      </c>
      <c r="AI153" s="1151"/>
      <c r="AJ153" s="1151"/>
      <c r="AK153" s="1151"/>
      <c r="AL153" s="1151"/>
      <c r="AM153" s="1151"/>
      <c r="AN153" s="543">
        <f t="shared" ref="AN153:AN156" si="107">AH153</f>
        <v>11016</v>
      </c>
      <c r="AO153" s="543"/>
      <c r="AQ153" s="543"/>
      <c r="AR153" s="543"/>
      <c r="AS153" s="543"/>
      <c r="AT153" s="543"/>
      <c r="AU153" s="543">
        <f t="shared" si="101"/>
        <v>11016</v>
      </c>
      <c r="AV153" s="543"/>
      <c r="AW153" s="543"/>
      <c r="AX153" s="543"/>
      <c r="AY153" s="543"/>
      <c r="AZ153" s="543"/>
      <c r="BA153" s="543"/>
      <c r="BB153" s="543"/>
      <c r="BC153" s="1200"/>
      <c r="BD153" s="1200"/>
      <c r="BE153" s="1200"/>
      <c r="BF153" s="1200"/>
      <c r="BG153" s="1200"/>
      <c r="BH153" s="1200"/>
      <c r="BI153" s="1200"/>
      <c r="BJ153" s="1200"/>
      <c r="BK153" s="1200"/>
      <c r="BL153" s="1200"/>
      <c r="BM153" s="1200"/>
      <c r="BN153" s="1200"/>
      <c r="BO153" s="1200"/>
      <c r="BP153" s="1200"/>
      <c r="BQ153" s="1200"/>
      <c r="BR153" s="1200"/>
      <c r="BS153" s="1200"/>
      <c r="BT153" s="1200"/>
      <c r="BU153" s="1200"/>
      <c r="BV153" s="1200"/>
      <c r="BW153" s="1200"/>
      <c r="BX153" s="1200"/>
      <c r="BY153" s="1200"/>
      <c r="BZ153" s="1012">
        <f t="shared" si="87"/>
        <v>11016</v>
      </c>
      <c r="CB153" s="1219"/>
      <c r="CC153" s="1219"/>
      <c r="CE153" s="1009">
        <f t="shared" si="93"/>
        <v>1501776</v>
      </c>
    </row>
    <row r="154" s="1009" customFormat="1" ht="36" customHeight="1" spans="1:83">
      <c r="A154" s="540">
        <v>45798</v>
      </c>
      <c r="B154" s="1329" t="s">
        <v>3906</v>
      </c>
      <c r="C154" s="1330" t="s">
        <v>117</v>
      </c>
      <c r="D154" s="1331">
        <v>4500167243</v>
      </c>
      <c r="E154" s="1332" t="s">
        <v>3907</v>
      </c>
      <c r="F154" s="1331" t="s">
        <v>3908</v>
      </c>
      <c r="G154" s="1040" t="s">
        <v>628</v>
      </c>
      <c r="H154" s="1041" t="s">
        <v>623</v>
      </c>
      <c r="I154" s="1012">
        <v>2400</v>
      </c>
      <c r="J154" s="1087">
        <v>0</v>
      </c>
      <c r="K154" s="1040">
        <v>12</v>
      </c>
      <c r="L154" s="1012">
        <f t="shared" si="94"/>
        <v>200</v>
      </c>
      <c r="M154" s="1079">
        <v>45832</v>
      </c>
      <c r="N154" s="1079">
        <v>45862</v>
      </c>
      <c r="O154" s="579"/>
      <c r="P154" s="579" t="s">
        <v>92</v>
      </c>
      <c r="Q154" s="584" t="s">
        <v>1815</v>
      </c>
      <c r="R154" s="584">
        <v>45798</v>
      </c>
      <c r="S154" s="584" t="s">
        <v>77</v>
      </c>
      <c r="T154" s="584" t="s">
        <v>77</v>
      </c>
      <c r="U154" s="1039" t="s">
        <v>3909</v>
      </c>
      <c r="V154" s="1112" t="s">
        <v>1864</v>
      </c>
      <c r="W154" s="1113">
        <v>1.8222</v>
      </c>
      <c r="X154" s="1114">
        <f t="shared" si="84"/>
        <v>4373.28</v>
      </c>
      <c r="Y154" s="1012"/>
      <c r="Z154" s="1159" t="s">
        <v>822</v>
      </c>
      <c r="AA154" s="1150" t="s">
        <v>128</v>
      </c>
      <c r="AB154" s="1150"/>
      <c r="AC154" s="1151">
        <f>2388+12</f>
        <v>2400</v>
      </c>
      <c r="AD154" s="1151">
        <f t="shared" si="80"/>
        <v>0</v>
      </c>
      <c r="AE154" s="1151"/>
      <c r="AF154" s="579"/>
      <c r="AG154" s="579"/>
      <c r="AH154" s="1151">
        <f t="shared" ref="AH154:AH156" si="108">I154*2</f>
        <v>4800</v>
      </c>
      <c r="AI154" s="1151"/>
      <c r="AJ154" s="1151"/>
      <c r="AK154" s="1151"/>
      <c r="AL154" s="1151"/>
      <c r="AM154" s="1151"/>
      <c r="AN154" s="543">
        <f t="shared" si="107"/>
        <v>4800</v>
      </c>
      <c r="AO154" s="543"/>
      <c r="AP154" s="543"/>
      <c r="AQ154" s="543"/>
      <c r="AR154" s="543"/>
      <c r="AS154" s="543"/>
      <c r="AT154" s="543"/>
      <c r="AU154" s="1310">
        <f t="shared" ref="AU154:AU156" si="109">AH154</f>
        <v>4800</v>
      </c>
      <c r="AV154" s="1310"/>
      <c r="AW154" s="543"/>
      <c r="AX154" s="543"/>
      <c r="AY154" s="543"/>
      <c r="AZ154" s="543"/>
      <c r="BA154" s="543"/>
      <c r="BB154" s="543"/>
      <c r="BC154" s="1200"/>
      <c r="BD154" s="1200"/>
      <c r="BE154" s="1200"/>
      <c r="BF154" s="1200"/>
      <c r="BG154" s="1200"/>
      <c r="BH154" s="1200"/>
      <c r="BI154" s="1200"/>
      <c r="BJ154" s="1200"/>
      <c r="BK154" s="1200"/>
      <c r="BL154" s="1200"/>
      <c r="BM154" s="1200"/>
      <c r="BN154" s="1200"/>
      <c r="BO154" s="1200"/>
      <c r="BP154" s="1200"/>
      <c r="BQ154" s="1200"/>
      <c r="BR154" s="1200"/>
      <c r="BS154" s="1200"/>
      <c r="BT154" s="1200"/>
      <c r="BU154" s="1200"/>
      <c r="BV154" s="1200"/>
      <c r="BW154" s="1200">
        <f t="shared" ref="BW154:BW156" si="110">I154</f>
        <v>2400</v>
      </c>
      <c r="BX154" s="1200">
        <f>I154</f>
        <v>2400</v>
      </c>
      <c r="BY154" s="1200"/>
      <c r="BZ154" s="1012">
        <f t="shared" si="87"/>
        <v>4800</v>
      </c>
      <c r="CB154" s="1219" t="s">
        <v>3910</v>
      </c>
      <c r="CC154" s="1219">
        <f>3000-I154</f>
        <v>600</v>
      </c>
      <c r="CE154" s="1009">
        <f t="shared" si="93"/>
        <v>1496976</v>
      </c>
    </row>
    <row r="155" s="1009" customFormat="1" ht="36" customHeight="1" spans="1:83">
      <c r="A155" s="540">
        <v>45798</v>
      </c>
      <c r="B155" s="1329" t="s">
        <v>3906</v>
      </c>
      <c r="C155" s="1330" t="s">
        <v>117</v>
      </c>
      <c r="D155" s="1331">
        <v>4500167243</v>
      </c>
      <c r="E155" s="1332" t="s">
        <v>3911</v>
      </c>
      <c r="F155" s="1331" t="s">
        <v>3912</v>
      </c>
      <c r="G155" s="1040" t="s">
        <v>628</v>
      </c>
      <c r="H155" s="1041" t="s">
        <v>623</v>
      </c>
      <c r="I155" s="1012">
        <v>180</v>
      </c>
      <c r="J155" s="1087">
        <v>0</v>
      </c>
      <c r="K155" s="1040">
        <v>12</v>
      </c>
      <c r="L155" s="1012">
        <f t="shared" si="94"/>
        <v>15</v>
      </c>
      <c r="M155" s="1079">
        <v>45832</v>
      </c>
      <c r="N155" s="1079">
        <v>45862</v>
      </c>
      <c r="O155" s="579"/>
      <c r="P155" s="579" t="s">
        <v>92</v>
      </c>
      <c r="Q155" s="584" t="s">
        <v>1815</v>
      </c>
      <c r="R155" s="584">
        <v>45798</v>
      </c>
      <c r="S155" s="584" t="s">
        <v>77</v>
      </c>
      <c r="T155" s="584" t="s">
        <v>77</v>
      </c>
      <c r="U155" s="1039" t="s">
        <v>3909</v>
      </c>
      <c r="V155" s="1112" t="s">
        <v>1864</v>
      </c>
      <c r="W155" s="1113">
        <v>1.8222</v>
      </c>
      <c r="X155" s="1114">
        <f t="shared" si="84"/>
        <v>327.996</v>
      </c>
      <c r="Y155" s="1012"/>
      <c r="Z155" s="1159" t="s">
        <v>822</v>
      </c>
      <c r="AA155" s="1150" t="s">
        <v>128</v>
      </c>
      <c r="AB155" s="1150"/>
      <c r="AC155" s="1151">
        <v>180</v>
      </c>
      <c r="AD155" s="1151">
        <f t="shared" si="80"/>
        <v>0</v>
      </c>
      <c r="AE155" s="1151"/>
      <c r="AF155" s="579"/>
      <c r="AG155" s="579"/>
      <c r="AH155" s="1151">
        <f t="shared" si="108"/>
        <v>360</v>
      </c>
      <c r="AI155" s="1151"/>
      <c r="AJ155" s="1151"/>
      <c r="AK155" s="1151"/>
      <c r="AL155" s="1151"/>
      <c r="AM155" s="1151"/>
      <c r="AN155" s="543">
        <f t="shared" si="107"/>
        <v>360</v>
      </c>
      <c r="AO155" s="543"/>
      <c r="AP155" s="543"/>
      <c r="AQ155" s="543"/>
      <c r="AR155" s="543"/>
      <c r="AS155" s="543"/>
      <c r="AT155" s="543"/>
      <c r="AU155" s="1310">
        <f t="shared" si="109"/>
        <v>360</v>
      </c>
      <c r="AV155" s="1310"/>
      <c r="AW155" s="543"/>
      <c r="AX155" s="543"/>
      <c r="AY155" s="543"/>
      <c r="AZ155" s="543"/>
      <c r="BA155" s="543"/>
      <c r="BB155" s="543"/>
      <c r="BC155" s="1200"/>
      <c r="BD155" s="1200"/>
      <c r="BE155" s="1200"/>
      <c r="BF155" s="1200"/>
      <c r="BG155" s="1200"/>
      <c r="BH155" s="1200"/>
      <c r="BI155" s="1200"/>
      <c r="BJ155" s="1200"/>
      <c r="BK155" s="1200"/>
      <c r="BL155" s="1200"/>
      <c r="BM155" s="1200"/>
      <c r="BN155" s="1200"/>
      <c r="BO155" s="1200"/>
      <c r="BP155" s="1200"/>
      <c r="BQ155" s="1200"/>
      <c r="BR155" s="1200"/>
      <c r="BS155" s="1200"/>
      <c r="BT155" s="1200"/>
      <c r="BU155" s="1200"/>
      <c r="BV155" s="1200"/>
      <c r="BW155" s="1200">
        <f t="shared" si="110"/>
        <v>180</v>
      </c>
      <c r="BX155" s="1200">
        <f>I155</f>
        <v>180</v>
      </c>
      <c r="BY155" s="1200"/>
      <c r="BZ155" s="1012">
        <f t="shared" si="87"/>
        <v>360</v>
      </c>
      <c r="CB155" s="1219" t="s">
        <v>3910</v>
      </c>
      <c r="CC155" s="1219">
        <f>CC154-I182</f>
        <v>396</v>
      </c>
      <c r="CE155" s="1009">
        <f t="shared" si="93"/>
        <v>1496616</v>
      </c>
    </row>
    <row r="156" s="1009" customFormat="1" ht="36" customHeight="1" spans="1:83">
      <c r="A156" s="540">
        <v>45740</v>
      </c>
      <c r="B156" s="1036" t="s">
        <v>3913</v>
      </c>
      <c r="C156" s="1037" t="s">
        <v>117</v>
      </c>
      <c r="D156" s="1038">
        <v>4500161266</v>
      </c>
      <c r="E156" s="1039">
        <v>70057995</v>
      </c>
      <c r="F156" s="1038" t="s">
        <v>3914</v>
      </c>
      <c r="G156" s="1040" t="s">
        <v>628</v>
      </c>
      <c r="H156" s="1041" t="s">
        <v>623</v>
      </c>
      <c r="I156" s="1012">
        <v>504</v>
      </c>
      <c r="J156" s="1087">
        <v>0</v>
      </c>
      <c r="K156" s="1040">
        <v>12</v>
      </c>
      <c r="L156" s="1012">
        <f t="shared" si="94"/>
        <v>42</v>
      </c>
      <c r="M156" s="1079">
        <v>45841</v>
      </c>
      <c r="N156" s="1079">
        <v>45845</v>
      </c>
      <c r="O156" s="579"/>
      <c r="P156" s="579" t="s">
        <v>1262</v>
      </c>
      <c r="Q156" s="579" t="s">
        <v>1621</v>
      </c>
      <c r="R156" s="579">
        <v>45740</v>
      </c>
      <c r="S156" s="578" t="s">
        <v>77</v>
      </c>
      <c r="T156" s="695" t="s">
        <v>3915</v>
      </c>
      <c r="U156" s="1039" t="s">
        <v>3916</v>
      </c>
      <c r="V156" s="1112" t="s">
        <v>2458</v>
      </c>
      <c r="W156" s="1113">
        <v>3.1012</v>
      </c>
      <c r="X156" s="1114">
        <f t="shared" si="84"/>
        <v>1563.0048</v>
      </c>
      <c r="Y156" s="1012"/>
      <c r="Z156" s="1159" t="s">
        <v>822</v>
      </c>
      <c r="AA156" s="1150" t="s">
        <v>128</v>
      </c>
      <c r="AB156" s="1150"/>
      <c r="AC156" s="1151">
        <v>504</v>
      </c>
      <c r="AD156" s="1151">
        <f t="shared" si="80"/>
        <v>0</v>
      </c>
      <c r="AE156" s="1151"/>
      <c r="AF156" s="579"/>
      <c r="AG156" s="579"/>
      <c r="AH156" s="1151">
        <f t="shared" si="108"/>
        <v>1008</v>
      </c>
      <c r="AI156" s="1151"/>
      <c r="AJ156" s="1151"/>
      <c r="AK156" s="1151"/>
      <c r="AL156" s="1151"/>
      <c r="AM156" s="1151"/>
      <c r="AN156" s="543">
        <f t="shared" si="107"/>
        <v>1008</v>
      </c>
      <c r="AO156" s="543"/>
      <c r="AP156" s="543"/>
      <c r="AQ156" s="543"/>
      <c r="AR156" s="543"/>
      <c r="AS156" s="543"/>
      <c r="AT156" s="543"/>
      <c r="AU156" s="1310">
        <f t="shared" si="109"/>
        <v>1008</v>
      </c>
      <c r="AV156" s="1310"/>
      <c r="AW156" s="543"/>
      <c r="AX156" s="543"/>
      <c r="AY156" s="543"/>
      <c r="AZ156" s="543"/>
      <c r="BA156" s="543"/>
      <c r="BB156" s="543"/>
      <c r="BC156" s="1200"/>
      <c r="BD156" s="1200"/>
      <c r="BE156" s="1200"/>
      <c r="BF156" s="1200"/>
      <c r="BG156" s="1200"/>
      <c r="BH156" s="1200"/>
      <c r="BI156" s="1200"/>
      <c r="BJ156" s="1200"/>
      <c r="BK156" s="1200"/>
      <c r="BL156" s="1200"/>
      <c r="BM156" s="1200"/>
      <c r="BN156" s="1200"/>
      <c r="BO156" s="1200"/>
      <c r="BP156" s="1200"/>
      <c r="BQ156" s="1200"/>
      <c r="BR156" s="1200"/>
      <c r="BS156" s="1200"/>
      <c r="BT156" s="1200"/>
      <c r="BU156" s="1200"/>
      <c r="BV156" s="1200"/>
      <c r="BW156" s="1200">
        <f t="shared" si="110"/>
        <v>504</v>
      </c>
      <c r="BX156" s="1200">
        <f>BW156</f>
        <v>504</v>
      </c>
      <c r="BY156" s="1200"/>
      <c r="BZ156" s="1012">
        <f t="shared" si="87"/>
        <v>1008</v>
      </c>
      <c r="CB156" s="1219"/>
      <c r="CC156" s="1219"/>
      <c r="CE156" s="1009">
        <f t="shared" si="93"/>
        <v>1495608</v>
      </c>
    </row>
    <row r="157" s="1009" customFormat="1" ht="36" customHeight="1" spans="1:83">
      <c r="A157" s="540">
        <v>45799</v>
      </c>
      <c r="B157" s="1036" t="s">
        <v>2740</v>
      </c>
      <c r="C157" s="1037" t="s">
        <v>1303</v>
      </c>
      <c r="D157" s="1038">
        <v>4500167404</v>
      </c>
      <c r="E157" s="1039" t="s">
        <v>3917</v>
      </c>
      <c r="F157" s="1038" t="s">
        <v>3918</v>
      </c>
      <c r="G157" s="1040" t="s">
        <v>96</v>
      </c>
      <c r="H157" s="1041" t="s">
        <v>74</v>
      </c>
      <c r="I157" s="1012">
        <v>1700</v>
      </c>
      <c r="J157" s="1087">
        <v>0</v>
      </c>
      <c r="K157" s="1040">
        <v>50</v>
      </c>
      <c r="L157" s="1012">
        <f t="shared" si="94"/>
        <v>34</v>
      </c>
      <c r="M157" s="1079">
        <v>45848</v>
      </c>
      <c r="N157" s="1079">
        <v>45846</v>
      </c>
      <c r="O157" s="579"/>
      <c r="P157" s="1079" t="s">
        <v>1262</v>
      </c>
      <c r="Q157" s="579" t="s">
        <v>1939</v>
      </c>
      <c r="R157" s="579">
        <v>45806</v>
      </c>
      <c r="S157" s="578" t="s">
        <v>77</v>
      </c>
      <c r="T157" s="695" t="s">
        <v>3919</v>
      </c>
      <c r="U157" s="1298" t="s">
        <v>3920</v>
      </c>
      <c r="V157" s="1112" t="s">
        <v>3921</v>
      </c>
      <c r="W157" s="1113">
        <v>1.4048</v>
      </c>
      <c r="X157" s="1114">
        <f t="shared" si="84"/>
        <v>2388.16</v>
      </c>
      <c r="Y157" s="1012"/>
      <c r="Z157" s="1159" t="s">
        <v>96</v>
      </c>
      <c r="AA157" s="1150" t="s">
        <v>128</v>
      </c>
      <c r="AB157" s="1150"/>
      <c r="AC157" s="1151">
        <v>1700</v>
      </c>
      <c r="AD157" s="1151">
        <f t="shared" si="80"/>
        <v>0</v>
      </c>
      <c r="AE157" s="1151"/>
      <c r="AF157" s="579"/>
      <c r="AG157" s="579"/>
      <c r="AH157" s="1151">
        <f>I157</f>
        <v>1700</v>
      </c>
      <c r="AI157" s="1151"/>
      <c r="AJ157" s="1151"/>
      <c r="AK157" s="1151"/>
      <c r="AL157" s="1151"/>
      <c r="AM157" s="1151"/>
      <c r="AN157" s="1012"/>
      <c r="AO157" s="543"/>
      <c r="AP157" s="543">
        <f>AH157</f>
        <v>1700</v>
      </c>
      <c r="AQ157" s="543"/>
      <c r="AR157" s="543"/>
      <c r="AS157" s="543"/>
      <c r="AT157" s="543"/>
      <c r="AU157" s="543">
        <f>I157</f>
        <v>1700</v>
      </c>
      <c r="AV157" s="543"/>
      <c r="AW157" s="543"/>
      <c r="AX157" s="543"/>
      <c r="AY157" s="543"/>
      <c r="AZ157" s="543"/>
      <c r="BA157" s="543"/>
      <c r="BB157" s="543"/>
      <c r="BC157" s="1200"/>
      <c r="BD157" s="1200"/>
      <c r="BE157" s="1200"/>
      <c r="BF157" s="1200"/>
      <c r="BG157" s="1200"/>
      <c r="BH157" s="1200"/>
      <c r="BI157" s="1200"/>
      <c r="BJ157" s="1200"/>
      <c r="BK157" s="1200"/>
      <c r="BL157" s="1200"/>
      <c r="BM157" s="1200">
        <f>I157/25</f>
        <v>68</v>
      </c>
      <c r="BN157" s="1200"/>
      <c r="BO157" s="1200"/>
      <c r="BP157" s="1200"/>
      <c r="BQ157" s="1200"/>
      <c r="BR157" s="1200"/>
      <c r="BS157" s="1200"/>
      <c r="BT157" s="1200"/>
      <c r="BU157" s="1200"/>
      <c r="BV157" s="1200"/>
      <c r="BW157" s="1200"/>
      <c r="BX157" s="1200"/>
      <c r="BY157" s="1200"/>
      <c r="BZ157" s="1012">
        <f t="shared" si="87"/>
        <v>1700</v>
      </c>
      <c r="CB157" s="1219"/>
      <c r="CC157" s="1219"/>
      <c r="CE157" s="1009">
        <f t="shared" si="93"/>
        <v>1493908</v>
      </c>
    </row>
    <row r="158" s="1009" customFormat="1" ht="36" customHeight="1" spans="1:83">
      <c r="A158" s="1047">
        <v>45806</v>
      </c>
      <c r="B158" s="1327" t="s">
        <v>1086</v>
      </c>
      <c r="C158" s="1328" t="s">
        <v>1087</v>
      </c>
      <c r="D158" s="1193">
        <v>4500168449</v>
      </c>
      <c r="E158" s="1327"/>
      <c r="F158" s="1193" t="s">
        <v>3922</v>
      </c>
      <c r="G158" s="1040" t="s">
        <v>96</v>
      </c>
      <c r="H158" s="1041" t="s">
        <v>74</v>
      </c>
      <c r="I158" s="1012">
        <v>5000</v>
      </c>
      <c r="J158" s="1087">
        <v>0</v>
      </c>
      <c r="K158" s="1040">
        <v>50</v>
      </c>
      <c r="L158" s="1012">
        <f t="shared" si="94"/>
        <v>100</v>
      </c>
      <c r="M158" s="1079">
        <v>45852</v>
      </c>
      <c r="N158" s="1079">
        <v>45848</v>
      </c>
      <c r="O158" s="579"/>
      <c r="P158" s="1079" t="s">
        <v>1262</v>
      </c>
      <c r="Q158" s="579" t="s">
        <v>1728</v>
      </c>
      <c r="R158" s="579">
        <v>45818</v>
      </c>
      <c r="S158" s="578" t="s">
        <v>77</v>
      </c>
      <c r="T158" s="695" t="s">
        <v>3923</v>
      </c>
      <c r="U158" s="1039" t="s">
        <v>3924</v>
      </c>
      <c r="V158" s="541" t="s">
        <v>618</v>
      </c>
      <c r="W158" s="1113">
        <v>1.393</v>
      </c>
      <c r="X158" s="1114">
        <f t="shared" si="84"/>
        <v>6965</v>
      </c>
      <c r="Y158" s="1362" t="s">
        <v>3925</v>
      </c>
      <c r="Z158" s="1159" t="s">
        <v>292</v>
      </c>
      <c r="AA158" s="1150" t="s">
        <v>128</v>
      </c>
      <c r="AB158" s="1150"/>
      <c r="AC158" s="1151">
        <v>5000</v>
      </c>
      <c r="AD158" s="1151">
        <f t="shared" si="80"/>
        <v>0</v>
      </c>
      <c r="AE158" s="1151"/>
      <c r="AF158" s="579"/>
      <c r="AG158" s="579"/>
      <c r="AH158" s="1151">
        <f>I158</f>
        <v>5000</v>
      </c>
      <c r="AI158" s="1151"/>
      <c r="AJ158" s="1151"/>
      <c r="AK158" s="1151"/>
      <c r="AL158" s="1151"/>
      <c r="AM158" s="1151"/>
      <c r="AN158" s="543"/>
      <c r="AP158" s="543"/>
      <c r="AQ158" s="543">
        <f t="shared" ref="AQ158:AQ174" si="111">AH158</f>
        <v>5000</v>
      </c>
      <c r="AR158" s="543"/>
      <c r="AS158" s="543"/>
      <c r="AT158" s="543"/>
      <c r="AU158" s="543">
        <f>I158</f>
        <v>5000</v>
      </c>
      <c r="AV158" s="543"/>
      <c r="AW158" s="543"/>
      <c r="AX158" s="543"/>
      <c r="AY158" s="543"/>
      <c r="AZ158" s="543"/>
      <c r="BA158" s="543"/>
      <c r="BB158" s="543"/>
      <c r="BC158" s="1200"/>
      <c r="BD158" s="1200"/>
      <c r="BE158" s="1200"/>
      <c r="BF158" s="1200"/>
      <c r="BG158" s="1200"/>
      <c r="BH158" s="1200"/>
      <c r="BI158" s="1200"/>
      <c r="BJ158" s="1200"/>
      <c r="BK158" s="1200"/>
      <c r="BL158" s="1200"/>
      <c r="BM158" s="1200"/>
      <c r="BN158" s="1200">
        <f>I158/25</f>
        <v>200</v>
      </c>
      <c r="BO158" s="1200"/>
      <c r="BP158" s="1200"/>
      <c r="BQ158" s="1200"/>
      <c r="BR158" s="1200"/>
      <c r="BS158" s="1200"/>
      <c r="BT158" s="1200"/>
      <c r="BU158" s="1200"/>
      <c r="BV158" s="1200"/>
      <c r="BW158" s="1200"/>
      <c r="BX158" s="1200"/>
      <c r="BY158" s="1200"/>
      <c r="BZ158" s="1012">
        <f t="shared" si="87"/>
        <v>5000</v>
      </c>
      <c r="CB158" s="1219"/>
      <c r="CC158" s="1219"/>
      <c r="CE158" s="1009">
        <f t="shared" si="93"/>
        <v>1488908</v>
      </c>
    </row>
    <row r="159" s="1009" customFormat="1" ht="36" customHeight="1" spans="1:83">
      <c r="A159" s="540">
        <v>45824</v>
      </c>
      <c r="B159" s="1036" t="s">
        <v>3926</v>
      </c>
      <c r="C159" s="1037" t="s">
        <v>351</v>
      </c>
      <c r="D159" s="1038">
        <v>4500170160</v>
      </c>
      <c r="E159" s="1039" t="s">
        <v>3927</v>
      </c>
      <c r="F159" s="1038" t="s">
        <v>3928</v>
      </c>
      <c r="G159" s="1040" t="s">
        <v>628</v>
      </c>
      <c r="H159" s="1041" t="s">
        <v>623</v>
      </c>
      <c r="I159" s="1012">
        <v>24</v>
      </c>
      <c r="J159" s="1087">
        <v>0</v>
      </c>
      <c r="K159" s="1040">
        <v>12</v>
      </c>
      <c r="L159" s="1012">
        <v>2</v>
      </c>
      <c r="M159" s="1079">
        <v>45856</v>
      </c>
      <c r="N159" s="1079">
        <v>45852</v>
      </c>
      <c r="O159" s="579" t="s">
        <v>3822</v>
      </c>
      <c r="P159" s="1079" t="s">
        <v>1262</v>
      </c>
      <c r="Q159" s="579" t="s">
        <v>1881</v>
      </c>
      <c r="R159" s="579">
        <v>45824</v>
      </c>
      <c r="S159" s="578" t="s">
        <v>123</v>
      </c>
      <c r="T159" s="695" t="s">
        <v>3929</v>
      </c>
      <c r="U159" s="1039" t="s">
        <v>3930</v>
      </c>
      <c r="V159" s="1112" t="s">
        <v>396</v>
      </c>
      <c r="W159" s="1113">
        <v>3.037</v>
      </c>
      <c r="X159" s="1114">
        <f t="shared" ref="X159:X173" si="112">W159*I159</f>
        <v>72.888</v>
      </c>
      <c r="Y159" s="1012"/>
      <c r="Z159" s="1159" t="s">
        <v>729</v>
      </c>
      <c r="AA159" s="1150" t="s">
        <v>128</v>
      </c>
      <c r="AB159" s="1150"/>
      <c r="AC159" s="1151">
        <v>24</v>
      </c>
      <c r="AD159" s="1151">
        <f t="shared" si="80"/>
        <v>0</v>
      </c>
      <c r="AE159" s="1151"/>
      <c r="AF159" s="579"/>
      <c r="AG159" s="579"/>
      <c r="AH159" s="1151">
        <f t="shared" ref="AH159:AH173" si="113">I159*2</f>
        <v>48</v>
      </c>
      <c r="AI159" s="1151"/>
      <c r="AJ159" s="1151"/>
      <c r="AK159" s="1151"/>
      <c r="AL159" s="1151"/>
      <c r="AM159" s="1151"/>
      <c r="AN159" s="543"/>
      <c r="AO159" s="543"/>
      <c r="AP159" s="543"/>
      <c r="AQ159" s="543">
        <f t="shared" si="111"/>
        <v>48</v>
      </c>
      <c r="AR159" s="543"/>
      <c r="AS159" s="543"/>
      <c r="AT159" s="543"/>
      <c r="AV159" s="1310">
        <f t="shared" ref="AV159:AV173" si="114">AH159</f>
        <v>48</v>
      </c>
      <c r="AW159" s="543"/>
      <c r="AX159" s="543"/>
      <c r="AY159" s="543"/>
      <c r="AZ159" s="543"/>
      <c r="BA159" s="543"/>
      <c r="BB159" s="543"/>
      <c r="BC159" s="1200"/>
      <c r="BD159" s="1200"/>
      <c r="BE159" s="1200"/>
      <c r="BF159" s="1200"/>
      <c r="BG159" s="1200"/>
      <c r="BH159" s="1200"/>
      <c r="BI159" s="1200"/>
      <c r="BJ159" s="1200"/>
      <c r="BK159" s="1200"/>
      <c r="BL159" s="1200"/>
      <c r="BM159" s="1200"/>
      <c r="BN159" s="1200"/>
      <c r="BO159" s="1200"/>
      <c r="BP159" s="1200"/>
      <c r="BQ159" s="1200"/>
      <c r="BR159" s="1200"/>
      <c r="BS159" s="1200"/>
      <c r="BT159" s="1200"/>
      <c r="BU159" s="1200"/>
      <c r="BV159" s="1200"/>
      <c r="BW159" s="1200">
        <f t="shared" ref="BW159:BW173" si="115">I159</f>
        <v>24</v>
      </c>
      <c r="BX159" s="1012"/>
      <c r="BY159" s="1200">
        <f t="shared" ref="BY159:BY173" si="116">I159</f>
        <v>24</v>
      </c>
      <c r="BZ159" s="1012">
        <f t="shared" si="87"/>
        <v>48</v>
      </c>
      <c r="CB159" s="1375" t="s">
        <v>3827</v>
      </c>
      <c r="CC159" s="1219">
        <f>CC140-BY159</f>
        <v>2568</v>
      </c>
      <c r="CE159" s="1009">
        <f t="shared" si="93"/>
        <v>1488860</v>
      </c>
    </row>
    <row r="160" s="1009" customFormat="1" ht="36" customHeight="1" spans="1:83">
      <c r="A160" s="540">
        <v>45824</v>
      </c>
      <c r="B160" s="1036" t="s">
        <v>3926</v>
      </c>
      <c r="C160" s="1037" t="s">
        <v>351</v>
      </c>
      <c r="D160" s="1038">
        <v>4500170160</v>
      </c>
      <c r="E160" s="1039" t="s">
        <v>3931</v>
      </c>
      <c r="F160" s="1038" t="s">
        <v>3932</v>
      </c>
      <c r="G160" s="1040" t="s">
        <v>628</v>
      </c>
      <c r="H160" s="1041" t="s">
        <v>623</v>
      </c>
      <c r="I160" s="1012">
        <v>24</v>
      </c>
      <c r="J160" s="1087">
        <v>0</v>
      </c>
      <c r="K160" s="1040">
        <v>12</v>
      </c>
      <c r="L160" s="1012">
        <v>2</v>
      </c>
      <c r="M160" s="1079">
        <v>45856</v>
      </c>
      <c r="N160" s="1079">
        <v>45852</v>
      </c>
      <c r="O160" s="579" t="s">
        <v>3822</v>
      </c>
      <c r="P160" s="1079" t="s">
        <v>1262</v>
      </c>
      <c r="Q160" s="579" t="s">
        <v>1881</v>
      </c>
      <c r="R160" s="579">
        <v>45824</v>
      </c>
      <c r="S160" s="578" t="s">
        <v>123</v>
      </c>
      <c r="T160" s="695" t="s">
        <v>3929</v>
      </c>
      <c r="U160" s="1039" t="s">
        <v>3930</v>
      </c>
      <c r="V160" s="1112" t="s">
        <v>396</v>
      </c>
      <c r="W160" s="1113">
        <v>3.037</v>
      </c>
      <c r="X160" s="1114">
        <f t="shared" si="112"/>
        <v>72.888</v>
      </c>
      <c r="Y160" s="1012"/>
      <c r="Z160" s="1159" t="s">
        <v>729</v>
      </c>
      <c r="AA160" s="1150" t="s">
        <v>128</v>
      </c>
      <c r="AB160" s="1150"/>
      <c r="AC160" s="1151">
        <v>24</v>
      </c>
      <c r="AD160" s="1151">
        <f t="shared" si="80"/>
        <v>0</v>
      </c>
      <c r="AE160" s="1151"/>
      <c r="AF160" s="579"/>
      <c r="AG160" s="579"/>
      <c r="AH160" s="1151">
        <f t="shared" si="113"/>
        <v>48</v>
      </c>
      <c r="AI160" s="1151"/>
      <c r="AJ160" s="1151"/>
      <c r="AK160" s="1151"/>
      <c r="AL160" s="1151"/>
      <c r="AM160" s="1151"/>
      <c r="AN160" s="543"/>
      <c r="AO160" s="543"/>
      <c r="AP160" s="543"/>
      <c r="AQ160" s="543">
        <f t="shared" si="111"/>
        <v>48</v>
      </c>
      <c r="AR160" s="543"/>
      <c r="AS160" s="543"/>
      <c r="AT160" s="543"/>
      <c r="AV160" s="1310">
        <f t="shared" si="114"/>
        <v>48</v>
      </c>
      <c r="AW160" s="543"/>
      <c r="AX160" s="543"/>
      <c r="AY160" s="543"/>
      <c r="AZ160" s="543"/>
      <c r="BA160" s="543"/>
      <c r="BB160" s="543"/>
      <c r="BC160" s="1200"/>
      <c r="BD160" s="1200"/>
      <c r="BE160" s="1200"/>
      <c r="BF160" s="1200"/>
      <c r="BG160" s="1200"/>
      <c r="BH160" s="1200"/>
      <c r="BI160" s="1200"/>
      <c r="BJ160" s="1200"/>
      <c r="BK160" s="1200"/>
      <c r="BL160" s="1200"/>
      <c r="BM160" s="1200"/>
      <c r="BN160" s="1200"/>
      <c r="BO160" s="1200"/>
      <c r="BP160" s="1200"/>
      <c r="BQ160" s="1200"/>
      <c r="BR160" s="1200"/>
      <c r="BS160" s="1200"/>
      <c r="BT160" s="1200"/>
      <c r="BU160" s="1200"/>
      <c r="BV160" s="1200"/>
      <c r="BW160" s="1200">
        <f t="shared" si="115"/>
        <v>24</v>
      </c>
      <c r="BX160" s="1012"/>
      <c r="BY160" s="1200">
        <f t="shared" si="116"/>
        <v>24</v>
      </c>
      <c r="BZ160" s="1012">
        <f t="shared" si="87"/>
        <v>48</v>
      </c>
      <c r="CB160" s="1375" t="s">
        <v>3827</v>
      </c>
      <c r="CC160" s="1219">
        <f t="shared" ref="CC160:CC173" si="117">CC159-BY160</f>
        <v>2544</v>
      </c>
      <c r="CE160" s="1009">
        <f t="shared" si="93"/>
        <v>1488812</v>
      </c>
    </row>
    <row r="161" s="1009" customFormat="1" ht="36" customHeight="1" spans="1:83">
      <c r="A161" s="540">
        <v>45824</v>
      </c>
      <c r="B161" s="1036" t="s">
        <v>3926</v>
      </c>
      <c r="C161" s="1037" t="s">
        <v>351</v>
      </c>
      <c r="D161" s="1038">
        <v>4500170160</v>
      </c>
      <c r="E161" s="1039" t="s">
        <v>3933</v>
      </c>
      <c r="F161" s="1038" t="s">
        <v>3934</v>
      </c>
      <c r="G161" s="1040" t="s">
        <v>628</v>
      </c>
      <c r="H161" s="1041" t="s">
        <v>623</v>
      </c>
      <c r="I161" s="1012">
        <v>72</v>
      </c>
      <c r="J161" s="1087">
        <v>0</v>
      </c>
      <c r="K161" s="1040">
        <v>12</v>
      </c>
      <c r="L161" s="1012">
        <v>6</v>
      </c>
      <c r="M161" s="1079">
        <v>45856</v>
      </c>
      <c r="N161" s="1079">
        <v>45852</v>
      </c>
      <c r="O161" s="579" t="s">
        <v>3822</v>
      </c>
      <c r="P161" s="1079" t="s">
        <v>1262</v>
      </c>
      <c r="Q161" s="579" t="s">
        <v>1881</v>
      </c>
      <c r="R161" s="579">
        <v>45824</v>
      </c>
      <c r="S161" s="578" t="s">
        <v>123</v>
      </c>
      <c r="T161" s="695" t="s">
        <v>3935</v>
      </c>
      <c r="U161" s="1039" t="s">
        <v>3930</v>
      </c>
      <c r="V161" s="1112" t="s">
        <v>396</v>
      </c>
      <c r="W161" s="1113">
        <v>3.037</v>
      </c>
      <c r="X161" s="1114">
        <f t="shared" si="112"/>
        <v>218.664</v>
      </c>
      <c r="Y161" s="1012"/>
      <c r="Z161" s="1159" t="s">
        <v>729</v>
      </c>
      <c r="AA161" s="1150" t="s">
        <v>128</v>
      </c>
      <c r="AB161" s="1150"/>
      <c r="AC161" s="1151">
        <v>72</v>
      </c>
      <c r="AD161" s="1151">
        <f t="shared" si="80"/>
        <v>0</v>
      </c>
      <c r="AE161" s="1151"/>
      <c r="AF161" s="579"/>
      <c r="AG161" s="579"/>
      <c r="AH161" s="1151">
        <f t="shared" si="113"/>
        <v>144</v>
      </c>
      <c r="AI161" s="1371"/>
      <c r="AJ161" s="1371"/>
      <c r="AK161" s="1151"/>
      <c r="AL161" s="1151"/>
      <c r="AM161" s="1151"/>
      <c r="AN161" s="543"/>
      <c r="AO161" s="543"/>
      <c r="AP161" s="543"/>
      <c r="AQ161" s="543">
        <f t="shared" si="111"/>
        <v>144</v>
      </c>
      <c r="AR161" s="543"/>
      <c r="AS161" s="543"/>
      <c r="AT161" s="543"/>
      <c r="AV161" s="1310">
        <f t="shared" si="114"/>
        <v>144</v>
      </c>
      <c r="AW161" s="543"/>
      <c r="AX161" s="543"/>
      <c r="AY161" s="543"/>
      <c r="AZ161" s="543"/>
      <c r="BA161" s="543"/>
      <c r="BB161" s="543"/>
      <c r="BC161" s="1200"/>
      <c r="BD161" s="1200"/>
      <c r="BE161" s="1200"/>
      <c r="BF161" s="1200"/>
      <c r="BG161" s="1200"/>
      <c r="BH161" s="1200"/>
      <c r="BI161" s="1200"/>
      <c r="BJ161" s="1200"/>
      <c r="BK161" s="1200"/>
      <c r="BL161" s="1200"/>
      <c r="BM161" s="1200"/>
      <c r="BN161" s="1200"/>
      <c r="BO161" s="1200"/>
      <c r="BP161" s="1200"/>
      <c r="BQ161" s="1200"/>
      <c r="BR161" s="1200"/>
      <c r="BS161" s="1200"/>
      <c r="BT161" s="1200"/>
      <c r="BU161" s="1200"/>
      <c r="BV161" s="1200"/>
      <c r="BW161" s="1200">
        <f t="shared" si="115"/>
        <v>72</v>
      </c>
      <c r="BX161" s="1012"/>
      <c r="BY161" s="1200">
        <f t="shared" si="116"/>
        <v>72</v>
      </c>
      <c r="BZ161" s="1012">
        <f t="shared" si="87"/>
        <v>144</v>
      </c>
      <c r="CB161" s="1375" t="s">
        <v>3827</v>
      </c>
      <c r="CC161" s="1219">
        <f t="shared" si="117"/>
        <v>2472</v>
      </c>
      <c r="CE161" s="1009">
        <f t="shared" si="93"/>
        <v>1488668</v>
      </c>
    </row>
    <row r="162" s="1009" customFormat="1" ht="36" customHeight="1" spans="1:83">
      <c r="A162" s="540">
        <v>45824</v>
      </c>
      <c r="B162" s="1036" t="s">
        <v>3926</v>
      </c>
      <c r="C162" s="1037" t="s">
        <v>351</v>
      </c>
      <c r="D162" s="1038">
        <v>4500170160</v>
      </c>
      <c r="E162" s="1039" t="s">
        <v>3936</v>
      </c>
      <c r="F162" s="1038" t="s">
        <v>3937</v>
      </c>
      <c r="G162" s="1040" t="s">
        <v>628</v>
      </c>
      <c r="H162" s="1041" t="s">
        <v>623</v>
      </c>
      <c r="I162" s="1012">
        <v>48</v>
      </c>
      <c r="J162" s="1087">
        <v>0</v>
      </c>
      <c r="K162" s="1040">
        <v>12</v>
      </c>
      <c r="L162" s="1012">
        <v>4</v>
      </c>
      <c r="M162" s="1079">
        <v>45856</v>
      </c>
      <c r="N162" s="1079">
        <v>45852</v>
      </c>
      <c r="O162" s="579" t="s">
        <v>3822</v>
      </c>
      <c r="P162" s="1079" t="s">
        <v>1262</v>
      </c>
      <c r="Q162" s="579" t="s">
        <v>1881</v>
      </c>
      <c r="R162" s="579">
        <v>45824</v>
      </c>
      <c r="S162" s="578" t="s">
        <v>123</v>
      </c>
      <c r="T162" s="695" t="s">
        <v>3929</v>
      </c>
      <c r="U162" s="1039" t="s">
        <v>3930</v>
      </c>
      <c r="V162" s="1112" t="s">
        <v>396</v>
      </c>
      <c r="W162" s="1113">
        <v>3.037</v>
      </c>
      <c r="X162" s="1114">
        <f t="shared" si="112"/>
        <v>145.776</v>
      </c>
      <c r="Y162" s="1012"/>
      <c r="Z162" s="1159" t="s">
        <v>729</v>
      </c>
      <c r="AA162" s="1150" t="s">
        <v>128</v>
      </c>
      <c r="AB162" s="1150"/>
      <c r="AC162" s="1151">
        <v>48</v>
      </c>
      <c r="AD162" s="1151">
        <f t="shared" si="80"/>
        <v>0</v>
      </c>
      <c r="AE162" s="1151"/>
      <c r="AF162" s="579"/>
      <c r="AG162" s="579"/>
      <c r="AH162" s="1151">
        <f t="shared" si="113"/>
        <v>96</v>
      </c>
      <c r="AI162" s="1371"/>
      <c r="AJ162" s="1371"/>
      <c r="AK162" s="1151"/>
      <c r="AL162" s="1151"/>
      <c r="AM162" s="1151"/>
      <c r="AN162" s="543"/>
      <c r="AO162" s="543"/>
      <c r="AP162" s="543"/>
      <c r="AQ162" s="543">
        <f t="shared" si="111"/>
        <v>96</v>
      </c>
      <c r="AR162" s="543"/>
      <c r="AS162" s="543"/>
      <c r="AT162" s="543"/>
      <c r="AV162" s="1310">
        <f t="shared" si="114"/>
        <v>96</v>
      </c>
      <c r="AW162" s="543"/>
      <c r="AX162" s="543"/>
      <c r="AY162" s="543"/>
      <c r="AZ162" s="543"/>
      <c r="BA162" s="543"/>
      <c r="BB162" s="543"/>
      <c r="BC162" s="1200"/>
      <c r="BD162" s="1200"/>
      <c r="BE162" s="1200"/>
      <c r="BF162" s="1200"/>
      <c r="BG162" s="1200"/>
      <c r="BH162" s="1200"/>
      <c r="BI162" s="1200"/>
      <c r="BJ162" s="1200"/>
      <c r="BK162" s="1200"/>
      <c r="BL162" s="1200"/>
      <c r="BM162" s="1200"/>
      <c r="BN162" s="1200"/>
      <c r="BO162" s="1200"/>
      <c r="BP162" s="1200"/>
      <c r="BQ162" s="1200"/>
      <c r="BR162" s="1200"/>
      <c r="BS162" s="1200"/>
      <c r="BT162" s="1200"/>
      <c r="BU162" s="1200"/>
      <c r="BV162" s="1200"/>
      <c r="BW162" s="1200">
        <f t="shared" si="115"/>
        <v>48</v>
      </c>
      <c r="BX162" s="1012"/>
      <c r="BY162" s="1200">
        <f t="shared" si="116"/>
        <v>48</v>
      </c>
      <c r="BZ162" s="1012">
        <f t="shared" si="87"/>
        <v>96</v>
      </c>
      <c r="CB162" s="1375" t="s">
        <v>3827</v>
      </c>
      <c r="CC162" s="1219">
        <f t="shared" si="117"/>
        <v>2424</v>
      </c>
      <c r="CE162" s="1009">
        <f t="shared" si="93"/>
        <v>1488572</v>
      </c>
    </row>
    <row r="163" s="1009" customFormat="1" ht="36" customHeight="1" spans="1:83">
      <c r="A163" s="540">
        <v>45824</v>
      </c>
      <c r="B163" s="1036" t="s">
        <v>3926</v>
      </c>
      <c r="C163" s="1037" t="s">
        <v>351</v>
      </c>
      <c r="D163" s="1038">
        <v>4500170160</v>
      </c>
      <c r="E163" s="1039" t="s">
        <v>3938</v>
      </c>
      <c r="F163" s="1038" t="s">
        <v>3939</v>
      </c>
      <c r="G163" s="1040" t="s">
        <v>628</v>
      </c>
      <c r="H163" s="1041" t="s">
        <v>623</v>
      </c>
      <c r="I163" s="1012">
        <v>24</v>
      </c>
      <c r="J163" s="1087">
        <v>0</v>
      </c>
      <c r="K163" s="1040">
        <v>12</v>
      </c>
      <c r="L163" s="1012">
        <v>2</v>
      </c>
      <c r="M163" s="1079">
        <v>45856</v>
      </c>
      <c r="N163" s="1079">
        <v>45852</v>
      </c>
      <c r="O163" s="579" t="s">
        <v>3822</v>
      </c>
      <c r="P163" s="1079" t="s">
        <v>1262</v>
      </c>
      <c r="Q163" s="579" t="s">
        <v>1881</v>
      </c>
      <c r="R163" s="579">
        <v>45824</v>
      </c>
      <c r="S163" s="578" t="s">
        <v>123</v>
      </c>
      <c r="T163" s="695" t="s">
        <v>3940</v>
      </c>
      <c r="U163" s="1039" t="s">
        <v>3930</v>
      </c>
      <c r="V163" s="1112" t="s">
        <v>396</v>
      </c>
      <c r="W163" s="1113">
        <v>3.037</v>
      </c>
      <c r="X163" s="1114">
        <f t="shared" si="112"/>
        <v>72.888</v>
      </c>
      <c r="Y163" s="1012"/>
      <c r="Z163" s="1159" t="s">
        <v>729</v>
      </c>
      <c r="AA163" s="1150" t="s">
        <v>128</v>
      </c>
      <c r="AB163" s="1150"/>
      <c r="AC163" s="1151">
        <v>24</v>
      </c>
      <c r="AD163" s="1151">
        <f t="shared" si="80"/>
        <v>0</v>
      </c>
      <c r="AE163" s="1151"/>
      <c r="AF163" s="579"/>
      <c r="AG163" s="579"/>
      <c r="AH163" s="1151">
        <f t="shared" si="113"/>
        <v>48</v>
      </c>
      <c r="AI163" s="1371"/>
      <c r="AJ163" s="1371"/>
      <c r="AK163" s="1151"/>
      <c r="AL163" s="1151"/>
      <c r="AM163" s="1151"/>
      <c r="AN163" s="543"/>
      <c r="AO163" s="543"/>
      <c r="AP163" s="543"/>
      <c r="AQ163" s="543">
        <f t="shared" si="111"/>
        <v>48</v>
      </c>
      <c r="AR163" s="543"/>
      <c r="AS163" s="543"/>
      <c r="AT163" s="543"/>
      <c r="AV163" s="1310">
        <f t="shared" si="114"/>
        <v>48</v>
      </c>
      <c r="AW163" s="543"/>
      <c r="AX163" s="543"/>
      <c r="AY163" s="543"/>
      <c r="AZ163" s="543"/>
      <c r="BA163" s="543"/>
      <c r="BB163" s="543"/>
      <c r="BC163" s="1200"/>
      <c r="BD163" s="1200"/>
      <c r="BE163" s="1200"/>
      <c r="BF163" s="1200"/>
      <c r="BG163" s="1200"/>
      <c r="BH163" s="1200"/>
      <c r="BI163" s="1200"/>
      <c r="BJ163" s="1200"/>
      <c r="BK163" s="1200"/>
      <c r="BL163" s="1200"/>
      <c r="BM163" s="1200"/>
      <c r="BN163" s="1200"/>
      <c r="BO163" s="1200"/>
      <c r="BP163" s="1200"/>
      <c r="BQ163" s="1200"/>
      <c r="BR163" s="1200"/>
      <c r="BS163" s="1200"/>
      <c r="BT163" s="1200"/>
      <c r="BU163" s="1200"/>
      <c r="BV163" s="1200"/>
      <c r="BW163" s="1200">
        <f t="shared" si="115"/>
        <v>24</v>
      </c>
      <c r="BX163" s="1012"/>
      <c r="BY163" s="1200">
        <f t="shared" si="116"/>
        <v>24</v>
      </c>
      <c r="BZ163" s="1012">
        <f t="shared" si="87"/>
        <v>48</v>
      </c>
      <c r="CB163" s="1375" t="s">
        <v>3827</v>
      </c>
      <c r="CC163" s="1219">
        <f t="shared" si="117"/>
        <v>2400</v>
      </c>
      <c r="CE163" s="1009">
        <f t="shared" si="93"/>
        <v>1488524</v>
      </c>
    </row>
    <row r="164" s="1009" customFormat="1" ht="36" customHeight="1" spans="1:83">
      <c r="A164" s="540">
        <v>45824</v>
      </c>
      <c r="B164" s="1036" t="s">
        <v>3926</v>
      </c>
      <c r="C164" s="1037" t="s">
        <v>351</v>
      </c>
      <c r="D164" s="1038">
        <v>4500170160</v>
      </c>
      <c r="E164" s="1039" t="s">
        <v>3941</v>
      </c>
      <c r="F164" s="1038" t="s">
        <v>3942</v>
      </c>
      <c r="G164" s="1040" t="s">
        <v>628</v>
      </c>
      <c r="H164" s="1041" t="s">
        <v>623</v>
      </c>
      <c r="I164" s="1012">
        <v>24</v>
      </c>
      <c r="J164" s="1087">
        <v>0</v>
      </c>
      <c r="K164" s="1040">
        <v>12</v>
      </c>
      <c r="L164" s="1012">
        <v>2</v>
      </c>
      <c r="M164" s="1079">
        <v>45856</v>
      </c>
      <c r="N164" s="1079">
        <v>45852</v>
      </c>
      <c r="O164" s="579" t="s">
        <v>3822</v>
      </c>
      <c r="P164" s="1079" t="s">
        <v>1262</v>
      </c>
      <c r="Q164" s="579" t="s">
        <v>1881</v>
      </c>
      <c r="R164" s="579">
        <v>45824</v>
      </c>
      <c r="S164" s="578" t="s">
        <v>123</v>
      </c>
      <c r="T164" s="695" t="s">
        <v>3940</v>
      </c>
      <c r="U164" s="1039" t="s">
        <v>3930</v>
      </c>
      <c r="V164" s="1112" t="s">
        <v>396</v>
      </c>
      <c r="W164" s="1113">
        <v>3.037</v>
      </c>
      <c r="X164" s="1114">
        <f t="shared" si="112"/>
        <v>72.888</v>
      </c>
      <c r="Y164" s="1012"/>
      <c r="Z164" s="1159" t="s">
        <v>729</v>
      </c>
      <c r="AA164" s="1150" t="s">
        <v>128</v>
      </c>
      <c r="AB164" s="1150"/>
      <c r="AC164" s="1151">
        <v>24</v>
      </c>
      <c r="AD164" s="1151">
        <f t="shared" si="80"/>
        <v>0</v>
      </c>
      <c r="AE164" s="1151"/>
      <c r="AF164" s="579"/>
      <c r="AG164" s="579"/>
      <c r="AH164" s="1151">
        <f t="shared" si="113"/>
        <v>48</v>
      </c>
      <c r="AI164" s="1371"/>
      <c r="AJ164" s="1371"/>
      <c r="AK164" s="1151"/>
      <c r="AL164" s="1151"/>
      <c r="AM164" s="1151"/>
      <c r="AN164" s="543"/>
      <c r="AO164" s="543"/>
      <c r="AP164" s="543"/>
      <c r="AQ164" s="543">
        <f t="shared" si="111"/>
        <v>48</v>
      </c>
      <c r="AR164" s="543"/>
      <c r="AS164" s="543"/>
      <c r="AT164" s="543"/>
      <c r="AV164" s="1310">
        <f t="shared" si="114"/>
        <v>48</v>
      </c>
      <c r="AW164" s="543"/>
      <c r="AX164" s="543"/>
      <c r="AY164" s="543"/>
      <c r="AZ164" s="543"/>
      <c r="BA164" s="543"/>
      <c r="BB164" s="543"/>
      <c r="BC164" s="1200"/>
      <c r="BD164" s="1200"/>
      <c r="BE164" s="1200"/>
      <c r="BF164" s="1200"/>
      <c r="BG164" s="1200"/>
      <c r="BH164" s="1200"/>
      <c r="BI164" s="1200"/>
      <c r="BJ164" s="1200"/>
      <c r="BK164" s="1200"/>
      <c r="BL164" s="1200"/>
      <c r="BM164" s="1200"/>
      <c r="BN164" s="1200"/>
      <c r="BO164" s="1200"/>
      <c r="BP164" s="1200"/>
      <c r="BQ164" s="1200"/>
      <c r="BR164" s="1200"/>
      <c r="BS164" s="1200"/>
      <c r="BT164" s="1200"/>
      <c r="BU164" s="1200"/>
      <c r="BV164" s="1200"/>
      <c r="BW164" s="1200">
        <f t="shared" si="115"/>
        <v>24</v>
      </c>
      <c r="BX164" s="1012"/>
      <c r="BY164" s="1200">
        <f t="shared" si="116"/>
        <v>24</v>
      </c>
      <c r="BZ164" s="1012">
        <f t="shared" si="87"/>
        <v>48</v>
      </c>
      <c r="CB164" s="1375" t="s">
        <v>3827</v>
      </c>
      <c r="CC164" s="1219">
        <f t="shared" si="117"/>
        <v>2376</v>
      </c>
      <c r="CE164" s="1009">
        <f t="shared" si="93"/>
        <v>1488476</v>
      </c>
    </row>
    <row r="165" s="1009" customFormat="1" ht="36" customHeight="1" spans="1:83">
      <c r="A165" s="540">
        <v>45824</v>
      </c>
      <c r="B165" s="1036" t="s">
        <v>3926</v>
      </c>
      <c r="C165" s="1037" t="s">
        <v>351</v>
      </c>
      <c r="D165" s="1038">
        <v>4500170160</v>
      </c>
      <c r="E165" s="1039" t="s">
        <v>3943</v>
      </c>
      <c r="F165" s="1038" t="s">
        <v>3944</v>
      </c>
      <c r="G165" s="1040" t="s">
        <v>628</v>
      </c>
      <c r="H165" s="1041" t="s">
        <v>623</v>
      </c>
      <c r="I165" s="1012">
        <v>48</v>
      </c>
      <c r="J165" s="1087">
        <v>0</v>
      </c>
      <c r="K165" s="1040">
        <v>12</v>
      </c>
      <c r="L165" s="1012">
        <v>4</v>
      </c>
      <c r="M165" s="1079">
        <v>45856</v>
      </c>
      <c r="N165" s="1079">
        <v>45852</v>
      </c>
      <c r="O165" s="579" t="s">
        <v>3822</v>
      </c>
      <c r="P165" s="1079" t="s">
        <v>1262</v>
      </c>
      <c r="Q165" s="579" t="s">
        <v>1881</v>
      </c>
      <c r="R165" s="579">
        <v>45824</v>
      </c>
      <c r="S165" s="578" t="s">
        <v>123</v>
      </c>
      <c r="T165" s="695" t="s">
        <v>3940</v>
      </c>
      <c r="U165" s="1039" t="s">
        <v>3930</v>
      </c>
      <c r="V165" s="1112" t="s">
        <v>396</v>
      </c>
      <c r="W165" s="1113">
        <v>3.037</v>
      </c>
      <c r="X165" s="1114">
        <f t="shared" si="112"/>
        <v>145.776</v>
      </c>
      <c r="Y165" s="1012"/>
      <c r="Z165" s="1159" t="s">
        <v>729</v>
      </c>
      <c r="AA165" s="1150" t="s">
        <v>128</v>
      </c>
      <c r="AB165" s="1150"/>
      <c r="AC165" s="1151">
        <v>48</v>
      </c>
      <c r="AD165" s="1151">
        <f t="shared" si="80"/>
        <v>0</v>
      </c>
      <c r="AE165" s="1151"/>
      <c r="AF165" s="579"/>
      <c r="AG165" s="579"/>
      <c r="AH165" s="1151">
        <f t="shared" si="113"/>
        <v>96</v>
      </c>
      <c r="AI165" s="1371"/>
      <c r="AJ165" s="1371"/>
      <c r="AK165" s="1151"/>
      <c r="AL165" s="1151"/>
      <c r="AM165" s="1151"/>
      <c r="AN165" s="543"/>
      <c r="AO165" s="543"/>
      <c r="AP165" s="543"/>
      <c r="AQ165" s="543">
        <f t="shared" si="111"/>
        <v>96</v>
      </c>
      <c r="AR165" s="543"/>
      <c r="AS165" s="543"/>
      <c r="AT165" s="543"/>
      <c r="AV165" s="1310">
        <f t="shared" si="114"/>
        <v>96</v>
      </c>
      <c r="AW165" s="543"/>
      <c r="AX165" s="543"/>
      <c r="AY165" s="543"/>
      <c r="AZ165" s="543"/>
      <c r="BA165" s="543"/>
      <c r="BB165" s="543"/>
      <c r="BC165" s="1200"/>
      <c r="BD165" s="1200"/>
      <c r="BE165" s="1200"/>
      <c r="BF165" s="1200"/>
      <c r="BG165" s="1200"/>
      <c r="BH165" s="1200"/>
      <c r="BI165" s="1200"/>
      <c r="BJ165" s="1200"/>
      <c r="BK165" s="1200"/>
      <c r="BL165" s="1200"/>
      <c r="BM165" s="1200"/>
      <c r="BN165" s="1200"/>
      <c r="BO165" s="1200"/>
      <c r="BP165" s="1200"/>
      <c r="BQ165" s="1200"/>
      <c r="BR165" s="1200"/>
      <c r="BS165" s="1200"/>
      <c r="BT165" s="1200"/>
      <c r="BU165" s="1200"/>
      <c r="BV165" s="1200"/>
      <c r="BW165" s="1200">
        <f t="shared" si="115"/>
        <v>48</v>
      </c>
      <c r="BX165" s="1012"/>
      <c r="BY165" s="1200">
        <f t="shared" si="116"/>
        <v>48</v>
      </c>
      <c r="BZ165" s="1012">
        <f t="shared" si="87"/>
        <v>96</v>
      </c>
      <c r="CB165" s="1375" t="s">
        <v>3827</v>
      </c>
      <c r="CC165" s="1219">
        <f t="shared" si="117"/>
        <v>2328</v>
      </c>
      <c r="CE165" s="1009">
        <f t="shared" si="93"/>
        <v>1488380</v>
      </c>
    </row>
    <row r="166" s="1009" customFormat="1" ht="36" customHeight="1" spans="1:83">
      <c r="A166" s="540">
        <v>45824</v>
      </c>
      <c r="B166" s="1036" t="s">
        <v>3926</v>
      </c>
      <c r="C166" s="1037" t="s">
        <v>351</v>
      </c>
      <c r="D166" s="1038">
        <v>4500170160</v>
      </c>
      <c r="E166" s="1039" t="s">
        <v>3945</v>
      </c>
      <c r="F166" s="1038" t="s">
        <v>3946</v>
      </c>
      <c r="G166" s="1040" t="s">
        <v>628</v>
      </c>
      <c r="H166" s="1041" t="s">
        <v>623</v>
      </c>
      <c r="I166" s="1012">
        <v>24</v>
      </c>
      <c r="J166" s="1087">
        <v>0</v>
      </c>
      <c r="K166" s="1040">
        <v>12</v>
      </c>
      <c r="L166" s="1012">
        <v>2</v>
      </c>
      <c r="M166" s="1079">
        <v>45856</v>
      </c>
      <c r="N166" s="1079">
        <v>45852</v>
      </c>
      <c r="O166" s="579" t="s">
        <v>3822</v>
      </c>
      <c r="P166" s="1079" t="s">
        <v>1262</v>
      </c>
      <c r="Q166" s="579" t="s">
        <v>1881</v>
      </c>
      <c r="R166" s="579">
        <v>45824</v>
      </c>
      <c r="S166" s="578" t="s">
        <v>123</v>
      </c>
      <c r="T166" s="695" t="s">
        <v>3929</v>
      </c>
      <c r="U166" s="1039" t="s">
        <v>3930</v>
      </c>
      <c r="V166" s="1112" t="s">
        <v>396</v>
      </c>
      <c r="W166" s="1113">
        <v>3.037</v>
      </c>
      <c r="X166" s="1114">
        <f t="shared" si="112"/>
        <v>72.888</v>
      </c>
      <c r="Y166" s="1012"/>
      <c r="Z166" s="1159" t="s">
        <v>729</v>
      </c>
      <c r="AA166" s="1150" t="s">
        <v>128</v>
      </c>
      <c r="AB166" s="1150"/>
      <c r="AC166" s="1151">
        <v>24</v>
      </c>
      <c r="AD166" s="1151">
        <f t="shared" si="80"/>
        <v>0</v>
      </c>
      <c r="AE166" s="1151"/>
      <c r="AF166" s="579"/>
      <c r="AG166" s="579"/>
      <c r="AH166" s="1151">
        <f t="shared" si="113"/>
        <v>48</v>
      </c>
      <c r="AI166" s="1371"/>
      <c r="AJ166" s="1371"/>
      <c r="AK166" s="1151"/>
      <c r="AL166" s="1151"/>
      <c r="AM166" s="1151"/>
      <c r="AN166" s="543"/>
      <c r="AO166" s="543"/>
      <c r="AP166" s="543"/>
      <c r="AQ166" s="543">
        <f t="shared" si="111"/>
        <v>48</v>
      </c>
      <c r="AR166" s="543"/>
      <c r="AS166" s="543"/>
      <c r="AT166" s="543"/>
      <c r="AV166" s="1310">
        <f t="shared" si="114"/>
        <v>48</v>
      </c>
      <c r="AW166" s="543"/>
      <c r="AX166" s="543"/>
      <c r="AY166" s="543"/>
      <c r="AZ166" s="543"/>
      <c r="BA166" s="543"/>
      <c r="BB166" s="543"/>
      <c r="BC166" s="1200"/>
      <c r="BD166" s="1200"/>
      <c r="BE166" s="1200"/>
      <c r="BF166" s="1200"/>
      <c r="BG166" s="1200"/>
      <c r="BH166" s="1200"/>
      <c r="BI166" s="1200"/>
      <c r="BJ166" s="1200"/>
      <c r="BK166" s="1200"/>
      <c r="BL166" s="1200"/>
      <c r="BM166" s="1200"/>
      <c r="BN166" s="1200"/>
      <c r="BO166" s="1200"/>
      <c r="BP166" s="1200"/>
      <c r="BQ166" s="1200"/>
      <c r="BR166" s="1200"/>
      <c r="BS166" s="1200"/>
      <c r="BT166" s="1200"/>
      <c r="BU166" s="1200"/>
      <c r="BV166" s="1200"/>
      <c r="BW166" s="1200">
        <f t="shared" si="115"/>
        <v>24</v>
      </c>
      <c r="BX166" s="1012"/>
      <c r="BY166" s="1200">
        <f t="shared" si="116"/>
        <v>24</v>
      </c>
      <c r="BZ166" s="1012">
        <f t="shared" si="87"/>
        <v>48</v>
      </c>
      <c r="CB166" s="1375" t="s">
        <v>3827</v>
      </c>
      <c r="CC166" s="1219">
        <f t="shared" si="117"/>
        <v>2304</v>
      </c>
      <c r="CE166" s="1009">
        <f t="shared" si="93"/>
        <v>1488332</v>
      </c>
    </row>
    <row r="167" s="1009" customFormat="1" ht="36" customHeight="1" spans="1:83">
      <c r="A167" s="540">
        <v>45824</v>
      </c>
      <c r="B167" s="1036" t="s">
        <v>3926</v>
      </c>
      <c r="C167" s="1037" t="s">
        <v>351</v>
      </c>
      <c r="D167" s="1038">
        <v>4500170160</v>
      </c>
      <c r="E167" s="1039" t="s">
        <v>3947</v>
      </c>
      <c r="F167" s="1038" t="s">
        <v>3948</v>
      </c>
      <c r="G167" s="1040" t="s">
        <v>628</v>
      </c>
      <c r="H167" s="1041" t="s">
        <v>623</v>
      </c>
      <c r="I167" s="1012">
        <v>24</v>
      </c>
      <c r="J167" s="1087">
        <v>0</v>
      </c>
      <c r="K167" s="1040">
        <v>12</v>
      </c>
      <c r="L167" s="1012">
        <v>2</v>
      </c>
      <c r="M167" s="1079">
        <v>45856</v>
      </c>
      <c r="N167" s="1079">
        <v>45852</v>
      </c>
      <c r="O167" s="579" t="s">
        <v>3822</v>
      </c>
      <c r="P167" s="1079" t="s">
        <v>1262</v>
      </c>
      <c r="Q167" s="579" t="s">
        <v>1881</v>
      </c>
      <c r="R167" s="579">
        <v>45824</v>
      </c>
      <c r="S167" s="578" t="s">
        <v>123</v>
      </c>
      <c r="T167" s="695" t="s">
        <v>3929</v>
      </c>
      <c r="U167" s="1039" t="s">
        <v>3930</v>
      </c>
      <c r="V167" s="1112" t="s">
        <v>396</v>
      </c>
      <c r="W167" s="1113">
        <v>3.037</v>
      </c>
      <c r="X167" s="1114">
        <f t="shared" si="112"/>
        <v>72.888</v>
      </c>
      <c r="Y167" s="1012"/>
      <c r="Z167" s="1159" t="s">
        <v>729</v>
      </c>
      <c r="AA167" s="1150" t="s">
        <v>128</v>
      </c>
      <c r="AB167" s="1150"/>
      <c r="AC167" s="1151">
        <v>24</v>
      </c>
      <c r="AD167" s="1151">
        <f t="shared" si="80"/>
        <v>0</v>
      </c>
      <c r="AE167" s="1151"/>
      <c r="AF167" s="579"/>
      <c r="AG167" s="579"/>
      <c r="AH167" s="1151">
        <f t="shared" si="113"/>
        <v>48</v>
      </c>
      <c r="AI167" s="1371"/>
      <c r="AJ167" s="1371"/>
      <c r="AK167" s="1151"/>
      <c r="AL167" s="1151"/>
      <c r="AM167" s="1151"/>
      <c r="AN167" s="543"/>
      <c r="AO167" s="543"/>
      <c r="AP167" s="543"/>
      <c r="AQ167" s="543">
        <f t="shared" si="111"/>
        <v>48</v>
      </c>
      <c r="AR167" s="543"/>
      <c r="AS167" s="543"/>
      <c r="AT167" s="543"/>
      <c r="AV167" s="1310">
        <f t="shared" si="114"/>
        <v>48</v>
      </c>
      <c r="AW167" s="543"/>
      <c r="AX167" s="543"/>
      <c r="AY167" s="543"/>
      <c r="AZ167" s="543"/>
      <c r="BA167" s="543"/>
      <c r="BB167" s="543"/>
      <c r="BC167" s="1200"/>
      <c r="BD167" s="1200"/>
      <c r="BE167" s="1200"/>
      <c r="BF167" s="1200"/>
      <c r="BG167" s="1200"/>
      <c r="BH167" s="1200"/>
      <c r="BI167" s="1200"/>
      <c r="BJ167" s="1200"/>
      <c r="BK167" s="1200"/>
      <c r="BL167" s="1200"/>
      <c r="BM167" s="1200"/>
      <c r="BN167" s="1200"/>
      <c r="BO167" s="1200"/>
      <c r="BP167" s="1200"/>
      <c r="BQ167" s="1200"/>
      <c r="BR167" s="1200"/>
      <c r="BS167" s="1200"/>
      <c r="BT167" s="1200"/>
      <c r="BU167" s="1200"/>
      <c r="BV167" s="1200"/>
      <c r="BW167" s="1200">
        <f t="shared" si="115"/>
        <v>24</v>
      </c>
      <c r="BX167" s="1012"/>
      <c r="BY167" s="1200">
        <f t="shared" si="116"/>
        <v>24</v>
      </c>
      <c r="BZ167" s="1012">
        <f t="shared" si="87"/>
        <v>48</v>
      </c>
      <c r="CB167" s="1375" t="s">
        <v>3827</v>
      </c>
      <c r="CC167" s="1219">
        <f t="shared" si="117"/>
        <v>2280</v>
      </c>
      <c r="CE167" s="1009">
        <f t="shared" si="93"/>
        <v>1488284</v>
      </c>
    </row>
    <row r="168" s="1009" customFormat="1" ht="36" customHeight="1" spans="1:83">
      <c r="A168" s="540">
        <v>45824</v>
      </c>
      <c r="B168" s="1036" t="s">
        <v>3926</v>
      </c>
      <c r="C168" s="1037" t="s">
        <v>351</v>
      </c>
      <c r="D168" s="1038">
        <v>4500170160</v>
      </c>
      <c r="E168" s="1039" t="s">
        <v>3949</v>
      </c>
      <c r="F168" s="1038" t="s">
        <v>3950</v>
      </c>
      <c r="G168" s="1040" t="s">
        <v>628</v>
      </c>
      <c r="H168" s="1041" t="s">
        <v>623</v>
      </c>
      <c r="I168" s="1012">
        <v>48</v>
      </c>
      <c r="J168" s="1087">
        <v>0</v>
      </c>
      <c r="K168" s="1040">
        <v>12</v>
      </c>
      <c r="L168" s="1012">
        <v>4</v>
      </c>
      <c r="M168" s="1079">
        <v>45856</v>
      </c>
      <c r="N168" s="1079">
        <v>45852</v>
      </c>
      <c r="O168" s="579" t="s">
        <v>3822</v>
      </c>
      <c r="P168" s="1079" t="s">
        <v>1262</v>
      </c>
      <c r="Q168" s="579" t="s">
        <v>1881</v>
      </c>
      <c r="R168" s="579">
        <v>45824</v>
      </c>
      <c r="S168" s="578" t="s">
        <v>123</v>
      </c>
      <c r="T168" s="695" t="s">
        <v>3929</v>
      </c>
      <c r="U168" s="1039" t="s">
        <v>3930</v>
      </c>
      <c r="V168" s="1112" t="s">
        <v>396</v>
      </c>
      <c r="W168" s="1113">
        <v>3.037</v>
      </c>
      <c r="X168" s="1114">
        <f t="shared" si="112"/>
        <v>145.776</v>
      </c>
      <c r="Y168" s="1012"/>
      <c r="Z168" s="1159" t="s">
        <v>729</v>
      </c>
      <c r="AA168" s="1150" t="s">
        <v>128</v>
      </c>
      <c r="AB168" s="1150"/>
      <c r="AC168" s="1151">
        <v>48</v>
      </c>
      <c r="AD168" s="1151">
        <f t="shared" si="80"/>
        <v>0</v>
      </c>
      <c r="AE168" s="1151"/>
      <c r="AF168" s="579"/>
      <c r="AG168" s="579"/>
      <c r="AH168" s="1151">
        <f t="shared" si="113"/>
        <v>96</v>
      </c>
      <c r="AI168" s="1371"/>
      <c r="AJ168" s="1371"/>
      <c r="AK168" s="1151"/>
      <c r="AL168" s="1151"/>
      <c r="AM168" s="1151"/>
      <c r="AN168" s="543"/>
      <c r="AO168" s="543"/>
      <c r="AP168" s="543"/>
      <c r="AQ168" s="543">
        <f t="shared" si="111"/>
        <v>96</v>
      </c>
      <c r="AR168" s="543"/>
      <c r="AS168" s="543"/>
      <c r="AT168" s="543"/>
      <c r="AV168" s="1310">
        <f t="shared" si="114"/>
        <v>96</v>
      </c>
      <c r="AW168" s="543"/>
      <c r="AX168" s="543"/>
      <c r="AY168" s="543"/>
      <c r="AZ168" s="543"/>
      <c r="BA168" s="543"/>
      <c r="BB168" s="543"/>
      <c r="BC168" s="1200"/>
      <c r="BD168" s="1200"/>
      <c r="BE168" s="1200"/>
      <c r="BF168" s="1200"/>
      <c r="BG168" s="1200"/>
      <c r="BH168" s="1200"/>
      <c r="BI168" s="1200"/>
      <c r="BJ168" s="1200"/>
      <c r="BK168" s="1200"/>
      <c r="BL168" s="1200"/>
      <c r="BM168" s="1200"/>
      <c r="BN168" s="1200"/>
      <c r="BO168" s="1200"/>
      <c r="BP168" s="1200"/>
      <c r="BQ168" s="1200"/>
      <c r="BR168" s="1200"/>
      <c r="BS168" s="1200"/>
      <c r="BT168" s="1200"/>
      <c r="BU168" s="1200"/>
      <c r="BV168" s="1200"/>
      <c r="BW168" s="1200">
        <f t="shared" si="115"/>
        <v>48</v>
      </c>
      <c r="BX168" s="1012"/>
      <c r="BY168" s="1200">
        <f t="shared" si="116"/>
        <v>48</v>
      </c>
      <c r="BZ168" s="1012">
        <f t="shared" si="87"/>
        <v>96</v>
      </c>
      <c r="CB168" s="1375" t="s">
        <v>3827</v>
      </c>
      <c r="CC168" s="1219">
        <f t="shared" si="117"/>
        <v>2232</v>
      </c>
      <c r="CE168" s="1009">
        <f t="shared" si="93"/>
        <v>1488188</v>
      </c>
    </row>
    <row r="169" s="1009" customFormat="1" ht="36" customHeight="1" spans="1:83">
      <c r="A169" s="540">
        <v>45824</v>
      </c>
      <c r="B169" s="1036" t="s">
        <v>3926</v>
      </c>
      <c r="C169" s="1037" t="s">
        <v>351</v>
      </c>
      <c r="D169" s="1038">
        <v>4500170160</v>
      </c>
      <c r="E169" s="1039" t="s">
        <v>3951</v>
      </c>
      <c r="F169" s="1038" t="s">
        <v>3952</v>
      </c>
      <c r="G169" s="1040" t="s">
        <v>628</v>
      </c>
      <c r="H169" s="1041" t="s">
        <v>623</v>
      </c>
      <c r="I169" s="1012">
        <v>24</v>
      </c>
      <c r="J169" s="1087">
        <v>0</v>
      </c>
      <c r="K169" s="1040">
        <v>12</v>
      </c>
      <c r="L169" s="1012">
        <v>2</v>
      </c>
      <c r="M169" s="1079">
        <v>45856</v>
      </c>
      <c r="N169" s="1079">
        <v>45852</v>
      </c>
      <c r="O169" s="579" t="s">
        <v>3822</v>
      </c>
      <c r="P169" s="1079" t="s">
        <v>1262</v>
      </c>
      <c r="Q169" s="579" t="s">
        <v>1881</v>
      </c>
      <c r="R169" s="579">
        <v>45824</v>
      </c>
      <c r="S169" s="578" t="s">
        <v>123</v>
      </c>
      <c r="T169" s="695" t="s">
        <v>3929</v>
      </c>
      <c r="U169" s="1039" t="s">
        <v>3930</v>
      </c>
      <c r="V169" s="1112" t="s">
        <v>396</v>
      </c>
      <c r="W169" s="1113">
        <v>3.037</v>
      </c>
      <c r="X169" s="1114">
        <f t="shared" si="112"/>
        <v>72.888</v>
      </c>
      <c r="Y169" s="1012"/>
      <c r="Z169" s="1159" t="s">
        <v>729</v>
      </c>
      <c r="AA169" s="1150" t="s">
        <v>128</v>
      </c>
      <c r="AB169" s="1150"/>
      <c r="AC169" s="1151">
        <v>24</v>
      </c>
      <c r="AD169" s="1151">
        <f t="shared" si="80"/>
        <v>0</v>
      </c>
      <c r="AE169" s="1151"/>
      <c r="AF169" s="579"/>
      <c r="AG169" s="579"/>
      <c r="AH169" s="1151">
        <f t="shared" si="113"/>
        <v>48</v>
      </c>
      <c r="AI169" s="1371"/>
      <c r="AJ169" s="1371"/>
      <c r="AK169" s="1151"/>
      <c r="AL169" s="1151"/>
      <c r="AM169" s="1151"/>
      <c r="AN169" s="543"/>
      <c r="AO169" s="543"/>
      <c r="AP169" s="543"/>
      <c r="AQ169" s="543">
        <f t="shared" si="111"/>
        <v>48</v>
      </c>
      <c r="AR169" s="543"/>
      <c r="AS169" s="543"/>
      <c r="AT169" s="543"/>
      <c r="AV169" s="1310">
        <f t="shared" si="114"/>
        <v>48</v>
      </c>
      <c r="AW169" s="543"/>
      <c r="AX169" s="543"/>
      <c r="AY169" s="543"/>
      <c r="AZ169" s="543"/>
      <c r="BA169" s="543"/>
      <c r="BB169" s="543"/>
      <c r="BC169" s="1200"/>
      <c r="BD169" s="1200"/>
      <c r="BE169" s="1200"/>
      <c r="BF169" s="1200"/>
      <c r="BG169" s="1200"/>
      <c r="BH169" s="1200"/>
      <c r="BI169" s="1200"/>
      <c r="BJ169" s="1200"/>
      <c r="BK169" s="1200"/>
      <c r="BL169" s="1200"/>
      <c r="BM169" s="1200"/>
      <c r="BN169" s="1200"/>
      <c r="BO169" s="1200"/>
      <c r="BP169" s="1200"/>
      <c r="BQ169" s="1200"/>
      <c r="BR169" s="1200"/>
      <c r="BS169" s="1200"/>
      <c r="BT169" s="1200"/>
      <c r="BU169" s="1200"/>
      <c r="BV169" s="1200"/>
      <c r="BW169" s="1200">
        <f t="shared" si="115"/>
        <v>24</v>
      </c>
      <c r="BX169" s="1012"/>
      <c r="BY169" s="1200">
        <f t="shared" si="116"/>
        <v>24</v>
      </c>
      <c r="BZ169" s="1012">
        <f t="shared" si="87"/>
        <v>48</v>
      </c>
      <c r="CB169" s="1375" t="s">
        <v>3827</v>
      </c>
      <c r="CC169" s="1219">
        <f t="shared" si="117"/>
        <v>2208</v>
      </c>
      <c r="CE169" s="1009">
        <f t="shared" si="93"/>
        <v>1488140</v>
      </c>
    </row>
    <row r="170" s="1009" customFormat="1" ht="36" customHeight="1" spans="1:83">
      <c r="A170" s="540">
        <v>45824</v>
      </c>
      <c r="B170" s="1036" t="s">
        <v>3926</v>
      </c>
      <c r="C170" s="1037" t="s">
        <v>351</v>
      </c>
      <c r="D170" s="1038">
        <v>4500170160</v>
      </c>
      <c r="E170" s="1039" t="s">
        <v>3953</v>
      </c>
      <c r="F170" s="1038" t="s">
        <v>3954</v>
      </c>
      <c r="G170" s="1040" t="s">
        <v>628</v>
      </c>
      <c r="H170" s="1041" t="s">
        <v>623</v>
      </c>
      <c r="I170" s="1012">
        <v>24</v>
      </c>
      <c r="J170" s="1087">
        <v>0</v>
      </c>
      <c r="K170" s="1040">
        <v>12</v>
      </c>
      <c r="L170" s="1012">
        <v>2</v>
      </c>
      <c r="M170" s="1079">
        <v>45856</v>
      </c>
      <c r="N170" s="1079">
        <v>45852</v>
      </c>
      <c r="O170" s="579" t="s">
        <v>3822</v>
      </c>
      <c r="P170" s="1079" t="s">
        <v>1262</v>
      </c>
      <c r="Q170" s="579" t="s">
        <v>1881</v>
      </c>
      <c r="R170" s="579">
        <v>45824</v>
      </c>
      <c r="S170" s="578" t="s">
        <v>123</v>
      </c>
      <c r="T170" s="695" t="s">
        <v>3929</v>
      </c>
      <c r="U170" s="1039" t="s">
        <v>3930</v>
      </c>
      <c r="V170" s="1112" t="s">
        <v>396</v>
      </c>
      <c r="W170" s="1113">
        <v>3.037</v>
      </c>
      <c r="X170" s="1114">
        <f t="shared" si="112"/>
        <v>72.888</v>
      </c>
      <c r="Y170" s="1012"/>
      <c r="Z170" s="1159" t="s">
        <v>729</v>
      </c>
      <c r="AA170" s="1150" t="s">
        <v>128</v>
      </c>
      <c r="AB170" s="1150"/>
      <c r="AC170" s="1151">
        <v>24</v>
      </c>
      <c r="AD170" s="1151">
        <f t="shared" si="80"/>
        <v>0</v>
      </c>
      <c r="AE170" s="1151"/>
      <c r="AF170" s="579"/>
      <c r="AG170" s="579"/>
      <c r="AH170" s="1151">
        <f t="shared" si="113"/>
        <v>48</v>
      </c>
      <c r="AI170" s="1371"/>
      <c r="AJ170" s="1371"/>
      <c r="AK170" s="1151"/>
      <c r="AL170" s="1151"/>
      <c r="AM170" s="1151"/>
      <c r="AN170" s="543"/>
      <c r="AO170" s="543"/>
      <c r="AP170" s="543"/>
      <c r="AQ170" s="543">
        <f t="shared" si="111"/>
        <v>48</v>
      </c>
      <c r="AR170" s="543"/>
      <c r="AS170" s="543"/>
      <c r="AT170" s="543"/>
      <c r="AV170" s="1310">
        <f t="shared" si="114"/>
        <v>48</v>
      </c>
      <c r="AW170" s="543"/>
      <c r="AX170" s="543"/>
      <c r="AY170" s="543"/>
      <c r="AZ170" s="543"/>
      <c r="BA170" s="543"/>
      <c r="BB170" s="543"/>
      <c r="BC170" s="1200"/>
      <c r="BD170" s="1200"/>
      <c r="BE170" s="1200"/>
      <c r="BF170" s="1200"/>
      <c r="BG170" s="1200"/>
      <c r="BH170" s="1200"/>
      <c r="BI170" s="1200"/>
      <c r="BJ170" s="1200"/>
      <c r="BK170" s="1200"/>
      <c r="BL170" s="1200"/>
      <c r="BM170" s="1200"/>
      <c r="BN170" s="1200"/>
      <c r="BO170" s="1200"/>
      <c r="BP170" s="1200"/>
      <c r="BQ170" s="1200"/>
      <c r="BR170" s="1200"/>
      <c r="BS170" s="1200"/>
      <c r="BT170" s="1200"/>
      <c r="BU170" s="1200"/>
      <c r="BV170" s="1200"/>
      <c r="BW170" s="1200">
        <f t="shared" si="115"/>
        <v>24</v>
      </c>
      <c r="BX170" s="1012"/>
      <c r="BY170" s="1200">
        <f t="shared" si="116"/>
        <v>24</v>
      </c>
      <c r="BZ170" s="1012">
        <f t="shared" si="87"/>
        <v>48</v>
      </c>
      <c r="CB170" s="1375" t="s">
        <v>3827</v>
      </c>
      <c r="CC170" s="1219">
        <f t="shared" si="117"/>
        <v>2184</v>
      </c>
      <c r="CE170" s="1009">
        <f t="shared" si="93"/>
        <v>1488092</v>
      </c>
    </row>
    <row r="171" s="1009" customFormat="1" ht="36" customHeight="1" spans="1:83">
      <c r="A171" s="540">
        <v>45824</v>
      </c>
      <c r="B171" s="1036" t="s">
        <v>3926</v>
      </c>
      <c r="C171" s="1037" t="s">
        <v>351</v>
      </c>
      <c r="D171" s="1038">
        <v>4500170160</v>
      </c>
      <c r="E171" s="1039" t="s">
        <v>3955</v>
      </c>
      <c r="F171" s="1038" t="s">
        <v>3956</v>
      </c>
      <c r="G171" s="1040" t="s">
        <v>628</v>
      </c>
      <c r="H171" s="1041" t="s">
        <v>623</v>
      </c>
      <c r="I171" s="1012">
        <v>24</v>
      </c>
      <c r="J171" s="1087">
        <v>0</v>
      </c>
      <c r="K171" s="1040">
        <v>12</v>
      </c>
      <c r="L171" s="1012">
        <v>2</v>
      </c>
      <c r="M171" s="1079">
        <v>45856</v>
      </c>
      <c r="N171" s="1079">
        <v>45852</v>
      </c>
      <c r="O171" s="579" t="s">
        <v>3822</v>
      </c>
      <c r="P171" s="1079" t="s">
        <v>1262</v>
      </c>
      <c r="Q171" s="579" t="s">
        <v>1881</v>
      </c>
      <c r="R171" s="579">
        <v>45824</v>
      </c>
      <c r="S171" s="578" t="s">
        <v>123</v>
      </c>
      <c r="T171" s="695" t="s">
        <v>3929</v>
      </c>
      <c r="U171" s="1039" t="s">
        <v>3930</v>
      </c>
      <c r="V171" s="1112" t="s">
        <v>396</v>
      </c>
      <c r="W171" s="1113">
        <v>3.037</v>
      </c>
      <c r="X171" s="1114">
        <f t="shared" si="112"/>
        <v>72.888</v>
      </c>
      <c r="Y171" s="1012"/>
      <c r="Z171" s="1159" t="s">
        <v>729</v>
      </c>
      <c r="AA171" s="1150" t="s">
        <v>128</v>
      </c>
      <c r="AB171" s="1150"/>
      <c r="AC171" s="1151">
        <v>24</v>
      </c>
      <c r="AD171" s="1151">
        <f t="shared" si="80"/>
        <v>0</v>
      </c>
      <c r="AE171" s="1151"/>
      <c r="AF171" s="579"/>
      <c r="AG171" s="579"/>
      <c r="AH171" s="1151">
        <f t="shared" si="113"/>
        <v>48</v>
      </c>
      <c r="AI171" s="1371"/>
      <c r="AJ171" s="1371"/>
      <c r="AK171" s="1151"/>
      <c r="AL171" s="1151"/>
      <c r="AM171" s="1151"/>
      <c r="AN171" s="543"/>
      <c r="AO171" s="543"/>
      <c r="AP171" s="543"/>
      <c r="AQ171" s="543">
        <f t="shared" si="111"/>
        <v>48</v>
      </c>
      <c r="AR171" s="543"/>
      <c r="AS171" s="543"/>
      <c r="AT171" s="543"/>
      <c r="AV171" s="1310">
        <f t="shared" si="114"/>
        <v>48</v>
      </c>
      <c r="AW171" s="543"/>
      <c r="AX171" s="543"/>
      <c r="AY171" s="543"/>
      <c r="AZ171" s="543"/>
      <c r="BA171" s="543"/>
      <c r="BB171" s="543"/>
      <c r="BC171" s="1200"/>
      <c r="BD171" s="1200"/>
      <c r="BE171" s="1200"/>
      <c r="BF171" s="1200"/>
      <c r="BG171" s="1200"/>
      <c r="BH171" s="1200"/>
      <c r="BI171" s="1200"/>
      <c r="BJ171" s="1200"/>
      <c r="BK171" s="1200"/>
      <c r="BL171" s="1200"/>
      <c r="BM171" s="1200"/>
      <c r="BN171" s="1200"/>
      <c r="BO171" s="1200"/>
      <c r="BP171" s="1200"/>
      <c r="BQ171" s="1200"/>
      <c r="BR171" s="1200"/>
      <c r="BS171" s="1200"/>
      <c r="BT171" s="1200"/>
      <c r="BU171" s="1200"/>
      <c r="BV171" s="1200"/>
      <c r="BW171" s="1200">
        <f t="shared" si="115"/>
        <v>24</v>
      </c>
      <c r="BX171" s="1012"/>
      <c r="BY171" s="1200">
        <f t="shared" si="116"/>
        <v>24</v>
      </c>
      <c r="BZ171" s="1012">
        <f t="shared" si="87"/>
        <v>48</v>
      </c>
      <c r="CB171" s="1375" t="s">
        <v>3827</v>
      </c>
      <c r="CC171" s="1219">
        <f t="shared" si="117"/>
        <v>2160</v>
      </c>
      <c r="CE171" s="1009">
        <f t="shared" si="93"/>
        <v>1488044</v>
      </c>
    </row>
    <row r="172" s="1009" customFormat="1" ht="36" customHeight="1" spans="1:83">
      <c r="A172" s="540">
        <v>45824</v>
      </c>
      <c r="B172" s="1036" t="s">
        <v>3926</v>
      </c>
      <c r="C172" s="1037" t="s">
        <v>351</v>
      </c>
      <c r="D172" s="1038">
        <v>4500170160</v>
      </c>
      <c r="E172" s="1039" t="s">
        <v>3957</v>
      </c>
      <c r="F172" s="1038" t="s">
        <v>3958</v>
      </c>
      <c r="G172" s="1040" t="s">
        <v>628</v>
      </c>
      <c r="H172" s="1041" t="s">
        <v>623</v>
      </c>
      <c r="I172" s="1012">
        <v>24</v>
      </c>
      <c r="J172" s="1087">
        <v>0</v>
      </c>
      <c r="K172" s="1040">
        <v>12</v>
      </c>
      <c r="L172" s="1012">
        <v>2</v>
      </c>
      <c r="M172" s="1079">
        <v>45856</v>
      </c>
      <c r="N172" s="1079">
        <v>45852</v>
      </c>
      <c r="O172" s="579" t="s">
        <v>3822</v>
      </c>
      <c r="P172" s="1079" t="s">
        <v>1262</v>
      </c>
      <c r="Q172" s="579" t="s">
        <v>1881</v>
      </c>
      <c r="R172" s="579">
        <v>45824</v>
      </c>
      <c r="S172" s="578" t="s">
        <v>123</v>
      </c>
      <c r="T172" s="695" t="s">
        <v>3929</v>
      </c>
      <c r="U172" s="1039" t="s">
        <v>3930</v>
      </c>
      <c r="V172" s="1112" t="s">
        <v>396</v>
      </c>
      <c r="W172" s="1113">
        <v>3.037</v>
      </c>
      <c r="X172" s="1114">
        <f t="shared" si="112"/>
        <v>72.888</v>
      </c>
      <c r="Y172" s="1012"/>
      <c r="Z172" s="1159" t="s">
        <v>729</v>
      </c>
      <c r="AA172" s="1150" t="s">
        <v>128</v>
      </c>
      <c r="AB172" s="1150"/>
      <c r="AC172" s="1151">
        <v>24</v>
      </c>
      <c r="AD172" s="1151">
        <f t="shared" ref="AD172:AD211" si="118">AC172-I172</f>
        <v>0</v>
      </c>
      <c r="AE172" s="1151"/>
      <c r="AF172" s="579"/>
      <c r="AG172" s="579"/>
      <c r="AH172" s="1151">
        <f t="shared" si="113"/>
        <v>48</v>
      </c>
      <c r="AI172" s="1151"/>
      <c r="AJ172" s="1151"/>
      <c r="AK172" s="1151"/>
      <c r="AL172" s="1151"/>
      <c r="AM172" s="1151"/>
      <c r="AN172" s="543"/>
      <c r="AO172" s="543"/>
      <c r="AP172" s="543"/>
      <c r="AQ172" s="543">
        <f t="shared" si="111"/>
        <v>48</v>
      </c>
      <c r="AR172" s="543"/>
      <c r="AS172" s="543"/>
      <c r="AT172" s="543"/>
      <c r="AV172" s="1310">
        <f t="shared" si="114"/>
        <v>48</v>
      </c>
      <c r="AW172" s="543"/>
      <c r="AX172" s="543"/>
      <c r="AY172" s="543"/>
      <c r="AZ172" s="543"/>
      <c r="BA172" s="543"/>
      <c r="BB172" s="543"/>
      <c r="BC172" s="1200"/>
      <c r="BD172" s="1200"/>
      <c r="BE172" s="1200"/>
      <c r="BF172" s="1200"/>
      <c r="BG172" s="1200"/>
      <c r="BH172" s="1200"/>
      <c r="BI172" s="1200"/>
      <c r="BJ172" s="1200"/>
      <c r="BK172" s="1200"/>
      <c r="BL172" s="1200"/>
      <c r="BM172" s="1200"/>
      <c r="BN172" s="1200"/>
      <c r="BO172" s="1200"/>
      <c r="BP172" s="1200"/>
      <c r="BQ172" s="1200"/>
      <c r="BR172" s="1200"/>
      <c r="BS172" s="1200"/>
      <c r="BT172" s="1200"/>
      <c r="BU172" s="1200"/>
      <c r="BV172" s="1200"/>
      <c r="BW172" s="1200">
        <f t="shared" si="115"/>
        <v>24</v>
      </c>
      <c r="BX172" s="1012"/>
      <c r="BY172" s="1200">
        <f t="shared" si="116"/>
        <v>24</v>
      </c>
      <c r="BZ172" s="1012">
        <f t="shared" si="87"/>
        <v>48</v>
      </c>
      <c r="CB172" s="1375" t="s">
        <v>3827</v>
      </c>
      <c r="CC172" s="1219">
        <f t="shared" si="117"/>
        <v>2136</v>
      </c>
      <c r="CE172" s="1009">
        <f t="shared" si="93"/>
        <v>1487996</v>
      </c>
    </row>
    <row r="173" s="1009" customFormat="1" ht="36" customHeight="1" spans="1:83">
      <c r="A173" s="540">
        <v>45824</v>
      </c>
      <c r="B173" s="1036" t="s">
        <v>3926</v>
      </c>
      <c r="C173" s="1037" t="s">
        <v>351</v>
      </c>
      <c r="D173" s="1038">
        <v>4500170160</v>
      </c>
      <c r="E173" s="1039" t="s">
        <v>3959</v>
      </c>
      <c r="F173" s="1038" t="s">
        <v>3960</v>
      </c>
      <c r="G173" s="1040" t="s">
        <v>628</v>
      </c>
      <c r="H173" s="1041" t="s">
        <v>623</v>
      </c>
      <c r="I173" s="1012">
        <v>24</v>
      </c>
      <c r="J173" s="1087">
        <v>0</v>
      </c>
      <c r="K173" s="1040">
        <v>12</v>
      </c>
      <c r="L173" s="1012">
        <v>2</v>
      </c>
      <c r="M173" s="1079">
        <v>45856</v>
      </c>
      <c r="N173" s="1079">
        <v>45852</v>
      </c>
      <c r="O173" s="579" t="s">
        <v>3822</v>
      </c>
      <c r="P173" s="1079" t="s">
        <v>1262</v>
      </c>
      <c r="Q173" s="579" t="s">
        <v>1881</v>
      </c>
      <c r="R173" s="579">
        <v>45824</v>
      </c>
      <c r="S173" s="578" t="s">
        <v>123</v>
      </c>
      <c r="T173" s="695" t="s">
        <v>3929</v>
      </c>
      <c r="U173" s="1039" t="s">
        <v>3930</v>
      </c>
      <c r="V173" s="1112" t="s">
        <v>396</v>
      </c>
      <c r="W173" s="1113">
        <v>3.037</v>
      </c>
      <c r="X173" s="1114">
        <f t="shared" si="112"/>
        <v>72.888</v>
      </c>
      <c r="Y173" s="1012"/>
      <c r="Z173" s="1159" t="s">
        <v>729</v>
      </c>
      <c r="AA173" s="1150" t="s">
        <v>128</v>
      </c>
      <c r="AB173" s="1150"/>
      <c r="AC173" s="1151">
        <v>24</v>
      </c>
      <c r="AD173" s="1151">
        <f t="shared" si="118"/>
        <v>0</v>
      </c>
      <c r="AE173" s="1151"/>
      <c r="AF173" s="579"/>
      <c r="AG173" s="579"/>
      <c r="AH173" s="1151">
        <f t="shared" si="113"/>
        <v>48</v>
      </c>
      <c r="AI173" s="1151"/>
      <c r="AJ173" s="1151"/>
      <c r="AK173" s="1151"/>
      <c r="AL173" s="1151"/>
      <c r="AM173" s="1151"/>
      <c r="AN173" s="543"/>
      <c r="AO173" s="543"/>
      <c r="AP173" s="543"/>
      <c r="AQ173" s="543">
        <f t="shared" si="111"/>
        <v>48</v>
      </c>
      <c r="AR173" s="543"/>
      <c r="AS173" s="543"/>
      <c r="AT173" s="543"/>
      <c r="AV173" s="1310">
        <f t="shared" si="114"/>
        <v>48</v>
      </c>
      <c r="AW173" s="543"/>
      <c r="AX173" s="543"/>
      <c r="AY173" s="543"/>
      <c r="AZ173" s="543"/>
      <c r="BA173" s="543"/>
      <c r="BB173" s="543"/>
      <c r="BC173" s="1200"/>
      <c r="BD173" s="1200"/>
      <c r="BE173" s="1200"/>
      <c r="BF173" s="1200"/>
      <c r="BG173" s="1200"/>
      <c r="BH173" s="1200"/>
      <c r="BI173" s="1200"/>
      <c r="BJ173" s="1200"/>
      <c r="BK173" s="1200"/>
      <c r="BL173" s="1200"/>
      <c r="BM173" s="1200"/>
      <c r="BN173" s="1200"/>
      <c r="BO173" s="1200"/>
      <c r="BP173" s="1200"/>
      <c r="BQ173" s="1200"/>
      <c r="BR173" s="1200"/>
      <c r="BS173" s="1200"/>
      <c r="BT173" s="1200"/>
      <c r="BU173" s="1200"/>
      <c r="BV173" s="1200"/>
      <c r="BW173" s="1200">
        <f t="shared" si="115"/>
        <v>24</v>
      </c>
      <c r="BX173" s="1012"/>
      <c r="BY173" s="1200">
        <f t="shared" si="116"/>
        <v>24</v>
      </c>
      <c r="BZ173" s="1012">
        <f t="shared" si="87"/>
        <v>48</v>
      </c>
      <c r="CB173" s="1375" t="s">
        <v>3827</v>
      </c>
      <c r="CC173" s="1219">
        <f t="shared" si="117"/>
        <v>2112</v>
      </c>
      <c r="CE173" s="1009">
        <f t="shared" si="93"/>
        <v>1487948</v>
      </c>
    </row>
    <row r="174" s="1009" customFormat="1" ht="36" customHeight="1" spans="1:83">
      <c r="A174" s="540">
        <v>45826</v>
      </c>
      <c r="B174" s="1036" t="s">
        <v>350</v>
      </c>
      <c r="C174" s="1037" t="s">
        <v>351</v>
      </c>
      <c r="D174" s="1038">
        <v>4500168979</v>
      </c>
      <c r="E174" s="1333">
        <v>3501527807</v>
      </c>
      <c r="F174" s="1038" t="s">
        <v>3961</v>
      </c>
      <c r="G174" s="1040" t="s">
        <v>245</v>
      </c>
      <c r="H174" s="1041" t="s">
        <v>74</v>
      </c>
      <c r="I174" s="1012">
        <v>828</v>
      </c>
      <c r="J174" s="1087">
        <v>0</v>
      </c>
      <c r="K174" s="1040">
        <v>12</v>
      </c>
      <c r="L174" s="1012">
        <f t="shared" ref="L174:L237" si="119">I174/K174</f>
        <v>69</v>
      </c>
      <c r="M174" s="1079">
        <v>45860</v>
      </c>
      <c r="N174" s="1079">
        <v>45855</v>
      </c>
      <c r="O174" s="584" t="s">
        <v>3962</v>
      </c>
      <c r="P174" s="579" t="s">
        <v>1262</v>
      </c>
      <c r="Q174" s="579" t="s">
        <v>1939</v>
      </c>
      <c r="R174" s="584">
        <v>45826</v>
      </c>
      <c r="S174" s="584" t="s">
        <v>77</v>
      </c>
      <c r="T174" s="584" t="s">
        <v>3963</v>
      </c>
      <c r="U174" s="1298" t="s">
        <v>3964</v>
      </c>
      <c r="V174" s="1112" t="s">
        <v>3737</v>
      </c>
      <c r="W174" s="1113">
        <v>1.3648</v>
      </c>
      <c r="X174" s="1114">
        <f t="shared" ref="X174:X179" si="120">I174*W174</f>
        <v>1130.0544</v>
      </c>
      <c r="Y174" s="1012"/>
      <c r="Z174" s="1159" t="s">
        <v>249</v>
      </c>
      <c r="AA174" s="1150" t="s">
        <v>128</v>
      </c>
      <c r="AB174" s="1150"/>
      <c r="AC174" s="1151">
        <v>828</v>
      </c>
      <c r="AD174" s="1151">
        <f t="shared" si="118"/>
        <v>0</v>
      </c>
      <c r="AE174" s="1151"/>
      <c r="AF174" s="579"/>
      <c r="AG174" s="579"/>
      <c r="AH174" s="1151">
        <f t="shared" ref="AH174:AH179" si="121">I174</f>
        <v>828</v>
      </c>
      <c r="AI174" s="1151"/>
      <c r="AJ174" s="1151"/>
      <c r="AK174" s="1151"/>
      <c r="AL174" s="1151"/>
      <c r="AM174" s="1151"/>
      <c r="AN174" s="543"/>
      <c r="AO174" s="543"/>
      <c r="AP174" s="543"/>
      <c r="AQ174" s="543">
        <f t="shared" si="111"/>
        <v>828</v>
      </c>
      <c r="AR174" s="543"/>
      <c r="AS174" s="543"/>
      <c r="AT174" s="543"/>
      <c r="AU174" s="1310"/>
      <c r="AV174" s="543">
        <f>I174</f>
        <v>828</v>
      </c>
      <c r="AW174" s="543"/>
      <c r="AX174" s="543"/>
      <c r="AY174" s="543"/>
      <c r="AZ174" s="543"/>
      <c r="BA174" s="543"/>
      <c r="BB174" s="543"/>
      <c r="BC174" s="1200"/>
      <c r="BD174" s="1200"/>
      <c r="BE174" s="1200"/>
      <c r="BF174" s="1200"/>
      <c r="BG174" s="1200"/>
      <c r="BH174" s="1200">
        <f>I174/12</f>
        <v>69</v>
      </c>
      <c r="BI174" s="1200"/>
      <c r="BJ174" s="1200"/>
      <c r="BK174" s="1200"/>
      <c r="BL174" s="1200"/>
      <c r="BM174" s="1200"/>
      <c r="BN174" s="1200"/>
      <c r="BO174" s="1200"/>
      <c r="BP174" s="1200"/>
      <c r="BQ174" s="1200"/>
      <c r="BR174" s="1200"/>
      <c r="BS174" s="1200"/>
      <c r="BT174" s="1200"/>
      <c r="BU174" s="1200"/>
      <c r="BV174" s="1200"/>
      <c r="BW174" s="1200"/>
      <c r="BX174" s="1200"/>
      <c r="BY174" s="1200"/>
      <c r="BZ174" s="1012">
        <f t="shared" si="87"/>
        <v>828</v>
      </c>
      <c r="CB174" s="1219"/>
      <c r="CC174" s="1219"/>
      <c r="CE174" s="1009">
        <f t="shared" si="93"/>
        <v>1487120</v>
      </c>
    </row>
    <row r="175" s="1009" customFormat="1" ht="36" customHeight="1" spans="1:83">
      <c r="A175" s="540">
        <v>45793</v>
      </c>
      <c r="B175" s="1036" t="s">
        <v>1210</v>
      </c>
      <c r="C175" s="1037" t="s">
        <v>1211</v>
      </c>
      <c r="D175" s="1038">
        <v>4500166796</v>
      </c>
      <c r="E175" s="1334" t="s">
        <v>3965</v>
      </c>
      <c r="F175" s="1038" t="s">
        <v>3966</v>
      </c>
      <c r="G175" s="1040" t="s">
        <v>96</v>
      </c>
      <c r="H175" s="1041" t="s">
        <v>74</v>
      </c>
      <c r="I175" s="1012">
        <v>4600</v>
      </c>
      <c r="J175" s="1087">
        <v>0</v>
      </c>
      <c r="K175" s="1040">
        <v>50</v>
      </c>
      <c r="L175" s="1012">
        <f t="shared" si="119"/>
        <v>92</v>
      </c>
      <c r="M175" s="1079">
        <v>45859</v>
      </c>
      <c r="N175" s="1079">
        <v>45857</v>
      </c>
      <c r="O175" s="579" t="s">
        <v>3967</v>
      </c>
      <c r="P175" s="579" t="s">
        <v>92</v>
      </c>
      <c r="Q175" s="579"/>
      <c r="R175" s="579">
        <v>45821</v>
      </c>
      <c r="S175" s="578" t="s">
        <v>77</v>
      </c>
      <c r="T175" s="695" t="s">
        <v>3968</v>
      </c>
      <c r="U175" s="1039" t="s">
        <v>3969</v>
      </c>
      <c r="V175" s="1112" t="s">
        <v>618</v>
      </c>
      <c r="W175" s="1113">
        <v>1.4048</v>
      </c>
      <c r="X175" s="1114">
        <f t="shared" si="120"/>
        <v>6462.08</v>
      </c>
      <c r="Y175" s="1012"/>
      <c r="Z175" s="1159" t="s">
        <v>292</v>
      </c>
      <c r="AA175" s="1150" t="s">
        <v>128</v>
      </c>
      <c r="AB175" s="1150"/>
      <c r="AC175" s="1151">
        <f>100+4500</f>
        <v>4600</v>
      </c>
      <c r="AD175" s="1151">
        <f t="shared" si="118"/>
        <v>0</v>
      </c>
      <c r="AE175" s="1151"/>
      <c r="AF175" s="579"/>
      <c r="AG175" s="579"/>
      <c r="AH175" s="1151">
        <f t="shared" si="121"/>
        <v>4600</v>
      </c>
      <c r="AI175" s="1151"/>
      <c r="AJ175" s="1151"/>
      <c r="AK175" s="1151"/>
      <c r="AL175" s="1151"/>
      <c r="AM175" s="1151"/>
      <c r="AN175" s="543"/>
      <c r="AP175" s="543"/>
      <c r="AQ175" s="543">
        <f t="shared" ref="AQ175:AQ179" si="122">I175</f>
        <v>4600</v>
      </c>
      <c r="AR175" s="543"/>
      <c r="AS175" s="543"/>
      <c r="AT175" s="543"/>
      <c r="AU175" s="543">
        <f t="shared" ref="AU175:AU179" si="123">I175</f>
        <v>4600</v>
      </c>
      <c r="AV175" s="543"/>
      <c r="AW175" s="543"/>
      <c r="AX175" s="543"/>
      <c r="AY175" s="543"/>
      <c r="AZ175" s="543"/>
      <c r="BA175" s="543"/>
      <c r="BB175" s="543"/>
      <c r="BC175" s="1200"/>
      <c r="BD175" s="1200"/>
      <c r="BE175" s="1200"/>
      <c r="BF175" s="1200"/>
      <c r="BG175" s="1200"/>
      <c r="BH175" s="1200"/>
      <c r="BI175" s="1200"/>
      <c r="BJ175" s="1200"/>
      <c r="BK175" s="1200"/>
      <c r="BL175" s="1200"/>
      <c r="BM175" s="1200"/>
      <c r="BN175" s="1200">
        <f t="shared" ref="BN175:BN179" si="124">I175/25</f>
        <v>184</v>
      </c>
      <c r="BO175" s="1200"/>
      <c r="BP175" s="1200"/>
      <c r="BQ175" s="1200"/>
      <c r="BR175" s="1200"/>
      <c r="BS175" s="1200"/>
      <c r="BT175" s="1200"/>
      <c r="BU175" s="1200"/>
      <c r="BV175" s="1200"/>
      <c r="BW175" s="1200"/>
      <c r="BX175" s="1200"/>
      <c r="BY175" s="1200"/>
      <c r="BZ175" s="1012">
        <f t="shared" si="87"/>
        <v>4600</v>
      </c>
      <c r="CB175" s="1219"/>
      <c r="CC175" s="1219"/>
      <c r="CE175" s="1009">
        <f t="shared" si="93"/>
        <v>1482520</v>
      </c>
    </row>
    <row r="176" s="1009" customFormat="1" ht="36" customHeight="1" spans="1:83">
      <c r="A176" s="540">
        <v>45740</v>
      </c>
      <c r="B176" s="1036" t="s">
        <v>3913</v>
      </c>
      <c r="C176" s="1037" t="s">
        <v>117</v>
      </c>
      <c r="D176" s="1038">
        <v>4500161281</v>
      </c>
      <c r="E176" s="1039">
        <v>70057996</v>
      </c>
      <c r="F176" s="1038" t="s">
        <v>3970</v>
      </c>
      <c r="G176" s="1040" t="s">
        <v>628</v>
      </c>
      <c r="H176" s="1041" t="s">
        <v>623</v>
      </c>
      <c r="I176" s="1012">
        <v>504</v>
      </c>
      <c r="J176" s="1087">
        <v>0</v>
      </c>
      <c r="K176" s="1040">
        <v>12</v>
      </c>
      <c r="L176" s="1012">
        <f t="shared" si="119"/>
        <v>42</v>
      </c>
      <c r="M176" s="1079">
        <v>45856</v>
      </c>
      <c r="N176" s="1079">
        <v>45857</v>
      </c>
      <c r="O176" s="579"/>
      <c r="P176" s="579" t="s">
        <v>1262</v>
      </c>
      <c r="Q176" s="579" t="s">
        <v>1815</v>
      </c>
      <c r="R176" s="579">
        <v>45740</v>
      </c>
      <c r="S176" s="578" t="s">
        <v>77</v>
      </c>
      <c r="T176" s="695" t="s">
        <v>3971</v>
      </c>
      <c r="U176" s="1039" t="s">
        <v>3972</v>
      </c>
      <c r="V176" s="1112" t="s">
        <v>2458</v>
      </c>
      <c r="W176" s="1113">
        <v>3.1012</v>
      </c>
      <c r="X176" s="1114">
        <f t="shared" si="120"/>
        <v>1563.0048</v>
      </c>
      <c r="Y176" s="1012"/>
      <c r="Z176" s="1159" t="s">
        <v>822</v>
      </c>
      <c r="AA176" s="1150" t="s">
        <v>128</v>
      </c>
      <c r="AB176" s="1150"/>
      <c r="AC176" s="1151">
        <v>504</v>
      </c>
      <c r="AD176" s="1151">
        <f t="shared" si="118"/>
        <v>0</v>
      </c>
      <c r="AE176" s="1151"/>
      <c r="AF176" s="579"/>
      <c r="AG176" s="579"/>
      <c r="AH176" s="1151">
        <f>I176*2</f>
        <v>1008</v>
      </c>
      <c r="AI176" s="1151"/>
      <c r="AJ176" s="1151"/>
      <c r="AK176" s="1151"/>
      <c r="AL176" s="1176"/>
      <c r="AM176" s="1176"/>
      <c r="AO176" s="543"/>
      <c r="AP176" s="543">
        <f>AH176</f>
        <v>1008</v>
      </c>
      <c r="AQ176" s="543"/>
      <c r="AR176" s="543"/>
      <c r="AS176" s="543"/>
      <c r="AT176" s="543"/>
      <c r="AU176" s="1310">
        <f>AH176</f>
        <v>1008</v>
      </c>
      <c r="AV176" s="1310"/>
      <c r="AW176" s="543"/>
      <c r="AX176" s="543"/>
      <c r="AY176" s="543"/>
      <c r="AZ176" s="543"/>
      <c r="BA176" s="543"/>
      <c r="BB176" s="543"/>
      <c r="BC176" s="1200"/>
      <c r="BD176" s="1200"/>
      <c r="BE176" s="1200"/>
      <c r="BF176" s="1200"/>
      <c r="BG176" s="1200"/>
      <c r="BH176" s="1200"/>
      <c r="BI176" s="1200"/>
      <c r="BJ176" s="1200"/>
      <c r="BK176" s="1200"/>
      <c r="BL176" s="1200"/>
      <c r="BM176" s="1200"/>
      <c r="BN176" s="1200"/>
      <c r="BO176" s="1200"/>
      <c r="BP176" s="1200"/>
      <c r="BQ176" s="1200"/>
      <c r="BR176" s="1200"/>
      <c r="BS176" s="1200"/>
      <c r="BT176" s="1200"/>
      <c r="BU176" s="1200"/>
      <c r="BV176" s="1200"/>
      <c r="BW176" s="1200">
        <f>I176</f>
        <v>504</v>
      </c>
      <c r="BX176" s="1200">
        <f>BW176</f>
        <v>504</v>
      </c>
      <c r="BY176" s="1200"/>
      <c r="BZ176" s="1012">
        <f t="shared" si="87"/>
        <v>1008</v>
      </c>
      <c r="CB176" s="1219"/>
      <c r="CC176" s="1219"/>
      <c r="CE176" s="1009">
        <f t="shared" si="93"/>
        <v>1481512</v>
      </c>
    </row>
    <row r="177" s="1009" customFormat="1" ht="36" customHeight="1" spans="1:83">
      <c r="A177" s="540">
        <v>45775</v>
      </c>
      <c r="B177" s="1036" t="s">
        <v>1118</v>
      </c>
      <c r="C177" s="1037" t="s">
        <v>1119</v>
      </c>
      <c r="D177" s="1038">
        <v>4500160470</v>
      </c>
      <c r="E177" s="1333">
        <v>300565974</v>
      </c>
      <c r="F177" s="1038" t="s">
        <v>3973</v>
      </c>
      <c r="G177" s="1040" t="s">
        <v>877</v>
      </c>
      <c r="H177" s="1041" t="s">
        <v>1165</v>
      </c>
      <c r="I177" s="1078">
        <v>600</v>
      </c>
      <c r="J177" s="1078">
        <v>0</v>
      </c>
      <c r="K177" s="1078">
        <v>25</v>
      </c>
      <c r="L177" s="1078">
        <f t="shared" si="119"/>
        <v>24</v>
      </c>
      <c r="M177" s="1079">
        <v>45861</v>
      </c>
      <c r="N177" s="1079">
        <f>M177-4</f>
        <v>45857</v>
      </c>
      <c r="O177" s="579" t="s">
        <v>3974</v>
      </c>
      <c r="P177" s="579" t="s">
        <v>92</v>
      </c>
      <c r="Q177" s="579" t="s">
        <v>3975</v>
      </c>
      <c r="R177" s="579">
        <v>45775</v>
      </c>
      <c r="S177" s="578" t="s">
        <v>77</v>
      </c>
      <c r="T177" s="695" t="s">
        <v>3976</v>
      </c>
      <c r="U177" s="1298" t="s">
        <v>3977</v>
      </c>
      <c r="V177" s="1112" t="s">
        <v>3630</v>
      </c>
      <c r="W177" s="1113">
        <v>1.4405</v>
      </c>
      <c r="X177" s="1114">
        <f t="shared" si="120"/>
        <v>864.3</v>
      </c>
      <c r="Y177" s="1363" t="s">
        <v>3978</v>
      </c>
      <c r="Z177" s="1159" t="s">
        <v>877</v>
      </c>
      <c r="AA177" s="1150" t="s">
        <v>128</v>
      </c>
      <c r="AB177" s="1150"/>
      <c r="AC177" s="1151">
        <v>600</v>
      </c>
      <c r="AD177" s="1151">
        <f t="shared" si="118"/>
        <v>0</v>
      </c>
      <c r="AE177" s="1151"/>
      <c r="AF177" s="579"/>
      <c r="AG177" s="579"/>
      <c r="AH177" s="1151"/>
      <c r="AI177" s="1151">
        <f>I177</f>
        <v>600</v>
      </c>
      <c r="AJ177" s="1151"/>
      <c r="AK177" s="1151"/>
      <c r="AL177" s="1151"/>
      <c r="AM177" s="1151"/>
      <c r="AN177" s="543"/>
      <c r="AP177" s="543"/>
      <c r="AQ177" s="543">
        <f t="shared" si="122"/>
        <v>600</v>
      </c>
      <c r="AR177" s="543"/>
      <c r="AS177" s="543"/>
      <c r="AT177" s="543"/>
      <c r="AU177" s="543">
        <f t="shared" si="123"/>
        <v>600</v>
      </c>
      <c r="AV177" s="543"/>
      <c r="AW177" s="543"/>
      <c r="AX177" s="543"/>
      <c r="AY177" s="543"/>
      <c r="AZ177" s="543"/>
      <c r="BA177" s="543"/>
      <c r="BB177" s="543"/>
      <c r="BC177" s="1200"/>
      <c r="BD177" s="1200"/>
      <c r="BE177" s="1200"/>
      <c r="BF177" s="1200"/>
      <c r="BG177" s="1200"/>
      <c r="BH177" s="1200"/>
      <c r="BI177" s="1200"/>
      <c r="BJ177" s="1200"/>
      <c r="BK177" s="1200"/>
      <c r="BL177" s="1200"/>
      <c r="BM177" s="1200"/>
      <c r="BN177" s="1200">
        <f t="shared" si="124"/>
        <v>24</v>
      </c>
      <c r="BO177" s="1200"/>
      <c r="BP177" s="1200"/>
      <c r="BQ177" s="1200"/>
      <c r="BR177" s="1200"/>
      <c r="BS177" s="1200"/>
      <c r="BT177" s="1200"/>
      <c r="BU177" s="1200"/>
      <c r="BV177" s="1200"/>
      <c r="BW177" s="1200"/>
      <c r="BX177" s="1200"/>
      <c r="BY177" s="1200"/>
      <c r="BZ177" s="1012">
        <f t="shared" si="87"/>
        <v>600</v>
      </c>
      <c r="CB177" s="1219"/>
      <c r="CC177" s="1219"/>
      <c r="CE177" s="1009">
        <f t="shared" si="93"/>
        <v>1480912</v>
      </c>
    </row>
    <row r="178" s="1009" customFormat="1" ht="36" customHeight="1" spans="1:83">
      <c r="A178" s="540">
        <v>45771</v>
      </c>
      <c r="B178" s="1036" t="s">
        <v>3979</v>
      </c>
      <c r="C178" s="1037" t="s">
        <v>1211</v>
      </c>
      <c r="D178" s="1038">
        <v>4500159848</v>
      </c>
      <c r="E178" s="1039" t="s">
        <v>3980</v>
      </c>
      <c r="F178" s="1038" t="s">
        <v>3981</v>
      </c>
      <c r="G178" s="1040" t="s">
        <v>96</v>
      </c>
      <c r="H178" s="1041" t="s">
        <v>74</v>
      </c>
      <c r="I178" s="1012">
        <v>250</v>
      </c>
      <c r="J178" s="1087">
        <v>0</v>
      </c>
      <c r="K178" s="1040">
        <v>50</v>
      </c>
      <c r="L178" s="1012">
        <f t="shared" si="119"/>
        <v>5</v>
      </c>
      <c r="M178" s="1079">
        <v>45859</v>
      </c>
      <c r="N178" s="1079">
        <v>45859</v>
      </c>
      <c r="O178" s="579" t="s">
        <v>3982</v>
      </c>
      <c r="P178" s="579" t="s">
        <v>1262</v>
      </c>
      <c r="Q178" s="579" t="s">
        <v>1881</v>
      </c>
      <c r="R178" s="579">
        <v>45821</v>
      </c>
      <c r="S178" s="578" t="s">
        <v>77</v>
      </c>
      <c r="T178" s="695" t="s">
        <v>3983</v>
      </c>
      <c r="U178" s="1039" t="s">
        <v>3984</v>
      </c>
      <c r="V178" s="1112" t="s">
        <v>618</v>
      </c>
      <c r="W178" s="1113">
        <v>1.4395</v>
      </c>
      <c r="X178" s="1114">
        <f t="shared" si="120"/>
        <v>359.875</v>
      </c>
      <c r="Y178" s="1012" t="s">
        <v>3985</v>
      </c>
      <c r="Z178" s="1159" t="s">
        <v>292</v>
      </c>
      <c r="AA178" s="1150" t="s">
        <v>128</v>
      </c>
      <c r="AB178" s="1150"/>
      <c r="AC178" s="1151">
        <v>250</v>
      </c>
      <c r="AD178" s="1151">
        <f t="shared" si="118"/>
        <v>0</v>
      </c>
      <c r="AE178" s="1151"/>
      <c r="AF178" s="579"/>
      <c r="AG178" s="579"/>
      <c r="AH178" s="1151">
        <f t="shared" si="121"/>
        <v>250</v>
      </c>
      <c r="AI178" s="1151"/>
      <c r="AJ178" s="1151"/>
      <c r="AK178" s="1151"/>
      <c r="AL178" s="1151"/>
      <c r="AM178" s="1151"/>
      <c r="AN178" s="543"/>
      <c r="AP178" s="543"/>
      <c r="AQ178" s="543">
        <f t="shared" si="122"/>
        <v>250</v>
      </c>
      <c r="AR178" s="543"/>
      <c r="AS178" s="543"/>
      <c r="AT178" s="543"/>
      <c r="AU178" s="543">
        <f t="shared" si="123"/>
        <v>250</v>
      </c>
      <c r="AV178" s="543"/>
      <c r="AW178" s="543"/>
      <c r="AX178" s="543"/>
      <c r="AY178" s="543"/>
      <c r="AZ178" s="543"/>
      <c r="BA178" s="543"/>
      <c r="BB178" s="543"/>
      <c r="BC178" s="1200"/>
      <c r="BD178" s="1200"/>
      <c r="BE178" s="1200"/>
      <c r="BF178" s="1200"/>
      <c r="BG178" s="1200"/>
      <c r="BH178" s="1200"/>
      <c r="BI178" s="1200"/>
      <c r="BJ178" s="1200"/>
      <c r="BK178" s="1200"/>
      <c r="BL178" s="1200"/>
      <c r="BM178" s="1200"/>
      <c r="BN178" s="1200">
        <f t="shared" si="124"/>
        <v>10</v>
      </c>
      <c r="BO178" s="1200"/>
      <c r="BP178" s="1200"/>
      <c r="BQ178" s="1200"/>
      <c r="BR178" s="1200"/>
      <c r="BS178" s="1200"/>
      <c r="BT178" s="1200"/>
      <c r="BU178" s="1200"/>
      <c r="BV178" s="1200"/>
      <c r="BW178" s="1200"/>
      <c r="BX178" s="1200"/>
      <c r="BY178" s="1200"/>
      <c r="BZ178" s="1012">
        <f t="shared" si="87"/>
        <v>250</v>
      </c>
      <c r="CB178" s="1219"/>
      <c r="CC178" s="1219"/>
      <c r="CE178" s="1009">
        <f t="shared" si="93"/>
        <v>1480662</v>
      </c>
    </row>
    <row r="179" s="1009" customFormat="1" ht="36" customHeight="1" spans="1:83">
      <c r="A179" s="1047">
        <v>45818</v>
      </c>
      <c r="B179" s="1048" t="s">
        <v>3187</v>
      </c>
      <c r="C179" s="1049" t="s">
        <v>3188</v>
      </c>
      <c r="D179" s="1050">
        <v>4500169604</v>
      </c>
      <c r="E179" s="1333"/>
      <c r="F179" s="1050" t="s">
        <v>3986</v>
      </c>
      <c r="G179" s="1052" t="s">
        <v>96</v>
      </c>
      <c r="H179" s="1053" t="s">
        <v>74</v>
      </c>
      <c r="I179" s="1011">
        <v>250</v>
      </c>
      <c r="J179" s="1085">
        <v>0</v>
      </c>
      <c r="K179" s="1052">
        <v>50</v>
      </c>
      <c r="L179" s="1011">
        <f t="shared" si="119"/>
        <v>5</v>
      </c>
      <c r="M179" s="1086">
        <v>45863</v>
      </c>
      <c r="N179" s="1086">
        <v>45859</v>
      </c>
      <c r="O179" s="707"/>
      <c r="P179" s="707" t="s">
        <v>1262</v>
      </c>
      <c r="Q179" s="707" t="s">
        <v>3987</v>
      </c>
      <c r="R179" s="707">
        <v>45832</v>
      </c>
      <c r="S179" s="1122" t="s">
        <v>77</v>
      </c>
      <c r="T179" s="1351" t="s">
        <v>3988</v>
      </c>
      <c r="U179" s="1298" t="s">
        <v>3989</v>
      </c>
      <c r="V179" s="1124" t="s">
        <v>618</v>
      </c>
      <c r="W179" s="1125">
        <v>1.393</v>
      </c>
      <c r="X179" s="1126">
        <f t="shared" si="120"/>
        <v>348.25</v>
      </c>
      <c r="Y179" s="1011" t="s">
        <v>3990</v>
      </c>
      <c r="Z179" s="1156" t="s">
        <v>292</v>
      </c>
      <c r="AA179" s="1157" t="s">
        <v>128</v>
      </c>
      <c r="AB179" s="1157"/>
      <c r="AC179" s="1158">
        <v>250</v>
      </c>
      <c r="AD179" s="1151">
        <f t="shared" si="118"/>
        <v>0</v>
      </c>
      <c r="AE179" s="1158"/>
      <c r="AF179" s="707"/>
      <c r="AG179" s="707"/>
      <c r="AH179" s="1158">
        <f t="shared" si="121"/>
        <v>250</v>
      </c>
      <c r="AI179" s="1158"/>
      <c r="AJ179" s="1158"/>
      <c r="AK179" s="1158"/>
      <c r="AL179" s="1158"/>
      <c r="AM179" s="1158"/>
      <c r="AN179" s="1193"/>
      <c r="AP179" s="1193"/>
      <c r="AQ179" s="1193">
        <f t="shared" si="122"/>
        <v>250</v>
      </c>
      <c r="AR179" s="1193"/>
      <c r="AS179" s="1193"/>
      <c r="AT179" s="1193"/>
      <c r="AU179" s="1193">
        <f t="shared" si="123"/>
        <v>250</v>
      </c>
      <c r="AV179" s="1193"/>
      <c r="AW179" s="1193"/>
      <c r="AX179" s="1193"/>
      <c r="AY179" s="1193"/>
      <c r="AZ179" s="1193"/>
      <c r="BA179" s="1193"/>
      <c r="BB179" s="1193"/>
      <c r="BC179" s="1202"/>
      <c r="BD179" s="1202"/>
      <c r="BE179" s="1202"/>
      <c r="BF179" s="1202"/>
      <c r="BG179" s="1202"/>
      <c r="BH179" s="1202"/>
      <c r="BI179" s="1202"/>
      <c r="BJ179" s="1202"/>
      <c r="BK179" s="1202"/>
      <c r="BL179" s="1202"/>
      <c r="BM179" s="1202"/>
      <c r="BN179" s="1202">
        <f t="shared" si="124"/>
        <v>10</v>
      </c>
      <c r="BO179" s="1202"/>
      <c r="BP179" s="1202"/>
      <c r="BQ179" s="1202"/>
      <c r="BR179" s="1202"/>
      <c r="BS179" s="1202"/>
      <c r="BT179" s="1202"/>
      <c r="BU179" s="1202"/>
      <c r="BV179" s="1202"/>
      <c r="BW179" s="1202"/>
      <c r="BX179" s="1202"/>
      <c r="BY179" s="1202"/>
      <c r="BZ179" s="1012">
        <f t="shared" si="87"/>
        <v>250</v>
      </c>
      <c r="CB179" s="1219"/>
      <c r="CC179" s="1219"/>
      <c r="CE179" s="1009">
        <f t="shared" si="93"/>
        <v>1480412</v>
      </c>
    </row>
    <row r="180" s="1012" customFormat="1" ht="36" customHeight="1" spans="1:83">
      <c r="A180" s="540">
        <v>45825</v>
      </c>
      <c r="B180" s="1036" t="s">
        <v>3991</v>
      </c>
      <c r="C180" s="1037" t="s">
        <v>117</v>
      </c>
      <c r="D180" s="1038">
        <v>4500170342</v>
      </c>
      <c r="E180" s="1325" t="s">
        <v>3992</v>
      </c>
      <c r="F180" s="1038" t="s">
        <v>3993</v>
      </c>
      <c r="G180" s="1040" t="s">
        <v>628</v>
      </c>
      <c r="H180" s="1041" t="s">
        <v>623</v>
      </c>
      <c r="I180" s="1012">
        <v>2496</v>
      </c>
      <c r="J180" s="1087">
        <v>0</v>
      </c>
      <c r="K180" s="1040">
        <v>12</v>
      </c>
      <c r="L180" s="1012">
        <f t="shared" si="119"/>
        <v>208</v>
      </c>
      <c r="M180" s="1079">
        <v>45863</v>
      </c>
      <c r="N180" s="1079">
        <v>45859</v>
      </c>
      <c r="O180" s="579" t="s">
        <v>3994</v>
      </c>
      <c r="P180" s="579" t="s">
        <v>1262</v>
      </c>
      <c r="Q180" s="579" t="s">
        <v>3995</v>
      </c>
      <c r="R180" s="579">
        <v>45825</v>
      </c>
      <c r="S180" s="578" t="s">
        <v>123</v>
      </c>
      <c r="T180" s="578" t="s">
        <v>3996</v>
      </c>
      <c r="U180" s="1111" t="s">
        <v>3997</v>
      </c>
      <c r="V180" s="1112" t="s">
        <v>396</v>
      </c>
      <c r="W180" s="1113">
        <v>1.8222</v>
      </c>
      <c r="X180" s="1114">
        <f>W180*I180</f>
        <v>4548.2112</v>
      </c>
      <c r="Y180" s="1012" t="s">
        <v>3998</v>
      </c>
      <c r="Z180" s="1364" t="s">
        <v>628</v>
      </c>
      <c r="AA180" s="1150" t="s">
        <v>2723</v>
      </c>
      <c r="AB180" s="1150"/>
      <c r="AC180" s="1151"/>
      <c r="AD180" s="1151">
        <f t="shared" si="118"/>
        <v>-2496</v>
      </c>
      <c r="AE180" s="1151"/>
      <c r="AF180" s="579"/>
      <c r="AG180" s="579"/>
      <c r="AH180" s="1151">
        <f>I180*2</f>
        <v>4992</v>
      </c>
      <c r="AI180" s="1151"/>
      <c r="AJ180" s="1151"/>
      <c r="AK180" s="1366">
        <f>AH180</f>
        <v>4992</v>
      </c>
      <c r="AL180" s="1366"/>
      <c r="AM180" s="1366"/>
      <c r="AN180" s="543"/>
      <c r="AO180" s="543"/>
      <c r="AP180" s="543"/>
      <c r="AQ180" s="543"/>
      <c r="AR180" s="543"/>
      <c r="AS180" s="543"/>
      <c r="AT180" s="543"/>
      <c r="AU180" s="1194">
        <f>AH180</f>
        <v>4992</v>
      </c>
      <c r="AV180" s="543"/>
      <c r="AW180" s="543"/>
      <c r="AX180" s="543"/>
      <c r="AY180" s="543"/>
      <c r="AZ180" s="543"/>
      <c r="BA180" s="543"/>
      <c r="BB180" s="543"/>
      <c r="BC180" s="1200"/>
      <c r="BD180" s="1200"/>
      <c r="BE180" s="1200"/>
      <c r="BF180" s="1200"/>
      <c r="BG180" s="1200"/>
      <c r="BH180" s="1200"/>
      <c r="BI180" s="1200"/>
      <c r="BJ180" s="1200"/>
      <c r="BK180" s="1200"/>
      <c r="BL180" s="1200"/>
      <c r="BM180" s="1200"/>
      <c r="BN180" s="1200"/>
      <c r="BO180" s="1200"/>
      <c r="BP180" s="1200"/>
      <c r="BQ180" s="1200"/>
      <c r="BR180" s="1200"/>
      <c r="BS180" s="1200"/>
      <c r="BT180" s="1200"/>
      <c r="BU180" s="1200"/>
      <c r="BV180" s="1200"/>
      <c r="BW180" s="1222">
        <f>I180</f>
        <v>2496</v>
      </c>
      <c r="BX180" s="1222">
        <f>I180</f>
        <v>2496</v>
      </c>
      <c r="BY180" s="1222"/>
      <c r="BZ180" s="1012">
        <f t="shared" si="87"/>
        <v>4992</v>
      </c>
      <c r="CB180" s="1224"/>
      <c r="CC180" s="1224"/>
      <c r="CE180" s="1009">
        <f t="shared" si="93"/>
        <v>1475420</v>
      </c>
    </row>
    <row r="181" s="1012" customFormat="1" ht="36" customHeight="1" spans="1:83">
      <c r="A181" s="540">
        <v>45834</v>
      </c>
      <c r="B181" s="1036" t="s">
        <v>3269</v>
      </c>
      <c r="C181" s="1037" t="s">
        <v>3188</v>
      </c>
      <c r="D181" s="1038">
        <v>4500169751</v>
      </c>
      <c r="E181" s="1325"/>
      <c r="F181" s="1038" t="s">
        <v>3999</v>
      </c>
      <c r="G181" s="1040" t="s">
        <v>403</v>
      </c>
      <c r="H181" s="1041" t="s">
        <v>74</v>
      </c>
      <c r="I181" s="1012">
        <v>312</v>
      </c>
      <c r="J181" s="1087">
        <v>0</v>
      </c>
      <c r="K181" s="1040">
        <v>52</v>
      </c>
      <c r="L181" s="1012">
        <f t="shared" si="119"/>
        <v>6</v>
      </c>
      <c r="M181" s="1079">
        <v>45863</v>
      </c>
      <c r="N181" s="1079">
        <v>45859</v>
      </c>
      <c r="O181" s="579"/>
      <c r="P181" s="579" t="s">
        <v>1262</v>
      </c>
      <c r="Q181" s="579" t="s">
        <v>4000</v>
      </c>
      <c r="R181" s="579">
        <v>45835</v>
      </c>
      <c r="S181" s="1122" t="s">
        <v>77</v>
      </c>
      <c r="T181" s="578" t="s">
        <v>4001</v>
      </c>
      <c r="U181" s="1111" t="s">
        <v>4002</v>
      </c>
      <c r="V181" s="1112" t="s">
        <v>618</v>
      </c>
      <c r="W181" s="1113">
        <v>1.3805</v>
      </c>
      <c r="X181" s="1114">
        <f t="shared" ref="X181:X186" si="125">I181*W181</f>
        <v>430.716</v>
      </c>
      <c r="Y181" s="1012" t="s">
        <v>4003</v>
      </c>
      <c r="Z181" s="1159" t="s">
        <v>2321</v>
      </c>
      <c r="AA181" s="1150" t="s">
        <v>128</v>
      </c>
      <c r="AB181" s="1150"/>
      <c r="AC181" s="1151">
        <f>312</f>
        <v>312</v>
      </c>
      <c r="AD181" s="1151">
        <f t="shared" si="118"/>
        <v>0</v>
      </c>
      <c r="AE181" s="1151"/>
      <c r="AF181" s="579"/>
      <c r="AG181" s="579"/>
      <c r="AH181" s="1151">
        <f t="shared" ref="AH181:AH186" si="126">I181</f>
        <v>312</v>
      </c>
      <c r="AI181" s="1151"/>
      <c r="AJ181" s="1151"/>
      <c r="AK181" s="1151"/>
      <c r="AL181" s="1151"/>
      <c r="AM181" s="1151"/>
      <c r="AN181" s="543"/>
      <c r="AP181" s="543"/>
      <c r="AQ181" s="543">
        <f t="shared" ref="AQ181:AQ186" si="127">I181</f>
        <v>312</v>
      </c>
      <c r="AR181" s="543"/>
      <c r="AS181" s="543"/>
      <c r="AT181" s="543"/>
      <c r="AU181" s="1310">
        <f t="shared" ref="AU181:AU186" si="128">I181</f>
        <v>312</v>
      </c>
      <c r="AV181" s="543"/>
      <c r="AW181" s="543"/>
      <c r="AX181" s="543"/>
      <c r="AY181" s="543"/>
      <c r="AZ181" s="543"/>
      <c r="BA181" s="543"/>
      <c r="BB181" s="543"/>
      <c r="BC181" s="1200"/>
      <c r="BD181" s="1200"/>
      <c r="BE181" s="1200"/>
      <c r="BF181" s="1200"/>
      <c r="BG181" s="1200"/>
      <c r="BH181" s="1200"/>
      <c r="BI181" s="1200"/>
      <c r="BJ181" s="1200">
        <f>I181/13</f>
        <v>24</v>
      </c>
      <c r="BK181" s="1200"/>
      <c r="BL181" s="1200"/>
      <c r="BM181" s="1200"/>
      <c r="BN181" s="1200"/>
      <c r="BO181" s="1200"/>
      <c r="BP181" s="1200"/>
      <c r="BQ181" s="1200"/>
      <c r="BR181" s="1200"/>
      <c r="BS181" s="1200"/>
      <c r="BT181" s="1200"/>
      <c r="BU181" s="1200"/>
      <c r="BV181" s="1200"/>
      <c r="BW181" s="1222"/>
      <c r="BX181" s="1222"/>
      <c r="BY181" s="1222"/>
      <c r="BZ181" s="1012">
        <f t="shared" si="87"/>
        <v>312</v>
      </c>
      <c r="CB181" s="1224"/>
      <c r="CC181" s="1224"/>
      <c r="CE181" s="1009">
        <f t="shared" si="93"/>
        <v>1475108</v>
      </c>
    </row>
    <row r="182" s="1009" customFormat="1" ht="36" customHeight="1" spans="1:83">
      <c r="A182" s="1335">
        <v>45813</v>
      </c>
      <c r="B182" s="1336" t="s">
        <v>3991</v>
      </c>
      <c r="C182" s="1337" t="s">
        <v>117</v>
      </c>
      <c r="D182" s="1338">
        <v>4500168994</v>
      </c>
      <c r="E182" s="1333" t="s">
        <v>4004</v>
      </c>
      <c r="F182" s="1338" t="s">
        <v>4005</v>
      </c>
      <c r="G182" s="1339" t="s">
        <v>628</v>
      </c>
      <c r="H182" s="1340" t="s">
        <v>623</v>
      </c>
      <c r="I182" s="1256">
        <v>204</v>
      </c>
      <c r="J182" s="1346">
        <v>0</v>
      </c>
      <c r="K182" s="1339">
        <v>12</v>
      </c>
      <c r="L182" s="1256">
        <f t="shared" si="119"/>
        <v>17</v>
      </c>
      <c r="M182" s="1347">
        <v>45866</v>
      </c>
      <c r="N182" s="1347">
        <v>45862</v>
      </c>
      <c r="O182" s="1348" t="s">
        <v>3994</v>
      </c>
      <c r="P182" s="1348" t="s">
        <v>1262</v>
      </c>
      <c r="Q182" s="1348" t="s">
        <v>4006</v>
      </c>
      <c r="R182" s="1348">
        <v>45813</v>
      </c>
      <c r="S182" s="1352" t="s">
        <v>123</v>
      </c>
      <c r="T182" s="1123" t="s">
        <v>4007</v>
      </c>
      <c r="U182" s="1298" t="s">
        <v>3997</v>
      </c>
      <c r="V182" s="1353" t="s">
        <v>3759</v>
      </c>
      <c r="W182" s="1354">
        <v>3.037</v>
      </c>
      <c r="X182" s="1355">
        <f t="shared" si="125"/>
        <v>619.548</v>
      </c>
      <c r="Y182" s="1256"/>
      <c r="Z182" s="1364" t="s">
        <v>628</v>
      </c>
      <c r="AA182" s="1365" t="s">
        <v>128</v>
      </c>
      <c r="AB182" s="1365"/>
      <c r="AC182" s="1366"/>
      <c r="AD182" s="1151">
        <f t="shared" si="118"/>
        <v>-204</v>
      </c>
      <c r="AE182" s="1366"/>
      <c r="AF182" s="1348"/>
      <c r="AG182" s="1348"/>
      <c r="AH182" s="1151">
        <f>I182*2</f>
        <v>408</v>
      </c>
      <c r="AI182" s="1366"/>
      <c r="AJ182" s="1366"/>
      <c r="AK182" s="1366">
        <f>AH182</f>
        <v>408</v>
      </c>
      <c r="AL182" s="1366"/>
      <c r="AM182" s="1366"/>
      <c r="AN182" s="1194"/>
      <c r="AO182" s="1194"/>
      <c r="AP182" s="1194"/>
      <c r="AQ182" s="1194"/>
      <c r="AR182" s="1194"/>
      <c r="AS182" s="1194"/>
      <c r="AT182" s="1194"/>
      <c r="AU182" s="1194">
        <f>AH182</f>
        <v>408</v>
      </c>
      <c r="AV182" s="1194"/>
      <c r="AW182" s="1194"/>
      <c r="AX182" s="1194"/>
      <c r="AY182" s="1194"/>
      <c r="AZ182" s="1194"/>
      <c r="BA182" s="1194"/>
      <c r="BB182" s="1194"/>
      <c r="BC182" s="1222"/>
      <c r="BD182" s="1222"/>
      <c r="BE182" s="1222"/>
      <c r="BF182" s="1222"/>
      <c r="BG182" s="1222"/>
      <c r="BH182" s="1222"/>
      <c r="BI182" s="1222"/>
      <c r="BJ182" s="1222"/>
      <c r="BK182" s="1222"/>
      <c r="BL182" s="1222"/>
      <c r="BM182" s="1222"/>
      <c r="BN182" s="1222"/>
      <c r="BO182" s="1222"/>
      <c r="BP182" s="1222"/>
      <c r="BQ182" s="1222"/>
      <c r="BR182" s="1222"/>
      <c r="BS182" s="1222"/>
      <c r="BT182" s="1222"/>
      <c r="BU182" s="1222"/>
      <c r="BV182" s="1222"/>
      <c r="BW182" s="1222">
        <f>I182</f>
        <v>204</v>
      </c>
      <c r="BX182" s="1222">
        <f>I182</f>
        <v>204</v>
      </c>
      <c r="BY182" s="1222"/>
      <c r="BZ182" s="1012">
        <f t="shared" ref="BZ182:BZ245" si="129">AH182+AI182+AJ182</f>
        <v>408</v>
      </c>
      <c r="CB182" s="1219"/>
      <c r="CC182" s="1219"/>
      <c r="CE182" s="1009">
        <f t="shared" si="93"/>
        <v>1474700</v>
      </c>
    </row>
    <row r="183" s="1012" customFormat="1" ht="36" customHeight="1" spans="1:83">
      <c r="A183" s="540">
        <v>45826</v>
      </c>
      <c r="B183" s="1036" t="s">
        <v>746</v>
      </c>
      <c r="C183" s="1037" t="s">
        <v>747</v>
      </c>
      <c r="D183" s="1038">
        <v>4500170399</v>
      </c>
      <c r="E183" s="1325" t="s">
        <v>4008</v>
      </c>
      <c r="F183" s="1038" t="s">
        <v>4009</v>
      </c>
      <c r="G183" s="1040" t="s">
        <v>96</v>
      </c>
      <c r="H183" s="1041" t="s">
        <v>74</v>
      </c>
      <c r="I183" s="1012">
        <v>1000</v>
      </c>
      <c r="J183" s="1087">
        <v>0</v>
      </c>
      <c r="K183" s="1040">
        <v>50</v>
      </c>
      <c r="L183" s="1012">
        <f t="shared" si="119"/>
        <v>20</v>
      </c>
      <c r="M183" s="1079">
        <v>45863</v>
      </c>
      <c r="N183" s="1079">
        <v>45859</v>
      </c>
      <c r="O183" s="579"/>
      <c r="P183" s="579" t="s">
        <v>1262</v>
      </c>
      <c r="Q183" s="579" t="s">
        <v>4010</v>
      </c>
      <c r="R183" s="579">
        <v>45826</v>
      </c>
      <c r="S183" s="1122" t="s">
        <v>77</v>
      </c>
      <c r="T183" s="578" t="s">
        <v>4011</v>
      </c>
      <c r="U183" s="1111" t="s">
        <v>4012</v>
      </c>
      <c r="V183" s="1112" t="s">
        <v>585</v>
      </c>
      <c r="W183" s="1113">
        <v>1.3881</v>
      </c>
      <c r="X183" s="1114">
        <f t="shared" si="125"/>
        <v>1388.1</v>
      </c>
      <c r="Y183" s="1012" t="s">
        <v>4013</v>
      </c>
      <c r="Z183" s="1159" t="s">
        <v>96</v>
      </c>
      <c r="AA183" s="1150" t="s">
        <v>128</v>
      </c>
      <c r="AB183" s="1150"/>
      <c r="AC183" s="1151">
        <v>1000</v>
      </c>
      <c r="AD183" s="1151">
        <f t="shared" si="118"/>
        <v>0</v>
      </c>
      <c r="AE183" s="1151"/>
      <c r="AF183" s="579"/>
      <c r="AG183" s="579"/>
      <c r="AH183" s="1151">
        <f t="shared" si="126"/>
        <v>1000</v>
      </c>
      <c r="AI183" s="1151"/>
      <c r="AJ183" s="1151"/>
      <c r="AK183" s="1151"/>
      <c r="AL183" s="1151"/>
      <c r="AM183" s="1151"/>
      <c r="AN183" s="543"/>
      <c r="AO183" s="543"/>
      <c r="AP183" s="543">
        <f>AH183</f>
        <v>1000</v>
      </c>
      <c r="AQ183" s="543"/>
      <c r="AR183" s="543"/>
      <c r="AS183" s="543"/>
      <c r="AT183" s="543"/>
      <c r="AU183" s="1193">
        <f t="shared" si="128"/>
        <v>1000</v>
      </c>
      <c r="AV183" s="543"/>
      <c r="AW183" s="543"/>
      <c r="AX183" s="543"/>
      <c r="AY183" s="543"/>
      <c r="AZ183" s="543"/>
      <c r="BA183" s="543"/>
      <c r="BB183" s="543"/>
      <c r="BC183" s="1200"/>
      <c r="BD183" s="1200"/>
      <c r="BE183" s="1200"/>
      <c r="BF183" s="1200"/>
      <c r="BG183" s="1200"/>
      <c r="BH183" s="1200"/>
      <c r="BI183" s="1200"/>
      <c r="BJ183" s="1200"/>
      <c r="BK183" s="1200"/>
      <c r="BL183" s="1200"/>
      <c r="BM183" s="1200">
        <f>I183/25</f>
        <v>40</v>
      </c>
      <c r="BN183" s="1200"/>
      <c r="BO183" s="1200"/>
      <c r="BP183" s="1200"/>
      <c r="BQ183" s="1200"/>
      <c r="BR183" s="1200"/>
      <c r="BS183" s="1200"/>
      <c r="BT183" s="1200"/>
      <c r="BU183" s="1200"/>
      <c r="BV183" s="1200"/>
      <c r="BW183" s="1200"/>
      <c r="BX183" s="1200"/>
      <c r="BY183" s="1200"/>
      <c r="BZ183" s="1012">
        <f t="shared" si="129"/>
        <v>1000</v>
      </c>
      <c r="CB183" s="1224"/>
      <c r="CC183" s="1224"/>
      <c r="CE183" s="1009">
        <f t="shared" si="93"/>
        <v>1473700</v>
      </c>
    </row>
    <row r="184" s="1012" customFormat="1" ht="36" customHeight="1" spans="1:83">
      <c r="A184" s="540">
        <v>45826</v>
      </c>
      <c r="B184" s="1036" t="s">
        <v>4014</v>
      </c>
      <c r="C184" s="1037" t="s">
        <v>286</v>
      </c>
      <c r="D184" s="1038">
        <v>4500170311</v>
      </c>
      <c r="E184" s="1325"/>
      <c r="F184" s="1038" t="s">
        <v>4015</v>
      </c>
      <c r="G184" s="1040" t="s">
        <v>96</v>
      </c>
      <c r="H184" s="1041" t="s">
        <v>74</v>
      </c>
      <c r="I184" s="1012">
        <v>650</v>
      </c>
      <c r="J184" s="1087">
        <v>0</v>
      </c>
      <c r="K184" s="1040">
        <v>50</v>
      </c>
      <c r="L184" s="1012">
        <f t="shared" si="119"/>
        <v>13</v>
      </c>
      <c r="M184" s="1079">
        <v>45870</v>
      </c>
      <c r="N184" s="1079">
        <v>45868</v>
      </c>
      <c r="O184" s="579" t="s">
        <v>4016</v>
      </c>
      <c r="P184" s="579" t="s">
        <v>1262</v>
      </c>
      <c r="Q184" s="579" t="s">
        <v>4017</v>
      </c>
      <c r="R184" s="707">
        <v>45840</v>
      </c>
      <c r="S184" s="1122" t="s">
        <v>77</v>
      </c>
      <c r="T184" s="578" t="s">
        <v>4018</v>
      </c>
      <c r="U184" s="1111" t="s">
        <v>4019</v>
      </c>
      <c r="V184" s="1112" t="s">
        <v>290</v>
      </c>
      <c r="W184" s="1113">
        <v>1.4097</v>
      </c>
      <c r="X184" s="1114">
        <f t="shared" si="125"/>
        <v>916.305</v>
      </c>
      <c r="Z184" s="1156" t="s">
        <v>292</v>
      </c>
      <c r="AA184" s="1150" t="s">
        <v>128</v>
      </c>
      <c r="AB184" s="1150"/>
      <c r="AC184" s="1151">
        <v>650</v>
      </c>
      <c r="AD184" s="1151">
        <f t="shared" si="118"/>
        <v>0</v>
      </c>
      <c r="AE184" s="1151"/>
      <c r="AF184" s="579"/>
      <c r="AG184" s="579"/>
      <c r="AH184" s="1151">
        <f t="shared" si="126"/>
        <v>650</v>
      </c>
      <c r="AI184" s="1151"/>
      <c r="AJ184" s="1151"/>
      <c r="AK184" s="1151"/>
      <c r="AL184" s="1151"/>
      <c r="AM184" s="1151"/>
      <c r="AN184" s="543"/>
      <c r="AO184" s="543"/>
      <c r="AP184" s="543"/>
      <c r="AQ184" s="543">
        <f t="shared" si="127"/>
        <v>650</v>
      </c>
      <c r="AR184" s="543"/>
      <c r="AS184" s="543"/>
      <c r="AT184" s="543"/>
      <c r="AU184" s="1193">
        <f t="shared" si="128"/>
        <v>650</v>
      </c>
      <c r="AV184" s="543"/>
      <c r="AW184" s="543"/>
      <c r="AX184" s="543"/>
      <c r="AY184" s="543"/>
      <c r="AZ184" s="543"/>
      <c r="BA184" s="543"/>
      <c r="BB184" s="543"/>
      <c r="BC184" s="1200"/>
      <c r="BD184" s="1200"/>
      <c r="BE184" s="1200"/>
      <c r="BF184" s="1200"/>
      <c r="BG184" s="1200"/>
      <c r="BH184" s="1200"/>
      <c r="BI184" s="1200"/>
      <c r="BJ184" s="1200"/>
      <c r="BK184" s="1200"/>
      <c r="BL184" s="1200"/>
      <c r="BM184" s="1200"/>
      <c r="BN184" s="1200">
        <f t="shared" ref="BN184:BN186" si="130">I184/25</f>
        <v>26</v>
      </c>
      <c r="BO184" s="1200"/>
      <c r="BP184" s="1200"/>
      <c r="BQ184" s="1200"/>
      <c r="BR184" s="1200"/>
      <c r="BS184" s="1200"/>
      <c r="BT184" s="1200"/>
      <c r="BU184" s="1200"/>
      <c r="BV184" s="1200"/>
      <c r="BW184" s="1200"/>
      <c r="BX184" s="1200"/>
      <c r="BY184" s="1200"/>
      <c r="BZ184" s="1012">
        <f t="shared" si="129"/>
        <v>650</v>
      </c>
      <c r="CB184" s="1224"/>
      <c r="CC184" s="1224"/>
      <c r="CE184" s="1009">
        <f t="shared" si="93"/>
        <v>1473050</v>
      </c>
    </row>
    <row r="185" s="1009" customFormat="1" ht="36" customHeight="1" spans="1:83">
      <c r="A185" s="540">
        <v>45826</v>
      </c>
      <c r="B185" s="1036" t="s">
        <v>4020</v>
      </c>
      <c r="C185" s="1037" t="s">
        <v>500</v>
      </c>
      <c r="D185" s="1038">
        <v>4500170062</v>
      </c>
      <c r="E185" s="1333">
        <v>2002651048</v>
      </c>
      <c r="F185" s="1038" t="s">
        <v>4021</v>
      </c>
      <c r="G185" s="1040" t="s">
        <v>96</v>
      </c>
      <c r="H185" s="1041" t="s">
        <v>74</v>
      </c>
      <c r="I185" s="1012">
        <v>3250</v>
      </c>
      <c r="J185" s="1087">
        <v>0</v>
      </c>
      <c r="K185" s="1040">
        <v>50</v>
      </c>
      <c r="L185" s="1012">
        <f t="shared" si="119"/>
        <v>65</v>
      </c>
      <c r="M185" s="1079">
        <v>45861</v>
      </c>
      <c r="N185" s="1079">
        <v>45864</v>
      </c>
      <c r="O185" s="579"/>
      <c r="P185" s="579" t="s">
        <v>92</v>
      </c>
      <c r="Q185" s="579" t="s">
        <v>1939</v>
      </c>
      <c r="R185" s="579">
        <v>45828</v>
      </c>
      <c r="S185" s="578"/>
      <c r="T185" s="695" t="s">
        <v>4022</v>
      </c>
      <c r="U185" s="1298" t="s">
        <v>4023</v>
      </c>
      <c r="V185" s="1112" t="s">
        <v>4024</v>
      </c>
      <c r="W185" s="1113">
        <v>1.3881</v>
      </c>
      <c r="X185" s="1114">
        <f t="shared" si="125"/>
        <v>4511.325</v>
      </c>
      <c r="Y185" s="1012"/>
      <c r="Z185" s="1159" t="s">
        <v>292</v>
      </c>
      <c r="AA185" s="1150" t="s">
        <v>128</v>
      </c>
      <c r="AB185" s="1150"/>
      <c r="AC185" s="1151">
        <v>3250</v>
      </c>
      <c r="AD185" s="1151">
        <f t="shared" si="118"/>
        <v>0</v>
      </c>
      <c r="AE185" s="1151"/>
      <c r="AF185" s="579"/>
      <c r="AG185" s="579"/>
      <c r="AH185" s="1151">
        <f t="shared" si="126"/>
        <v>3250</v>
      </c>
      <c r="AI185" s="1151"/>
      <c r="AJ185" s="1151"/>
      <c r="AK185" s="1151"/>
      <c r="AL185" s="1151"/>
      <c r="AM185" s="1151"/>
      <c r="AN185" s="543"/>
      <c r="AP185" s="543"/>
      <c r="AQ185" s="543">
        <f t="shared" si="127"/>
        <v>3250</v>
      </c>
      <c r="AR185" s="543"/>
      <c r="AS185" s="543"/>
      <c r="AT185" s="543"/>
      <c r="AU185" s="543">
        <f t="shared" si="128"/>
        <v>3250</v>
      </c>
      <c r="AV185" s="543"/>
      <c r="AW185" s="543"/>
      <c r="AX185" s="543"/>
      <c r="AY185" s="543"/>
      <c r="AZ185" s="543"/>
      <c r="BA185" s="543"/>
      <c r="BB185" s="543"/>
      <c r="BC185" s="1200"/>
      <c r="BD185" s="1200"/>
      <c r="BE185" s="1200"/>
      <c r="BF185" s="1200"/>
      <c r="BG185" s="1200"/>
      <c r="BH185" s="1200"/>
      <c r="BI185" s="1200"/>
      <c r="BJ185" s="1200"/>
      <c r="BK185" s="1200"/>
      <c r="BL185" s="1200"/>
      <c r="BM185" s="1200"/>
      <c r="BN185" s="1200">
        <f t="shared" si="130"/>
        <v>130</v>
      </c>
      <c r="BO185" s="1200"/>
      <c r="BP185" s="1200"/>
      <c r="BQ185" s="1200"/>
      <c r="BR185" s="1200"/>
      <c r="BS185" s="1200"/>
      <c r="BT185" s="1200"/>
      <c r="BU185" s="1200"/>
      <c r="BV185" s="1200"/>
      <c r="BW185" s="1200"/>
      <c r="BX185" s="1200"/>
      <c r="BY185" s="1200"/>
      <c r="BZ185" s="1012">
        <f t="shared" si="129"/>
        <v>3250</v>
      </c>
      <c r="CB185" s="1219"/>
      <c r="CC185" s="1219"/>
      <c r="CE185" s="1009">
        <f t="shared" si="93"/>
        <v>1469800</v>
      </c>
    </row>
    <row r="186" s="1009" customFormat="1" ht="36" customHeight="1" spans="1:83">
      <c r="A186" s="540">
        <v>45789</v>
      </c>
      <c r="B186" s="1036" t="s">
        <v>4025</v>
      </c>
      <c r="C186" s="1037" t="s">
        <v>286</v>
      </c>
      <c r="D186" s="1038">
        <v>4500165982</v>
      </c>
      <c r="E186" s="1325" t="s">
        <v>4026</v>
      </c>
      <c r="F186" s="1038" t="s">
        <v>4027</v>
      </c>
      <c r="G186" s="1040" t="s">
        <v>96</v>
      </c>
      <c r="H186" s="1041" t="s">
        <v>74</v>
      </c>
      <c r="I186" s="1012">
        <v>5600</v>
      </c>
      <c r="J186" s="1087">
        <v>0</v>
      </c>
      <c r="K186" s="1040">
        <v>50</v>
      </c>
      <c r="L186" s="1012">
        <f t="shared" si="119"/>
        <v>112</v>
      </c>
      <c r="M186" s="1079">
        <v>45863</v>
      </c>
      <c r="N186" s="1079">
        <v>45864</v>
      </c>
      <c r="O186" s="579" t="s">
        <v>4028</v>
      </c>
      <c r="P186" s="1079" t="s">
        <v>92</v>
      </c>
      <c r="Q186" s="579" t="s">
        <v>4029</v>
      </c>
      <c r="R186" s="579">
        <v>45840</v>
      </c>
      <c r="S186" s="578" t="s">
        <v>77</v>
      </c>
      <c r="T186" s="695" t="s">
        <v>4030</v>
      </c>
      <c r="U186" s="1039" t="s">
        <v>4031</v>
      </c>
      <c r="V186" s="1112" t="s">
        <v>4032</v>
      </c>
      <c r="W186" s="1113">
        <v>1.3998</v>
      </c>
      <c r="X186" s="1114">
        <f t="shared" si="125"/>
        <v>7838.88</v>
      </c>
      <c r="Y186" s="1012"/>
      <c r="Z186" s="1159" t="s">
        <v>292</v>
      </c>
      <c r="AA186" s="1150" t="s">
        <v>128</v>
      </c>
      <c r="AB186" s="1150"/>
      <c r="AC186" s="1151">
        <v>5600</v>
      </c>
      <c r="AD186" s="1151">
        <f t="shared" si="118"/>
        <v>0</v>
      </c>
      <c r="AE186" s="1151"/>
      <c r="AF186" s="579"/>
      <c r="AG186" s="579"/>
      <c r="AH186" s="1151">
        <f t="shared" si="126"/>
        <v>5600</v>
      </c>
      <c r="AI186" s="1151"/>
      <c r="AJ186" s="1151"/>
      <c r="AK186" s="1151"/>
      <c r="AL186" s="1151"/>
      <c r="AM186" s="1151"/>
      <c r="AN186" s="543"/>
      <c r="AP186" s="543"/>
      <c r="AQ186" s="543">
        <f t="shared" si="127"/>
        <v>5600</v>
      </c>
      <c r="AR186" s="543"/>
      <c r="AS186" s="543"/>
      <c r="AT186" s="543"/>
      <c r="AU186" s="543">
        <f t="shared" si="128"/>
        <v>5600</v>
      </c>
      <c r="AV186" s="543"/>
      <c r="AW186" s="543"/>
      <c r="AX186" s="543"/>
      <c r="AY186" s="543"/>
      <c r="AZ186" s="543"/>
      <c r="BA186" s="543"/>
      <c r="BB186" s="543"/>
      <c r="BC186" s="1200"/>
      <c r="BD186" s="1200"/>
      <c r="BE186" s="1200"/>
      <c r="BF186" s="1200"/>
      <c r="BG186" s="1200"/>
      <c r="BH186" s="1200"/>
      <c r="BI186" s="1200"/>
      <c r="BJ186" s="1200"/>
      <c r="BK186" s="1200"/>
      <c r="BL186" s="1200"/>
      <c r="BM186" s="1200"/>
      <c r="BN186" s="1200">
        <f t="shared" si="130"/>
        <v>224</v>
      </c>
      <c r="BO186" s="1200"/>
      <c r="BP186" s="1200"/>
      <c r="BQ186" s="1200"/>
      <c r="BR186" s="1200"/>
      <c r="BS186" s="1200"/>
      <c r="BT186" s="1200"/>
      <c r="BU186" s="1200"/>
      <c r="BV186" s="1200"/>
      <c r="BW186" s="1200"/>
      <c r="BX186" s="1200"/>
      <c r="BY186" s="1200"/>
      <c r="BZ186" s="1012">
        <f t="shared" si="129"/>
        <v>5600</v>
      </c>
      <c r="CB186" s="1219"/>
      <c r="CC186" s="1219"/>
      <c r="CE186" s="1009">
        <f t="shared" si="93"/>
        <v>1464200</v>
      </c>
    </row>
    <row r="187" s="1009" customFormat="1" ht="36" customHeight="1" spans="1:83">
      <c r="A187" s="1341">
        <v>45838</v>
      </c>
      <c r="B187" s="1342" t="s">
        <v>1794</v>
      </c>
      <c r="C187" s="1343" t="s">
        <v>117</v>
      </c>
      <c r="D187" s="1275">
        <v>4500171922</v>
      </c>
      <c r="E187" s="1329" t="s">
        <v>4033</v>
      </c>
      <c r="F187" s="1275" t="s">
        <v>4034</v>
      </c>
      <c r="G187" s="1344" t="s">
        <v>628</v>
      </c>
      <c r="H187" s="1041" t="s">
        <v>623</v>
      </c>
      <c r="I187" s="1012">
        <v>600</v>
      </c>
      <c r="J187" s="1087">
        <v>0</v>
      </c>
      <c r="K187" s="1040">
        <v>12</v>
      </c>
      <c r="L187" s="1012">
        <f t="shared" si="119"/>
        <v>50</v>
      </c>
      <c r="M187" s="1349">
        <v>45870</v>
      </c>
      <c r="N187" s="1349">
        <v>45871</v>
      </c>
      <c r="O187" s="1350"/>
      <c r="P187" s="1079" t="s">
        <v>92</v>
      </c>
      <c r="Q187" s="1356" t="s">
        <v>4035</v>
      </c>
      <c r="R187" s="584">
        <v>45840</v>
      </c>
      <c r="S187" s="584" t="s">
        <v>77</v>
      </c>
      <c r="T187" s="1357" t="s">
        <v>4036</v>
      </c>
      <c r="U187" s="1329" t="s">
        <v>4037</v>
      </c>
      <c r="V187" s="1358" t="s">
        <v>1341</v>
      </c>
      <c r="W187" s="1359">
        <v>1.8222</v>
      </c>
      <c r="X187" s="1360">
        <f t="shared" ref="X187:X199" si="131">W187*I187</f>
        <v>1093.32</v>
      </c>
      <c r="Y187" s="1367" t="s">
        <v>4038</v>
      </c>
      <c r="Z187" s="1368" t="s">
        <v>4039</v>
      </c>
      <c r="AA187" s="1369" t="s">
        <v>128</v>
      </c>
      <c r="AB187" s="1369"/>
      <c r="AC187" s="1370">
        <v>600</v>
      </c>
      <c r="AD187" s="1151">
        <f t="shared" si="118"/>
        <v>0</v>
      </c>
      <c r="AE187" s="1370"/>
      <c r="AF187" s="1350"/>
      <c r="AG187" s="1350"/>
      <c r="AH187" s="1151">
        <f t="shared" ref="AH187:AH199" si="132">I187*2</f>
        <v>1200</v>
      </c>
      <c r="AI187" s="1370"/>
      <c r="AJ187" s="1370"/>
      <c r="AK187" s="1370"/>
      <c r="AL187" s="1012"/>
      <c r="AM187" s="1370">
        <f t="shared" ref="AM187:AM198" si="133">I187*2</f>
        <v>1200</v>
      </c>
      <c r="AN187" s="1310"/>
      <c r="AO187" s="1310"/>
      <c r="AP187" s="1310"/>
      <c r="AQ187" s="1310"/>
      <c r="AR187" s="1310"/>
      <c r="AS187" s="1310"/>
      <c r="AT187" s="1310"/>
      <c r="AU187" s="1012"/>
      <c r="AV187" s="1310">
        <f t="shared" ref="AV187:AV198" si="134">AM187</f>
        <v>1200</v>
      </c>
      <c r="AW187" s="1310"/>
      <c r="AX187" s="1310"/>
      <c r="AY187" s="1310"/>
      <c r="AZ187" s="1310"/>
      <c r="BA187" s="1310"/>
      <c r="BB187" s="1310"/>
      <c r="BC187" s="1374"/>
      <c r="BD187" s="1374"/>
      <c r="BE187" s="1374"/>
      <c r="BF187" s="1374"/>
      <c r="BG187" s="1374"/>
      <c r="BH187" s="1374"/>
      <c r="BI187" s="1374"/>
      <c r="BJ187" s="1374"/>
      <c r="BK187" s="1374"/>
      <c r="BL187" s="1374"/>
      <c r="BM187" s="1374"/>
      <c r="BN187" s="1374"/>
      <c r="BO187" s="1374"/>
      <c r="BP187" s="1374"/>
      <c r="BQ187" s="1374"/>
      <c r="BR187" s="1374"/>
      <c r="BS187" s="1374"/>
      <c r="BT187" s="1374"/>
      <c r="BU187" s="1374"/>
      <c r="BV187" s="1374"/>
      <c r="BW187" s="1374">
        <f t="shared" ref="BW187:BW199" si="135">I187</f>
        <v>600</v>
      </c>
      <c r="BX187" s="1374"/>
      <c r="BY187" s="1374">
        <f t="shared" ref="BY187:BY199" si="136">BW187</f>
        <v>600</v>
      </c>
      <c r="BZ187" s="1012">
        <f t="shared" si="129"/>
        <v>1200</v>
      </c>
      <c r="CB187" s="1219"/>
      <c r="CC187" s="1219"/>
      <c r="CE187" s="1009">
        <f t="shared" si="93"/>
        <v>1463000</v>
      </c>
    </row>
    <row r="188" s="1009" customFormat="1" ht="36" customHeight="1" spans="1:83">
      <c r="A188" s="1341">
        <v>45838</v>
      </c>
      <c r="B188" s="1342" t="s">
        <v>1794</v>
      </c>
      <c r="C188" s="1343" t="s">
        <v>117</v>
      </c>
      <c r="D188" s="1275">
        <v>4500171921</v>
      </c>
      <c r="E188" s="1329" t="s">
        <v>4040</v>
      </c>
      <c r="F188" s="1275" t="s">
        <v>4041</v>
      </c>
      <c r="G188" s="1344" t="s">
        <v>628</v>
      </c>
      <c r="H188" s="1041" t="s">
        <v>623</v>
      </c>
      <c r="I188" s="1012">
        <v>2400</v>
      </c>
      <c r="J188" s="1087">
        <v>0</v>
      </c>
      <c r="K188" s="1040">
        <v>12</v>
      </c>
      <c r="L188" s="1012">
        <f t="shared" si="119"/>
        <v>200</v>
      </c>
      <c r="M188" s="1349">
        <v>45870</v>
      </c>
      <c r="N188" s="1349">
        <v>45871</v>
      </c>
      <c r="O188" s="1350"/>
      <c r="P188" s="1079" t="s">
        <v>92</v>
      </c>
      <c r="Q188" s="584" t="s">
        <v>4042</v>
      </c>
      <c r="R188" s="584">
        <v>45840</v>
      </c>
      <c r="S188" s="584" t="s">
        <v>77</v>
      </c>
      <c r="T188" s="1357" t="s">
        <v>4036</v>
      </c>
      <c r="U188" s="1329" t="s">
        <v>4037</v>
      </c>
      <c r="V188" s="1358" t="s">
        <v>1341</v>
      </c>
      <c r="W188" s="1359">
        <v>1.8004</v>
      </c>
      <c r="X188" s="1360">
        <f t="shared" si="131"/>
        <v>4320.96</v>
      </c>
      <c r="Y188" s="1367"/>
      <c r="Z188" s="1368" t="s">
        <v>4039</v>
      </c>
      <c r="AA188" s="1369" t="s">
        <v>128</v>
      </c>
      <c r="AB188" s="1369"/>
      <c r="AC188" s="1370">
        <v>2400</v>
      </c>
      <c r="AD188" s="1151">
        <f t="shared" si="118"/>
        <v>0</v>
      </c>
      <c r="AE188" s="1370"/>
      <c r="AF188" s="1350"/>
      <c r="AG188" s="1350"/>
      <c r="AH188" s="1151">
        <f t="shared" si="132"/>
        <v>4800</v>
      </c>
      <c r="AI188" s="1370"/>
      <c r="AJ188" s="1370"/>
      <c r="AK188" s="1370"/>
      <c r="AL188" s="1012"/>
      <c r="AM188" s="1370">
        <f t="shared" si="133"/>
        <v>4800</v>
      </c>
      <c r="AN188" s="1310"/>
      <c r="AO188" s="1310"/>
      <c r="AP188" s="1310"/>
      <c r="AQ188" s="1310"/>
      <c r="AR188" s="1310"/>
      <c r="AS188" s="1310"/>
      <c r="AT188" s="1310"/>
      <c r="AU188" s="1012"/>
      <c r="AV188" s="1310">
        <f t="shared" si="134"/>
        <v>4800</v>
      </c>
      <c r="AW188" s="1310"/>
      <c r="AX188" s="1310"/>
      <c r="AY188" s="1310"/>
      <c r="AZ188" s="1310"/>
      <c r="BA188" s="1310"/>
      <c r="BB188" s="1310"/>
      <c r="BC188" s="1374"/>
      <c r="BD188" s="1374"/>
      <c r="BE188" s="1374"/>
      <c r="BF188" s="1374"/>
      <c r="BG188" s="1374"/>
      <c r="BH188" s="1374"/>
      <c r="BI188" s="1374"/>
      <c r="BJ188" s="1374"/>
      <c r="BK188" s="1374"/>
      <c r="BL188" s="1374"/>
      <c r="BM188" s="1374"/>
      <c r="BN188" s="1374"/>
      <c r="BO188" s="1374"/>
      <c r="BP188" s="1374"/>
      <c r="BQ188" s="1374"/>
      <c r="BR188" s="1374"/>
      <c r="BS188" s="1374"/>
      <c r="BT188" s="1374"/>
      <c r="BU188" s="1374"/>
      <c r="BV188" s="1374"/>
      <c r="BW188" s="1374">
        <f t="shared" si="135"/>
        <v>2400</v>
      </c>
      <c r="BX188" s="1374"/>
      <c r="BY188" s="1374">
        <f t="shared" si="136"/>
        <v>2400</v>
      </c>
      <c r="BZ188" s="1012">
        <f t="shared" si="129"/>
        <v>4800</v>
      </c>
      <c r="CB188" s="1219"/>
      <c r="CC188" s="1219"/>
      <c r="CE188" s="1009">
        <f t="shared" si="93"/>
        <v>1458200</v>
      </c>
    </row>
    <row r="189" s="1009" customFormat="1" ht="36" customHeight="1" spans="1:83">
      <c r="A189" s="1341">
        <v>45838</v>
      </c>
      <c r="B189" s="1342" t="s">
        <v>1794</v>
      </c>
      <c r="C189" s="1343" t="s">
        <v>117</v>
      </c>
      <c r="D189" s="1275">
        <v>4500171924</v>
      </c>
      <c r="E189" s="1329" t="s">
        <v>4043</v>
      </c>
      <c r="F189" s="1275" t="s">
        <v>4044</v>
      </c>
      <c r="G189" s="1344" t="s">
        <v>628</v>
      </c>
      <c r="H189" s="1041" t="s">
        <v>623</v>
      </c>
      <c r="I189" s="1012">
        <v>1200</v>
      </c>
      <c r="J189" s="1087">
        <v>0</v>
      </c>
      <c r="K189" s="1040">
        <v>12</v>
      </c>
      <c r="L189" s="1012">
        <f t="shared" si="119"/>
        <v>100</v>
      </c>
      <c r="M189" s="1349">
        <v>45870</v>
      </c>
      <c r="N189" s="1349">
        <v>45871</v>
      </c>
      <c r="O189" s="1350"/>
      <c r="P189" s="1079" t="s">
        <v>92</v>
      </c>
      <c r="Q189" s="1356" t="s">
        <v>4035</v>
      </c>
      <c r="R189" s="584">
        <v>45840</v>
      </c>
      <c r="S189" s="584" t="s">
        <v>77</v>
      </c>
      <c r="T189" s="1357" t="s">
        <v>4036</v>
      </c>
      <c r="U189" s="1329" t="s">
        <v>4037</v>
      </c>
      <c r="V189" s="1358" t="s">
        <v>1341</v>
      </c>
      <c r="W189" s="1359">
        <v>1.8222</v>
      </c>
      <c r="X189" s="1360">
        <f t="shared" si="131"/>
        <v>2186.64</v>
      </c>
      <c r="Y189" s="1367"/>
      <c r="Z189" s="1368" t="s">
        <v>4039</v>
      </c>
      <c r="AA189" s="1369" t="s">
        <v>128</v>
      </c>
      <c r="AB189" s="1369"/>
      <c r="AC189" s="1370">
        <v>1200</v>
      </c>
      <c r="AD189" s="1151">
        <f t="shared" si="118"/>
        <v>0</v>
      </c>
      <c r="AE189" s="1370"/>
      <c r="AF189" s="1350"/>
      <c r="AG189" s="1350"/>
      <c r="AH189" s="1151">
        <f t="shared" si="132"/>
        <v>2400</v>
      </c>
      <c r="AI189" s="1370"/>
      <c r="AJ189" s="1370"/>
      <c r="AK189" s="1370"/>
      <c r="AL189" s="1012"/>
      <c r="AM189" s="1370">
        <f t="shared" si="133"/>
        <v>2400</v>
      </c>
      <c r="AN189" s="1310"/>
      <c r="AO189" s="1310"/>
      <c r="AP189" s="1310"/>
      <c r="AQ189" s="1310"/>
      <c r="AR189" s="1310"/>
      <c r="AS189" s="1310"/>
      <c r="AT189" s="1310"/>
      <c r="AU189" s="1012"/>
      <c r="AV189" s="1310">
        <f t="shared" si="134"/>
        <v>2400</v>
      </c>
      <c r="AW189" s="1310"/>
      <c r="AX189" s="1310"/>
      <c r="AY189" s="1310"/>
      <c r="AZ189" s="1310"/>
      <c r="BA189" s="1310"/>
      <c r="BB189" s="1310"/>
      <c r="BC189" s="1374"/>
      <c r="BD189" s="1374"/>
      <c r="BE189" s="1374"/>
      <c r="BF189" s="1374"/>
      <c r="BG189" s="1374"/>
      <c r="BH189" s="1374"/>
      <c r="BI189" s="1374"/>
      <c r="BJ189" s="1374"/>
      <c r="BK189" s="1374"/>
      <c r="BL189" s="1374"/>
      <c r="BM189" s="1374"/>
      <c r="BN189" s="1374"/>
      <c r="BO189" s="1374"/>
      <c r="BP189" s="1374"/>
      <c r="BQ189" s="1374"/>
      <c r="BR189" s="1374"/>
      <c r="BS189" s="1374"/>
      <c r="BT189" s="1374"/>
      <c r="BU189" s="1374"/>
      <c r="BV189" s="1374"/>
      <c r="BW189" s="1374">
        <f t="shared" si="135"/>
        <v>1200</v>
      </c>
      <c r="BX189" s="1374"/>
      <c r="BY189" s="1374">
        <f t="shared" si="136"/>
        <v>1200</v>
      </c>
      <c r="BZ189" s="1012">
        <f t="shared" si="129"/>
        <v>2400</v>
      </c>
      <c r="CB189" s="1219"/>
      <c r="CC189" s="1219"/>
      <c r="CE189" s="1009">
        <f t="shared" si="93"/>
        <v>1455800</v>
      </c>
    </row>
    <row r="190" s="1009" customFormat="1" ht="36" customHeight="1" spans="1:83">
      <c r="A190" s="1341">
        <v>45838</v>
      </c>
      <c r="B190" s="1342" t="s">
        <v>1794</v>
      </c>
      <c r="C190" s="1343" t="s">
        <v>117</v>
      </c>
      <c r="D190" s="1275">
        <v>4500171923</v>
      </c>
      <c r="E190" s="1329" t="s">
        <v>4045</v>
      </c>
      <c r="F190" s="1275" t="s">
        <v>4046</v>
      </c>
      <c r="G190" s="1344" t="s">
        <v>628</v>
      </c>
      <c r="H190" s="1041" t="s">
        <v>623</v>
      </c>
      <c r="I190" s="1012">
        <v>1200</v>
      </c>
      <c r="J190" s="1087">
        <v>0</v>
      </c>
      <c r="K190" s="1040">
        <v>12</v>
      </c>
      <c r="L190" s="1012">
        <f t="shared" si="119"/>
        <v>100</v>
      </c>
      <c r="M190" s="1349">
        <v>45870</v>
      </c>
      <c r="N190" s="1349">
        <v>45871</v>
      </c>
      <c r="O190" s="1350"/>
      <c r="P190" s="1079" t="s">
        <v>92</v>
      </c>
      <c r="Q190" s="1356" t="s">
        <v>4047</v>
      </c>
      <c r="R190" s="584">
        <v>45840</v>
      </c>
      <c r="S190" s="584" t="s">
        <v>77</v>
      </c>
      <c r="T190" s="1357" t="s">
        <v>4036</v>
      </c>
      <c r="U190" s="1329" t="s">
        <v>4037</v>
      </c>
      <c r="V190" s="1358" t="s">
        <v>1341</v>
      </c>
      <c r="W190" s="1359">
        <v>1.8004</v>
      </c>
      <c r="X190" s="1360">
        <f t="shared" si="131"/>
        <v>2160.48</v>
      </c>
      <c r="Y190" s="1367"/>
      <c r="Z190" s="1368" t="s">
        <v>4039</v>
      </c>
      <c r="AA190" s="1369" t="s">
        <v>128</v>
      </c>
      <c r="AB190" s="1369"/>
      <c r="AC190" s="1370">
        <v>1200</v>
      </c>
      <c r="AD190" s="1151">
        <f t="shared" si="118"/>
        <v>0</v>
      </c>
      <c r="AE190" s="1370"/>
      <c r="AF190" s="1350"/>
      <c r="AG190" s="1350"/>
      <c r="AH190" s="1151">
        <f t="shared" si="132"/>
        <v>2400</v>
      </c>
      <c r="AI190" s="1370"/>
      <c r="AJ190" s="1370"/>
      <c r="AK190" s="1370"/>
      <c r="AL190" s="1012"/>
      <c r="AM190" s="1370">
        <f t="shared" si="133"/>
        <v>2400</v>
      </c>
      <c r="AN190" s="1310"/>
      <c r="AO190" s="1310"/>
      <c r="AP190" s="1310"/>
      <c r="AQ190" s="1310"/>
      <c r="AR190" s="1310"/>
      <c r="AS190" s="1310"/>
      <c r="AT190" s="1310"/>
      <c r="AU190" s="1012"/>
      <c r="AV190" s="1310">
        <f t="shared" si="134"/>
        <v>2400</v>
      </c>
      <c r="AW190" s="1310"/>
      <c r="AX190" s="1310"/>
      <c r="AY190" s="1310"/>
      <c r="AZ190" s="1310"/>
      <c r="BA190" s="1310"/>
      <c r="BB190" s="1310"/>
      <c r="BC190" s="1374"/>
      <c r="BD190" s="1374"/>
      <c r="BE190" s="1374"/>
      <c r="BF190" s="1374"/>
      <c r="BG190" s="1374"/>
      <c r="BH190" s="1374"/>
      <c r="BI190" s="1374"/>
      <c r="BJ190" s="1374"/>
      <c r="BK190" s="1374"/>
      <c r="BL190" s="1374"/>
      <c r="BM190" s="1374"/>
      <c r="BN190" s="1374"/>
      <c r="BO190" s="1374"/>
      <c r="BP190" s="1374"/>
      <c r="BQ190" s="1374"/>
      <c r="BR190" s="1374"/>
      <c r="BS190" s="1374"/>
      <c r="BT190" s="1374"/>
      <c r="BU190" s="1374"/>
      <c r="BV190" s="1374"/>
      <c r="BW190" s="1374">
        <f t="shared" si="135"/>
        <v>1200</v>
      </c>
      <c r="BX190" s="1374"/>
      <c r="BY190" s="1374">
        <f t="shared" si="136"/>
        <v>1200</v>
      </c>
      <c r="BZ190" s="1012">
        <f t="shared" si="129"/>
        <v>2400</v>
      </c>
      <c r="CB190" s="1219"/>
      <c r="CC190" s="1219"/>
      <c r="CE190" s="1009">
        <f t="shared" si="93"/>
        <v>1453400</v>
      </c>
    </row>
    <row r="191" s="1009" customFormat="1" ht="36" customHeight="1" spans="1:83">
      <c r="A191" s="1341">
        <v>45838</v>
      </c>
      <c r="B191" s="1342" t="s">
        <v>1794</v>
      </c>
      <c r="C191" s="1343" t="s">
        <v>117</v>
      </c>
      <c r="D191" s="1275">
        <v>4500171907</v>
      </c>
      <c r="E191" s="1329" t="s">
        <v>4048</v>
      </c>
      <c r="F191" s="1275" t="s">
        <v>4049</v>
      </c>
      <c r="G191" s="1344" t="s">
        <v>628</v>
      </c>
      <c r="H191" s="1041" t="s">
        <v>623</v>
      </c>
      <c r="I191" s="1012">
        <v>996</v>
      </c>
      <c r="J191" s="1087">
        <v>0</v>
      </c>
      <c r="K191" s="1040">
        <v>12</v>
      </c>
      <c r="L191" s="1012">
        <f t="shared" si="119"/>
        <v>83</v>
      </c>
      <c r="M191" s="1349">
        <v>45870</v>
      </c>
      <c r="N191" s="1349">
        <v>45871</v>
      </c>
      <c r="O191" s="1350"/>
      <c r="P191" s="1079" t="s">
        <v>92</v>
      </c>
      <c r="Q191" s="1356" t="s">
        <v>4035</v>
      </c>
      <c r="R191" s="584">
        <v>45840</v>
      </c>
      <c r="S191" s="584" t="s">
        <v>77</v>
      </c>
      <c r="T191" s="1357" t="s">
        <v>4050</v>
      </c>
      <c r="U191" s="1329" t="s">
        <v>4051</v>
      </c>
      <c r="V191" s="1358" t="s">
        <v>1341</v>
      </c>
      <c r="W191" s="1359">
        <v>1.8004</v>
      </c>
      <c r="X191" s="1360">
        <f t="shared" si="131"/>
        <v>1793.1984</v>
      </c>
      <c r="Y191" s="1367"/>
      <c r="Z191" s="1368" t="s">
        <v>4039</v>
      </c>
      <c r="AA191" s="1369" t="s">
        <v>128</v>
      </c>
      <c r="AB191" s="1369"/>
      <c r="AC191" s="1370">
        <v>996</v>
      </c>
      <c r="AD191" s="1151">
        <f t="shared" si="118"/>
        <v>0</v>
      </c>
      <c r="AE191" s="1370"/>
      <c r="AF191" s="1350"/>
      <c r="AG191" s="1350"/>
      <c r="AH191" s="1151">
        <f t="shared" si="132"/>
        <v>1992</v>
      </c>
      <c r="AI191" s="1370"/>
      <c r="AJ191" s="1370"/>
      <c r="AK191" s="1370"/>
      <c r="AL191" s="1012"/>
      <c r="AM191" s="1370">
        <f t="shared" si="133"/>
        <v>1992</v>
      </c>
      <c r="AN191" s="1310"/>
      <c r="AO191" s="1310"/>
      <c r="AP191" s="1310"/>
      <c r="AQ191" s="1310"/>
      <c r="AR191" s="1310"/>
      <c r="AS191" s="1310"/>
      <c r="AT191" s="1310"/>
      <c r="AU191" s="1012"/>
      <c r="AV191" s="1310">
        <f t="shared" si="134"/>
        <v>1992</v>
      </c>
      <c r="AW191" s="1310"/>
      <c r="AX191" s="1310"/>
      <c r="AY191" s="1310"/>
      <c r="AZ191" s="1310"/>
      <c r="BA191" s="1310"/>
      <c r="BB191" s="1310"/>
      <c r="BC191" s="1374"/>
      <c r="BD191" s="1374"/>
      <c r="BE191" s="1374"/>
      <c r="BF191" s="1374"/>
      <c r="BG191" s="1374"/>
      <c r="BH191" s="1374"/>
      <c r="BI191" s="1374"/>
      <c r="BJ191" s="1374"/>
      <c r="BK191" s="1374"/>
      <c r="BL191" s="1374"/>
      <c r="BM191" s="1374"/>
      <c r="BN191" s="1374"/>
      <c r="BO191" s="1374"/>
      <c r="BP191" s="1374"/>
      <c r="BQ191" s="1374"/>
      <c r="BR191" s="1374"/>
      <c r="BS191" s="1374"/>
      <c r="BT191" s="1374"/>
      <c r="BU191" s="1374"/>
      <c r="BV191" s="1374"/>
      <c r="BW191" s="1374">
        <f t="shared" si="135"/>
        <v>996</v>
      </c>
      <c r="BX191" s="1374"/>
      <c r="BY191" s="1374">
        <f t="shared" si="136"/>
        <v>996</v>
      </c>
      <c r="BZ191" s="1012">
        <f t="shared" si="129"/>
        <v>1992</v>
      </c>
      <c r="CB191" s="1219"/>
      <c r="CC191" s="1219"/>
      <c r="CE191" s="1009">
        <f t="shared" si="93"/>
        <v>1451408</v>
      </c>
    </row>
    <row r="192" s="1009" customFormat="1" ht="36" customHeight="1" spans="1:83">
      <c r="A192" s="1341">
        <v>45838</v>
      </c>
      <c r="B192" s="1342" t="s">
        <v>1794</v>
      </c>
      <c r="C192" s="1343" t="s">
        <v>117</v>
      </c>
      <c r="D192" s="1275">
        <v>4500171908</v>
      </c>
      <c r="E192" s="1329" t="s">
        <v>4052</v>
      </c>
      <c r="F192" s="1275" t="s">
        <v>4053</v>
      </c>
      <c r="G192" s="1344" t="s">
        <v>628</v>
      </c>
      <c r="H192" s="1041" t="s">
        <v>623</v>
      </c>
      <c r="I192" s="1012">
        <v>2196</v>
      </c>
      <c r="J192" s="1087">
        <v>0</v>
      </c>
      <c r="K192" s="1040">
        <v>12</v>
      </c>
      <c r="L192" s="1012">
        <f t="shared" si="119"/>
        <v>183</v>
      </c>
      <c r="M192" s="1349">
        <v>45870</v>
      </c>
      <c r="N192" s="1349">
        <v>45871</v>
      </c>
      <c r="O192" s="1350"/>
      <c r="P192" s="1079" t="s">
        <v>92</v>
      </c>
      <c r="Q192" s="579" t="s">
        <v>4054</v>
      </c>
      <c r="R192" s="584">
        <v>45840</v>
      </c>
      <c r="S192" s="584" t="s">
        <v>77</v>
      </c>
      <c r="T192" s="1357" t="s">
        <v>4036</v>
      </c>
      <c r="U192" s="1329" t="s">
        <v>4037</v>
      </c>
      <c r="V192" s="1358" t="s">
        <v>1341</v>
      </c>
      <c r="W192" s="1359">
        <v>1.8222</v>
      </c>
      <c r="X192" s="1360">
        <f t="shared" si="131"/>
        <v>4001.5512</v>
      </c>
      <c r="Y192" s="1367"/>
      <c r="Z192" s="1368" t="s">
        <v>4039</v>
      </c>
      <c r="AA192" s="1369" t="s">
        <v>128</v>
      </c>
      <c r="AB192" s="1369"/>
      <c r="AC192" s="1370">
        <v>2196</v>
      </c>
      <c r="AD192" s="1151">
        <f t="shared" si="118"/>
        <v>0</v>
      </c>
      <c r="AE192" s="1370"/>
      <c r="AF192" s="1350"/>
      <c r="AG192" s="1350"/>
      <c r="AH192" s="1151">
        <f t="shared" si="132"/>
        <v>4392</v>
      </c>
      <c r="AI192" s="1370"/>
      <c r="AJ192" s="1370"/>
      <c r="AK192" s="1370"/>
      <c r="AL192" s="1012"/>
      <c r="AM192" s="1370">
        <f t="shared" si="133"/>
        <v>4392</v>
      </c>
      <c r="AN192" s="1310"/>
      <c r="AO192" s="1310"/>
      <c r="AP192" s="1310"/>
      <c r="AQ192" s="1310"/>
      <c r="AR192" s="1310"/>
      <c r="AS192" s="1310"/>
      <c r="AT192" s="1310"/>
      <c r="AU192" s="1012"/>
      <c r="AV192" s="1310">
        <f t="shared" si="134"/>
        <v>4392</v>
      </c>
      <c r="AW192" s="1310"/>
      <c r="AX192" s="1310"/>
      <c r="AY192" s="1310"/>
      <c r="AZ192" s="1310"/>
      <c r="BA192" s="1310"/>
      <c r="BB192" s="1310"/>
      <c r="BC192" s="1374"/>
      <c r="BD192" s="1374"/>
      <c r="BE192" s="1374"/>
      <c r="BF192" s="1374"/>
      <c r="BG192" s="1374"/>
      <c r="BH192" s="1374"/>
      <c r="BI192" s="1374"/>
      <c r="BJ192" s="1374"/>
      <c r="BK192" s="1374"/>
      <c r="BL192" s="1374"/>
      <c r="BM192" s="1374"/>
      <c r="BN192" s="1374"/>
      <c r="BO192" s="1374"/>
      <c r="BP192" s="1374"/>
      <c r="BQ192" s="1374"/>
      <c r="BR192" s="1374"/>
      <c r="BS192" s="1374"/>
      <c r="BT192" s="1374"/>
      <c r="BU192" s="1374"/>
      <c r="BV192" s="1374"/>
      <c r="BW192" s="1374">
        <f t="shared" si="135"/>
        <v>2196</v>
      </c>
      <c r="BX192" s="1374"/>
      <c r="BY192" s="1374">
        <f t="shared" si="136"/>
        <v>2196</v>
      </c>
      <c r="BZ192" s="1012">
        <f t="shared" si="129"/>
        <v>4392</v>
      </c>
      <c r="CB192" s="1219"/>
      <c r="CC192" s="1219"/>
      <c r="CE192" s="1009">
        <f t="shared" si="93"/>
        <v>1447016</v>
      </c>
    </row>
    <row r="193" s="1009" customFormat="1" ht="36" customHeight="1" spans="1:83">
      <c r="A193" s="1341">
        <v>45838</v>
      </c>
      <c r="B193" s="1342" t="s">
        <v>1794</v>
      </c>
      <c r="C193" s="1343" t="s">
        <v>117</v>
      </c>
      <c r="D193" s="1275">
        <v>4500171919</v>
      </c>
      <c r="E193" s="1329" t="s">
        <v>4055</v>
      </c>
      <c r="F193" s="1275" t="s">
        <v>4056</v>
      </c>
      <c r="G193" s="1344" t="s">
        <v>628</v>
      </c>
      <c r="H193" s="1041" t="s">
        <v>623</v>
      </c>
      <c r="I193" s="1012">
        <v>2400</v>
      </c>
      <c r="J193" s="1087">
        <v>0</v>
      </c>
      <c r="K193" s="1040">
        <v>12</v>
      </c>
      <c r="L193" s="1012">
        <f t="shared" si="119"/>
        <v>200</v>
      </c>
      <c r="M193" s="1349">
        <v>45870</v>
      </c>
      <c r="N193" s="1349">
        <v>45871</v>
      </c>
      <c r="O193" s="1350"/>
      <c r="P193" s="1079" t="s">
        <v>92</v>
      </c>
      <c r="Q193" s="1356" t="s">
        <v>4035</v>
      </c>
      <c r="R193" s="584">
        <v>45840</v>
      </c>
      <c r="S193" s="584" t="s">
        <v>77</v>
      </c>
      <c r="T193" s="1357" t="s">
        <v>4036</v>
      </c>
      <c r="U193" s="1329" t="s">
        <v>4037</v>
      </c>
      <c r="V193" s="1358" t="s">
        <v>1341</v>
      </c>
      <c r="W193" s="1359">
        <v>1.8004</v>
      </c>
      <c r="X193" s="1360">
        <f t="shared" si="131"/>
        <v>4320.96</v>
      </c>
      <c r="Y193" s="1367"/>
      <c r="Z193" s="1368" t="s">
        <v>4039</v>
      </c>
      <c r="AA193" s="1369" t="s">
        <v>128</v>
      </c>
      <c r="AB193" s="1369"/>
      <c r="AC193" s="1370">
        <v>2400</v>
      </c>
      <c r="AD193" s="1151">
        <f t="shared" si="118"/>
        <v>0</v>
      </c>
      <c r="AE193" s="1370"/>
      <c r="AF193" s="1350"/>
      <c r="AG193" s="1350"/>
      <c r="AH193" s="1151">
        <f t="shared" si="132"/>
        <v>4800</v>
      </c>
      <c r="AI193" s="1370"/>
      <c r="AJ193" s="1370"/>
      <c r="AK193" s="1370"/>
      <c r="AL193" s="1012"/>
      <c r="AM193" s="1370">
        <f t="shared" si="133"/>
        <v>4800</v>
      </c>
      <c r="AN193" s="1310"/>
      <c r="AO193" s="1310"/>
      <c r="AP193" s="1310"/>
      <c r="AQ193" s="1310"/>
      <c r="AR193" s="1310"/>
      <c r="AS193" s="1310"/>
      <c r="AT193" s="1310"/>
      <c r="AU193" s="1012"/>
      <c r="AV193" s="1310">
        <f t="shared" si="134"/>
        <v>4800</v>
      </c>
      <c r="AW193" s="1310"/>
      <c r="AX193" s="1310"/>
      <c r="AY193" s="1310"/>
      <c r="AZ193" s="1310"/>
      <c r="BA193" s="1310"/>
      <c r="BB193" s="1310"/>
      <c r="BC193" s="1374"/>
      <c r="BD193" s="1374"/>
      <c r="BE193" s="1374"/>
      <c r="BF193" s="1374"/>
      <c r="BG193" s="1374"/>
      <c r="BH193" s="1374"/>
      <c r="BI193" s="1374"/>
      <c r="BJ193" s="1374"/>
      <c r="BK193" s="1374"/>
      <c r="BL193" s="1374"/>
      <c r="BM193" s="1374"/>
      <c r="BN193" s="1374"/>
      <c r="BO193" s="1374"/>
      <c r="BP193" s="1374"/>
      <c r="BQ193" s="1374"/>
      <c r="BR193" s="1374"/>
      <c r="BS193" s="1374"/>
      <c r="BT193" s="1374"/>
      <c r="BU193" s="1374"/>
      <c r="BV193" s="1374"/>
      <c r="BW193" s="1374">
        <f t="shared" si="135"/>
        <v>2400</v>
      </c>
      <c r="BX193" s="1374"/>
      <c r="BY193" s="1374">
        <f t="shared" si="136"/>
        <v>2400</v>
      </c>
      <c r="BZ193" s="1012">
        <f t="shared" si="129"/>
        <v>4800</v>
      </c>
      <c r="CB193" s="1219"/>
      <c r="CC193" s="1219"/>
      <c r="CE193" s="1009">
        <f t="shared" si="93"/>
        <v>1442216</v>
      </c>
    </row>
    <row r="194" s="1009" customFormat="1" ht="36" customHeight="1" spans="1:83">
      <c r="A194" s="1341">
        <v>45838</v>
      </c>
      <c r="B194" s="1342" t="s">
        <v>1794</v>
      </c>
      <c r="C194" s="1343" t="s">
        <v>117</v>
      </c>
      <c r="D194" s="1275">
        <v>4500171916</v>
      </c>
      <c r="E194" s="1329" t="s">
        <v>4057</v>
      </c>
      <c r="F194" s="1275" t="s">
        <v>4058</v>
      </c>
      <c r="G194" s="1344" t="s">
        <v>628</v>
      </c>
      <c r="H194" s="1041" t="s">
        <v>623</v>
      </c>
      <c r="I194" s="1012">
        <v>996</v>
      </c>
      <c r="J194" s="1087">
        <v>0</v>
      </c>
      <c r="K194" s="1040">
        <v>12</v>
      </c>
      <c r="L194" s="1012">
        <f t="shared" si="119"/>
        <v>83</v>
      </c>
      <c r="M194" s="1349">
        <v>45870</v>
      </c>
      <c r="N194" s="1349">
        <v>45871</v>
      </c>
      <c r="O194" s="1350"/>
      <c r="P194" s="1079" t="s">
        <v>92</v>
      </c>
      <c r="Q194" s="579" t="s">
        <v>1939</v>
      </c>
      <c r="R194" s="584">
        <v>45840</v>
      </c>
      <c r="S194" s="584" t="s">
        <v>77</v>
      </c>
      <c r="T194" s="1357" t="s">
        <v>4036</v>
      </c>
      <c r="U194" s="1329" t="s">
        <v>4051</v>
      </c>
      <c r="V194" s="1358" t="s">
        <v>1341</v>
      </c>
      <c r="W194" s="1359">
        <v>1.8222</v>
      </c>
      <c r="X194" s="1360">
        <f t="shared" si="131"/>
        <v>1814.9112</v>
      </c>
      <c r="Y194" s="1367"/>
      <c r="Z194" s="1368" t="s">
        <v>4039</v>
      </c>
      <c r="AA194" s="1369" t="s">
        <v>128</v>
      </c>
      <c r="AB194" s="1369"/>
      <c r="AC194" s="1370">
        <v>996</v>
      </c>
      <c r="AD194" s="1151">
        <f t="shared" si="118"/>
        <v>0</v>
      </c>
      <c r="AE194" s="1370"/>
      <c r="AF194" s="1350"/>
      <c r="AG194" s="1350"/>
      <c r="AH194" s="1151">
        <f t="shared" si="132"/>
        <v>1992</v>
      </c>
      <c r="AI194" s="1370"/>
      <c r="AJ194" s="1370"/>
      <c r="AK194" s="1370"/>
      <c r="AL194" s="1012"/>
      <c r="AM194" s="1370">
        <f t="shared" si="133"/>
        <v>1992</v>
      </c>
      <c r="AN194" s="1310"/>
      <c r="AO194" s="1310"/>
      <c r="AP194" s="1310"/>
      <c r="AQ194" s="1310"/>
      <c r="AR194" s="1310"/>
      <c r="AS194" s="1310"/>
      <c r="AT194" s="1310"/>
      <c r="AU194" s="1012"/>
      <c r="AV194" s="1310">
        <f t="shared" si="134"/>
        <v>1992</v>
      </c>
      <c r="AW194" s="1310"/>
      <c r="AX194" s="1310"/>
      <c r="AY194" s="1310"/>
      <c r="AZ194" s="1310"/>
      <c r="BA194" s="1310"/>
      <c r="BB194" s="1310"/>
      <c r="BC194" s="1374"/>
      <c r="BD194" s="1374"/>
      <c r="BE194" s="1374"/>
      <c r="BF194" s="1374"/>
      <c r="BG194" s="1374"/>
      <c r="BH194" s="1374"/>
      <c r="BI194" s="1374"/>
      <c r="BJ194" s="1374"/>
      <c r="BK194" s="1374"/>
      <c r="BL194" s="1374"/>
      <c r="BM194" s="1374"/>
      <c r="BN194" s="1374"/>
      <c r="BO194" s="1374"/>
      <c r="BP194" s="1374"/>
      <c r="BQ194" s="1374"/>
      <c r="BR194" s="1374"/>
      <c r="BS194" s="1374"/>
      <c r="BT194" s="1374"/>
      <c r="BU194" s="1374"/>
      <c r="BV194" s="1374"/>
      <c r="BW194" s="1374">
        <f t="shared" si="135"/>
        <v>996</v>
      </c>
      <c r="BX194" s="1374"/>
      <c r="BY194" s="1374">
        <f t="shared" si="136"/>
        <v>996</v>
      </c>
      <c r="BZ194" s="1012">
        <f t="shared" si="129"/>
        <v>1992</v>
      </c>
      <c r="CB194" s="1219"/>
      <c r="CC194" s="1219"/>
      <c r="CE194" s="1009">
        <f t="shared" si="93"/>
        <v>1440224</v>
      </c>
    </row>
    <row r="195" s="1009" customFormat="1" ht="36" customHeight="1" spans="1:83">
      <c r="A195" s="1341">
        <v>45838</v>
      </c>
      <c r="B195" s="1342" t="s">
        <v>1794</v>
      </c>
      <c r="C195" s="1343" t="s">
        <v>117</v>
      </c>
      <c r="D195" s="1275">
        <v>4500171914</v>
      </c>
      <c r="E195" s="1329" t="s">
        <v>4059</v>
      </c>
      <c r="F195" s="1275" t="s">
        <v>4060</v>
      </c>
      <c r="G195" s="1344" t="s">
        <v>628</v>
      </c>
      <c r="H195" s="1041" t="s">
        <v>623</v>
      </c>
      <c r="I195" s="1012">
        <v>600</v>
      </c>
      <c r="J195" s="1087">
        <v>0</v>
      </c>
      <c r="K195" s="1040">
        <v>12</v>
      </c>
      <c r="L195" s="1012">
        <f t="shared" si="119"/>
        <v>50</v>
      </c>
      <c r="M195" s="1349">
        <v>45870</v>
      </c>
      <c r="N195" s="1349">
        <v>45871</v>
      </c>
      <c r="O195" s="1350"/>
      <c r="P195" s="1079" t="s">
        <v>92</v>
      </c>
      <c r="Q195" s="579" t="s">
        <v>4061</v>
      </c>
      <c r="R195" s="584">
        <v>45840</v>
      </c>
      <c r="S195" s="584" t="s">
        <v>77</v>
      </c>
      <c r="T195" s="1357" t="s">
        <v>4050</v>
      </c>
      <c r="U195" s="1329" t="s">
        <v>4051</v>
      </c>
      <c r="V195" s="1358" t="s">
        <v>1341</v>
      </c>
      <c r="W195" s="1359">
        <v>1.8222</v>
      </c>
      <c r="X195" s="1360">
        <f t="shared" si="131"/>
        <v>1093.32</v>
      </c>
      <c r="Y195" s="1367"/>
      <c r="Z195" s="1368" t="s">
        <v>4039</v>
      </c>
      <c r="AA195" s="1369" t="s">
        <v>128</v>
      </c>
      <c r="AB195" s="1369"/>
      <c r="AC195" s="1370">
        <v>600</v>
      </c>
      <c r="AD195" s="1151">
        <f t="shared" si="118"/>
        <v>0</v>
      </c>
      <c r="AE195" s="1370"/>
      <c r="AF195" s="1350"/>
      <c r="AG195" s="1350"/>
      <c r="AH195" s="1151">
        <f t="shared" si="132"/>
        <v>1200</v>
      </c>
      <c r="AI195" s="1370"/>
      <c r="AJ195" s="1370"/>
      <c r="AK195" s="1370"/>
      <c r="AL195" s="1012"/>
      <c r="AM195" s="1370">
        <f t="shared" si="133"/>
        <v>1200</v>
      </c>
      <c r="AN195" s="1310"/>
      <c r="AO195" s="1310"/>
      <c r="AP195" s="1310"/>
      <c r="AQ195" s="1310"/>
      <c r="AR195" s="1310"/>
      <c r="AS195" s="1310"/>
      <c r="AT195" s="1310"/>
      <c r="AU195" s="1012"/>
      <c r="AV195" s="1310">
        <f t="shared" si="134"/>
        <v>1200</v>
      </c>
      <c r="AW195" s="1310"/>
      <c r="AX195" s="1310"/>
      <c r="AY195" s="1310"/>
      <c r="AZ195" s="1310"/>
      <c r="BA195" s="1310"/>
      <c r="BB195" s="1310"/>
      <c r="BC195" s="1374"/>
      <c r="BD195" s="1374"/>
      <c r="BE195" s="1374"/>
      <c r="BF195" s="1374"/>
      <c r="BG195" s="1374"/>
      <c r="BH195" s="1374"/>
      <c r="BI195" s="1374"/>
      <c r="BJ195" s="1374"/>
      <c r="BK195" s="1374"/>
      <c r="BL195" s="1374"/>
      <c r="BM195" s="1374"/>
      <c r="BN195" s="1374"/>
      <c r="BO195" s="1374"/>
      <c r="BP195" s="1374"/>
      <c r="BQ195" s="1374"/>
      <c r="BR195" s="1374"/>
      <c r="BS195" s="1374"/>
      <c r="BT195" s="1374"/>
      <c r="BU195" s="1374"/>
      <c r="BV195" s="1374"/>
      <c r="BW195" s="1374">
        <f t="shared" si="135"/>
        <v>600</v>
      </c>
      <c r="BX195" s="1374"/>
      <c r="BY195" s="1374">
        <f t="shared" si="136"/>
        <v>600</v>
      </c>
      <c r="BZ195" s="1012">
        <f t="shared" si="129"/>
        <v>1200</v>
      </c>
      <c r="CB195" s="1219"/>
      <c r="CC195" s="1219"/>
      <c r="CE195" s="1009">
        <f t="shared" ref="CE195:CE252" si="137">CE194-AH195-AI195-AJ195</f>
        <v>1439024</v>
      </c>
    </row>
    <row r="196" s="1009" customFormat="1" ht="36" customHeight="1" spans="1:83">
      <c r="A196" s="1341">
        <v>45838</v>
      </c>
      <c r="B196" s="1342" t="s">
        <v>1794</v>
      </c>
      <c r="C196" s="1343" t="s">
        <v>117</v>
      </c>
      <c r="D196" s="1275">
        <v>4500171918</v>
      </c>
      <c r="E196" s="1329" t="s">
        <v>4062</v>
      </c>
      <c r="F196" s="1275" t="s">
        <v>4063</v>
      </c>
      <c r="G196" s="1344" t="s">
        <v>628</v>
      </c>
      <c r="H196" s="1041" t="s">
        <v>623</v>
      </c>
      <c r="I196" s="1012">
        <v>1200</v>
      </c>
      <c r="J196" s="1087">
        <v>0</v>
      </c>
      <c r="K196" s="1040">
        <v>12</v>
      </c>
      <c r="L196" s="1012">
        <f t="shared" si="119"/>
        <v>100</v>
      </c>
      <c r="M196" s="1349">
        <v>45870</v>
      </c>
      <c r="N196" s="1349">
        <v>45871</v>
      </c>
      <c r="O196" s="1350"/>
      <c r="P196" s="1079" t="s">
        <v>92</v>
      </c>
      <c r="Q196" s="1356" t="s">
        <v>4064</v>
      </c>
      <c r="R196" s="584">
        <v>45840</v>
      </c>
      <c r="S196" s="584" t="s">
        <v>77</v>
      </c>
      <c r="T196" s="1357" t="s">
        <v>4036</v>
      </c>
      <c r="U196" s="1329" t="s">
        <v>4037</v>
      </c>
      <c r="V196" s="1358" t="s">
        <v>1341</v>
      </c>
      <c r="W196" s="1359">
        <v>1.8222</v>
      </c>
      <c r="X196" s="1360">
        <f t="shared" si="131"/>
        <v>2186.64</v>
      </c>
      <c r="Y196" s="1367"/>
      <c r="Z196" s="1368" t="s">
        <v>4039</v>
      </c>
      <c r="AA196" s="1369" t="s">
        <v>128</v>
      </c>
      <c r="AB196" s="1369"/>
      <c r="AC196" s="1370">
        <v>1200</v>
      </c>
      <c r="AD196" s="1151">
        <f t="shared" si="118"/>
        <v>0</v>
      </c>
      <c r="AE196" s="1370"/>
      <c r="AF196" s="1350"/>
      <c r="AG196" s="1350"/>
      <c r="AH196" s="1151">
        <f t="shared" si="132"/>
        <v>2400</v>
      </c>
      <c r="AI196" s="1370"/>
      <c r="AJ196" s="1370"/>
      <c r="AK196" s="1370"/>
      <c r="AL196" s="1012"/>
      <c r="AM196" s="1370">
        <f t="shared" si="133"/>
        <v>2400</v>
      </c>
      <c r="AN196" s="1310"/>
      <c r="AO196" s="1310"/>
      <c r="AP196" s="1310"/>
      <c r="AQ196" s="1310"/>
      <c r="AR196" s="1310"/>
      <c r="AS196" s="1310"/>
      <c r="AT196" s="1310"/>
      <c r="AU196" s="1012"/>
      <c r="AV196" s="1310">
        <f t="shared" si="134"/>
        <v>2400</v>
      </c>
      <c r="AW196" s="1310"/>
      <c r="AX196" s="1310"/>
      <c r="AY196" s="1310"/>
      <c r="AZ196" s="1310"/>
      <c r="BA196" s="1310"/>
      <c r="BB196" s="1310"/>
      <c r="BC196" s="1374"/>
      <c r="BD196" s="1374"/>
      <c r="BE196" s="1374"/>
      <c r="BF196" s="1374"/>
      <c r="BG196" s="1374"/>
      <c r="BH196" s="1374"/>
      <c r="BI196" s="1374"/>
      <c r="BJ196" s="1374"/>
      <c r="BK196" s="1374"/>
      <c r="BL196" s="1374"/>
      <c r="BM196" s="1374"/>
      <c r="BN196" s="1374"/>
      <c r="BO196" s="1374"/>
      <c r="BP196" s="1374"/>
      <c r="BQ196" s="1374"/>
      <c r="BR196" s="1374"/>
      <c r="BS196" s="1374"/>
      <c r="BT196" s="1374"/>
      <c r="BU196" s="1374"/>
      <c r="BV196" s="1374"/>
      <c r="BW196" s="1374">
        <f t="shared" si="135"/>
        <v>1200</v>
      </c>
      <c r="BX196" s="1374"/>
      <c r="BY196" s="1374">
        <f t="shared" si="136"/>
        <v>1200</v>
      </c>
      <c r="BZ196" s="1012">
        <f t="shared" si="129"/>
        <v>2400</v>
      </c>
      <c r="CB196" s="1219"/>
      <c r="CC196" s="1219"/>
      <c r="CE196" s="1009">
        <f t="shared" si="137"/>
        <v>1436624</v>
      </c>
    </row>
    <row r="197" s="1009" customFormat="1" ht="36" customHeight="1" spans="1:83">
      <c r="A197" s="1341">
        <v>45838</v>
      </c>
      <c r="B197" s="1342" t="s">
        <v>1794</v>
      </c>
      <c r="C197" s="1343" t="s">
        <v>117</v>
      </c>
      <c r="D197" s="1275">
        <v>4500171912</v>
      </c>
      <c r="E197" s="1329" t="s">
        <v>4065</v>
      </c>
      <c r="F197" s="1275" t="s">
        <v>4066</v>
      </c>
      <c r="G197" s="1344" t="s">
        <v>628</v>
      </c>
      <c r="H197" s="1041" t="s">
        <v>623</v>
      </c>
      <c r="I197" s="1012">
        <v>2196</v>
      </c>
      <c r="J197" s="1087">
        <v>0</v>
      </c>
      <c r="K197" s="1040">
        <v>12</v>
      </c>
      <c r="L197" s="1012">
        <f t="shared" si="119"/>
        <v>183</v>
      </c>
      <c r="M197" s="1349">
        <v>45870</v>
      </c>
      <c r="N197" s="1349">
        <v>45871</v>
      </c>
      <c r="O197" s="1350"/>
      <c r="P197" s="1079" t="s">
        <v>92</v>
      </c>
      <c r="Q197" s="579" t="s">
        <v>1939</v>
      </c>
      <c r="R197" s="584">
        <v>45840</v>
      </c>
      <c r="S197" s="584" t="s">
        <v>77</v>
      </c>
      <c r="T197" s="1357" t="s">
        <v>4036</v>
      </c>
      <c r="U197" s="1329" t="s">
        <v>4067</v>
      </c>
      <c r="V197" s="1358" t="s">
        <v>1341</v>
      </c>
      <c r="W197" s="1359">
        <v>1.8222</v>
      </c>
      <c r="X197" s="1360">
        <f t="shared" si="131"/>
        <v>4001.5512</v>
      </c>
      <c r="Y197" s="1367"/>
      <c r="Z197" s="1368" t="s">
        <v>4039</v>
      </c>
      <c r="AA197" s="1369" t="s">
        <v>128</v>
      </c>
      <c r="AB197" s="1369"/>
      <c r="AC197" s="1370">
        <v>2196</v>
      </c>
      <c r="AD197" s="1151">
        <f t="shared" si="118"/>
        <v>0</v>
      </c>
      <c r="AE197" s="1370"/>
      <c r="AF197" s="1350"/>
      <c r="AG197" s="1350"/>
      <c r="AH197" s="1151">
        <f t="shared" si="132"/>
        <v>4392</v>
      </c>
      <c r="AI197" s="1370"/>
      <c r="AJ197" s="1370"/>
      <c r="AK197" s="1370"/>
      <c r="AL197" s="1012"/>
      <c r="AM197" s="1370">
        <f t="shared" si="133"/>
        <v>4392</v>
      </c>
      <c r="AN197" s="1310"/>
      <c r="AO197" s="1310"/>
      <c r="AP197" s="1310"/>
      <c r="AQ197" s="1310"/>
      <c r="AR197" s="1310"/>
      <c r="AS197" s="1310"/>
      <c r="AT197" s="1310"/>
      <c r="AU197" s="1012"/>
      <c r="AV197" s="1310">
        <f t="shared" si="134"/>
        <v>4392</v>
      </c>
      <c r="AW197" s="1310"/>
      <c r="AX197" s="1310"/>
      <c r="AY197" s="1310"/>
      <c r="AZ197" s="1310"/>
      <c r="BA197" s="1310"/>
      <c r="BB197" s="1310"/>
      <c r="BC197" s="1374"/>
      <c r="BD197" s="1374"/>
      <c r="BE197" s="1374"/>
      <c r="BF197" s="1374"/>
      <c r="BG197" s="1374"/>
      <c r="BH197" s="1374"/>
      <c r="BI197" s="1374"/>
      <c r="BJ197" s="1374"/>
      <c r="BK197" s="1374"/>
      <c r="BL197" s="1374"/>
      <c r="BM197" s="1374"/>
      <c r="BN197" s="1374"/>
      <c r="BO197" s="1374"/>
      <c r="BP197" s="1374"/>
      <c r="BQ197" s="1374"/>
      <c r="BR197" s="1374"/>
      <c r="BS197" s="1374"/>
      <c r="BT197" s="1374"/>
      <c r="BU197" s="1374"/>
      <c r="BV197" s="1374"/>
      <c r="BW197" s="1374">
        <f t="shared" si="135"/>
        <v>2196</v>
      </c>
      <c r="BX197" s="1374"/>
      <c r="BY197" s="1374">
        <f t="shared" si="136"/>
        <v>2196</v>
      </c>
      <c r="BZ197" s="1012">
        <f t="shared" si="129"/>
        <v>4392</v>
      </c>
      <c r="CB197" s="1219"/>
      <c r="CC197" s="1219"/>
      <c r="CE197" s="1009">
        <f t="shared" si="137"/>
        <v>1432232</v>
      </c>
    </row>
    <row r="198" s="1009" customFormat="1" ht="36" customHeight="1" spans="1:83">
      <c r="A198" s="1341">
        <v>45838</v>
      </c>
      <c r="B198" s="1342" t="s">
        <v>1794</v>
      </c>
      <c r="C198" s="1343" t="s">
        <v>117</v>
      </c>
      <c r="D198" s="1275">
        <v>4500171915</v>
      </c>
      <c r="E198" s="1329" t="s">
        <v>4068</v>
      </c>
      <c r="F198" s="1275" t="s">
        <v>4069</v>
      </c>
      <c r="G198" s="1344" t="s">
        <v>628</v>
      </c>
      <c r="H198" s="1041" t="s">
        <v>623</v>
      </c>
      <c r="I198" s="1012">
        <v>996</v>
      </c>
      <c r="J198" s="1087">
        <v>0</v>
      </c>
      <c r="K198" s="1040">
        <v>12</v>
      </c>
      <c r="L198" s="1012">
        <f t="shared" si="119"/>
        <v>83</v>
      </c>
      <c r="M198" s="1349">
        <v>45870</v>
      </c>
      <c r="N198" s="1349">
        <v>45871</v>
      </c>
      <c r="O198" s="1350"/>
      <c r="P198" s="1079" t="s">
        <v>92</v>
      </c>
      <c r="Q198" s="1356" t="s">
        <v>4035</v>
      </c>
      <c r="R198" s="584">
        <v>45840</v>
      </c>
      <c r="S198" s="584" t="s">
        <v>77</v>
      </c>
      <c r="T198" s="1357" t="s">
        <v>4036</v>
      </c>
      <c r="U198" s="1329" t="s">
        <v>4037</v>
      </c>
      <c r="V198" s="1358" t="s">
        <v>1341</v>
      </c>
      <c r="W198" s="1359">
        <v>1.8222</v>
      </c>
      <c r="X198" s="1360">
        <f t="shared" si="131"/>
        <v>1814.9112</v>
      </c>
      <c r="Y198" s="1367" t="s">
        <v>4070</v>
      </c>
      <c r="Z198" s="1368" t="s">
        <v>4039</v>
      </c>
      <c r="AA198" s="1369" t="s">
        <v>128</v>
      </c>
      <c r="AB198" s="1369"/>
      <c r="AC198" s="1370">
        <v>996</v>
      </c>
      <c r="AD198" s="1151">
        <f t="shared" si="118"/>
        <v>0</v>
      </c>
      <c r="AE198" s="1370"/>
      <c r="AF198" s="1350"/>
      <c r="AG198" s="1350"/>
      <c r="AH198" s="1151">
        <f t="shared" si="132"/>
        <v>1992</v>
      </c>
      <c r="AI198" s="1370"/>
      <c r="AJ198" s="1370"/>
      <c r="AK198" s="1370"/>
      <c r="AL198" s="1012"/>
      <c r="AM198" s="1370">
        <f t="shared" si="133"/>
        <v>1992</v>
      </c>
      <c r="AN198" s="1310"/>
      <c r="AO198" s="1310"/>
      <c r="AP198" s="1310"/>
      <c r="AQ198" s="1310"/>
      <c r="AR198" s="1310"/>
      <c r="AS198" s="1310"/>
      <c r="AT198" s="1310"/>
      <c r="AU198" s="1012"/>
      <c r="AV198" s="1310">
        <f t="shared" si="134"/>
        <v>1992</v>
      </c>
      <c r="AW198" s="1310"/>
      <c r="AX198" s="1310"/>
      <c r="AY198" s="1310"/>
      <c r="AZ198" s="1310"/>
      <c r="BA198" s="1310"/>
      <c r="BB198" s="1310"/>
      <c r="BC198" s="1374"/>
      <c r="BD198" s="1374"/>
      <c r="BE198" s="1374"/>
      <c r="BF198" s="1374"/>
      <c r="BG198" s="1374"/>
      <c r="BH198" s="1374"/>
      <c r="BI198" s="1374"/>
      <c r="BJ198" s="1374"/>
      <c r="BK198" s="1374"/>
      <c r="BL198" s="1374"/>
      <c r="BM198" s="1374"/>
      <c r="BN198" s="1374"/>
      <c r="BO198" s="1374"/>
      <c r="BP198" s="1374"/>
      <c r="BQ198" s="1374"/>
      <c r="BR198" s="1374"/>
      <c r="BS198" s="1374"/>
      <c r="BT198" s="1374"/>
      <c r="BU198" s="1374"/>
      <c r="BV198" s="1374"/>
      <c r="BW198" s="1374">
        <f t="shared" si="135"/>
        <v>996</v>
      </c>
      <c r="BX198" s="1374"/>
      <c r="BY198" s="1374">
        <f t="shared" si="136"/>
        <v>996</v>
      </c>
      <c r="BZ198" s="1012">
        <f t="shared" si="129"/>
        <v>1992</v>
      </c>
      <c r="CB198" s="1219"/>
      <c r="CC198" s="1219"/>
      <c r="CE198" s="1009">
        <f t="shared" si="137"/>
        <v>1430240</v>
      </c>
    </row>
    <row r="199" s="1009" customFormat="1" ht="36" customHeight="1" spans="1:83">
      <c r="A199" s="1341">
        <v>45839</v>
      </c>
      <c r="B199" s="1342" t="s">
        <v>816</v>
      </c>
      <c r="C199" s="1343" t="s">
        <v>117</v>
      </c>
      <c r="D199" s="1275">
        <v>4500172213</v>
      </c>
      <c r="E199" s="1329" t="s">
        <v>4071</v>
      </c>
      <c r="F199" s="1275" t="s">
        <v>4072</v>
      </c>
      <c r="G199" s="1344" t="s">
        <v>628</v>
      </c>
      <c r="H199" s="1041" t="s">
        <v>623</v>
      </c>
      <c r="I199" s="1012">
        <v>2004</v>
      </c>
      <c r="J199" s="1087">
        <v>0</v>
      </c>
      <c r="K199" s="1040">
        <v>12</v>
      </c>
      <c r="L199" s="1012">
        <f t="shared" si="119"/>
        <v>167</v>
      </c>
      <c r="M199" s="1349">
        <v>45870</v>
      </c>
      <c r="N199" s="1349">
        <v>45871</v>
      </c>
      <c r="O199" s="1350"/>
      <c r="P199" s="1079" t="s">
        <v>92</v>
      </c>
      <c r="Q199" s="579" t="s">
        <v>4017</v>
      </c>
      <c r="R199" s="584">
        <v>45845</v>
      </c>
      <c r="S199" s="584" t="s">
        <v>77</v>
      </c>
      <c r="T199" s="1357" t="s">
        <v>4050</v>
      </c>
      <c r="U199" s="1329" t="s">
        <v>4073</v>
      </c>
      <c r="V199" s="1358" t="s">
        <v>2458</v>
      </c>
      <c r="W199" s="1359">
        <v>1.8004</v>
      </c>
      <c r="X199" s="1360">
        <f t="shared" si="131"/>
        <v>3608.0016</v>
      </c>
      <c r="Y199" s="1367"/>
      <c r="Z199" s="1368" t="s">
        <v>822</v>
      </c>
      <c r="AA199" s="1369" t="s">
        <v>128</v>
      </c>
      <c r="AB199" s="1369"/>
      <c r="AC199" s="1370">
        <v>2004</v>
      </c>
      <c r="AD199" s="1151">
        <f t="shared" si="118"/>
        <v>0</v>
      </c>
      <c r="AE199" s="1370"/>
      <c r="AF199" s="1350"/>
      <c r="AG199" s="1350"/>
      <c r="AH199" s="1151">
        <f t="shared" si="132"/>
        <v>4008</v>
      </c>
      <c r="AI199" s="1370"/>
      <c r="AJ199" s="1370"/>
      <c r="AK199" s="1370"/>
      <c r="AL199" s="1370"/>
      <c r="AM199" s="1370"/>
      <c r="AN199" s="1310">
        <f>I199*2</f>
        <v>4008</v>
      </c>
      <c r="AO199" s="1310"/>
      <c r="AQ199" s="1310"/>
      <c r="AR199" s="1310"/>
      <c r="AS199" s="1310"/>
      <c r="AT199" s="1310"/>
      <c r="AU199" s="1310">
        <f>AN199</f>
        <v>4008</v>
      </c>
      <c r="AV199" s="1012"/>
      <c r="AW199" s="1310"/>
      <c r="AX199" s="1310"/>
      <c r="AY199" s="1310"/>
      <c r="AZ199" s="1310"/>
      <c r="BA199" s="1310"/>
      <c r="BB199" s="1310"/>
      <c r="BC199" s="1374"/>
      <c r="BD199" s="1374"/>
      <c r="BE199" s="1374"/>
      <c r="BF199" s="1374"/>
      <c r="BG199" s="1374"/>
      <c r="BH199" s="1374"/>
      <c r="BI199" s="1374"/>
      <c r="BJ199" s="1374"/>
      <c r="BK199" s="1374"/>
      <c r="BL199" s="1374"/>
      <c r="BM199" s="1374"/>
      <c r="BN199" s="1374"/>
      <c r="BO199" s="1374"/>
      <c r="BP199" s="1374"/>
      <c r="BQ199" s="1374"/>
      <c r="BR199" s="1374"/>
      <c r="BS199" s="1374"/>
      <c r="BT199" s="1374"/>
      <c r="BU199" s="1374"/>
      <c r="BV199" s="1374"/>
      <c r="BW199" s="1374">
        <f t="shared" si="135"/>
        <v>2004</v>
      </c>
      <c r="BX199" s="1374"/>
      <c r="BY199" s="1374">
        <f t="shared" si="136"/>
        <v>2004</v>
      </c>
      <c r="BZ199" s="1012">
        <f t="shared" si="129"/>
        <v>4008</v>
      </c>
      <c r="CB199" s="1219"/>
      <c r="CC199" s="1219"/>
      <c r="CE199" s="1009">
        <f t="shared" si="137"/>
        <v>1426232</v>
      </c>
    </row>
    <row r="200" s="1009" customFormat="1" ht="36" customHeight="1" spans="1:83">
      <c r="A200" s="1341">
        <v>45838</v>
      </c>
      <c r="B200" s="1342" t="s">
        <v>4074</v>
      </c>
      <c r="C200" s="1343" t="s">
        <v>613</v>
      </c>
      <c r="D200" s="1275">
        <v>4500172103</v>
      </c>
      <c r="E200" s="1329"/>
      <c r="F200" s="1275" t="s">
        <v>4075</v>
      </c>
      <c r="G200" s="1344" t="s">
        <v>96</v>
      </c>
      <c r="H200" s="1041" t="s">
        <v>74</v>
      </c>
      <c r="I200" s="1012">
        <v>1600</v>
      </c>
      <c r="J200" s="1087">
        <v>0</v>
      </c>
      <c r="K200" s="1040">
        <v>50</v>
      </c>
      <c r="L200" s="1012">
        <f t="shared" si="119"/>
        <v>32</v>
      </c>
      <c r="M200" s="1349">
        <v>45874</v>
      </c>
      <c r="N200" s="1349">
        <v>45871</v>
      </c>
      <c r="O200" s="1350"/>
      <c r="P200" s="1350" t="s">
        <v>1262</v>
      </c>
      <c r="Q200" s="1350" t="s">
        <v>4076</v>
      </c>
      <c r="R200" s="584">
        <v>45845</v>
      </c>
      <c r="S200" s="584" t="s">
        <v>77</v>
      </c>
      <c r="T200" s="1357" t="s">
        <v>4077</v>
      </c>
      <c r="U200" s="1329" t="s">
        <v>4078</v>
      </c>
      <c r="V200" s="1358" t="s">
        <v>3879</v>
      </c>
      <c r="W200" s="1113">
        <v>1.3881</v>
      </c>
      <c r="X200" s="1114">
        <f t="shared" ref="X200:X206" si="138">I200*W200</f>
        <v>2220.96</v>
      </c>
      <c r="Y200" s="1407" t="s">
        <v>4079</v>
      </c>
      <c r="Z200" s="1368" t="s">
        <v>292</v>
      </c>
      <c r="AA200" s="1369" t="s">
        <v>128</v>
      </c>
      <c r="AB200" s="1369"/>
      <c r="AC200" s="1370">
        <v>1600</v>
      </c>
      <c r="AD200" s="1151">
        <f t="shared" si="118"/>
        <v>0</v>
      </c>
      <c r="AE200" s="1370"/>
      <c r="AF200" s="1350"/>
      <c r="AG200" s="1350"/>
      <c r="AH200" s="1151">
        <f t="shared" ref="AH200:AH204" si="139">I200</f>
        <v>1600</v>
      </c>
      <c r="AI200" s="1370"/>
      <c r="AJ200" s="1370"/>
      <c r="AK200" s="1370"/>
      <c r="AL200" s="1370"/>
      <c r="AM200" s="1370"/>
      <c r="AN200" s="1310"/>
      <c r="AO200" s="1310"/>
      <c r="AP200" s="1310"/>
      <c r="AQ200" s="543">
        <f t="shared" ref="AQ200:AQ204" si="140">I200</f>
        <v>1600</v>
      </c>
      <c r="AR200" s="1310"/>
      <c r="AS200" s="1310"/>
      <c r="AT200" s="1310"/>
      <c r="AU200" s="1012"/>
      <c r="AV200" s="1310">
        <f>I200</f>
        <v>1600</v>
      </c>
      <c r="AW200" s="1310"/>
      <c r="AX200" s="1310"/>
      <c r="AY200" s="1310"/>
      <c r="AZ200" s="1310"/>
      <c r="BA200" s="1310"/>
      <c r="BB200" s="1310"/>
      <c r="BC200" s="1374"/>
      <c r="BD200" s="1374"/>
      <c r="BE200" s="1374"/>
      <c r="BF200" s="1374"/>
      <c r="BG200" s="1374"/>
      <c r="BH200" s="1374"/>
      <c r="BI200" s="1374"/>
      <c r="BJ200" s="1374"/>
      <c r="BK200" s="1374"/>
      <c r="BL200" s="1374"/>
      <c r="BM200" s="1374"/>
      <c r="BN200" s="1200">
        <f>I200/25</f>
        <v>64</v>
      </c>
      <c r="BO200" s="1374"/>
      <c r="BP200" s="1374"/>
      <c r="BQ200" s="1374"/>
      <c r="BR200" s="1374"/>
      <c r="BS200" s="1374"/>
      <c r="BT200" s="1374"/>
      <c r="BU200" s="1374"/>
      <c r="BV200" s="1374"/>
      <c r="BW200" s="1374"/>
      <c r="BX200" s="1374"/>
      <c r="BY200" s="1374"/>
      <c r="BZ200" s="1012">
        <f t="shared" si="129"/>
        <v>1600</v>
      </c>
      <c r="CB200" s="1219"/>
      <c r="CC200" s="1219"/>
      <c r="CE200" s="1009">
        <f t="shared" si="137"/>
        <v>1424632</v>
      </c>
    </row>
    <row r="201" s="1009" customFormat="1" ht="36" customHeight="1" spans="1:83">
      <c r="A201" s="1341">
        <v>45834</v>
      </c>
      <c r="B201" s="1342" t="s">
        <v>4074</v>
      </c>
      <c r="C201" s="1343" t="s">
        <v>613</v>
      </c>
      <c r="D201" s="1275">
        <v>4500171286</v>
      </c>
      <c r="E201" s="1376"/>
      <c r="F201" s="1275" t="s">
        <v>4080</v>
      </c>
      <c r="G201" s="1344" t="s">
        <v>96</v>
      </c>
      <c r="H201" s="1041" t="s">
        <v>74</v>
      </c>
      <c r="I201" s="1012">
        <v>600</v>
      </c>
      <c r="J201" s="1087">
        <v>0</v>
      </c>
      <c r="K201" s="1040">
        <v>50</v>
      </c>
      <c r="L201" s="1012">
        <f t="shared" si="119"/>
        <v>12</v>
      </c>
      <c r="M201" s="1079">
        <v>45870</v>
      </c>
      <c r="N201" s="1349">
        <v>45871</v>
      </c>
      <c r="O201" s="1350"/>
      <c r="P201" s="1350" t="s">
        <v>1262</v>
      </c>
      <c r="Q201" s="1350" t="s">
        <v>4081</v>
      </c>
      <c r="R201" s="584">
        <v>45845</v>
      </c>
      <c r="S201" s="584" t="s">
        <v>77</v>
      </c>
      <c r="T201" s="1357" t="s">
        <v>4077</v>
      </c>
      <c r="U201" s="1397" t="s">
        <v>4082</v>
      </c>
      <c r="V201" s="1358" t="s">
        <v>3879</v>
      </c>
      <c r="W201" s="1113">
        <v>1.4097</v>
      </c>
      <c r="X201" s="1114">
        <f t="shared" si="138"/>
        <v>845.82</v>
      </c>
      <c r="Y201" s="1367" t="s">
        <v>4083</v>
      </c>
      <c r="Z201" s="1156" t="s">
        <v>292</v>
      </c>
      <c r="AA201" s="1369" t="s">
        <v>128</v>
      </c>
      <c r="AB201" s="1369"/>
      <c r="AC201" s="1370">
        <v>600</v>
      </c>
      <c r="AD201" s="1151">
        <f t="shared" si="118"/>
        <v>0</v>
      </c>
      <c r="AE201" s="1370"/>
      <c r="AF201" s="1350"/>
      <c r="AG201" s="1350"/>
      <c r="AH201" s="1151">
        <f t="shared" si="139"/>
        <v>600</v>
      </c>
      <c r="AI201" s="1370"/>
      <c r="AJ201" s="1370"/>
      <c r="AK201" s="1151"/>
      <c r="AL201" s="1151"/>
      <c r="AM201" s="1151"/>
      <c r="AN201" s="543"/>
      <c r="AO201" s="543"/>
      <c r="AP201" s="543"/>
      <c r="AQ201" s="543">
        <f t="shared" si="140"/>
        <v>600</v>
      </c>
      <c r="AR201" s="1310"/>
      <c r="AS201" s="1310"/>
      <c r="AT201" s="1310"/>
      <c r="AU201" s="1193">
        <f>I201</f>
        <v>600</v>
      </c>
      <c r="AV201" s="1307"/>
      <c r="AW201" s="1310"/>
      <c r="AX201" s="1310"/>
      <c r="AY201" s="1310"/>
      <c r="AZ201" s="1310"/>
      <c r="BA201" s="1310"/>
      <c r="BB201" s="1310"/>
      <c r="BC201" s="1374"/>
      <c r="BD201" s="1374"/>
      <c r="BE201" s="1374"/>
      <c r="BF201" s="1374"/>
      <c r="BG201" s="1374"/>
      <c r="BH201" s="1374"/>
      <c r="BI201" s="1374"/>
      <c r="BJ201" s="1200"/>
      <c r="BK201" s="1374"/>
      <c r="BL201" s="1374"/>
      <c r="BM201" s="1374"/>
      <c r="BN201" s="1200">
        <f>I201/25</f>
        <v>24</v>
      </c>
      <c r="BO201" s="1374"/>
      <c r="BP201" s="1374"/>
      <c r="BQ201" s="1374"/>
      <c r="BR201" s="1374"/>
      <c r="BS201" s="1374"/>
      <c r="BT201" s="1374"/>
      <c r="BU201" s="1374"/>
      <c r="BV201" s="1374"/>
      <c r="BW201" s="1374"/>
      <c r="BX201" s="1374"/>
      <c r="BY201" s="1374"/>
      <c r="BZ201" s="1012">
        <f t="shared" si="129"/>
        <v>600</v>
      </c>
      <c r="CB201" s="1219"/>
      <c r="CC201" s="1219"/>
      <c r="CE201" s="1009">
        <f t="shared" si="137"/>
        <v>1424032</v>
      </c>
    </row>
    <row r="202" s="1009" customFormat="1" ht="36" customHeight="1" spans="1:83">
      <c r="A202" s="1341">
        <v>45840</v>
      </c>
      <c r="B202" s="1342" t="s">
        <v>1794</v>
      </c>
      <c r="C202" s="1343" t="s">
        <v>117</v>
      </c>
      <c r="D202" s="1275">
        <v>4500172365</v>
      </c>
      <c r="E202" s="1329" t="s">
        <v>4084</v>
      </c>
      <c r="F202" s="1275" t="s">
        <v>4085</v>
      </c>
      <c r="G202" s="1344" t="s">
        <v>628</v>
      </c>
      <c r="H202" s="1041" t="s">
        <v>623</v>
      </c>
      <c r="I202" s="1012">
        <v>3204</v>
      </c>
      <c r="J202" s="1087">
        <v>0</v>
      </c>
      <c r="K202" s="1040">
        <v>12</v>
      </c>
      <c r="L202" s="1012">
        <f t="shared" si="119"/>
        <v>267</v>
      </c>
      <c r="M202" s="1349">
        <v>45876</v>
      </c>
      <c r="N202" s="1349">
        <v>45873</v>
      </c>
      <c r="O202" s="1350"/>
      <c r="P202" s="1350" t="s">
        <v>92</v>
      </c>
      <c r="Q202" s="579" t="s">
        <v>4086</v>
      </c>
      <c r="R202" s="584">
        <v>45847</v>
      </c>
      <c r="S202" s="584" t="s">
        <v>77</v>
      </c>
      <c r="T202" s="1357" t="s">
        <v>4087</v>
      </c>
      <c r="U202" s="1329" t="s">
        <v>4037</v>
      </c>
      <c r="V202" s="1358" t="s">
        <v>1341</v>
      </c>
      <c r="W202" s="1359">
        <v>1.8163</v>
      </c>
      <c r="X202" s="1360">
        <f t="shared" ref="X202:X210" si="141">W202*I202</f>
        <v>5819.4252</v>
      </c>
      <c r="Y202" s="1367"/>
      <c r="Z202" s="1368" t="s">
        <v>4039</v>
      </c>
      <c r="AA202" s="1369" t="s">
        <v>128</v>
      </c>
      <c r="AB202" s="1369"/>
      <c r="AC202" s="1370">
        <v>3204</v>
      </c>
      <c r="AD202" s="1151">
        <f t="shared" si="118"/>
        <v>0</v>
      </c>
      <c r="AE202" s="1370"/>
      <c r="AF202" s="1350"/>
      <c r="AG202" s="1350"/>
      <c r="AH202" s="1151">
        <f t="shared" ref="AH202:AH210" si="142">I202*2</f>
        <v>6408</v>
      </c>
      <c r="AI202" s="1370"/>
      <c r="AJ202" s="1370"/>
      <c r="AK202" s="1370"/>
      <c r="AL202" s="1370"/>
      <c r="AM202" s="1370">
        <f>I202*2</f>
        <v>6408</v>
      </c>
      <c r="AN202" s="1310"/>
      <c r="AO202" s="1307"/>
      <c r="AP202" s="1310"/>
      <c r="AQ202" s="543"/>
      <c r="AR202" s="1310"/>
      <c r="AS202" s="1310"/>
      <c r="AT202" s="1310"/>
      <c r="AU202" s="1012"/>
      <c r="AV202" s="1310">
        <f>AM202</f>
        <v>6408</v>
      </c>
      <c r="AW202" s="1310"/>
      <c r="AX202" s="1310"/>
      <c r="AY202" s="1310"/>
      <c r="AZ202" s="1310"/>
      <c r="BA202" s="1310"/>
      <c r="BB202" s="1310"/>
      <c r="BC202" s="1374"/>
      <c r="BD202" s="1374"/>
      <c r="BE202" s="1374"/>
      <c r="BF202" s="1374"/>
      <c r="BG202" s="1374"/>
      <c r="BH202" s="1374"/>
      <c r="BI202" s="1374"/>
      <c r="BJ202" s="1374"/>
      <c r="BK202" s="1374"/>
      <c r="BL202" s="1374"/>
      <c r="BM202" s="1374"/>
      <c r="BN202" s="1374"/>
      <c r="BO202" s="1374"/>
      <c r="BP202" s="1374"/>
      <c r="BQ202" s="1374"/>
      <c r="BR202" s="1374"/>
      <c r="BS202" s="1374"/>
      <c r="BT202" s="1374"/>
      <c r="BU202" s="1374"/>
      <c r="BV202" s="1374"/>
      <c r="BW202" s="1374">
        <f t="shared" ref="BW202:BW210" si="143">I202</f>
        <v>3204</v>
      </c>
      <c r="BX202" s="1374"/>
      <c r="BY202" s="1374">
        <f t="shared" ref="BY202:BY210" si="144">BW202</f>
        <v>3204</v>
      </c>
      <c r="BZ202" s="1012">
        <f t="shared" si="129"/>
        <v>6408</v>
      </c>
      <c r="CB202" s="1219"/>
      <c r="CC202" s="1219"/>
      <c r="CE202" s="1009">
        <f t="shared" si="137"/>
        <v>1417624</v>
      </c>
    </row>
    <row r="203" s="1009" customFormat="1" ht="36" customHeight="1" spans="1:83">
      <c r="A203" s="1341">
        <v>45840</v>
      </c>
      <c r="B203" s="1342" t="s">
        <v>1794</v>
      </c>
      <c r="C203" s="1343" t="s">
        <v>117</v>
      </c>
      <c r="D203" s="1275">
        <v>4500172370</v>
      </c>
      <c r="E203" s="1329" t="s">
        <v>4088</v>
      </c>
      <c r="F203" s="1275" t="s">
        <v>4089</v>
      </c>
      <c r="G203" s="1344" t="s">
        <v>628</v>
      </c>
      <c r="H203" s="1041" t="s">
        <v>623</v>
      </c>
      <c r="I203" s="1012">
        <v>3600</v>
      </c>
      <c r="J203" s="1087">
        <v>0</v>
      </c>
      <c r="K203" s="1040">
        <v>12</v>
      </c>
      <c r="L203" s="1012">
        <f t="shared" si="119"/>
        <v>300</v>
      </c>
      <c r="M203" s="1349">
        <v>45876</v>
      </c>
      <c r="N203" s="1349">
        <v>45873</v>
      </c>
      <c r="O203" s="1350"/>
      <c r="P203" s="1350" t="s">
        <v>92</v>
      </c>
      <c r="Q203" s="1356" t="s">
        <v>4090</v>
      </c>
      <c r="R203" s="584">
        <v>45847</v>
      </c>
      <c r="S203" s="584" t="s">
        <v>77</v>
      </c>
      <c r="T203" s="1357" t="s">
        <v>4087</v>
      </c>
      <c r="U203" s="1329" t="s">
        <v>4037</v>
      </c>
      <c r="V203" s="1358" t="s">
        <v>1341</v>
      </c>
      <c r="W203" s="1359">
        <v>1.8163</v>
      </c>
      <c r="X203" s="1360">
        <f t="shared" si="141"/>
        <v>6538.68</v>
      </c>
      <c r="Y203" s="1367"/>
      <c r="Z203" s="1368" t="s">
        <v>4039</v>
      </c>
      <c r="AA203" s="1369" t="s">
        <v>128</v>
      </c>
      <c r="AB203" s="1369"/>
      <c r="AC203" s="1370">
        <f>504+3096</f>
        <v>3600</v>
      </c>
      <c r="AD203" s="1151">
        <f t="shared" si="118"/>
        <v>0</v>
      </c>
      <c r="AE203" s="1370"/>
      <c r="AF203" s="1350"/>
      <c r="AG203" s="1350"/>
      <c r="AH203" s="1151">
        <f t="shared" si="142"/>
        <v>7200</v>
      </c>
      <c r="AI203" s="1370"/>
      <c r="AJ203" s="1370"/>
      <c r="AK203" s="1370"/>
      <c r="AL203" s="1370"/>
      <c r="AM203" s="1370">
        <f>I203*2</f>
        <v>7200</v>
      </c>
      <c r="AN203" s="1310"/>
      <c r="AO203" s="1307"/>
      <c r="AP203" s="1310"/>
      <c r="AQ203" s="543"/>
      <c r="AR203" s="1310"/>
      <c r="AS203" s="1310"/>
      <c r="AT203" s="1310"/>
      <c r="AU203" s="1012"/>
      <c r="AV203" s="1310">
        <f>AM203</f>
        <v>7200</v>
      </c>
      <c r="AW203" s="1310"/>
      <c r="AX203" s="1310"/>
      <c r="AY203" s="1310"/>
      <c r="AZ203" s="1310"/>
      <c r="BA203" s="1310"/>
      <c r="BB203" s="1310"/>
      <c r="BC203" s="1374"/>
      <c r="BD203" s="1374"/>
      <c r="BE203" s="1374"/>
      <c r="BF203" s="1374"/>
      <c r="BG203" s="1374"/>
      <c r="BH203" s="1374"/>
      <c r="BI203" s="1374"/>
      <c r="BJ203" s="1374"/>
      <c r="BK203" s="1374"/>
      <c r="BL203" s="1374"/>
      <c r="BM203" s="1374"/>
      <c r="BN203" s="1374"/>
      <c r="BO203" s="1374"/>
      <c r="BP203" s="1374"/>
      <c r="BQ203" s="1374"/>
      <c r="BR203" s="1374"/>
      <c r="BS203" s="1374"/>
      <c r="BT203" s="1374"/>
      <c r="BU203" s="1374"/>
      <c r="BV203" s="1374"/>
      <c r="BW203" s="1374">
        <f t="shared" si="143"/>
        <v>3600</v>
      </c>
      <c r="BX203" s="1374"/>
      <c r="BY203" s="1374">
        <f t="shared" si="144"/>
        <v>3600</v>
      </c>
      <c r="BZ203" s="1012">
        <f t="shared" si="129"/>
        <v>7200</v>
      </c>
      <c r="CB203" s="1219"/>
      <c r="CC203" s="1219"/>
      <c r="CE203" s="1009">
        <f t="shared" si="137"/>
        <v>1410424</v>
      </c>
    </row>
    <row r="204" s="1009" customFormat="1" ht="36" customHeight="1" spans="1:83">
      <c r="A204" s="1341">
        <v>45828</v>
      </c>
      <c r="B204" s="1342" t="s">
        <v>4091</v>
      </c>
      <c r="C204" s="1343" t="s">
        <v>500</v>
      </c>
      <c r="D204" s="1275">
        <v>4500170761</v>
      </c>
      <c r="E204" s="1376"/>
      <c r="F204" s="1275" t="s">
        <v>4092</v>
      </c>
      <c r="G204" s="1344" t="s">
        <v>160</v>
      </c>
      <c r="H204" s="1041" t="s">
        <v>74</v>
      </c>
      <c r="I204" s="1012">
        <v>3900</v>
      </c>
      <c r="J204" s="1087">
        <v>0</v>
      </c>
      <c r="K204" s="1040">
        <v>13</v>
      </c>
      <c r="L204" s="1012">
        <f t="shared" si="119"/>
        <v>300</v>
      </c>
      <c r="M204" s="1349">
        <v>45877</v>
      </c>
      <c r="N204" s="1349">
        <v>45873</v>
      </c>
      <c r="O204" s="1350"/>
      <c r="P204" s="1350" t="s">
        <v>92</v>
      </c>
      <c r="Q204" s="1350" t="s">
        <v>4093</v>
      </c>
      <c r="R204" s="1348">
        <v>45828</v>
      </c>
      <c r="S204" s="1352" t="s">
        <v>77</v>
      </c>
      <c r="T204" s="1357" t="s">
        <v>4094</v>
      </c>
      <c r="U204" s="1397" t="s">
        <v>4095</v>
      </c>
      <c r="V204" s="1358" t="s">
        <v>4024</v>
      </c>
      <c r="W204" s="1113">
        <v>1.3614</v>
      </c>
      <c r="X204" s="1114">
        <f t="shared" si="138"/>
        <v>5309.46</v>
      </c>
      <c r="Y204" s="1367"/>
      <c r="Z204" s="1364" t="s">
        <v>239</v>
      </c>
      <c r="AA204" s="1369" t="s">
        <v>128</v>
      </c>
      <c r="AB204" s="1369"/>
      <c r="AC204" s="1370">
        <v>3900</v>
      </c>
      <c r="AD204" s="1151">
        <f t="shared" si="118"/>
        <v>0</v>
      </c>
      <c r="AE204" s="1370"/>
      <c r="AF204" s="1350"/>
      <c r="AG204" s="1350"/>
      <c r="AH204" s="1151">
        <f t="shared" si="139"/>
        <v>3900</v>
      </c>
      <c r="AI204" s="1370"/>
      <c r="AJ204" s="1370"/>
      <c r="AK204" s="1370"/>
      <c r="AL204" s="1370"/>
      <c r="AM204" s="1370"/>
      <c r="AN204" s="1310"/>
      <c r="AP204" s="1310"/>
      <c r="AQ204" s="543">
        <f t="shared" si="140"/>
        <v>3900</v>
      </c>
      <c r="AR204" s="1310"/>
      <c r="AS204" s="1310"/>
      <c r="AT204" s="1310"/>
      <c r="AU204" s="543">
        <f>I204</f>
        <v>3900</v>
      </c>
      <c r="AW204" s="1310"/>
      <c r="AX204" s="1310"/>
      <c r="AY204" s="1310"/>
      <c r="AZ204" s="1310"/>
      <c r="BA204" s="1310"/>
      <c r="BB204" s="1310"/>
      <c r="BC204" s="1374"/>
      <c r="BD204" s="1374"/>
      <c r="BE204" s="1374"/>
      <c r="BF204" s="1374"/>
      <c r="BG204" s="1374"/>
      <c r="BH204" s="1374"/>
      <c r="BI204" s="1374"/>
      <c r="BJ204" s="1200">
        <f>I204/13</f>
        <v>300</v>
      </c>
      <c r="BK204" s="1374"/>
      <c r="BL204" s="1374"/>
      <c r="BM204" s="1374"/>
      <c r="BN204" s="1374"/>
      <c r="BO204" s="1374"/>
      <c r="BP204" s="1374"/>
      <c r="BQ204" s="1374"/>
      <c r="BR204" s="1374"/>
      <c r="BS204" s="1374"/>
      <c r="BT204" s="1374"/>
      <c r="BU204" s="1374"/>
      <c r="BV204" s="1374"/>
      <c r="BW204" s="1374"/>
      <c r="BX204" s="1374"/>
      <c r="BY204" s="1374"/>
      <c r="BZ204" s="1012">
        <f t="shared" si="129"/>
        <v>3900</v>
      </c>
      <c r="CB204" s="1219"/>
      <c r="CC204" s="1219"/>
      <c r="CE204" s="1009">
        <f t="shared" si="137"/>
        <v>1406524</v>
      </c>
    </row>
    <row r="205" s="1009" customFormat="1" ht="36" customHeight="1" spans="1:83">
      <c r="A205" s="1341">
        <v>45839</v>
      </c>
      <c r="B205" s="1342" t="s">
        <v>4096</v>
      </c>
      <c r="C205" s="1343" t="s">
        <v>1162</v>
      </c>
      <c r="D205" s="1275">
        <v>4500172291</v>
      </c>
      <c r="E205" s="1329">
        <v>4508991794</v>
      </c>
      <c r="F205" s="1275" t="s">
        <v>4097</v>
      </c>
      <c r="G205" s="1344" t="s">
        <v>1435</v>
      </c>
      <c r="H205" s="1041" t="s">
        <v>74</v>
      </c>
      <c r="I205" s="1012">
        <v>728</v>
      </c>
      <c r="J205" s="1087">
        <v>0</v>
      </c>
      <c r="K205" s="1040">
        <v>13</v>
      </c>
      <c r="L205" s="1012">
        <f t="shared" si="119"/>
        <v>56</v>
      </c>
      <c r="M205" s="1349">
        <v>45880</v>
      </c>
      <c r="N205" s="1349">
        <v>45876</v>
      </c>
      <c r="O205" s="1350"/>
      <c r="P205" s="1350" t="s">
        <v>92</v>
      </c>
      <c r="Q205" s="1350" t="s">
        <v>3987</v>
      </c>
      <c r="R205" s="584">
        <v>45845</v>
      </c>
      <c r="S205" s="1398" t="s">
        <v>77</v>
      </c>
      <c r="T205" s="1357" t="s">
        <v>4098</v>
      </c>
      <c r="U205" s="1329" t="s">
        <v>4099</v>
      </c>
      <c r="V205" s="1358" t="s">
        <v>3630</v>
      </c>
      <c r="W205" s="1113">
        <v>1.4187</v>
      </c>
      <c r="X205" s="1114">
        <f t="shared" si="138"/>
        <v>1032.8136</v>
      </c>
      <c r="Y205" s="1367"/>
      <c r="Z205" s="1364" t="s">
        <v>4100</v>
      </c>
      <c r="AA205" s="1369" t="s">
        <v>128</v>
      </c>
      <c r="AB205" s="1369"/>
      <c r="AC205" s="1370">
        <v>728</v>
      </c>
      <c r="AD205" s="1151">
        <f t="shared" si="118"/>
        <v>0</v>
      </c>
      <c r="AE205" s="1370"/>
      <c r="AF205" s="1350"/>
      <c r="AG205" s="1350"/>
      <c r="AH205" s="1151"/>
      <c r="AI205" s="1151">
        <f>I205</f>
        <v>728</v>
      </c>
      <c r="AJ205" s="1370"/>
      <c r="AK205" s="1370"/>
      <c r="AL205" s="1370"/>
      <c r="AM205" s="1370"/>
      <c r="AN205" s="1310"/>
      <c r="AO205" s="543">
        <f>I205</f>
        <v>728</v>
      </c>
      <c r="AP205" s="1310"/>
      <c r="AQ205" s="543"/>
      <c r="AR205" s="1310"/>
      <c r="AS205" s="1310"/>
      <c r="AT205" s="1310"/>
      <c r="AV205" s="543">
        <f>I205</f>
        <v>728</v>
      </c>
      <c r="AW205" s="1310"/>
      <c r="AX205" s="1310"/>
      <c r="AY205" s="1310"/>
      <c r="AZ205" s="1310"/>
      <c r="BA205" s="1310"/>
      <c r="BB205" s="1310"/>
      <c r="BC205" s="1374"/>
      <c r="BD205" s="1374"/>
      <c r="BE205" s="1374"/>
      <c r="BF205" s="1374"/>
      <c r="BG205" s="1374"/>
      <c r="BH205" s="1374"/>
      <c r="BI205" s="1374"/>
      <c r="BK205" s="1374"/>
      <c r="BL205" s="1200">
        <f>I205/13</f>
        <v>56</v>
      </c>
      <c r="BM205" s="1374"/>
      <c r="BN205" s="1374"/>
      <c r="BO205" s="1374"/>
      <c r="BP205" s="1374"/>
      <c r="BQ205" s="1374"/>
      <c r="BR205" s="1374"/>
      <c r="BS205" s="1374"/>
      <c r="BT205" s="1374"/>
      <c r="BU205" s="1374"/>
      <c r="BV205" s="1374"/>
      <c r="BW205" s="1374"/>
      <c r="BX205" s="1374"/>
      <c r="BY205" s="1374"/>
      <c r="BZ205" s="1012">
        <f t="shared" si="129"/>
        <v>728</v>
      </c>
      <c r="CB205" s="1219"/>
      <c r="CC205" s="1219"/>
      <c r="CE205" s="1009">
        <f t="shared" si="137"/>
        <v>1405796</v>
      </c>
    </row>
    <row r="206" s="1009" customFormat="1" ht="36" customHeight="1" spans="1:83">
      <c r="A206" s="1341">
        <v>45841</v>
      </c>
      <c r="B206" s="1342" t="s">
        <v>4101</v>
      </c>
      <c r="C206" s="1343" t="s">
        <v>1119</v>
      </c>
      <c r="D206" s="1275">
        <v>4500172551</v>
      </c>
      <c r="E206" s="1376"/>
      <c r="F206" s="1275" t="s">
        <v>4102</v>
      </c>
      <c r="G206" s="1344" t="s">
        <v>1196</v>
      </c>
      <c r="H206" s="1041" t="s">
        <v>4103</v>
      </c>
      <c r="I206" s="1012">
        <v>336</v>
      </c>
      <c r="J206" s="1087">
        <v>0</v>
      </c>
      <c r="K206" s="1040">
        <v>42</v>
      </c>
      <c r="L206" s="1012">
        <f t="shared" si="119"/>
        <v>8</v>
      </c>
      <c r="M206" s="1349">
        <v>45883</v>
      </c>
      <c r="N206" s="1349">
        <v>45880</v>
      </c>
      <c r="O206" s="1350"/>
      <c r="P206" s="1350" t="s">
        <v>1262</v>
      </c>
      <c r="Q206" s="1350" t="s">
        <v>4104</v>
      </c>
      <c r="R206" s="1348">
        <v>45849</v>
      </c>
      <c r="S206" s="578" t="s">
        <v>77</v>
      </c>
      <c r="T206" s="1357" t="s">
        <v>4105</v>
      </c>
      <c r="U206" s="1397" t="s">
        <v>4106</v>
      </c>
      <c r="V206" s="1358" t="s">
        <v>3630</v>
      </c>
      <c r="W206" s="1113">
        <v>14.4394</v>
      </c>
      <c r="X206" s="1114">
        <f t="shared" si="138"/>
        <v>4851.6384</v>
      </c>
      <c r="Y206" s="1367"/>
      <c r="Z206" s="1364" t="s">
        <v>697</v>
      </c>
      <c r="AA206" s="1369" t="s">
        <v>128</v>
      </c>
      <c r="AB206" s="1369"/>
      <c r="AC206" s="1370">
        <v>336</v>
      </c>
      <c r="AD206" s="1151">
        <f t="shared" si="118"/>
        <v>0</v>
      </c>
      <c r="AE206" s="1370"/>
      <c r="AF206" s="1350"/>
      <c r="AG206" s="1350"/>
      <c r="AI206" s="1151">
        <f>I206</f>
        <v>336</v>
      </c>
      <c r="AJ206" s="1370"/>
      <c r="AK206" s="1370"/>
      <c r="AL206" s="1370"/>
      <c r="AM206" s="1370"/>
      <c r="AN206" s="1310"/>
      <c r="AP206" s="1310"/>
      <c r="AQ206" s="1310">
        <f>I206</f>
        <v>336</v>
      </c>
      <c r="AR206" s="1310"/>
      <c r="AS206" s="1310"/>
      <c r="AT206" s="1310"/>
      <c r="AU206" s="543"/>
      <c r="AV206" s="1009">
        <f>I206</f>
        <v>336</v>
      </c>
      <c r="AW206" s="1310"/>
      <c r="AX206" s="1310"/>
      <c r="AY206" s="1310"/>
      <c r="AZ206" s="1310"/>
      <c r="BA206" s="1310"/>
      <c r="BB206" s="1310"/>
      <c r="BC206" s="1200">
        <f>I206/21</f>
        <v>16</v>
      </c>
      <c r="BD206" s="1374"/>
      <c r="BE206" s="1374"/>
      <c r="BF206" s="1374"/>
      <c r="BG206" s="1374"/>
      <c r="BH206" s="1374"/>
      <c r="BI206" s="1374"/>
      <c r="BJ206" s="1374"/>
      <c r="BK206" s="1374"/>
      <c r="BL206" s="1374"/>
      <c r="BM206" s="1374"/>
      <c r="BN206" s="1374"/>
      <c r="BO206" s="1374"/>
      <c r="BP206" s="1374"/>
      <c r="BQ206" s="1374"/>
      <c r="BR206" s="1374"/>
      <c r="BS206" s="1374"/>
      <c r="BT206" s="1374"/>
      <c r="BU206" s="1374"/>
      <c r="BV206" s="1374"/>
      <c r="BW206" s="1374"/>
      <c r="BX206" s="1374"/>
      <c r="BY206" s="1374"/>
      <c r="BZ206" s="1012">
        <f t="shared" si="129"/>
        <v>336</v>
      </c>
      <c r="CB206" s="1219"/>
      <c r="CC206" s="1219"/>
      <c r="CE206" s="1009">
        <f t="shared" si="137"/>
        <v>1405460</v>
      </c>
    </row>
    <row r="207" s="1009" customFormat="1" ht="36" customHeight="1" spans="1:83">
      <c r="A207" s="1341">
        <v>45836</v>
      </c>
      <c r="B207" s="1342" t="s">
        <v>4107</v>
      </c>
      <c r="C207" s="1343" t="s">
        <v>117</v>
      </c>
      <c r="D207" s="1275">
        <v>4500171794</v>
      </c>
      <c r="E207" s="1329">
        <v>70072704</v>
      </c>
      <c r="F207" s="1275" t="s">
        <v>4108</v>
      </c>
      <c r="G207" s="1344" t="s">
        <v>628</v>
      </c>
      <c r="H207" s="1041" t="s">
        <v>623</v>
      </c>
      <c r="I207" s="1012">
        <v>600</v>
      </c>
      <c r="J207" s="1087">
        <v>0</v>
      </c>
      <c r="K207" s="1040">
        <v>12</v>
      </c>
      <c r="L207" s="1012">
        <f t="shared" si="119"/>
        <v>50</v>
      </c>
      <c r="M207" s="1349">
        <v>45889</v>
      </c>
      <c r="N207" s="1349">
        <v>45885</v>
      </c>
      <c r="O207" s="1350"/>
      <c r="P207" s="1350" t="s">
        <v>1262</v>
      </c>
      <c r="Q207" s="1356" t="s">
        <v>4109</v>
      </c>
      <c r="R207" s="584">
        <v>45846</v>
      </c>
      <c r="S207" s="584" t="s">
        <v>77</v>
      </c>
      <c r="T207" s="1357" t="s">
        <v>4110</v>
      </c>
      <c r="U207" s="1329" t="s">
        <v>4073</v>
      </c>
      <c r="V207" s="1358" t="s">
        <v>2458</v>
      </c>
      <c r="W207" s="1359">
        <v>1.8222</v>
      </c>
      <c r="X207" s="1360">
        <f t="shared" si="141"/>
        <v>1093.32</v>
      </c>
      <c r="Y207" s="1367"/>
      <c r="Z207" s="1368" t="s">
        <v>822</v>
      </c>
      <c r="AA207" s="1369" t="s">
        <v>128</v>
      </c>
      <c r="AB207" s="1369"/>
      <c r="AC207" s="1370">
        <v>600</v>
      </c>
      <c r="AD207" s="1151">
        <f t="shared" si="118"/>
        <v>0</v>
      </c>
      <c r="AE207" s="1370"/>
      <c r="AF207" s="1350"/>
      <c r="AG207" s="1350"/>
      <c r="AH207" s="1151">
        <f t="shared" si="142"/>
        <v>1200</v>
      </c>
      <c r="AI207" s="1370"/>
      <c r="AJ207" s="1370"/>
      <c r="AK207" s="1370"/>
      <c r="AL207" s="1370"/>
      <c r="AM207" s="1370"/>
      <c r="AN207" s="1310">
        <f>I207*2</f>
        <v>1200</v>
      </c>
      <c r="AO207" s="1310"/>
      <c r="AQ207" s="1310"/>
      <c r="AR207" s="1310"/>
      <c r="AS207" s="1310"/>
      <c r="AT207" s="1310"/>
      <c r="AU207" s="1310">
        <f>AN207</f>
        <v>1200</v>
      </c>
      <c r="AV207" s="1012"/>
      <c r="AW207" s="1310"/>
      <c r="AX207" s="1310"/>
      <c r="AY207" s="1310"/>
      <c r="AZ207" s="1310"/>
      <c r="BA207" s="1310"/>
      <c r="BB207" s="1310"/>
      <c r="BC207" s="1374"/>
      <c r="BD207" s="1374"/>
      <c r="BE207" s="1374"/>
      <c r="BF207" s="1374"/>
      <c r="BG207" s="1374"/>
      <c r="BH207" s="1374"/>
      <c r="BI207" s="1374"/>
      <c r="BJ207" s="1374"/>
      <c r="BK207" s="1374"/>
      <c r="BL207" s="1374"/>
      <c r="BM207" s="1374"/>
      <c r="BN207" s="1374"/>
      <c r="BO207" s="1374"/>
      <c r="BP207" s="1374"/>
      <c r="BQ207" s="1374"/>
      <c r="BR207" s="1374"/>
      <c r="BS207" s="1374"/>
      <c r="BT207" s="1374"/>
      <c r="BU207" s="1374"/>
      <c r="BV207" s="1374"/>
      <c r="BW207" s="1374">
        <f t="shared" si="143"/>
        <v>600</v>
      </c>
      <c r="BX207" s="1374"/>
      <c r="BY207" s="1374">
        <f t="shared" si="144"/>
        <v>600</v>
      </c>
      <c r="BZ207" s="1012">
        <f t="shared" si="129"/>
        <v>1200</v>
      </c>
      <c r="CB207" s="1219"/>
      <c r="CC207" s="1219"/>
      <c r="CE207" s="1009">
        <f t="shared" si="137"/>
        <v>1404260</v>
      </c>
    </row>
    <row r="208" s="1009" customFormat="1" ht="36" customHeight="1" spans="1:83">
      <c r="A208" s="1341">
        <v>45840</v>
      </c>
      <c r="B208" s="1342" t="s">
        <v>1794</v>
      </c>
      <c r="C208" s="1343" t="s">
        <v>117</v>
      </c>
      <c r="D208" s="1275">
        <v>4500172374</v>
      </c>
      <c r="E208" s="1329" t="s">
        <v>4111</v>
      </c>
      <c r="F208" s="1275" t="s">
        <v>4112</v>
      </c>
      <c r="G208" s="1344" t="s">
        <v>628</v>
      </c>
      <c r="H208" s="1041" t="s">
        <v>623</v>
      </c>
      <c r="I208" s="1012">
        <v>3204</v>
      </c>
      <c r="J208" s="1087">
        <v>0</v>
      </c>
      <c r="K208" s="1040">
        <v>12</v>
      </c>
      <c r="L208" s="1012">
        <f t="shared" si="119"/>
        <v>267</v>
      </c>
      <c r="M208" s="1349">
        <v>45891</v>
      </c>
      <c r="N208" s="1349">
        <v>45887</v>
      </c>
      <c r="O208" s="1350"/>
      <c r="P208" s="1350" t="s">
        <v>92</v>
      </c>
      <c r="Q208" s="1350" t="s">
        <v>4113</v>
      </c>
      <c r="R208" s="584">
        <v>45847</v>
      </c>
      <c r="S208" s="584" t="s">
        <v>77</v>
      </c>
      <c r="T208" s="1357" t="s">
        <v>4114</v>
      </c>
      <c r="U208" s="1329" t="s">
        <v>4115</v>
      </c>
      <c r="V208" s="1358" t="s">
        <v>1341</v>
      </c>
      <c r="W208" s="1359">
        <v>1.8163</v>
      </c>
      <c r="X208" s="1360">
        <f t="shared" si="141"/>
        <v>5819.4252</v>
      </c>
      <c r="Y208" s="1367"/>
      <c r="Z208" s="1368" t="s">
        <v>4039</v>
      </c>
      <c r="AA208" s="1369" t="s">
        <v>128</v>
      </c>
      <c r="AB208" s="1369"/>
      <c r="AC208" s="1370">
        <v>3204</v>
      </c>
      <c r="AD208" s="1151">
        <f t="shared" si="118"/>
        <v>0</v>
      </c>
      <c r="AE208" s="1370"/>
      <c r="AF208" s="1350"/>
      <c r="AG208" s="1350"/>
      <c r="AH208" s="1151">
        <f t="shared" si="142"/>
        <v>6408</v>
      </c>
      <c r="AI208" s="1370"/>
      <c r="AJ208" s="1370"/>
      <c r="AK208" s="1370"/>
      <c r="AL208" s="1370"/>
      <c r="AM208" s="1370">
        <f>I208*2</f>
        <v>6408</v>
      </c>
      <c r="AN208" s="1310"/>
      <c r="AO208" s="1310"/>
      <c r="AP208" s="1310"/>
      <c r="AQ208" s="1310"/>
      <c r="AR208" s="1310"/>
      <c r="AS208" s="1310"/>
      <c r="AT208" s="1310"/>
      <c r="AU208" s="1012"/>
      <c r="AV208" s="1310">
        <f>AM208</f>
        <v>6408</v>
      </c>
      <c r="AW208" s="1310"/>
      <c r="AX208" s="1310"/>
      <c r="AY208" s="1310"/>
      <c r="AZ208" s="1310"/>
      <c r="BA208" s="1310"/>
      <c r="BB208" s="1310"/>
      <c r="BC208" s="1374"/>
      <c r="BD208" s="1374"/>
      <c r="BE208" s="1374"/>
      <c r="BF208" s="1374"/>
      <c r="BG208" s="1374"/>
      <c r="BH208" s="1374"/>
      <c r="BI208" s="1374"/>
      <c r="BJ208" s="1374"/>
      <c r="BK208" s="1374"/>
      <c r="BL208" s="1374"/>
      <c r="BM208" s="1374"/>
      <c r="BN208" s="1374"/>
      <c r="BO208" s="1374"/>
      <c r="BP208" s="1374"/>
      <c r="BQ208" s="1374"/>
      <c r="BR208" s="1374"/>
      <c r="BS208" s="1374"/>
      <c r="BT208" s="1374"/>
      <c r="BU208" s="1374"/>
      <c r="BV208" s="1374"/>
      <c r="BW208" s="1374">
        <f t="shared" si="143"/>
        <v>3204</v>
      </c>
      <c r="BX208" s="1374"/>
      <c r="BY208" s="1374">
        <f t="shared" si="144"/>
        <v>3204</v>
      </c>
      <c r="BZ208" s="1012">
        <f t="shared" si="129"/>
        <v>6408</v>
      </c>
      <c r="CB208" s="1219"/>
      <c r="CC208" s="1219"/>
      <c r="CE208" s="1009">
        <f t="shared" si="137"/>
        <v>1397852</v>
      </c>
    </row>
    <row r="209" s="1009" customFormat="1" ht="36" customHeight="1" spans="1:83">
      <c r="A209" s="1341">
        <v>45840</v>
      </c>
      <c r="B209" s="1342" t="s">
        <v>1794</v>
      </c>
      <c r="C209" s="1343" t="s">
        <v>117</v>
      </c>
      <c r="D209" s="1275">
        <v>4500172378</v>
      </c>
      <c r="E209" s="1329" t="s">
        <v>4116</v>
      </c>
      <c r="F209" s="1275" t="s">
        <v>4117</v>
      </c>
      <c r="G209" s="1344" t="s">
        <v>628</v>
      </c>
      <c r="H209" s="1041" t="s">
        <v>623</v>
      </c>
      <c r="I209" s="1012">
        <v>3600</v>
      </c>
      <c r="J209" s="1087">
        <v>0</v>
      </c>
      <c r="K209" s="1040">
        <v>12</v>
      </c>
      <c r="L209" s="1012">
        <f t="shared" si="119"/>
        <v>300</v>
      </c>
      <c r="M209" s="1349">
        <v>45891</v>
      </c>
      <c r="N209" s="1349">
        <v>45887</v>
      </c>
      <c r="O209" s="1350"/>
      <c r="P209" s="1350" t="s">
        <v>92</v>
      </c>
      <c r="Q209" s="1350" t="s">
        <v>4118</v>
      </c>
      <c r="R209" s="584">
        <v>45847</v>
      </c>
      <c r="S209" s="584" t="s">
        <v>77</v>
      </c>
      <c r="T209" s="1357" t="s">
        <v>4114</v>
      </c>
      <c r="U209" s="1329" t="s">
        <v>4115</v>
      </c>
      <c r="V209" s="1358" t="s">
        <v>1341</v>
      </c>
      <c r="W209" s="1359">
        <v>1.8163</v>
      </c>
      <c r="X209" s="1360">
        <f t="shared" si="141"/>
        <v>6538.68</v>
      </c>
      <c r="Y209" s="1367"/>
      <c r="Z209" s="1368" t="s">
        <v>4039</v>
      </c>
      <c r="AA209" s="1369" t="s">
        <v>128</v>
      </c>
      <c r="AB209" s="1369"/>
      <c r="AC209" s="1370">
        <v>3600</v>
      </c>
      <c r="AD209" s="1151">
        <f t="shared" si="118"/>
        <v>0</v>
      </c>
      <c r="AE209" s="1370"/>
      <c r="AF209" s="1350"/>
      <c r="AG209" s="1350"/>
      <c r="AH209" s="1151">
        <f t="shared" si="142"/>
        <v>7200</v>
      </c>
      <c r="AI209" s="1370"/>
      <c r="AJ209" s="1370"/>
      <c r="AK209" s="1370"/>
      <c r="AL209" s="1370"/>
      <c r="AM209" s="1370">
        <f>I209*2</f>
        <v>7200</v>
      </c>
      <c r="AN209" s="1310"/>
      <c r="AO209" s="1310"/>
      <c r="AP209" s="1310"/>
      <c r="AQ209" s="1310"/>
      <c r="AR209" s="1310"/>
      <c r="AS209" s="1310"/>
      <c r="AT209" s="1310"/>
      <c r="AU209" s="1012"/>
      <c r="AV209" s="1310">
        <f>AM209</f>
        <v>7200</v>
      </c>
      <c r="AW209" s="1310"/>
      <c r="AX209" s="1310"/>
      <c r="AY209" s="1310"/>
      <c r="AZ209" s="1310"/>
      <c r="BA209" s="1310"/>
      <c r="BB209" s="1310"/>
      <c r="BC209" s="1374"/>
      <c r="BD209" s="1374"/>
      <c r="BE209" s="1374"/>
      <c r="BF209" s="1374"/>
      <c r="BG209" s="1374"/>
      <c r="BH209" s="1374"/>
      <c r="BI209" s="1374"/>
      <c r="BJ209" s="1374"/>
      <c r="BK209" s="1374"/>
      <c r="BL209" s="1374"/>
      <c r="BM209" s="1374"/>
      <c r="BN209" s="1374"/>
      <c r="BO209" s="1374"/>
      <c r="BP209" s="1374"/>
      <c r="BQ209" s="1374"/>
      <c r="BR209" s="1374"/>
      <c r="BS209" s="1374"/>
      <c r="BT209" s="1374"/>
      <c r="BU209" s="1374"/>
      <c r="BV209" s="1374"/>
      <c r="BW209" s="1374">
        <f t="shared" si="143"/>
        <v>3600</v>
      </c>
      <c r="BX209" s="1374"/>
      <c r="BY209" s="1374">
        <f t="shared" si="144"/>
        <v>3600</v>
      </c>
      <c r="BZ209" s="1012">
        <f t="shared" si="129"/>
        <v>7200</v>
      </c>
      <c r="CB209" s="1219"/>
      <c r="CC209" s="1219"/>
      <c r="CE209" s="1009">
        <f t="shared" si="137"/>
        <v>1390652</v>
      </c>
    </row>
    <row r="210" s="1009" customFormat="1" ht="36" customHeight="1" spans="1:83">
      <c r="A210" s="1341">
        <v>45819</v>
      </c>
      <c r="B210" s="1342" t="s">
        <v>4107</v>
      </c>
      <c r="C210" s="1343" t="s">
        <v>117</v>
      </c>
      <c r="D210" s="1275">
        <v>4500166666</v>
      </c>
      <c r="E210" s="1329">
        <v>70057997</v>
      </c>
      <c r="F210" s="1275" t="s">
        <v>4119</v>
      </c>
      <c r="G210" s="1344" t="s">
        <v>628</v>
      </c>
      <c r="H210" s="1041" t="s">
        <v>623</v>
      </c>
      <c r="I210" s="1012">
        <v>504</v>
      </c>
      <c r="J210" s="1087">
        <v>0</v>
      </c>
      <c r="K210" s="1040">
        <v>12</v>
      </c>
      <c r="L210" s="1012">
        <f t="shared" si="119"/>
        <v>42</v>
      </c>
      <c r="M210" s="1349">
        <v>45891</v>
      </c>
      <c r="N210" s="1349">
        <v>45887</v>
      </c>
      <c r="O210" s="1350"/>
      <c r="P210" s="1350" t="s">
        <v>1262</v>
      </c>
      <c r="Q210" s="1356" t="s">
        <v>4109</v>
      </c>
      <c r="R210" s="1399">
        <v>45819</v>
      </c>
      <c r="S210" s="584" t="s">
        <v>77</v>
      </c>
      <c r="T210" s="578" t="s">
        <v>77</v>
      </c>
      <c r="U210" s="1329" t="s">
        <v>4120</v>
      </c>
      <c r="V210" s="1358" t="s">
        <v>2458</v>
      </c>
      <c r="W210" s="1359">
        <v>1.8004</v>
      </c>
      <c r="X210" s="1360">
        <f t="shared" si="141"/>
        <v>907.4016</v>
      </c>
      <c r="Y210" s="1367"/>
      <c r="Z210" s="1368" t="s">
        <v>822</v>
      </c>
      <c r="AA210" s="1369" t="s">
        <v>128</v>
      </c>
      <c r="AB210" s="1369"/>
      <c r="AC210" s="1370">
        <v>504</v>
      </c>
      <c r="AD210" s="1151">
        <f t="shared" si="118"/>
        <v>0</v>
      </c>
      <c r="AE210" s="1370"/>
      <c r="AF210" s="1350"/>
      <c r="AG210" s="1350"/>
      <c r="AH210" s="1151">
        <f t="shared" si="142"/>
        <v>1008</v>
      </c>
      <c r="AI210" s="1370"/>
      <c r="AJ210" s="1370"/>
      <c r="AK210" s="1370"/>
      <c r="AL210" s="1370"/>
      <c r="AM210" s="1370"/>
      <c r="AN210" s="1310">
        <f>I210*2</f>
        <v>1008</v>
      </c>
      <c r="AO210" s="1310"/>
      <c r="AQ210" s="1310"/>
      <c r="AR210" s="1310"/>
      <c r="AS210" s="1310"/>
      <c r="AT210" s="1310"/>
      <c r="AU210" s="1310">
        <f>AN210</f>
        <v>1008</v>
      </c>
      <c r="AV210" s="1012"/>
      <c r="AW210" s="1310"/>
      <c r="AX210" s="1310"/>
      <c r="AY210" s="1310"/>
      <c r="AZ210" s="1310"/>
      <c r="BA210" s="1310"/>
      <c r="BB210" s="1310"/>
      <c r="BC210" s="1374"/>
      <c r="BD210" s="1374"/>
      <c r="BE210" s="1374"/>
      <c r="BF210" s="1374"/>
      <c r="BG210" s="1374"/>
      <c r="BH210" s="1374"/>
      <c r="BI210" s="1374"/>
      <c r="BJ210" s="1374"/>
      <c r="BK210" s="1374"/>
      <c r="BL210" s="1374"/>
      <c r="BM210" s="1374"/>
      <c r="BN210" s="1374"/>
      <c r="BO210" s="1374"/>
      <c r="BP210" s="1374"/>
      <c r="BQ210" s="1374"/>
      <c r="BR210" s="1374"/>
      <c r="BS210" s="1374"/>
      <c r="BT210" s="1374"/>
      <c r="BU210" s="1374"/>
      <c r="BV210" s="1374"/>
      <c r="BW210" s="1374">
        <f t="shared" si="143"/>
        <v>504</v>
      </c>
      <c r="BX210" s="1374"/>
      <c r="BY210" s="1374">
        <f t="shared" si="144"/>
        <v>504</v>
      </c>
      <c r="BZ210" s="1012">
        <f t="shared" si="129"/>
        <v>1008</v>
      </c>
      <c r="CB210" s="1219"/>
      <c r="CC210" s="1219"/>
      <c r="CE210" s="1009">
        <f t="shared" si="137"/>
        <v>1389644</v>
      </c>
    </row>
    <row r="211" s="1009" customFormat="1" ht="36" customHeight="1" spans="1:83">
      <c r="A211" s="540">
        <v>45706</v>
      </c>
      <c r="B211" s="1036" t="s">
        <v>4121</v>
      </c>
      <c r="C211" s="1037" t="s">
        <v>233</v>
      </c>
      <c r="D211" s="1038">
        <v>4500157855</v>
      </c>
      <c r="E211" s="1039">
        <v>4401007592</v>
      </c>
      <c r="F211" s="1038" t="s">
        <v>4122</v>
      </c>
      <c r="G211" s="1040" t="s">
        <v>73</v>
      </c>
      <c r="H211" s="1041" t="s">
        <v>74</v>
      </c>
      <c r="I211" s="1012">
        <v>72000</v>
      </c>
      <c r="J211" s="1087">
        <v>0</v>
      </c>
      <c r="K211" s="1040">
        <v>24</v>
      </c>
      <c r="L211" s="1012">
        <f t="shared" si="119"/>
        <v>3000</v>
      </c>
      <c r="M211" s="1079">
        <v>45894</v>
      </c>
      <c r="N211" s="1079">
        <v>45890</v>
      </c>
      <c r="O211" s="579" t="s">
        <v>4123</v>
      </c>
      <c r="P211" s="579" t="s">
        <v>92</v>
      </c>
      <c r="Q211" s="1350" t="s">
        <v>2217</v>
      </c>
      <c r="R211" s="579">
        <v>45715</v>
      </c>
      <c r="S211" s="578" t="s">
        <v>77</v>
      </c>
      <c r="T211" s="578" t="s">
        <v>77</v>
      </c>
      <c r="U211" s="1039" t="s">
        <v>4124</v>
      </c>
      <c r="V211" s="1112" t="s">
        <v>2800</v>
      </c>
      <c r="W211" s="1113">
        <v>1.3443</v>
      </c>
      <c r="X211" s="1114">
        <f t="shared" ref="X211:X219" si="145">I211*W211</f>
        <v>96789.6</v>
      </c>
      <c r="Y211" s="1012" t="s">
        <v>4125</v>
      </c>
      <c r="Z211" s="1159" t="s">
        <v>4126</v>
      </c>
      <c r="AA211" s="1150" t="s">
        <v>128</v>
      </c>
      <c r="AB211" s="1150"/>
      <c r="AC211" s="1151">
        <f>23544+46584+1872</f>
        <v>72000</v>
      </c>
      <c r="AD211" s="1151">
        <f t="shared" si="118"/>
        <v>0</v>
      </c>
      <c r="AE211" s="1151"/>
      <c r="AF211" s="579"/>
      <c r="AG211" s="579"/>
      <c r="AH211" s="1151">
        <f t="shared" ref="AH211:AH219" si="146">I211</f>
        <v>72000</v>
      </c>
      <c r="AI211" s="1151"/>
      <c r="AJ211" s="1151"/>
      <c r="AK211" s="1151"/>
      <c r="AL211" s="1151"/>
      <c r="AM211" s="1151"/>
      <c r="AN211" s="543"/>
      <c r="AO211" s="543"/>
      <c r="AP211" s="543"/>
      <c r="AQ211" s="543"/>
      <c r="AR211" s="543"/>
      <c r="AS211" s="543">
        <f t="shared" ref="AS211:AS216" si="147">I211</f>
        <v>72000</v>
      </c>
      <c r="AT211" s="543"/>
      <c r="AU211" s="543">
        <f t="shared" ref="AU211:AU214" si="148">I211</f>
        <v>72000</v>
      </c>
      <c r="AV211" s="1012"/>
      <c r="AW211" s="543"/>
      <c r="AX211" s="543"/>
      <c r="AY211" s="543"/>
      <c r="AZ211" s="543"/>
      <c r="BA211" s="543"/>
      <c r="BB211" s="543"/>
      <c r="BC211" s="1200"/>
      <c r="BD211" s="1200"/>
      <c r="BE211" s="1200"/>
      <c r="BF211" s="1200"/>
      <c r="BG211" s="1200"/>
      <c r="BH211" s="1200"/>
      <c r="BI211" s="1200"/>
      <c r="BJ211" s="1200"/>
      <c r="BK211" s="1200"/>
      <c r="BL211" s="1200"/>
      <c r="BM211" s="1200"/>
      <c r="BN211" s="1200"/>
      <c r="BO211" s="1200"/>
      <c r="BP211" s="1200"/>
      <c r="BQ211" s="1200"/>
      <c r="BR211" s="1200"/>
      <c r="BS211" s="1200"/>
      <c r="BT211" s="1200"/>
      <c r="BU211" s="1200"/>
      <c r="BV211" s="1200"/>
      <c r="BW211" s="1200"/>
      <c r="BX211" s="1200"/>
      <c r="BY211" s="1200"/>
      <c r="BZ211" s="1012">
        <f t="shared" si="129"/>
        <v>72000</v>
      </c>
      <c r="CB211" s="1219"/>
      <c r="CC211" s="1219"/>
      <c r="CE211" s="1009">
        <f t="shared" si="137"/>
        <v>1317644</v>
      </c>
    </row>
    <row r="212" s="1009" customFormat="1" ht="36" customHeight="1" spans="1:83">
      <c r="A212" s="540">
        <v>45863</v>
      </c>
      <c r="B212" s="1036" t="s">
        <v>4127</v>
      </c>
      <c r="C212" s="1037" t="s">
        <v>213</v>
      </c>
      <c r="D212" s="1038">
        <v>4500175035</v>
      </c>
      <c r="E212" s="1039">
        <v>50077899</v>
      </c>
      <c r="F212" s="1038" t="s">
        <v>4128</v>
      </c>
      <c r="G212" s="1040" t="s">
        <v>628</v>
      </c>
      <c r="H212" s="1041" t="s">
        <v>623</v>
      </c>
      <c r="I212" s="1012">
        <v>2004</v>
      </c>
      <c r="J212" s="1087">
        <v>0</v>
      </c>
      <c r="K212" s="1040">
        <v>12</v>
      </c>
      <c r="L212" s="1012">
        <f t="shared" si="119"/>
        <v>167</v>
      </c>
      <c r="M212" s="1079">
        <v>45891</v>
      </c>
      <c r="N212" s="1079">
        <v>45887</v>
      </c>
      <c r="O212" s="1350"/>
      <c r="P212" s="1350" t="s">
        <v>92</v>
      </c>
      <c r="Q212" s="1350" t="s">
        <v>4129</v>
      </c>
      <c r="R212" s="1399">
        <v>45863</v>
      </c>
      <c r="S212" s="584" t="s">
        <v>77</v>
      </c>
      <c r="T212" s="578" t="s">
        <v>77</v>
      </c>
      <c r="U212" s="1039" t="s">
        <v>4130</v>
      </c>
      <c r="V212" s="1112" t="s">
        <v>4131</v>
      </c>
      <c r="W212" s="1359">
        <v>3.037</v>
      </c>
      <c r="X212" s="1360">
        <f>W212*I212</f>
        <v>6086.148</v>
      </c>
      <c r="Y212" s="1012"/>
      <c r="Z212" s="1159" t="s">
        <v>628</v>
      </c>
      <c r="AA212" s="1150" t="s">
        <v>128</v>
      </c>
      <c r="AB212" s="1150"/>
      <c r="AC212" s="1151">
        <v>2004</v>
      </c>
      <c r="AD212" s="1151">
        <v>0</v>
      </c>
      <c r="AE212" s="1151"/>
      <c r="AF212" s="579"/>
      <c r="AG212" s="579"/>
      <c r="AH212" s="1151">
        <f>I212*2</f>
        <v>4008</v>
      </c>
      <c r="AI212" s="1151"/>
      <c r="AJ212" s="1151"/>
      <c r="AK212" s="1151">
        <f>AH212</f>
        <v>4008</v>
      </c>
      <c r="AL212" s="1151"/>
      <c r="AM212" s="1151"/>
      <c r="AN212" s="543"/>
      <c r="AO212" s="543"/>
      <c r="AP212" s="543"/>
      <c r="AQ212" s="543"/>
      <c r="AR212" s="543"/>
      <c r="AS212" s="543"/>
      <c r="AT212" s="543"/>
      <c r="AU212" s="1310">
        <f>AK212</f>
        <v>4008</v>
      </c>
      <c r="AV212" s="1310"/>
      <c r="AW212" s="543"/>
      <c r="AX212" s="543"/>
      <c r="AY212" s="543"/>
      <c r="AZ212" s="543"/>
      <c r="BA212" s="543"/>
      <c r="BB212" s="543"/>
      <c r="BC212" s="1200"/>
      <c r="BD212" s="1200"/>
      <c r="BE212" s="1200"/>
      <c r="BF212" s="1200"/>
      <c r="BG212" s="1200"/>
      <c r="BH212" s="1200"/>
      <c r="BI212" s="1200"/>
      <c r="BJ212" s="1200"/>
      <c r="BK212" s="1200"/>
      <c r="BL212" s="1200"/>
      <c r="BM212" s="1200"/>
      <c r="BN212" s="1200"/>
      <c r="BO212" s="1200"/>
      <c r="BP212" s="1200"/>
      <c r="BQ212" s="1200"/>
      <c r="BR212" s="1200"/>
      <c r="BS212" s="1200"/>
      <c r="BT212" s="1200"/>
      <c r="BU212" s="1200"/>
      <c r="BV212" s="1200"/>
      <c r="BW212" s="1200">
        <f>I212</f>
        <v>2004</v>
      </c>
      <c r="BX212" s="1200">
        <f>I212</f>
        <v>2004</v>
      </c>
      <c r="BY212" s="1200"/>
      <c r="BZ212" s="1012">
        <f t="shared" si="129"/>
        <v>4008</v>
      </c>
      <c r="CB212" s="1219"/>
      <c r="CC212" s="1219"/>
      <c r="CE212" s="1009">
        <f t="shared" si="137"/>
        <v>1313636</v>
      </c>
    </row>
    <row r="213" s="1009" customFormat="1" ht="36" customHeight="1" spans="1:83">
      <c r="A213" s="540">
        <v>45706</v>
      </c>
      <c r="B213" s="1036" t="s">
        <v>4121</v>
      </c>
      <c r="C213" s="1037" t="s">
        <v>233</v>
      </c>
      <c r="D213" s="1038">
        <v>4500157855</v>
      </c>
      <c r="E213" s="1039">
        <v>4401007591</v>
      </c>
      <c r="F213" s="1038" t="s">
        <v>4132</v>
      </c>
      <c r="G213" s="1040" t="s">
        <v>73</v>
      </c>
      <c r="H213" s="1041" t="s">
        <v>74</v>
      </c>
      <c r="I213" s="1012">
        <v>62472</v>
      </c>
      <c r="J213" s="1087">
        <v>0</v>
      </c>
      <c r="K213" s="1040">
        <v>24</v>
      </c>
      <c r="L213" s="1012">
        <f t="shared" si="119"/>
        <v>2603</v>
      </c>
      <c r="M213" s="1079">
        <v>45895</v>
      </c>
      <c r="N213" s="1079">
        <v>45891</v>
      </c>
      <c r="O213" s="579" t="s">
        <v>4123</v>
      </c>
      <c r="P213" s="579" t="s">
        <v>92</v>
      </c>
      <c r="Q213" s="579"/>
      <c r="R213" s="579">
        <v>45715</v>
      </c>
      <c r="S213" s="578" t="s">
        <v>77</v>
      </c>
      <c r="T213" s="578" t="s">
        <v>77</v>
      </c>
      <c r="U213" s="1039" t="s">
        <v>4124</v>
      </c>
      <c r="V213" s="1112" t="s">
        <v>2800</v>
      </c>
      <c r="W213" s="1113">
        <v>1.3443</v>
      </c>
      <c r="X213" s="1114">
        <f t="shared" si="145"/>
        <v>83981.1096</v>
      </c>
      <c r="Y213" s="1012" t="s">
        <v>4133</v>
      </c>
      <c r="Z213" s="1159" t="s">
        <v>4126</v>
      </c>
      <c r="AA213" s="1150" t="s">
        <v>128</v>
      </c>
      <c r="AB213" s="1150"/>
      <c r="AC213" s="1151">
        <f>57936+4536</f>
        <v>62472</v>
      </c>
      <c r="AD213" s="1151">
        <f t="shared" ref="AD213:AD247" si="149">AC213-I213</f>
        <v>0</v>
      </c>
      <c r="AE213" s="1151"/>
      <c r="AF213" s="579"/>
      <c r="AG213" s="579"/>
      <c r="AH213" s="1151">
        <f t="shared" si="146"/>
        <v>62472</v>
      </c>
      <c r="AI213" s="1151"/>
      <c r="AJ213" s="1151"/>
      <c r="AK213" s="1151"/>
      <c r="AL213" s="1151"/>
      <c r="AM213" s="1151"/>
      <c r="AN213" s="543"/>
      <c r="AO213" s="543"/>
      <c r="AP213" s="543"/>
      <c r="AQ213" s="543"/>
      <c r="AR213" s="543"/>
      <c r="AS213" s="543">
        <f t="shared" si="147"/>
        <v>62472</v>
      </c>
      <c r="AT213" s="543"/>
      <c r="AU213" s="543">
        <f t="shared" si="148"/>
        <v>62472</v>
      </c>
      <c r="AV213" s="1012"/>
      <c r="AW213" s="543"/>
      <c r="AX213" s="543"/>
      <c r="AY213" s="543"/>
      <c r="AZ213" s="543"/>
      <c r="BA213" s="543"/>
      <c r="BB213" s="543"/>
      <c r="BC213" s="1200"/>
      <c r="BD213" s="1200"/>
      <c r="BE213" s="1200"/>
      <c r="BF213" s="1200"/>
      <c r="BG213" s="1200"/>
      <c r="BH213" s="1200"/>
      <c r="BI213" s="1200"/>
      <c r="BJ213" s="1200"/>
      <c r="BK213" s="1200"/>
      <c r="BL213" s="1200"/>
      <c r="BM213" s="1200"/>
      <c r="BN213" s="1200"/>
      <c r="BO213" s="1200"/>
      <c r="BP213" s="1200"/>
      <c r="BQ213" s="1200"/>
      <c r="BR213" s="1200"/>
      <c r="BS213" s="1200"/>
      <c r="BT213" s="1200"/>
      <c r="BU213" s="1200"/>
      <c r="BV213" s="1200"/>
      <c r="BW213" s="1200"/>
      <c r="BX213" s="1200"/>
      <c r="BY213" s="1200"/>
      <c r="BZ213" s="1012">
        <f t="shared" si="129"/>
        <v>62472</v>
      </c>
      <c r="CB213" s="1219"/>
      <c r="CC213" s="1219"/>
      <c r="CE213" s="1009">
        <f t="shared" si="137"/>
        <v>1251164</v>
      </c>
    </row>
    <row r="214" s="1009" customFormat="1" ht="36" customHeight="1" spans="1:83">
      <c r="A214" s="1341">
        <v>45863</v>
      </c>
      <c r="B214" s="1342" t="s">
        <v>4127</v>
      </c>
      <c r="C214" s="1343" t="s">
        <v>213</v>
      </c>
      <c r="D214" s="1275">
        <v>4500175128</v>
      </c>
      <c r="E214" s="1329">
        <v>50077884</v>
      </c>
      <c r="F214" s="1275" t="s">
        <v>4134</v>
      </c>
      <c r="G214" s="1344" t="s">
        <v>160</v>
      </c>
      <c r="H214" s="1041" t="s">
        <v>74</v>
      </c>
      <c r="I214" s="1012">
        <v>5005</v>
      </c>
      <c r="J214" s="1087">
        <v>0</v>
      </c>
      <c r="K214" s="1040">
        <v>13</v>
      </c>
      <c r="L214" s="1012">
        <f t="shared" si="119"/>
        <v>385</v>
      </c>
      <c r="M214" s="1349">
        <v>45894</v>
      </c>
      <c r="N214" s="1349">
        <v>45894</v>
      </c>
      <c r="O214" s="1350" t="s">
        <v>4135</v>
      </c>
      <c r="P214" s="579" t="s">
        <v>92</v>
      </c>
      <c r="Q214" s="1350" t="s">
        <v>4136</v>
      </c>
      <c r="R214" s="1399">
        <v>45863</v>
      </c>
      <c r="S214" s="584" t="s">
        <v>77</v>
      </c>
      <c r="T214" s="578" t="s">
        <v>77</v>
      </c>
      <c r="U214" s="1329" t="s">
        <v>4137</v>
      </c>
      <c r="V214" s="1358" t="s">
        <v>4131</v>
      </c>
      <c r="W214" s="1113">
        <v>1.373</v>
      </c>
      <c r="X214" s="1114">
        <f t="shared" si="145"/>
        <v>6871.865</v>
      </c>
      <c r="Y214" s="1367"/>
      <c r="Z214" s="1364" t="s">
        <v>239</v>
      </c>
      <c r="AA214" s="1369" t="s">
        <v>128</v>
      </c>
      <c r="AB214" s="1369"/>
      <c r="AC214" s="1370">
        <v>5005</v>
      </c>
      <c r="AD214" s="1151">
        <v>0</v>
      </c>
      <c r="AE214" s="1370"/>
      <c r="AF214" s="1350"/>
      <c r="AG214" s="1350"/>
      <c r="AH214" s="1151">
        <f t="shared" si="146"/>
        <v>5005</v>
      </c>
      <c r="AI214" s="1370"/>
      <c r="AJ214" s="1370"/>
      <c r="AK214" s="1370"/>
      <c r="AL214" s="1370"/>
      <c r="AM214" s="1370"/>
      <c r="AO214" s="543">
        <f>I214</f>
        <v>5005</v>
      </c>
      <c r="AQ214" s="1310"/>
      <c r="AR214" s="1310"/>
      <c r="AS214" s="1310"/>
      <c r="AT214" s="1310"/>
      <c r="AU214" s="1310">
        <f t="shared" si="148"/>
        <v>5005</v>
      </c>
      <c r="AV214" s="1367"/>
      <c r="AW214" s="1310"/>
      <c r="AX214" s="1310"/>
      <c r="AY214" s="1310"/>
      <c r="AZ214" s="1310"/>
      <c r="BA214" s="1310"/>
      <c r="BB214" s="1310"/>
      <c r="BC214" s="1374"/>
      <c r="BD214" s="1374"/>
      <c r="BE214" s="1374"/>
      <c r="BF214" s="1374"/>
      <c r="BG214" s="1374"/>
      <c r="BH214" s="1374"/>
      <c r="BJ214" s="1200">
        <f>I214/13</f>
        <v>385</v>
      </c>
      <c r="BK214" s="1374"/>
      <c r="BL214" s="1374"/>
      <c r="BM214" s="1374"/>
      <c r="BN214" s="1374"/>
      <c r="BO214" s="1374"/>
      <c r="BP214" s="1374"/>
      <c r="BQ214" s="1374"/>
      <c r="BR214" s="1374"/>
      <c r="BS214" s="1374"/>
      <c r="BT214" s="1374"/>
      <c r="BU214" s="1374"/>
      <c r="BV214" s="1374"/>
      <c r="BW214" s="1374"/>
      <c r="BX214" s="1374"/>
      <c r="BY214" s="1374"/>
      <c r="BZ214" s="1012">
        <f t="shared" si="129"/>
        <v>5005</v>
      </c>
      <c r="CB214" s="1219"/>
      <c r="CC214" s="1219"/>
      <c r="CE214" s="1009">
        <f t="shared" si="137"/>
        <v>1246159</v>
      </c>
    </row>
    <row r="215" s="1009" customFormat="1" ht="36" customHeight="1" spans="1:83">
      <c r="A215" s="540">
        <v>45706</v>
      </c>
      <c r="B215" s="1036" t="s">
        <v>4121</v>
      </c>
      <c r="C215" s="1037" t="s">
        <v>233</v>
      </c>
      <c r="D215" s="1038">
        <v>4500157857</v>
      </c>
      <c r="E215" s="1039">
        <v>4401011361</v>
      </c>
      <c r="F215" s="1038" t="s">
        <v>4138</v>
      </c>
      <c r="G215" s="1040" t="s">
        <v>73</v>
      </c>
      <c r="H215" s="1041" t="s">
        <v>74</v>
      </c>
      <c r="I215" s="1012">
        <v>32664</v>
      </c>
      <c r="J215" s="1087">
        <v>0</v>
      </c>
      <c r="K215" s="1040">
        <v>24</v>
      </c>
      <c r="L215" s="1012">
        <f t="shared" si="119"/>
        <v>1361</v>
      </c>
      <c r="M215" s="1079">
        <v>45902</v>
      </c>
      <c r="N215" s="1349">
        <v>45898</v>
      </c>
      <c r="O215" s="579"/>
      <c r="P215" s="579" t="s">
        <v>92</v>
      </c>
      <c r="Q215" s="579"/>
      <c r="R215" s="579">
        <v>45715</v>
      </c>
      <c r="S215" s="578" t="s">
        <v>77</v>
      </c>
      <c r="T215" s="578" t="s">
        <v>77</v>
      </c>
      <c r="U215" s="1039" t="s">
        <v>4139</v>
      </c>
      <c r="V215" s="1112" t="s">
        <v>2800</v>
      </c>
      <c r="W215" s="1113">
        <v>1.3443</v>
      </c>
      <c r="X215" s="1114">
        <f t="shared" si="145"/>
        <v>43910.2152</v>
      </c>
      <c r="Y215" s="1012" t="s">
        <v>4140</v>
      </c>
      <c r="Z215" s="1159" t="s">
        <v>4126</v>
      </c>
      <c r="AA215" s="1150" t="s">
        <v>128</v>
      </c>
      <c r="AB215" s="1150"/>
      <c r="AC215" s="1151">
        <f>24480+5544+2640</f>
        <v>32664</v>
      </c>
      <c r="AD215" s="1151">
        <f t="shared" si="149"/>
        <v>0</v>
      </c>
      <c r="AE215" s="1151"/>
      <c r="AF215" s="579"/>
      <c r="AG215" s="579"/>
      <c r="AH215" s="1151">
        <f t="shared" si="146"/>
        <v>32664</v>
      </c>
      <c r="AI215" s="1151"/>
      <c r="AJ215" s="1151"/>
      <c r="AK215" s="1151"/>
      <c r="AL215" s="1151"/>
      <c r="AM215" s="1151"/>
      <c r="AN215" s="543"/>
      <c r="AO215" s="543"/>
      <c r="AP215" s="543"/>
      <c r="AQ215" s="543"/>
      <c r="AR215" s="543"/>
      <c r="AS215" s="543">
        <f t="shared" si="147"/>
        <v>32664</v>
      </c>
      <c r="AT215" s="543"/>
      <c r="AU215" s="1012"/>
      <c r="AV215" s="1310">
        <f t="shared" ref="AV215:AV219" si="150">I215</f>
        <v>32664</v>
      </c>
      <c r="AW215" s="543"/>
      <c r="AX215" s="543"/>
      <c r="AY215" s="543"/>
      <c r="AZ215" s="543"/>
      <c r="BA215" s="543"/>
      <c r="BB215" s="543"/>
      <c r="BC215" s="1200"/>
      <c r="BD215" s="1200"/>
      <c r="BE215" s="1200"/>
      <c r="BF215" s="1200"/>
      <c r="BG215" s="1200"/>
      <c r="BH215" s="1200"/>
      <c r="BI215" s="1200"/>
      <c r="BJ215" s="1200"/>
      <c r="BK215" s="1200"/>
      <c r="BL215" s="1200"/>
      <c r="BM215" s="1200"/>
      <c r="BN215" s="1200"/>
      <c r="BO215" s="1200"/>
      <c r="BP215" s="1200"/>
      <c r="BQ215" s="1200"/>
      <c r="BR215" s="1200"/>
      <c r="BS215" s="1200"/>
      <c r="BT215" s="1200"/>
      <c r="BU215" s="1200"/>
      <c r="BV215" s="1200"/>
      <c r="BW215" s="1200"/>
      <c r="BX215" s="1200"/>
      <c r="BY215" s="1200"/>
      <c r="BZ215" s="1012">
        <f t="shared" si="129"/>
        <v>32664</v>
      </c>
      <c r="CB215" s="1219"/>
      <c r="CC215" s="1219"/>
      <c r="CE215" s="1009">
        <f t="shared" si="137"/>
        <v>1213495</v>
      </c>
    </row>
    <row r="216" s="1009" customFormat="1" ht="36" customHeight="1" spans="1:83">
      <c r="A216" s="540">
        <v>45706</v>
      </c>
      <c r="B216" s="1036" t="s">
        <v>4121</v>
      </c>
      <c r="C216" s="1037" t="s">
        <v>233</v>
      </c>
      <c r="D216" s="1038">
        <v>4500157855</v>
      </c>
      <c r="E216" s="1039">
        <v>4401007577</v>
      </c>
      <c r="F216" s="1038" t="s">
        <v>4141</v>
      </c>
      <c r="G216" s="1040" t="s">
        <v>73</v>
      </c>
      <c r="H216" s="1041" t="s">
        <v>74</v>
      </c>
      <c r="I216" s="1012">
        <v>72000</v>
      </c>
      <c r="J216" s="1087">
        <v>0</v>
      </c>
      <c r="K216" s="1040">
        <v>24</v>
      </c>
      <c r="L216" s="1012">
        <f t="shared" si="119"/>
        <v>3000</v>
      </c>
      <c r="M216" s="1079">
        <v>45895</v>
      </c>
      <c r="N216" s="1079">
        <v>45891</v>
      </c>
      <c r="O216" s="579" t="s">
        <v>4123</v>
      </c>
      <c r="P216" s="579" t="s">
        <v>92</v>
      </c>
      <c r="Q216" s="579" t="s">
        <v>2217</v>
      </c>
      <c r="R216" s="579">
        <v>45715</v>
      </c>
      <c r="S216" s="578" t="s">
        <v>77</v>
      </c>
      <c r="T216" s="578" t="s">
        <v>77</v>
      </c>
      <c r="U216" s="1039" t="s">
        <v>4124</v>
      </c>
      <c r="V216" s="1112" t="s">
        <v>2800</v>
      </c>
      <c r="W216" s="1113">
        <v>1.3443</v>
      </c>
      <c r="X216" s="1114">
        <f t="shared" si="145"/>
        <v>96789.6</v>
      </c>
      <c r="Y216" s="1012"/>
      <c r="Z216" s="1159" t="s">
        <v>4126</v>
      </c>
      <c r="AA216" s="1150" t="s">
        <v>128</v>
      </c>
      <c r="AB216" s="1150"/>
      <c r="AC216" s="1151">
        <f>49248+5760+16992</f>
        <v>72000</v>
      </c>
      <c r="AD216" s="1151">
        <f t="shared" si="149"/>
        <v>0</v>
      </c>
      <c r="AE216" s="1151"/>
      <c r="AF216" s="579"/>
      <c r="AG216" s="579"/>
      <c r="AH216" s="1151">
        <f t="shared" si="146"/>
        <v>72000</v>
      </c>
      <c r="AI216" s="1151"/>
      <c r="AJ216" s="1151"/>
      <c r="AK216" s="1151"/>
      <c r="AL216" s="1151"/>
      <c r="AM216" s="1151"/>
      <c r="AN216" s="543"/>
      <c r="AO216" s="543"/>
      <c r="AP216" s="543"/>
      <c r="AQ216" s="543"/>
      <c r="AR216" s="543"/>
      <c r="AS216" s="543">
        <f t="shared" si="147"/>
        <v>72000</v>
      </c>
      <c r="AT216" s="543"/>
      <c r="AU216" s="1372">
        <f>I216</f>
        <v>72000</v>
      </c>
      <c r="AV216" s="1012"/>
      <c r="AW216" s="543"/>
      <c r="AX216" s="543"/>
      <c r="AY216" s="543"/>
      <c r="AZ216" s="543"/>
      <c r="BA216" s="543"/>
      <c r="BB216" s="543"/>
      <c r="BC216" s="1200"/>
      <c r="BD216" s="1200"/>
      <c r="BE216" s="1200"/>
      <c r="BF216" s="1200"/>
      <c r="BG216" s="1200"/>
      <c r="BH216" s="1200"/>
      <c r="BI216" s="1200"/>
      <c r="BJ216" s="1200"/>
      <c r="BK216" s="1200"/>
      <c r="BL216" s="1200"/>
      <c r="BM216" s="1200"/>
      <c r="BN216" s="1200"/>
      <c r="BO216" s="1200"/>
      <c r="BP216" s="1200"/>
      <c r="BQ216" s="1200"/>
      <c r="BR216" s="1200"/>
      <c r="BS216" s="1200"/>
      <c r="BT216" s="1200"/>
      <c r="BU216" s="1200"/>
      <c r="BV216" s="1200"/>
      <c r="BW216" s="1200"/>
      <c r="BX216" s="1200"/>
      <c r="BY216" s="1200"/>
      <c r="BZ216" s="1012">
        <f t="shared" si="129"/>
        <v>72000</v>
      </c>
      <c r="CB216" s="1219"/>
      <c r="CC216" s="1219"/>
      <c r="CE216" s="1009">
        <f t="shared" si="137"/>
        <v>1141495</v>
      </c>
    </row>
    <row r="217" s="1009" customFormat="1" ht="36" customHeight="1" spans="1:83">
      <c r="A217" s="540">
        <v>45845</v>
      </c>
      <c r="B217" s="1036" t="s">
        <v>3269</v>
      </c>
      <c r="C217" s="1037" t="s">
        <v>3188</v>
      </c>
      <c r="D217" s="1038">
        <v>4500172982</v>
      </c>
      <c r="E217" s="1039"/>
      <c r="F217" s="1038" t="s">
        <v>4142</v>
      </c>
      <c r="G217" s="1040" t="s">
        <v>403</v>
      </c>
      <c r="H217" s="1041" t="s">
        <v>74</v>
      </c>
      <c r="I217" s="1012">
        <v>208</v>
      </c>
      <c r="J217" s="1087">
        <v>0</v>
      </c>
      <c r="K217" s="1040">
        <v>52</v>
      </c>
      <c r="L217" s="1012">
        <f t="shared" si="119"/>
        <v>4</v>
      </c>
      <c r="M217" s="1079">
        <v>45901</v>
      </c>
      <c r="N217" s="1079">
        <v>45897</v>
      </c>
      <c r="O217" s="579"/>
      <c r="P217" s="579" t="s">
        <v>1262</v>
      </c>
      <c r="Q217" s="579" t="s">
        <v>4143</v>
      </c>
      <c r="R217" s="584">
        <v>45859</v>
      </c>
      <c r="S217" s="584" t="s">
        <v>77</v>
      </c>
      <c r="T217" s="1357" t="s">
        <v>4144</v>
      </c>
      <c r="U217" s="1039" t="s">
        <v>4145</v>
      </c>
      <c r="V217" s="1112" t="s">
        <v>618</v>
      </c>
      <c r="W217" s="1113">
        <v>1.3805</v>
      </c>
      <c r="X217" s="1114">
        <f t="shared" si="145"/>
        <v>287.144</v>
      </c>
      <c r="Y217" s="1012" t="s">
        <v>4146</v>
      </c>
      <c r="Z217" s="1159" t="s">
        <v>2321</v>
      </c>
      <c r="AA217" s="1369" t="s">
        <v>128</v>
      </c>
      <c r="AB217" s="1369"/>
      <c r="AC217" s="1151">
        <v>208</v>
      </c>
      <c r="AD217" s="1151">
        <f t="shared" si="149"/>
        <v>0</v>
      </c>
      <c r="AE217" s="1151"/>
      <c r="AF217" s="579"/>
      <c r="AG217" s="579"/>
      <c r="AH217" s="1151">
        <f t="shared" si="146"/>
        <v>208</v>
      </c>
      <c r="AI217" s="1151"/>
      <c r="AJ217" s="1151"/>
      <c r="AK217" s="1151"/>
      <c r="AL217" s="1151"/>
      <c r="AM217" s="1370"/>
      <c r="AO217" s="543"/>
      <c r="AP217" s="1310"/>
      <c r="AQ217" s="543">
        <f>I217</f>
        <v>208</v>
      </c>
      <c r="AR217" s="1310"/>
      <c r="AS217" s="1310"/>
      <c r="AT217" s="1310"/>
      <c r="AV217" s="1310">
        <f t="shared" si="150"/>
        <v>208</v>
      </c>
      <c r="AW217" s="1310"/>
      <c r="AX217" s="1310"/>
      <c r="AY217" s="1310"/>
      <c r="AZ217" s="1310"/>
      <c r="BA217" s="1310"/>
      <c r="BB217" s="1310"/>
      <c r="BC217" s="1374"/>
      <c r="BD217" s="1374"/>
      <c r="BE217" s="1374"/>
      <c r="BF217" s="1374"/>
      <c r="BG217" s="1374"/>
      <c r="BH217" s="1374"/>
      <c r="BJ217" s="1200">
        <f>I217/13</f>
        <v>16</v>
      </c>
      <c r="BK217" s="1374"/>
      <c r="BL217" s="1374"/>
      <c r="BM217" s="1374"/>
      <c r="BN217" s="1374"/>
      <c r="BO217" s="1374"/>
      <c r="BP217" s="1374"/>
      <c r="BQ217" s="1374"/>
      <c r="BR217" s="1374"/>
      <c r="BS217" s="1374"/>
      <c r="BT217" s="1374"/>
      <c r="BU217" s="1374"/>
      <c r="BV217" s="1374"/>
      <c r="BW217" s="1374"/>
      <c r="BX217" s="1374"/>
      <c r="BY217" s="1374"/>
      <c r="BZ217" s="1012">
        <f t="shared" si="129"/>
        <v>208</v>
      </c>
      <c r="CB217" s="1219"/>
      <c r="CC217" s="1219"/>
      <c r="CE217" s="1009">
        <f t="shared" si="137"/>
        <v>1141287</v>
      </c>
    </row>
    <row r="218" s="1009" customFormat="1" ht="36" customHeight="1" spans="1:83">
      <c r="A218" s="1341">
        <v>45706</v>
      </c>
      <c r="B218" s="1342" t="s">
        <v>4121</v>
      </c>
      <c r="C218" s="1343" t="s">
        <v>233</v>
      </c>
      <c r="D218" s="1275">
        <v>4500157857</v>
      </c>
      <c r="E218" s="1329">
        <v>4401011360</v>
      </c>
      <c r="F218" s="1275" t="s">
        <v>4147</v>
      </c>
      <c r="G218" s="1344" t="s">
        <v>73</v>
      </c>
      <c r="H218" s="1377" t="s">
        <v>74</v>
      </c>
      <c r="I218" s="1367">
        <v>76608</v>
      </c>
      <c r="J218" s="1390">
        <v>0</v>
      </c>
      <c r="K218" s="1344">
        <v>24</v>
      </c>
      <c r="L218" s="1367">
        <f t="shared" si="119"/>
        <v>3192</v>
      </c>
      <c r="M218" s="1349">
        <v>45896</v>
      </c>
      <c r="N218" s="1079">
        <v>45899</v>
      </c>
      <c r="O218" s="1350"/>
      <c r="P218" s="579" t="s">
        <v>92</v>
      </c>
      <c r="Q218" s="579" t="s">
        <v>4148</v>
      </c>
      <c r="R218" s="1350">
        <v>45715</v>
      </c>
      <c r="S218" s="1357" t="s">
        <v>77</v>
      </c>
      <c r="T218" s="1357" t="s">
        <v>77</v>
      </c>
      <c r="U218" s="1329" t="s">
        <v>4139</v>
      </c>
      <c r="V218" s="1358" t="s">
        <v>2800</v>
      </c>
      <c r="W218" s="1359">
        <v>1.3443</v>
      </c>
      <c r="X218" s="1360">
        <f t="shared" si="145"/>
        <v>102984.1344</v>
      </c>
      <c r="Y218" s="1367" t="s">
        <v>4149</v>
      </c>
      <c r="Z218" s="1368" t="s">
        <v>4126</v>
      </c>
      <c r="AA218" s="1369" t="s">
        <v>128</v>
      </c>
      <c r="AB218" s="1369"/>
      <c r="AC218" s="1370">
        <f>68568+8040</f>
        <v>76608</v>
      </c>
      <c r="AD218" s="1151">
        <f t="shared" si="149"/>
        <v>0</v>
      </c>
      <c r="AE218" s="1370"/>
      <c r="AF218" s="1350"/>
      <c r="AG218" s="1350"/>
      <c r="AH218" s="1151">
        <f t="shared" si="146"/>
        <v>76608</v>
      </c>
      <c r="AI218" s="1370"/>
      <c r="AJ218" s="1370"/>
      <c r="AK218" s="1370"/>
      <c r="AL218" s="1370"/>
      <c r="AM218" s="1370"/>
      <c r="AN218" s="1310"/>
      <c r="AO218" s="1310"/>
      <c r="AP218" s="1310"/>
      <c r="AQ218" s="1310"/>
      <c r="AR218" s="1310"/>
      <c r="AS218" s="1310">
        <f t="shared" ref="AS218:AS221" si="151">I218</f>
        <v>76608</v>
      </c>
      <c r="AT218" s="1310"/>
      <c r="AU218" s="1012"/>
      <c r="AV218" s="1373">
        <f t="shared" si="150"/>
        <v>76608</v>
      </c>
      <c r="AW218" s="1310"/>
      <c r="AX218" s="1310"/>
      <c r="AY218" s="1310"/>
      <c r="AZ218" s="1310"/>
      <c r="BA218" s="1310"/>
      <c r="BB218" s="1310"/>
      <c r="BC218" s="1374"/>
      <c r="BD218" s="1374"/>
      <c r="BE218" s="1374"/>
      <c r="BF218" s="1374"/>
      <c r="BG218" s="1374"/>
      <c r="BH218" s="1374"/>
      <c r="BI218" s="1374"/>
      <c r="BJ218" s="1374"/>
      <c r="BK218" s="1374"/>
      <c r="BL218" s="1374"/>
      <c r="BM218" s="1374"/>
      <c r="BN218" s="1374"/>
      <c r="BO218" s="1374"/>
      <c r="BP218" s="1374"/>
      <c r="BQ218" s="1374"/>
      <c r="BR218" s="1374"/>
      <c r="BS218" s="1374"/>
      <c r="BT218" s="1374"/>
      <c r="BU218" s="1374"/>
      <c r="BV218" s="1374"/>
      <c r="BW218" s="1374"/>
      <c r="BX218" s="1374"/>
      <c r="BY218" s="1374"/>
      <c r="BZ218" s="1012">
        <f t="shared" si="129"/>
        <v>76608</v>
      </c>
      <c r="CB218" s="1219"/>
      <c r="CC218" s="1219"/>
      <c r="CE218" s="1009">
        <f t="shared" si="137"/>
        <v>1064679</v>
      </c>
    </row>
    <row r="219" s="1009" customFormat="1" ht="36" customHeight="1" spans="1:83">
      <c r="A219" s="540">
        <v>45706</v>
      </c>
      <c r="B219" s="1036" t="s">
        <v>4121</v>
      </c>
      <c r="C219" s="1037" t="s">
        <v>233</v>
      </c>
      <c r="D219" s="1038">
        <v>4500157855</v>
      </c>
      <c r="E219" s="1039">
        <v>4401007579</v>
      </c>
      <c r="F219" s="1038" t="s">
        <v>4150</v>
      </c>
      <c r="G219" s="1040" t="s">
        <v>73</v>
      </c>
      <c r="H219" s="1041" t="s">
        <v>74</v>
      </c>
      <c r="I219" s="1012">
        <v>30720</v>
      </c>
      <c r="J219" s="1087">
        <v>0</v>
      </c>
      <c r="K219" s="1040">
        <v>24</v>
      </c>
      <c r="L219" s="1012">
        <f t="shared" si="119"/>
        <v>1280</v>
      </c>
      <c r="M219" s="1079">
        <v>45905</v>
      </c>
      <c r="N219" s="1079">
        <v>45901</v>
      </c>
      <c r="O219" s="579"/>
      <c r="P219" s="579" t="s">
        <v>92</v>
      </c>
      <c r="Q219" s="579" t="s">
        <v>2327</v>
      </c>
      <c r="R219" s="579">
        <v>45715</v>
      </c>
      <c r="S219" s="578" t="s">
        <v>77</v>
      </c>
      <c r="T219" s="578" t="s">
        <v>77</v>
      </c>
      <c r="U219" s="1039" t="s">
        <v>4124</v>
      </c>
      <c r="V219" s="1112" t="s">
        <v>2800</v>
      </c>
      <c r="W219" s="1113">
        <v>1.3551</v>
      </c>
      <c r="X219" s="1114">
        <f t="shared" si="145"/>
        <v>41628.672</v>
      </c>
      <c r="Y219" s="1012"/>
      <c r="Z219" s="1159" t="s">
        <v>4126</v>
      </c>
      <c r="AA219" s="1150" t="s">
        <v>128</v>
      </c>
      <c r="AB219" s="1150"/>
      <c r="AC219" s="1151">
        <f>4272+2472+23952+24</f>
        <v>30720</v>
      </c>
      <c r="AD219" s="1151">
        <f t="shared" si="149"/>
        <v>0</v>
      </c>
      <c r="AE219" s="1151"/>
      <c r="AF219" s="579"/>
      <c r="AG219" s="579"/>
      <c r="AH219" s="1151">
        <f t="shared" si="146"/>
        <v>30720</v>
      </c>
      <c r="AI219" s="1151"/>
      <c r="AJ219" s="1151"/>
      <c r="AK219" s="1151"/>
      <c r="AL219" s="1151"/>
      <c r="AM219" s="1151"/>
      <c r="AN219" s="543"/>
      <c r="AO219" s="543"/>
      <c r="AP219" s="543"/>
      <c r="AQ219" s="543"/>
      <c r="AR219" s="543"/>
      <c r="AS219" s="543">
        <f t="shared" si="151"/>
        <v>30720</v>
      </c>
      <c r="AT219" s="543"/>
      <c r="AU219" s="1012"/>
      <c r="AV219" s="1373">
        <f t="shared" si="150"/>
        <v>30720</v>
      </c>
      <c r="AW219" s="543"/>
      <c r="AX219" s="543"/>
      <c r="AY219" s="543"/>
      <c r="AZ219" s="543"/>
      <c r="BA219" s="543"/>
      <c r="BB219" s="543"/>
      <c r="BC219" s="1200"/>
      <c r="BD219" s="1200"/>
      <c r="BE219" s="1200"/>
      <c r="BF219" s="1200"/>
      <c r="BG219" s="1200"/>
      <c r="BH219" s="1200"/>
      <c r="BI219" s="1200"/>
      <c r="BJ219" s="1200"/>
      <c r="BK219" s="1200"/>
      <c r="BL219" s="1200"/>
      <c r="BM219" s="1200"/>
      <c r="BN219" s="1200"/>
      <c r="BO219" s="1200"/>
      <c r="BP219" s="1200"/>
      <c r="BQ219" s="1200"/>
      <c r="BR219" s="1200"/>
      <c r="BS219" s="1200"/>
      <c r="BT219" s="1200"/>
      <c r="BU219" s="1200"/>
      <c r="BV219" s="1200"/>
      <c r="BW219" s="1200"/>
      <c r="BX219" s="1200"/>
      <c r="BY219" s="1200"/>
      <c r="BZ219" s="1012">
        <f t="shared" si="129"/>
        <v>30720</v>
      </c>
      <c r="CB219" s="1219"/>
      <c r="CC219" s="1219"/>
      <c r="CE219" s="1009">
        <f t="shared" si="137"/>
        <v>1033959</v>
      </c>
    </row>
    <row r="220" s="1009" customFormat="1" ht="36" customHeight="1" spans="1:83">
      <c r="A220" s="540">
        <v>45839</v>
      </c>
      <c r="B220" s="1036" t="s">
        <v>816</v>
      </c>
      <c r="C220" s="1037" t="s">
        <v>117</v>
      </c>
      <c r="D220" s="1038">
        <v>4500172226</v>
      </c>
      <c r="E220" s="1039">
        <v>60238516</v>
      </c>
      <c r="F220" s="1038" t="s">
        <v>4151</v>
      </c>
      <c r="G220" s="1040" t="s">
        <v>628</v>
      </c>
      <c r="H220" s="1041" t="s">
        <v>623</v>
      </c>
      <c r="I220" s="1012">
        <v>5004</v>
      </c>
      <c r="J220" s="1087">
        <v>0</v>
      </c>
      <c r="K220" s="1040">
        <v>12</v>
      </c>
      <c r="L220" s="1012">
        <f t="shared" si="119"/>
        <v>417</v>
      </c>
      <c r="M220" s="1079">
        <v>45908</v>
      </c>
      <c r="N220" s="1079">
        <v>45903</v>
      </c>
      <c r="O220" s="1350"/>
      <c r="P220" s="579" t="s">
        <v>92</v>
      </c>
      <c r="Q220" s="579" t="s">
        <v>4152</v>
      </c>
      <c r="R220" s="584">
        <v>45846</v>
      </c>
      <c r="S220" s="584" t="s">
        <v>77</v>
      </c>
      <c r="T220" s="1357" t="s">
        <v>4153</v>
      </c>
      <c r="U220" s="1039" t="s">
        <v>4073</v>
      </c>
      <c r="V220" s="1112" t="s">
        <v>2458</v>
      </c>
      <c r="W220" s="1113">
        <v>1.8103</v>
      </c>
      <c r="X220" s="1114">
        <f t="shared" ref="X220:X229" si="152">W220*I220</f>
        <v>9058.7412</v>
      </c>
      <c r="Y220" s="1012" t="s">
        <v>4154</v>
      </c>
      <c r="Z220" s="1368" t="s">
        <v>822</v>
      </c>
      <c r="AA220" s="1369" t="s">
        <v>128</v>
      </c>
      <c r="AB220" s="1369"/>
      <c r="AC220" s="1151">
        <f>4992+12</f>
        <v>5004</v>
      </c>
      <c r="AD220" s="1151">
        <f t="shared" si="149"/>
        <v>0</v>
      </c>
      <c r="AE220" s="1151"/>
      <c r="AF220" s="579"/>
      <c r="AG220" s="579"/>
      <c r="AH220" s="1151">
        <f>I220*2</f>
        <v>10008</v>
      </c>
      <c r="AI220" s="1151"/>
      <c r="AJ220" s="1151"/>
      <c r="AK220" s="1151"/>
      <c r="AL220" s="1151"/>
      <c r="AM220" s="1370"/>
      <c r="AN220" s="1373">
        <f>I220*2</f>
        <v>10008</v>
      </c>
      <c r="AO220" s="543"/>
      <c r="AQ220" s="1310"/>
      <c r="AR220" s="1310"/>
      <c r="AS220" s="1310"/>
      <c r="AT220" s="1310"/>
      <c r="AU220" s="1373">
        <f>AN220</f>
        <v>10008</v>
      </c>
      <c r="AV220" s="1012"/>
      <c r="AW220" s="1310"/>
      <c r="AX220" s="1310"/>
      <c r="AY220" s="1310"/>
      <c r="AZ220" s="1310"/>
      <c r="BA220" s="1310"/>
      <c r="BB220" s="1310"/>
      <c r="BC220" s="1374"/>
      <c r="BD220" s="1374"/>
      <c r="BE220" s="1374"/>
      <c r="BF220" s="1374"/>
      <c r="BG220" s="1374"/>
      <c r="BH220" s="1374"/>
      <c r="BI220" s="1374"/>
      <c r="BJ220" s="1374"/>
      <c r="BK220" s="1374"/>
      <c r="BL220" s="1374"/>
      <c r="BM220" s="1374"/>
      <c r="BN220" s="1374"/>
      <c r="BO220" s="1374"/>
      <c r="BP220" s="1374"/>
      <c r="BQ220" s="1374"/>
      <c r="BR220" s="1374"/>
      <c r="BS220" s="1374"/>
      <c r="BT220" s="1374"/>
      <c r="BU220" s="1374"/>
      <c r="BV220" s="1374"/>
      <c r="BW220" s="1374">
        <f>I220</f>
        <v>5004</v>
      </c>
      <c r="BX220" s="1374"/>
      <c r="BY220" s="1374">
        <f>BW220</f>
        <v>5004</v>
      </c>
      <c r="BZ220" s="1012">
        <f t="shared" si="129"/>
        <v>10008</v>
      </c>
      <c r="CB220" s="1219"/>
      <c r="CC220" s="1219"/>
      <c r="CE220" s="1009">
        <f t="shared" si="137"/>
        <v>1023951</v>
      </c>
    </row>
    <row r="221" s="1009" customFormat="1" ht="36" customHeight="1" spans="1:83">
      <c r="A221" s="540">
        <v>45706</v>
      </c>
      <c r="B221" s="1036" t="s">
        <v>4121</v>
      </c>
      <c r="C221" s="1037" t="s">
        <v>233</v>
      </c>
      <c r="D221" s="1038">
        <v>4500157857</v>
      </c>
      <c r="E221" s="1039">
        <v>4401011365</v>
      </c>
      <c r="F221" s="1038" t="s">
        <v>4155</v>
      </c>
      <c r="G221" s="1040" t="s">
        <v>73</v>
      </c>
      <c r="H221" s="1041" t="s">
        <v>74</v>
      </c>
      <c r="I221" s="1012">
        <v>76608</v>
      </c>
      <c r="J221" s="1087">
        <v>0</v>
      </c>
      <c r="K221" s="1040">
        <v>24</v>
      </c>
      <c r="L221" s="1012">
        <f t="shared" si="119"/>
        <v>3192</v>
      </c>
      <c r="M221" s="1079">
        <v>45909</v>
      </c>
      <c r="N221" s="1079">
        <v>45906</v>
      </c>
      <c r="O221" s="579"/>
      <c r="P221" s="579" t="s">
        <v>92</v>
      </c>
      <c r="Q221" s="579"/>
      <c r="R221" s="579">
        <v>45715</v>
      </c>
      <c r="S221" s="578" t="s">
        <v>77</v>
      </c>
      <c r="T221" s="578" t="s">
        <v>77</v>
      </c>
      <c r="U221" s="1039" t="s">
        <v>4139</v>
      </c>
      <c r="V221" s="1112" t="s">
        <v>2800</v>
      </c>
      <c r="W221" s="1113">
        <v>1.3443</v>
      </c>
      <c r="X221" s="1114">
        <f>I221*W221</f>
        <v>102984.1344</v>
      </c>
      <c r="Y221" s="1012" t="s">
        <v>4156</v>
      </c>
      <c r="Z221" s="1159" t="s">
        <v>4126</v>
      </c>
      <c r="AA221" s="1150" t="s">
        <v>128</v>
      </c>
      <c r="AB221" s="1150"/>
      <c r="AC221" s="1151">
        <f>20304+8712+31680+15912</f>
        <v>76608</v>
      </c>
      <c r="AD221" s="1151">
        <f t="shared" si="149"/>
        <v>0</v>
      </c>
      <c r="AE221" s="1151"/>
      <c r="AF221" s="579"/>
      <c r="AG221" s="579"/>
      <c r="AH221" s="1151">
        <f t="shared" ref="AH221:AH231" si="153">I221</f>
        <v>76608</v>
      </c>
      <c r="AI221" s="1151"/>
      <c r="AJ221" s="1151"/>
      <c r="AK221" s="1151"/>
      <c r="AL221" s="1151"/>
      <c r="AM221" s="1151"/>
      <c r="AN221" s="543"/>
      <c r="AO221" s="543"/>
      <c r="AP221" s="543"/>
      <c r="AQ221" s="543"/>
      <c r="AR221" s="543"/>
      <c r="AS221" s="543">
        <f t="shared" si="151"/>
        <v>76608</v>
      </c>
      <c r="AT221" s="543"/>
      <c r="AU221" s="1012"/>
      <c r="AV221" s="1310">
        <f t="shared" ref="AV221:AV231" si="154">I221</f>
        <v>76608</v>
      </c>
      <c r="AW221" s="543"/>
      <c r="AX221" s="543"/>
      <c r="AY221" s="543"/>
      <c r="AZ221" s="543"/>
      <c r="BA221" s="543"/>
      <c r="BB221" s="543"/>
      <c r="BC221" s="1200"/>
      <c r="BD221" s="1200"/>
      <c r="BE221" s="1200"/>
      <c r="BF221" s="1200"/>
      <c r="BG221" s="1200"/>
      <c r="BH221" s="1200"/>
      <c r="BI221" s="1200"/>
      <c r="BJ221" s="1200"/>
      <c r="BK221" s="1200"/>
      <c r="BL221" s="1200"/>
      <c r="BM221" s="1200"/>
      <c r="BN221" s="1200"/>
      <c r="BO221" s="1200"/>
      <c r="BP221" s="1200"/>
      <c r="BQ221" s="1200"/>
      <c r="BR221" s="1200"/>
      <c r="BS221" s="1200"/>
      <c r="BT221" s="1200"/>
      <c r="BU221" s="1200"/>
      <c r="BV221" s="1200"/>
      <c r="BW221" s="1200"/>
      <c r="BX221" s="1200"/>
      <c r="BY221" s="1200"/>
      <c r="BZ221" s="1012">
        <f t="shared" si="129"/>
        <v>76608</v>
      </c>
      <c r="CB221" s="1219"/>
      <c r="CC221" s="1219"/>
      <c r="CE221" s="1009">
        <f t="shared" si="137"/>
        <v>947343</v>
      </c>
    </row>
    <row r="222" s="1009" customFormat="1" ht="36" customHeight="1" spans="1:83">
      <c r="A222" s="540">
        <v>45859</v>
      </c>
      <c r="B222" s="1036" t="s">
        <v>4107</v>
      </c>
      <c r="C222" s="1037" t="s">
        <v>117</v>
      </c>
      <c r="D222" s="1038">
        <v>4500173640</v>
      </c>
      <c r="E222" s="1039">
        <v>70072705</v>
      </c>
      <c r="F222" s="1038" t="s">
        <v>4157</v>
      </c>
      <c r="G222" s="1040" t="s">
        <v>628</v>
      </c>
      <c r="H222" s="1041" t="s">
        <v>623</v>
      </c>
      <c r="I222" s="1012">
        <v>1200</v>
      </c>
      <c r="J222" s="1087">
        <v>0</v>
      </c>
      <c r="K222" s="1040">
        <v>12</v>
      </c>
      <c r="L222" s="1012">
        <f t="shared" si="119"/>
        <v>100</v>
      </c>
      <c r="M222" s="1079">
        <v>45904</v>
      </c>
      <c r="N222" s="1079">
        <v>45908</v>
      </c>
      <c r="O222" s="579"/>
      <c r="P222" s="579" t="s">
        <v>1262</v>
      </c>
      <c r="Q222" s="579" t="s">
        <v>4158</v>
      </c>
      <c r="R222" s="579">
        <v>45869</v>
      </c>
      <c r="S222" s="584" t="s">
        <v>77</v>
      </c>
      <c r="T222" s="1357" t="s">
        <v>4159</v>
      </c>
      <c r="U222" s="1039" t="s">
        <v>4160</v>
      </c>
      <c r="V222" s="1112" t="s">
        <v>2458</v>
      </c>
      <c r="W222" s="1113">
        <v>1.8222</v>
      </c>
      <c r="X222" s="1114">
        <f t="shared" si="152"/>
        <v>2186.64</v>
      </c>
      <c r="Y222" s="1012" t="s">
        <v>4161</v>
      </c>
      <c r="Z222" s="1159" t="s">
        <v>822</v>
      </c>
      <c r="AA222" s="1150" t="s">
        <v>128</v>
      </c>
      <c r="AB222" s="1150"/>
      <c r="AC222" s="1151"/>
      <c r="AD222" s="1151">
        <f t="shared" si="149"/>
        <v>-1200</v>
      </c>
      <c r="AE222" s="1151"/>
      <c r="AF222" s="579"/>
      <c r="AG222" s="579"/>
      <c r="AH222" s="1151">
        <f>I222*2</f>
        <v>2400</v>
      </c>
      <c r="AI222" s="1151"/>
      <c r="AJ222" s="1151"/>
      <c r="AK222" s="1151"/>
      <c r="AL222" s="1151"/>
      <c r="AM222" s="1151"/>
      <c r="AN222" s="1310">
        <f>I222*2</f>
        <v>2400</v>
      </c>
      <c r="AO222" s="543"/>
      <c r="AP222" s="543"/>
      <c r="AQ222" s="543"/>
      <c r="AR222" s="543"/>
      <c r="AS222" s="543"/>
      <c r="AT222" s="543"/>
      <c r="AU222" s="1310">
        <f>AN222</f>
        <v>2400</v>
      </c>
      <c r="AV222" s="1310"/>
      <c r="AW222" s="543"/>
      <c r="AX222" s="543"/>
      <c r="AY222" s="543"/>
      <c r="AZ222" s="543"/>
      <c r="BA222" s="543"/>
      <c r="BB222" s="543"/>
      <c r="BC222" s="1200"/>
      <c r="BD222" s="1200"/>
      <c r="BE222" s="1200"/>
      <c r="BF222" s="1200"/>
      <c r="BG222" s="1200"/>
      <c r="BH222" s="1200"/>
      <c r="BI222" s="1200"/>
      <c r="BJ222" s="1200"/>
      <c r="BK222" s="1200"/>
      <c r="BL222" s="1200"/>
      <c r="BM222" s="1200"/>
      <c r="BN222" s="1200"/>
      <c r="BO222" s="1200"/>
      <c r="BP222" s="1200"/>
      <c r="BQ222" s="1200"/>
      <c r="BR222" s="1200"/>
      <c r="BS222" s="1200"/>
      <c r="BT222" s="1200"/>
      <c r="BU222" s="1200"/>
      <c r="BV222" s="1200"/>
      <c r="BW222" s="1374">
        <f>I222</f>
        <v>1200</v>
      </c>
      <c r="BX222" s="1374"/>
      <c r="BY222" s="1374">
        <f>BW222</f>
        <v>1200</v>
      </c>
      <c r="BZ222" s="1012">
        <f t="shared" si="129"/>
        <v>2400</v>
      </c>
      <c r="CB222" s="1219"/>
      <c r="CC222" s="1219"/>
      <c r="CE222" s="1009">
        <f t="shared" si="137"/>
        <v>944943</v>
      </c>
    </row>
    <row r="223" s="1009" customFormat="1" ht="36" customHeight="1" spans="1:83">
      <c r="A223" s="540">
        <v>45863</v>
      </c>
      <c r="B223" s="1036" t="s">
        <v>3926</v>
      </c>
      <c r="C223" s="1037" t="s">
        <v>351</v>
      </c>
      <c r="D223" s="1038">
        <v>4500175043</v>
      </c>
      <c r="E223" s="1039" t="s">
        <v>4162</v>
      </c>
      <c r="F223" s="1038" t="s">
        <v>4163</v>
      </c>
      <c r="G223" s="1040" t="s">
        <v>73</v>
      </c>
      <c r="H223" s="1041" t="s">
        <v>74</v>
      </c>
      <c r="I223" s="1012">
        <v>24</v>
      </c>
      <c r="J223" s="1087">
        <v>0</v>
      </c>
      <c r="K223" s="1040">
        <v>24</v>
      </c>
      <c r="L223" s="1012">
        <f t="shared" si="119"/>
        <v>1</v>
      </c>
      <c r="M223" s="1079">
        <v>45905</v>
      </c>
      <c r="N223" s="1079">
        <v>45908</v>
      </c>
      <c r="O223" s="579" t="s">
        <v>4164</v>
      </c>
      <c r="P223" s="579" t="s">
        <v>1262</v>
      </c>
      <c r="Q223" s="579" t="s">
        <v>4165</v>
      </c>
      <c r="R223" s="579">
        <v>45863</v>
      </c>
      <c r="S223" s="578" t="s">
        <v>123</v>
      </c>
      <c r="T223" s="578" t="s">
        <v>4166</v>
      </c>
      <c r="U223" s="1039" t="s">
        <v>4167</v>
      </c>
      <c r="V223" s="1112" t="s">
        <v>396</v>
      </c>
      <c r="W223" s="1113">
        <v>1.3363</v>
      </c>
      <c r="X223" s="1114">
        <f t="shared" si="152"/>
        <v>32.0712</v>
      </c>
      <c r="Y223" s="1012" t="s">
        <v>4168</v>
      </c>
      <c r="Z223" s="1159" t="s">
        <v>188</v>
      </c>
      <c r="AA223" s="1150" t="s">
        <v>128</v>
      </c>
      <c r="AB223" s="1150"/>
      <c r="AC223" s="1151">
        <v>24</v>
      </c>
      <c r="AD223" s="1151">
        <f t="shared" si="149"/>
        <v>0</v>
      </c>
      <c r="AE223" s="1151"/>
      <c r="AF223" s="579"/>
      <c r="AG223" s="579"/>
      <c r="AH223" s="1151">
        <f t="shared" si="153"/>
        <v>24</v>
      </c>
      <c r="AI223" s="1151"/>
      <c r="AJ223" s="1151"/>
      <c r="AK223" s="1151"/>
      <c r="AL223" s="1151"/>
      <c r="AM223" s="1151"/>
      <c r="AN223" s="543"/>
      <c r="AO223" s="543"/>
      <c r="AP223" s="543"/>
      <c r="AQ223" s="543">
        <f t="shared" ref="AQ223:AQ228" si="155">AH223</f>
        <v>24</v>
      </c>
      <c r="AR223" s="543"/>
      <c r="AS223" s="543"/>
      <c r="AT223" s="543"/>
      <c r="AU223" s="1012"/>
      <c r="AV223" s="543">
        <f t="shared" si="154"/>
        <v>24</v>
      </c>
      <c r="AW223" s="543"/>
      <c r="AX223" s="543"/>
      <c r="AY223" s="543"/>
      <c r="AZ223" s="543"/>
      <c r="BA223" s="543"/>
      <c r="BB223" s="543"/>
      <c r="BC223" s="1200"/>
      <c r="BD223" s="1200"/>
      <c r="BE223" s="1200"/>
      <c r="BF223" s="1200"/>
      <c r="BG223" s="1200"/>
      <c r="BH223" s="1200"/>
      <c r="BI223" s="1200"/>
      <c r="BJ223" s="1200"/>
      <c r="BK223" s="1200"/>
      <c r="BL223" s="1200"/>
      <c r="BM223" s="1200"/>
      <c r="BN223" s="1200"/>
      <c r="BO223" s="1200"/>
      <c r="BP223" s="1200"/>
      <c r="BQ223" s="1200"/>
      <c r="BR223" s="1200"/>
      <c r="BS223" s="1200"/>
      <c r="BT223" s="1200"/>
      <c r="BU223" s="1200"/>
      <c r="BV223" s="1200"/>
      <c r="BW223" s="1200"/>
      <c r="BX223" s="1200"/>
      <c r="BY223" s="1200"/>
      <c r="BZ223" s="1012">
        <f t="shared" si="129"/>
        <v>24</v>
      </c>
      <c r="CB223" s="1219"/>
      <c r="CC223" s="1219"/>
      <c r="CE223" s="1009">
        <f t="shared" si="137"/>
        <v>944919</v>
      </c>
    </row>
    <row r="224" s="1009" customFormat="1" ht="36" customHeight="1" spans="1:83">
      <c r="A224" s="540">
        <v>45863</v>
      </c>
      <c r="B224" s="1036" t="s">
        <v>3926</v>
      </c>
      <c r="C224" s="1037" t="s">
        <v>351</v>
      </c>
      <c r="D224" s="1038">
        <v>4500175043</v>
      </c>
      <c r="E224" s="1039" t="s">
        <v>4169</v>
      </c>
      <c r="F224" s="1038" t="s">
        <v>4170</v>
      </c>
      <c r="G224" s="1040" t="s">
        <v>73</v>
      </c>
      <c r="H224" s="1041" t="s">
        <v>74</v>
      </c>
      <c r="I224" s="1012">
        <v>168</v>
      </c>
      <c r="J224" s="1087">
        <v>0</v>
      </c>
      <c r="K224" s="1040">
        <v>24</v>
      </c>
      <c r="L224" s="1012">
        <f t="shared" si="119"/>
        <v>7</v>
      </c>
      <c r="M224" s="1079">
        <v>45905</v>
      </c>
      <c r="N224" s="1079">
        <v>45908</v>
      </c>
      <c r="O224" s="579" t="s">
        <v>4164</v>
      </c>
      <c r="P224" s="579" t="s">
        <v>1262</v>
      </c>
      <c r="Q224" s="579" t="s">
        <v>4165</v>
      </c>
      <c r="R224" s="579">
        <v>45863</v>
      </c>
      <c r="S224" s="578" t="s">
        <v>123</v>
      </c>
      <c r="T224" s="578" t="s">
        <v>4166</v>
      </c>
      <c r="U224" s="1039" t="s">
        <v>4167</v>
      </c>
      <c r="V224" s="1112" t="s">
        <v>396</v>
      </c>
      <c r="W224" s="1113">
        <v>1.3363</v>
      </c>
      <c r="X224" s="1114">
        <f t="shared" si="152"/>
        <v>224.4984</v>
      </c>
      <c r="Y224" s="1012" t="s">
        <v>4168</v>
      </c>
      <c r="Z224" s="1159" t="s">
        <v>188</v>
      </c>
      <c r="AA224" s="1150" t="s">
        <v>128</v>
      </c>
      <c r="AB224" s="1150"/>
      <c r="AC224" s="1151">
        <v>168</v>
      </c>
      <c r="AD224" s="1151">
        <f t="shared" si="149"/>
        <v>0</v>
      </c>
      <c r="AE224" s="1151"/>
      <c r="AF224" s="579"/>
      <c r="AG224" s="579"/>
      <c r="AH224" s="1151">
        <f t="shared" si="153"/>
        <v>168</v>
      </c>
      <c r="AI224" s="1151"/>
      <c r="AJ224" s="1151"/>
      <c r="AK224" s="1151"/>
      <c r="AL224" s="1151"/>
      <c r="AM224" s="1151"/>
      <c r="AN224" s="543"/>
      <c r="AO224" s="543"/>
      <c r="AP224" s="543"/>
      <c r="AQ224" s="543">
        <f t="shared" si="155"/>
        <v>168</v>
      </c>
      <c r="AR224" s="543"/>
      <c r="AS224" s="543"/>
      <c r="AT224" s="543"/>
      <c r="AU224" s="1012"/>
      <c r="AV224" s="543">
        <f t="shared" si="154"/>
        <v>168</v>
      </c>
      <c r="AW224" s="543"/>
      <c r="AX224" s="543"/>
      <c r="AY224" s="543"/>
      <c r="AZ224" s="543"/>
      <c r="BA224" s="543"/>
      <c r="BB224" s="543"/>
      <c r="BC224" s="1200"/>
      <c r="BD224" s="1200"/>
      <c r="BE224" s="1200"/>
      <c r="BF224" s="1200"/>
      <c r="BG224" s="1200"/>
      <c r="BH224" s="1200"/>
      <c r="BI224" s="1200"/>
      <c r="BJ224" s="1200"/>
      <c r="BK224" s="1200"/>
      <c r="BL224" s="1200"/>
      <c r="BM224" s="1200"/>
      <c r="BN224" s="1200"/>
      <c r="BO224" s="1200"/>
      <c r="BP224" s="1200"/>
      <c r="BQ224" s="1200"/>
      <c r="BR224" s="1200"/>
      <c r="BS224" s="1200"/>
      <c r="BT224" s="1200"/>
      <c r="BU224" s="1200"/>
      <c r="BV224" s="1200"/>
      <c r="BW224" s="1200"/>
      <c r="BX224" s="1200"/>
      <c r="BY224" s="1200"/>
      <c r="BZ224" s="1012">
        <f t="shared" si="129"/>
        <v>168</v>
      </c>
      <c r="CB224" s="1219"/>
      <c r="CC224" s="1219"/>
      <c r="CE224" s="1009">
        <f t="shared" si="137"/>
        <v>944751</v>
      </c>
    </row>
    <row r="225" s="1009" customFormat="1" ht="36" customHeight="1" spans="1:83">
      <c r="A225" s="540">
        <v>45863</v>
      </c>
      <c r="B225" s="1036" t="s">
        <v>3926</v>
      </c>
      <c r="C225" s="1037" t="s">
        <v>351</v>
      </c>
      <c r="D225" s="1038">
        <v>4500175043</v>
      </c>
      <c r="E225" s="1039" t="s">
        <v>4171</v>
      </c>
      <c r="F225" s="1038" t="s">
        <v>4172</v>
      </c>
      <c r="G225" s="1040" t="s">
        <v>73</v>
      </c>
      <c r="H225" s="1041" t="s">
        <v>74</v>
      </c>
      <c r="I225" s="1012">
        <v>168</v>
      </c>
      <c r="J225" s="1087">
        <v>0</v>
      </c>
      <c r="K225" s="1040">
        <v>24</v>
      </c>
      <c r="L225" s="1012">
        <f t="shared" si="119"/>
        <v>7</v>
      </c>
      <c r="M225" s="1079">
        <v>45905</v>
      </c>
      <c r="N225" s="1079">
        <v>45908</v>
      </c>
      <c r="O225" s="579" t="s">
        <v>4164</v>
      </c>
      <c r="P225" s="579" t="s">
        <v>1262</v>
      </c>
      <c r="Q225" s="579" t="s">
        <v>4165</v>
      </c>
      <c r="R225" s="579">
        <v>45863</v>
      </c>
      <c r="S225" s="578" t="s">
        <v>123</v>
      </c>
      <c r="T225" s="578" t="s">
        <v>4166</v>
      </c>
      <c r="U225" s="1039" t="s">
        <v>4167</v>
      </c>
      <c r="V225" s="1112" t="s">
        <v>396</v>
      </c>
      <c r="W225" s="1113">
        <v>1.3363</v>
      </c>
      <c r="X225" s="1114">
        <f t="shared" si="152"/>
        <v>224.4984</v>
      </c>
      <c r="Y225" s="1012" t="s">
        <v>4168</v>
      </c>
      <c r="Z225" s="1159" t="s">
        <v>188</v>
      </c>
      <c r="AA225" s="1150" t="s">
        <v>128</v>
      </c>
      <c r="AB225" s="1150"/>
      <c r="AC225" s="1151">
        <v>168</v>
      </c>
      <c r="AD225" s="1151">
        <f t="shared" si="149"/>
        <v>0</v>
      </c>
      <c r="AE225" s="1151"/>
      <c r="AF225" s="579"/>
      <c r="AG225" s="579"/>
      <c r="AH225" s="1151">
        <f t="shared" si="153"/>
        <v>168</v>
      </c>
      <c r="AI225" s="1151"/>
      <c r="AJ225" s="1151"/>
      <c r="AK225" s="1151"/>
      <c r="AL225" s="1151"/>
      <c r="AM225" s="1151"/>
      <c r="AN225" s="543"/>
      <c r="AO225" s="543"/>
      <c r="AP225" s="543"/>
      <c r="AQ225" s="543">
        <f t="shared" si="155"/>
        <v>168</v>
      </c>
      <c r="AR225" s="543"/>
      <c r="AS225" s="543"/>
      <c r="AT225" s="543"/>
      <c r="AU225" s="1012"/>
      <c r="AV225" s="543">
        <f t="shared" si="154"/>
        <v>168</v>
      </c>
      <c r="AW225" s="543"/>
      <c r="AX225" s="543"/>
      <c r="AY225" s="543"/>
      <c r="AZ225" s="543"/>
      <c r="BA225" s="543"/>
      <c r="BB225" s="543"/>
      <c r="BC225" s="1200"/>
      <c r="BD225" s="1200"/>
      <c r="BE225" s="1200"/>
      <c r="BF225" s="1200"/>
      <c r="BG225" s="1200"/>
      <c r="BH225" s="1200"/>
      <c r="BI225" s="1200"/>
      <c r="BJ225" s="1200"/>
      <c r="BK225" s="1200"/>
      <c r="BL225" s="1200"/>
      <c r="BM225" s="1200"/>
      <c r="BN225" s="1200"/>
      <c r="BO225" s="1200"/>
      <c r="BP225" s="1200"/>
      <c r="BQ225" s="1200"/>
      <c r="BR225" s="1200"/>
      <c r="BS225" s="1200"/>
      <c r="BT225" s="1200"/>
      <c r="BU225" s="1200"/>
      <c r="BV225" s="1200"/>
      <c r="BW225" s="1200"/>
      <c r="BX225" s="1200"/>
      <c r="BY225" s="1200"/>
      <c r="BZ225" s="1012">
        <f t="shared" si="129"/>
        <v>168</v>
      </c>
      <c r="CB225" s="1219"/>
      <c r="CC225" s="1219"/>
      <c r="CE225" s="1009">
        <f t="shared" si="137"/>
        <v>944583</v>
      </c>
    </row>
    <row r="226" s="1009" customFormat="1" ht="36" customHeight="1" spans="1:83">
      <c r="A226" s="540">
        <v>45863</v>
      </c>
      <c r="B226" s="1036" t="s">
        <v>3926</v>
      </c>
      <c r="C226" s="1037" t="s">
        <v>351</v>
      </c>
      <c r="D226" s="1038">
        <v>4500175043</v>
      </c>
      <c r="E226" s="1039" t="s">
        <v>4173</v>
      </c>
      <c r="F226" s="1038" t="s">
        <v>4174</v>
      </c>
      <c r="G226" s="1040" t="s">
        <v>73</v>
      </c>
      <c r="H226" s="1041" t="s">
        <v>74</v>
      </c>
      <c r="I226" s="1012">
        <v>72</v>
      </c>
      <c r="J226" s="1087">
        <v>0</v>
      </c>
      <c r="K226" s="1040">
        <v>24</v>
      </c>
      <c r="L226" s="1012">
        <f t="shared" si="119"/>
        <v>3</v>
      </c>
      <c r="M226" s="1079">
        <v>45905</v>
      </c>
      <c r="N226" s="1079">
        <v>45908</v>
      </c>
      <c r="O226" s="579" t="s">
        <v>4164</v>
      </c>
      <c r="P226" s="579" t="s">
        <v>1262</v>
      </c>
      <c r="Q226" s="579" t="s">
        <v>4165</v>
      </c>
      <c r="R226" s="579">
        <v>45863</v>
      </c>
      <c r="S226" s="578" t="s">
        <v>123</v>
      </c>
      <c r="T226" s="578" t="s">
        <v>4166</v>
      </c>
      <c r="U226" s="1039" t="s">
        <v>4167</v>
      </c>
      <c r="V226" s="1112" t="s">
        <v>396</v>
      </c>
      <c r="W226" s="1113">
        <v>1.3363</v>
      </c>
      <c r="X226" s="1114">
        <f t="shared" si="152"/>
        <v>96.2136</v>
      </c>
      <c r="Y226" s="1012" t="s">
        <v>4168</v>
      </c>
      <c r="Z226" s="1159" t="s">
        <v>188</v>
      </c>
      <c r="AA226" s="1150" t="s">
        <v>128</v>
      </c>
      <c r="AB226" s="1150"/>
      <c r="AC226" s="1151">
        <v>72</v>
      </c>
      <c r="AD226" s="1151">
        <f t="shared" si="149"/>
        <v>0</v>
      </c>
      <c r="AE226" s="1151"/>
      <c r="AF226" s="579"/>
      <c r="AG226" s="579"/>
      <c r="AH226" s="1151">
        <f t="shared" si="153"/>
        <v>72</v>
      </c>
      <c r="AI226" s="1151"/>
      <c r="AJ226" s="1151"/>
      <c r="AK226" s="1151"/>
      <c r="AL226" s="1151"/>
      <c r="AM226" s="1151"/>
      <c r="AN226" s="543"/>
      <c r="AO226" s="543"/>
      <c r="AP226" s="543"/>
      <c r="AQ226" s="543">
        <f t="shared" si="155"/>
        <v>72</v>
      </c>
      <c r="AR226" s="543"/>
      <c r="AS226" s="543"/>
      <c r="AT226" s="543"/>
      <c r="AU226" s="1012"/>
      <c r="AV226" s="543">
        <f t="shared" si="154"/>
        <v>72</v>
      </c>
      <c r="AW226" s="543"/>
      <c r="AX226" s="543"/>
      <c r="AY226" s="543"/>
      <c r="AZ226" s="543"/>
      <c r="BA226" s="543"/>
      <c r="BB226" s="543"/>
      <c r="BC226" s="1200"/>
      <c r="BD226" s="1200"/>
      <c r="BE226" s="1200"/>
      <c r="BF226" s="1200"/>
      <c r="BG226" s="1200"/>
      <c r="BH226" s="1200"/>
      <c r="BI226" s="1200"/>
      <c r="BJ226" s="1200"/>
      <c r="BK226" s="1200"/>
      <c r="BL226" s="1200"/>
      <c r="BM226" s="1200"/>
      <c r="BN226" s="1200"/>
      <c r="BO226" s="1200"/>
      <c r="BP226" s="1200"/>
      <c r="BQ226" s="1200"/>
      <c r="BR226" s="1200"/>
      <c r="BS226" s="1200"/>
      <c r="BT226" s="1200"/>
      <c r="BU226" s="1200"/>
      <c r="BV226" s="1200"/>
      <c r="BW226" s="1200"/>
      <c r="BX226" s="1200"/>
      <c r="BY226" s="1200"/>
      <c r="BZ226" s="1012">
        <f t="shared" si="129"/>
        <v>72</v>
      </c>
      <c r="CB226" s="1219"/>
      <c r="CC226" s="1219"/>
      <c r="CE226" s="1009">
        <f t="shared" si="137"/>
        <v>944511</v>
      </c>
    </row>
    <row r="227" s="1009" customFormat="1" ht="36" customHeight="1" spans="1:83">
      <c r="A227" s="540">
        <v>45863</v>
      </c>
      <c r="B227" s="1036" t="s">
        <v>3926</v>
      </c>
      <c r="C227" s="1037" t="s">
        <v>351</v>
      </c>
      <c r="D227" s="1038">
        <v>4500175043</v>
      </c>
      <c r="E227" s="1039" t="s">
        <v>4175</v>
      </c>
      <c r="F227" s="1038" t="s">
        <v>4176</v>
      </c>
      <c r="G227" s="1040" t="s">
        <v>73</v>
      </c>
      <c r="H227" s="1041" t="s">
        <v>74</v>
      </c>
      <c r="I227" s="1012">
        <v>24</v>
      </c>
      <c r="J227" s="1087">
        <v>0</v>
      </c>
      <c r="K227" s="1040">
        <v>24</v>
      </c>
      <c r="L227" s="1012">
        <f t="shared" si="119"/>
        <v>1</v>
      </c>
      <c r="M227" s="1079">
        <v>45905</v>
      </c>
      <c r="N227" s="1079">
        <v>45908</v>
      </c>
      <c r="O227" s="579" t="s">
        <v>4164</v>
      </c>
      <c r="P227" s="579" t="s">
        <v>1262</v>
      </c>
      <c r="Q227" s="579" t="s">
        <v>4165</v>
      </c>
      <c r="R227" s="579">
        <v>45863</v>
      </c>
      <c r="S227" s="578" t="s">
        <v>123</v>
      </c>
      <c r="T227" s="578" t="s">
        <v>4166</v>
      </c>
      <c r="U227" s="1039" t="s">
        <v>4167</v>
      </c>
      <c r="V227" s="1112" t="s">
        <v>396</v>
      </c>
      <c r="W227" s="1113">
        <v>1.3363</v>
      </c>
      <c r="X227" s="1114">
        <f t="shared" si="152"/>
        <v>32.0712</v>
      </c>
      <c r="Y227" s="1012" t="s">
        <v>4168</v>
      </c>
      <c r="Z227" s="1159" t="s">
        <v>188</v>
      </c>
      <c r="AA227" s="1150" t="s">
        <v>128</v>
      </c>
      <c r="AB227" s="1150"/>
      <c r="AC227" s="1151">
        <v>24</v>
      </c>
      <c r="AD227" s="1151">
        <f t="shared" si="149"/>
        <v>0</v>
      </c>
      <c r="AE227" s="1151"/>
      <c r="AF227" s="579"/>
      <c r="AG227" s="579"/>
      <c r="AH227" s="1151">
        <f t="shared" si="153"/>
        <v>24</v>
      </c>
      <c r="AI227" s="1151"/>
      <c r="AJ227" s="1151"/>
      <c r="AK227" s="1151"/>
      <c r="AL227" s="1151"/>
      <c r="AM227" s="1151"/>
      <c r="AN227" s="543"/>
      <c r="AO227" s="543"/>
      <c r="AP227" s="543"/>
      <c r="AQ227" s="543">
        <f t="shared" si="155"/>
        <v>24</v>
      </c>
      <c r="AR227" s="543"/>
      <c r="AS227" s="543"/>
      <c r="AT227" s="543"/>
      <c r="AU227" s="1012"/>
      <c r="AV227" s="543">
        <f t="shared" si="154"/>
        <v>24</v>
      </c>
      <c r="AW227" s="543"/>
      <c r="AX227" s="543"/>
      <c r="AY227" s="543"/>
      <c r="AZ227" s="543"/>
      <c r="BA227" s="543"/>
      <c r="BB227" s="543"/>
      <c r="BC227" s="1200"/>
      <c r="BD227" s="1200"/>
      <c r="BE227" s="1200"/>
      <c r="BF227" s="1200"/>
      <c r="BG227" s="1200"/>
      <c r="BH227" s="1200"/>
      <c r="BI227" s="1200"/>
      <c r="BJ227" s="1200"/>
      <c r="BK227" s="1200"/>
      <c r="BL227" s="1200"/>
      <c r="BM227" s="1200"/>
      <c r="BN227" s="1200"/>
      <c r="BO227" s="1200"/>
      <c r="BP227" s="1200"/>
      <c r="BQ227" s="1200"/>
      <c r="BR227" s="1200"/>
      <c r="BS227" s="1200"/>
      <c r="BT227" s="1200"/>
      <c r="BU227" s="1200"/>
      <c r="BV227" s="1200"/>
      <c r="BW227" s="1200"/>
      <c r="BX227" s="1200"/>
      <c r="BY227" s="1200"/>
      <c r="BZ227" s="1012">
        <f t="shared" si="129"/>
        <v>24</v>
      </c>
      <c r="CB227" s="1219"/>
      <c r="CC227" s="1219"/>
      <c r="CE227" s="1009">
        <f t="shared" si="137"/>
        <v>944487</v>
      </c>
    </row>
    <row r="228" s="1009" customFormat="1" ht="36" customHeight="1" spans="1:83">
      <c r="A228" s="540">
        <v>45863</v>
      </c>
      <c r="B228" s="1036" t="s">
        <v>3926</v>
      </c>
      <c r="C228" s="1037" t="s">
        <v>351</v>
      </c>
      <c r="D228" s="1038">
        <v>4500175043</v>
      </c>
      <c r="E228" s="1039" t="s">
        <v>4177</v>
      </c>
      <c r="F228" s="1038" t="s">
        <v>4178</v>
      </c>
      <c r="G228" s="1040" t="s">
        <v>73</v>
      </c>
      <c r="H228" s="1041" t="s">
        <v>74</v>
      </c>
      <c r="I228" s="1012">
        <v>120</v>
      </c>
      <c r="J228" s="1087">
        <v>0</v>
      </c>
      <c r="K228" s="1040">
        <v>24</v>
      </c>
      <c r="L228" s="1012">
        <f t="shared" si="119"/>
        <v>5</v>
      </c>
      <c r="M228" s="1079">
        <v>45905</v>
      </c>
      <c r="N228" s="1079">
        <v>45908</v>
      </c>
      <c r="O228" s="579" t="s">
        <v>4164</v>
      </c>
      <c r="P228" s="579" t="s">
        <v>1262</v>
      </c>
      <c r="Q228" s="579" t="s">
        <v>4165</v>
      </c>
      <c r="R228" s="579">
        <v>45863</v>
      </c>
      <c r="S228" s="578" t="s">
        <v>123</v>
      </c>
      <c r="T228" s="578" t="s">
        <v>4166</v>
      </c>
      <c r="U228" s="1039" t="s">
        <v>4167</v>
      </c>
      <c r="V228" s="1112" t="s">
        <v>396</v>
      </c>
      <c r="W228" s="1113">
        <v>1.3363</v>
      </c>
      <c r="X228" s="1114">
        <f t="shared" si="152"/>
        <v>160.356</v>
      </c>
      <c r="Y228" s="1012" t="s">
        <v>4168</v>
      </c>
      <c r="Z228" s="1159" t="s">
        <v>188</v>
      </c>
      <c r="AA228" s="1150" t="s">
        <v>128</v>
      </c>
      <c r="AB228" s="1150"/>
      <c r="AC228" s="1151">
        <v>120</v>
      </c>
      <c r="AD228" s="1151">
        <f t="shared" si="149"/>
        <v>0</v>
      </c>
      <c r="AE228" s="1151"/>
      <c r="AF228" s="579"/>
      <c r="AG228" s="579"/>
      <c r="AH228" s="1151">
        <f t="shared" si="153"/>
        <v>120</v>
      </c>
      <c r="AI228" s="1151"/>
      <c r="AJ228" s="1151"/>
      <c r="AK228" s="1151"/>
      <c r="AL228" s="1151"/>
      <c r="AM228" s="1151"/>
      <c r="AN228" s="543"/>
      <c r="AO228" s="543"/>
      <c r="AP228" s="543"/>
      <c r="AQ228" s="543">
        <f t="shared" si="155"/>
        <v>120</v>
      </c>
      <c r="AR228" s="543"/>
      <c r="AS228" s="543"/>
      <c r="AT228" s="543"/>
      <c r="AU228" s="1012"/>
      <c r="AV228" s="543">
        <f t="shared" si="154"/>
        <v>120</v>
      </c>
      <c r="AW228" s="543"/>
      <c r="AX228" s="543"/>
      <c r="AY228" s="543"/>
      <c r="AZ228" s="543"/>
      <c r="BA228" s="543"/>
      <c r="BB228" s="543"/>
      <c r="BC228" s="1200"/>
      <c r="BD228" s="1200"/>
      <c r="BE228" s="1200"/>
      <c r="BF228" s="1200"/>
      <c r="BG228" s="1200"/>
      <c r="BH228" s="1200"/>
      <c r="BI228" s="1200"/>
      <c r="BJ228" s="1200"/>
      <c r="BK228" s="1200"/>
      <c r="BL228" s="1200"/>
      <c r="BM228" s="1200"/>
      <c r="BN228" s="1200"/>
      <c r="BO228" s="1200"/>
      <c r="BP228" s="1200"/>
      <c r="BQ228" s="1200"/>
      <c r="BR228" s="1200"/>
      <c r="BS228" s="1200"/>
      <c r="BT228" s="1200"/>
      <c r="BU228" s="1200"/>
      <c r="BV228" s="1200"/>
      <c r="BW228" s="1200"/>
      <c r="BX228" s="1200"/>
      <c r="BY228" s="1200"/>
      <c r="BZ228" s="1012">
        <f t="shared" si="129"/>
        <v>120</v>
      </c>
      <c r="CB228" s="1219"/>
      <c r="CC228" s="1219"/>
      <c r="CE228" s="1009">
        <f t="shared" si="137"/>
        <v>944367</v>
      </c>
    </row>
    <row r="229" s="1009" customFormat="1" ht="36" customHeight="1" spans="1:83">
      <c r="A229" s="540">
        <v>45706</v>
      </c>
      <c r="B229" s="1036" t="s">
        <v>4121</v>
      </c>
      <c r="C229" s="1037" t="s">
        <v>233</v>
      </c>
      <c r="D229" s="1038">
        <v>4500157855</v>
      </c>
      <c r="E229" s="1039">
        <v>4401007582</v>
      </c>
      <c r="F229" s="1038" t="s">
        <v>4179</v>
      </c>
      <c r="G229" s="1040" t="s">
        <v>73</v>
      </c>
      <c r="H229" s="1041" t="s">
        <v>74</v>
      </c>
      <c r="I229" s="1012">
        <v>30720</v>
      </c>
      <c r="J229" s="1087">
        <v>0</v>
      </c>
      <c r="K229" s="1040">
        <v>24</v>
      </c>
      <c r="L229" s="1012">
        <f t="shared" si="119"/>
        <v>1280</v>
      </c>
      <c r="M229" s="1079">
        <v>45905</v>
      </c>
      <c r="N229" s="1079">
        <v>45908</v>
      </c>
      <c r="O229" s="579"/>
      <c r="P229" s="579" t="s">
        <v>92</v>
      </c>
      <c r="Q229" s="579" t="s">
        <v>4158</v>
      </c>
      <c r="R229" s="579">
        <v>45715</v>
      </c>
      <c r="S229" s="578" t="s">
        <v>77</v>
      </c>
      <c r="T229" s="578" t="s">
        <v>77</v>
      </c>
      <c r="U229" s="1039" t="s">
        <v>4124</v>
      </c>
      <c r="V229" s="1112" t="s">
        <v>2800</v>
      </c>
      <c r="W229" s="1113">
        <v>1.3551</v>
      </c>
      <c r="X229" s="1114">
        <f t="shared" si="152"/>
        <v>41628.672</v>
      </c>
      <c r="Y229" s="1012"/>
      <c r="Z229" s="1159" t="s">
        <v>4126</v>
      </c>
      <c r="AA229" s="1150" t="s">
        <v>128</v>
      </c>
      <c r="AB229" s="1150"/>
      <c r="AC229" s="1151">
        <v>30720</v>
      </c>
      <c r="AD229" s="1151">
        <f t="shared" si="149"/>
        <v>0</v>
      </c>
      <c r="AE229" s="1151"/>
      <c r="AF229" s="579"/>
      <c r="AG229" s="579"/>
      <c r="AH229" s="1151">
        <f t="shared" si="153"/>
        <v>30720</v>
      </c>
      <c r="AI229" s="1151"/>
      <c r="AJ229" s="1151"/>
      <c r="AK229" s="1151"/>
      <c r="AL229" s="1151"/>
      <c r="AM229" s="1151"/>
      <c r="AN229" s="543"/>
      <c r="AO229" s="543"/>
      <c r="AP229" s="543"/>
      <c r="AQ229" s="543"/>
      <c r="AR229" s="543"/>
      <c r="AS229" s="543">
        <f>I229</f>
        <v>30720</v>
      </c>
      <c r="AT229" s="543"/>
      <c r="AU229" s="1012"/>
      <c r="AV229" s="1373">
        <f t="shared" si="154"/>
        <v>30720</v>
      </c>
      <c r="AW229" s="543"/>
      <c r="AX229" s="543"/>
      <c r="AY229" s="543"/>
      <c r="AZ229" s="543"/>
      <c r="BA229" s="543"/>
      <c r="BB229" s="543"/>
      <c r="BC229" s="1200"/>
      <c r="BD229" s="1200"/>
      <c r="BE229" s="1200"/>
      <c r="BF229" s="1200"/>
      <c r="BG229" s="1200"/>
      <c r="BH229" s="1200"/>
      <c r="BI229" s="1200"/>
      <c r="BJ229" s="1200"/>
      <c r="BK229" s="1200"/>
      <c r="BL229" s="1200"/>
      <c r="BM229" s="1200"/>
      <c r="BN229" s="1200"/>
      <c r="BO229" s="1200"/>
      <c r="BP229" s="1200"/>
      <c r="BQ229" s="1200"/>
      <c r="BR229" s="1200"/>
      <c r="BS229" s="1200"/>
      <c r="BT229" s="1200"/>
      <c r="BU229" s="1200"/>
      <c r="BV229" s="1200"/>
      <c r="BW229" s="1200"/>
      <c r="BX229" s="1200"/>
      <c r="BY229" s="1200"/>
      <c r="BZ229" s="1012">
        <f t="shared" si="129"/>
        <v>30720</v>
      </c>
      <c r="CB229" s="1219"/>
      <c r="CC229" s="1219"/>
      <c r="CE229" s="1009">
        <f t="shared" si="137"/>
        <v>913647</v>
      </c>
    </row>
    <row r="230" s="1009" customFormat="1" ht="36" customHeight="1" spans="1:83">
      <c r="A230" s="540">
        <v>45848</v>
      </c>
      <c r="B230" s="1036" t="s">
        <v>580</v>
      </c>
      <c r="C230" s="1037" t="s">
        <v>581</v>
      </c>
      <c r="D230" s="1038">
        <v>4500173266</v>
      </c>
      <c r="E230" s="1039" t="s">
        <v>4180</v>
      </c>
      <c r="F230" s="1038" t="s">
        <v>4181</v>
      </c>
      <c r="G230" s="1040" t="s">
        <v>207</v>
      </c>
      <c r="H230" s="1041" t="s">
        <v>74</v>
      </c>
      <c r="I230" s="1012">
        <v>144</v>
      </c>
      <c r="J230" s="1087">
        <v>0</v>
      </c>
      <c r="K230" s="1040">
        <v>48</v>
      </c>
      <c r="L230" s="1012">
        <f t="shared" si="119"/>
        <v>3</v>
      </c>
      <c r="M230" s="1079">
        <v>45908</v>
      </c>
      <c r="N230" s="1079">
        <v>45908</v>
      </c>
      <c r="O230" s="579"/>
      <c r="P230" s="579" t="s">
        <v>1262</v>
      </c>
      <c r="Q230" s="579" t="s">
        <v>4182</v>
      </c>
      <c r="R230" s="579">
        <v>45848</v>
      </c>
      <c r="S230" s="578" t="s">
        <v>77</v>
      </c>
      <c r="T230" s="578" t="s">
        <v>4183</v>
      </c>
      <c r="U230" s="1039" t="s">
        <v>4184</v>
      </c>
      <c r="V230" s="1112" t="s">
        <v>585</v>
      </c>
      <c r="W230" s="1113">
        <v>1.363</v>
      </c>
      <c r="X230" s="1114">
        <f t="shared" ref="X230:X238" si="156">I230*W230</f>
        <v>196.272</v>
      </c>
      <c r="Y230" s="1012" t="s">
        <v>4185</v>
      </c>
      <c r="Z230" s="1159" t="s">
        <v>207</v>
      </c>
      <c r="AA230" s="1369" t="s">
        <v>128</v>
      </c>
      <c r="AB230" s="1369"/>
      <c r="AC230" s="1151">
        <v>144</v>
      </c>
      <c r="AD230" s="1151">
        <f t="shared" si="149"/>
        <v>0</v>
      </c>
      <c r="AE230" s="1151"/>
      <c r="AF230" s="579"/>
      <c r="AG230" s="579"/>
      <c r="AH230" s="1151">
        <f t="shared" si="153"/>
        <v>144</v>
      </c>
      <c r="AI230" s="1151"/>
      <c r="AJ230" s="1151"/>
      <c r="AK230" s="1151"/>
      <c r="AL230" s="1151"/>
      <c r="AM230" s="1151"/>
      <c r="AO230" s="543"/>
      <c r="AP230" s="543">
        <f>I230</f>
        <v>144</v>
      </c>
      <c r="AQ230" s="543"/>
      <c r="AR230" s="543"/>
      <c r="AS230" s="543"/>
      <c r="AT230" s="543"/>
      <c r="AV230" s="1310">
        <f t="shared" si="154"/>
        <v>144</v>
      </c>
      <c r="AW230" s="543"/>
      <c r="AX230" s="543"/>
      <c r="AY230" s="543"/>
      <c r="AZ230" s="543"/>
      <c r="BA230" s="543"/>
      <c r="BB230" s="543"/>
      <c r="BC230" s="1200"/>
      <c r="BD230" s="1200"/>
      <c r="BE230" s="1200"/>
      <c r="BF230" s="1200"/>
      <c r="BG230" s="1200">
        <f>I230/12</f>
        <v>12</v>
      </c>
      <c r="BH230" s="1200"/>
      <c r="BI230" s="1200"/>
      <c r="BJ230" s="1200"/>
      <c r="BK230" s="1200"/>
      <c r="BL230" s="1200"/>
      <c r="BM230" s="1200"/>
      <c r="BN230" s="1200"/>
      <c r="BO230" s="1200"/>
      <c r="BP230" s="1200"/>
      <c r="BQ230" s="1200"/>
      <c r="BR230" s="1200"/>
      <c r="BS230" s="1200"/>
      <c r="BT230" s="1200"/>
      <c r="BU230" s="1200"/>
      <c r="BV230" s="1200"/>
      <c r="BW230" s="1200"/>
      <c r="BX230" s="1200"/>
      <c r="BY230" s="1200"/>
      <c r="BZ230" s="1012">
        <f t="shared" si="129"/>
        <v>144</v>
      </c>
      <c r="CB230" s="1219"/>
      <c r="CC230" s="1219"/>
      <c r="CE230" s="1009">
        <f t="shared" si="137"/>
        <v>913503</v>
      </c>
    </row>
    <row r="231" s="1009" customFormat="1" ht="36" customHeight="1" spans="1:83">
      <c r="A231" s="540">
        <v>45874</v>
      </c>
      <c r="B231" s="1036" t="s">
        <v>2641</v>
      </c>
      <c r="C231" s="1037" t="s">
        <v>117</v>
      </c>
      <c r="D231" s="1038">
        <v>4500176023</v>
      </c>
      <c r="E231" s="1039">
        <v>452157</v>
      </c>
      <c r="F231" s="1038" t="s">
        <v>4186</v>
      </c>
      <c r="G231" s="1040" t="s">
        <v>403</v>
      </c>
      <c r="H231" s="1041" t="s">
        <v>74</v>
      </c>
      <c r="I231" s="1012">
        <v>728</v>
      </c>
      <c r="J231" s="1087">
        <v>0</v>
      </c>
      <c r="K231" s="1040">
        <v>52</v>
      </c>
      <c r="L231" s="1012">
        <f t="shared" si="119"/>
        <v>14</v>
      </c>
      <c r="M231" s="1079">
        <v>45912</v>
      </c>
      <c r="N231" s="1349">
        <v>45908</v>
      </c>
      <c r="O231" s="579"/>
      <c r="P231" s="579" t="s">
        <v>1262</v>
      </c>
      <c r="Q231" s="579" t="s">
        <v>4187</v>
      </c>
      <c r="R231" s="579">
        <v>45874</v>
      </c>
      <c r="S231" s="578" t="s">
        <v>77</v>
      </c>
      <c r="T231" s="578" t="s">
        <v>4188</v>
      </c>
      <c r="U231" s="1039" t="s">
        <v>4189</v>
      </c>
      <c r="V231" s="1112" t="s">
        <v>903</v>
      </c>
      <c r="W231" s="1113">
        <v>0.8283</v>
      </c>
      <c r="X231" s="1114">
        <f t="shared" si="156"/>
        <v>603.0024</v>
      </c>
      <c r="Y231" s="1012" t="s">
        <v>4190</v>
      </c>
      <c r="Z231" s="1159" t="s">
        <v>403</v>
      </c>
      <c r="AA231" s="1150" t="s">
        <v>128</v>
      </c>
      <c r="AB231" s="1150"/>
      <c r="AC231" s="1151">
        <v>728</v>
      </c>
      <c r="AD231" s="1151">
        <f t="shared" si="149"/>
        <v>0</v>
      </c>
      <c r="AE231" s="1151"/>
      <c r="AF231" s="579"/>
      <c r="AG231" s="579"/>
      <c r="AH231" s="1151">
        <f t="shared" si="153"/>
        <v>728</v>
      </c>
      <c r="AI231" s="1151"/>
      <c r="AJ231" s="1151"/>
      <c r="AK231" s="1151"/>
      <c r="AL231" s="1151"/>
      <c r="AM231" s="1151"/>
      <c r="AN231" s="543"/>
      <c r="AO231" s="543"/>
      <c r="AP231" s="543">
        <f>I231</f>
        <v>728</v>
      </c>
      <c r="AQ231" s="543"/>
      <c r="AR231" s="543"/>
      <c r="AS231" s="543"/>
      <c r="AT231" s="543"/>
      <c r="AU231" s="1012"/>
      <c r="AV231" s="1310">
        <f t="shared" si="154"/>
        <v>728</v>
      </c>
      <c r="AW231" s="543"/>
      <c r="AX231" s="543"/>
      <c r="AY231" s="543"/>
      <c r="AZ231" s="543"/>
      <c r="BA231" s="543"/>
      <c r="BB231" s="543"/>
      <c r="BC231" s="1200"/>
      <c r="BD231" s="1200"/>
      <c r="BE231" s="1200"/>
      <c r="BF231" s="1200"/>
      <c r="BG231" s="1200"/>
      <c r="BH231" s="1200"/>
      <c r="BJ231" s="1200"/>
      <c r="BK231" s="1200">
        <f>I231/13</f>
        <v>56</v>
      </c>
      <c r="BL231" s="1200"/>
      <c r="BM231" s="1200"/>
      <c r="BN231" s="1200"/>
      <c r="BO231" s="1200"/>
      <c r="BP231" s="1200"/>
      <c r="BQ231" s="1200"/>
      <c r="BR231" s="1200"/>
      <c r="BS231" s="1200"/>
      <c r="BT231" s="1200"/>
      <c r="BU231" s="1200"/>
      <c r="BV231" s="1200"/>
      <c r="BW231" s="1200"/>
      <c r="BX231" s="1200"/>
      <c r="BY231" s="1200"/>
      <c r="BZ231" s="1012">
        <f t="shared" si="129"/>
        <v>728</v>
      </c>
      <c r="CB231" s="1219"/>
      <c r="CC231" s="1219"/>
      <c r="CE231" s="1009">
        <f t="shared" si="137"/>
        <v>912775</v>
      </c>
    </row>
    <row r="232" s="1009" customFormat="1" ht="36" customHeight="1" spans="1:83">
      <c r="A232" s="540">
        <v>45862</v>
      </c>
      <c r="B232" s="1036" t="s">
        <v>4107</v>
      </c>
      <c r="C232" s="1037" t="s">
        <v>117</v>
      </c>
      <c r="D232" s="1038">
        <v>4500174780</v>
      </c>
      <c r="E232" s="1039">
        <v>70072708</v>
      </c>
      <c r="F232" s="1687" t="s">
        <v>4191</v>
      </c>
      <c r="G232" s="1040" t="s">
        <v>628</v>
      </c>
      <c r="H232" s="1041" t="s">
        <v>623</v>
      </c>
      <c r="I232" s="1012">
        <v>1008</v>
      </c>
      <c r="J232" s="1087">
        <v>0</v>
      </c>
      <c r="K232" s="1040">
        <v>12</v>
      </c>
      <c r="L232" s="1012">
        <f t="shared" si="119"/>
        <v>84</v>
      </c>
      <c r="M232" s="1079">
        <v>45918</v>
      </c>
      <c r="N232" s="1349">
        <v>45912</v>
      </c>
      <c r="O232" s="579"/>
      <c r="P232" s="579" t="s">
        <v>92</v>
      </c>
      <c r="Q232" s="579" t="s">
        <v>4192</v>
      </c>
      <c r="R232" s="579">
        <v>45880</v>
      </c>
      <c r="S232" s="584" t="s">
        <v>77</v>
      </c>
      <c r="T232" s="1357" t="s">
        <v>4193</v>
      </c>
      <c r="U232" s="1039" t="s">
        <v>4160</v>
      </c>
      <c r="V232" s="1112" t="s">
        <v>2458</v>
      </c>
      <c r="W232" s="1113">
        <v>1.8222</v>
      </c>
      <c r="X232" s="1114">
        <f>W232*I232</f>
        <v>1836.7776</v>
      </c>
      <c r="Y232" s="1012" t="s">
        <v>4194</v>
      </c>
      <c r="Z232" s="1159" t="s">
        <v>822</v>
      </c>
      <c r="AA232" s="1150" t="s">
        <v>128</v>
      </c>
      <c r="AB232" s="1150"/>
      <c r="AC232" s="1151"/>
      <c r="AD232" s="1151">
        <f t="shared" si="149"/>
        <v>-1008</v>
      </c>
      <c r="AE232" s="1151"/>
      <c r="AF232" s="579"/>
      <c r="AG232" s="579"/>
      <c r="AH232" s="1151">
        <f>I232*2</f>
        <v>2016</v>
      </c>
      <c r="AI232" s="1151"/>
      <c r="AJ232" s="1151"/>
      <c r="AK232" s="1151"/>
      <c r="AL232" s="1151"/>
      <c r="AM232" s="1151"/>
      <c r="AN232" s="1310">
        <f>I232*2</f>
        <v>2016</v>
      </c>
      <c r="AO232" s="543"/>
      <c r="AP232" s="543"/>
      <c r="AQ232" s="543"/>
      <c r="AR232" s="543"/>
      <c r="AS232" s="543"/>
      <c r="AT232" s="543"/>
      <c r="AU232" s="1310">
        <f>AN232</f>
        <v>2016</v>
      </c>
      <c r="AV232" s="1310"/>
      <c r="AW232" s="543"/>
      <c r="AX232" s="543"/>
      <c r="AY232" s="543"/>
      <c r="AZ232" s="543"/>
      <c r="BA232" s="543"/>
      <c r="BB232" s="543"/>
      <c r="BC232" s="1200"/>
      <c r="BD232" s="1200"/>
      <c r="BE232" s="1200"/>
      <c r="BF232" s="1200"/>
      <c r="BG232" s="1200"/>
      <c r="BH232" s="1200"/>
      <c r="BI232" s="1200"/>
      <c r="BJ232" s="1200"/>
      <c r="BK232" s="1200"/>
      <c r="BL232" s="1200"/>
      <c r="BM232" s="1200"/>
      <c r="BN232" s="1200"/>
      <c r="BO232" s="1200"/>
      <c r="BP232" s="1200"/>
      <c r="BQ232" s="1200"/>
      <c r="BR232" s="1200"/>
      <c r="BS232" s="1200"/>
      <c r="BT232" s="1200"/>
      <c r="BU232" s="1200"/>
      <c r="BV232" s="1200"/>
      <c r="BW232" s="1374">
        <f>I232</f>
        <v>1008</v>
      </c>
      <c r="BX232" s="1374"/>
      <c r="BY232" s="1374">
        <f>BW232</f>
        <v>1008</v>
      </c>
      <c r="BZ232" s="1012">
        <f t="shared" si="129"/>
        <v>2016</v>
      </c>
      <c r="CB232" s="1219"/>
      <c r="CC232" s="1219"/>
      <c r="CE232" s="1009">
        <f t="shared" si="137"/>
        <v>910759</v>
      </c>
    </row>
    <row r="233" s="1009" customFormat="1" ht="36" customHeight="1" spans="1:83">
      <c r="A233" s="540">
        <v>45706</v>
      </c>
      <c r="B233" s="1036" t="s">
        <v>4121</v>
      </c>
      <c r="C233" s="1037" t="s">
        <v>233</v>
      </c>
      <c r="D233" s="1038">
        <v>4500157857</v>
      </c>
      <c r="E233" s="1039">
        <v>4401011368</v>
      </c>
      <c r="F233" s="1038" t="s">
        <v>4195</v>
      </c>
      <c r="G233" s="1040" t="s">
        <v>73</v>
      </c>
      <c r="H233" s="1041" t="s">
        <v>74</v>
      </c>
      <c r="I233" s="1012">
        <v>32664</v>
      </c>
      <c r="J233" s="1087">
        <v>0</v>
      </c>
      <c r="K233" s="1040">
        <v>24</v>
      </c>
      <c r="L233" s="1012">
        <f t="shared" si="119"/>
        <v>1361</v>
      </c>
      <c r="M233" s="1079">
        <v>45915</v>
      </c>
      <c r="N233" s="1079">
        <v>45913</v>
      </c>
      <c r="O233" s="579"/>
      <c r="P233" s="579" t="s">
        <v>92</v>
      </c>
      <c r="Q233" s="579" t="s">
        <v>4196</v>
      </c>
      <c r="R233" s="579">
        <v>45715</v>
      </c>
      <c r="S233" s="578" t="s">
        <v>77</v>
      </c>
      <c r="T233" s="578" t="s">
        <v>77</v>
      </c>
      <c r="U233" s="1039" t="s">
        <v>4139</v>
      </c>
      <c r="V233" s="1112" t="s">
        <v>2800</v>
      </c>
      <c r="W233" s="1113">
        <v>1.3443</v>
      </c>
      <c r="X233" s="1114">
        <f t="shared" si="156"/>
        <v>43910.2152</v>
      </c>
      <c r="Y233" s="1012" t="s">
        <v>4197</v>
      </c>
      <c r="Z233" s="1159" t="s">
        <v>4126</v>
      </c>
      <c r="AA233" s="1150" t="s">
        <v>128</v>
      </c>
      <c r="AB233" s="1150"/>
      <c r="AC233" s="1151">
        <v>32664</v>
      </c>
      <c r="AD233" s="1151">
        <f t="shared" si="149"/>
        <v>0</v>
      </c>
      <c r="AE233" s="1151"/>
      <c r="AF233" s="579"/>
      <c r="AG233" s="579"/>
      <c r="AH233" s="1151">
        <f t="shared" ref="AH233:AH238" si="157">I233</f>
        <v>32664</v>
      </c>
      <c r="AI233" s="1151"/>
      <c r="AJ233" s="1151"/>
      <c r="AK233" s="1151"/>
      <c r="AL233" s="1151"/>
      <c r="AM233" s="1151"/>
      <c r="AN233" s="543"/>
      <c r="AO233" s="543"/>
      <c r="AP233" s="543"/>
      <c r="AQ233" s="543"/>
      <c r="AR233" s="543"/>
      <c r="AS233" s="543">
        <f t="shared" ref="AS233:AS238" si="158">I233</f>
        <v>32664</v>
      </c>
      <c r="AT233" s="543"/>
      <c r="AU233" s="1012"/>
      <c r="AV233" s="1373">
        <f t="shared" ref="AV233:AV238" si="159">I233</f>
        <v>32664</v>
      </c>
      <c r="AW233" s="543"/>
      <c r="AX233" s="543"/>
      <c r="AY233" s="543"/>
      <c r="AZ233" s="543"/>
      <c r="BA233" s="543"/>
      <c r="BB233" s="543"/>
      <c r="BC233" s="1200"/>
      <c r="BD233" s="1200"/>
      <c r="BE233" s="1200"/>
      <c r="BF233" s="1200"/>
      <c r="BG233" s="1200"/>
      <c r="BH233" s="1200"/>
      <c r="BI233" s="1200"/>
      <c r="BJ233" s="1200"/>
      <c r="BK233" s="1200"/>
      <c r="BL233" s="1200"/>
      <c r="BM233" s="1200"/>
      <c r="BN233" s="1200"/>
      <c r="BO233" s="1200"/>
      <c r="BP233" s="1200"/>
      <c r="BQ233" s="1200"/>
      <c r="BR233" s="1200"/>
      <c r="BS233" s="1200"/>
      <c r="BT233" s="1200"/>
      <c r="BU233" s="1200"/>
      <c r="BV233" s="1200"/>
      <c r="BW233" s="1200"/>
      <c r="BX233" s="1200"/>
      <c r="BY233" s="1200"/>
      <c r="BZ233" s="1012">
        <f t="shared" si="129"/>
        <v>32664</v>
      </c>
      <c r="CB233" s="1219"/>
      <c r="CC233" s="1219"/>
      <c r="CE233" s="1009">
        <f t="shared" si="137"/>
        <v>878095</v>
      </c>
    </row>
    <row r="234" s="1009" customFormat="1" ht="36" customHeight="1" spans="1:83">
      <c r="A234" s="540">
        <v>45887</v>
      </c>
      <c r="B234" s="1036" t="s">
        <v>4198</v>
      </c>
      <c r="C234" s="1037" t="s">
        <v>1087</v>
      </c>
      <c r="D234" s="1038">
        <v>4500177210</v>
      </c>
      <c r="E234" s="1039" t="s">
        <v>4199</v>
      </c>
      <c r="F234" s="1038" t="s">
        <v>4200</v>
      </c>
      <c r="G234" s="1040" t="s">
        <v>96</v>
      </c>
      <c r="H234" s="1041" t="s">
        <v>74</v>
      </c>
      <c r="I234" s="1012">
        <v>5500</v>
      </c>
      <c r="J234" s="1087">
        <v>0</v>
      </c>
      <c r="K234" s="1040">
        <v>50</v>
      </c>
      <c r="L234" s="1012">
        <f t="shared" si="119"/>
        <v>110</v>
      </c>
      <c r="M234" s="1079">
        <v>45925</v>
      </c>
      <c r="N234" s="1349">
        <v>45922</v>
      </c>
      <c r="O234" s="579"/>
      <c r="P234" s="579" t="s">
        <v>92</v>
      </c>
      <c r="Q234" s="579" t="s">
        <v>4201</v>
      </c>
      <c r="R234" s="579">
        <v>45896</v>
      </c>
      <c r="S234" s="584" t="s">
        <v>77</v>
      </c>
      <c r="T234" s="1357" t="s">
        <v>4202</v>
      </c>
      <c r="U234" s="1039" t="s">
        <v>4203</v>
      </c>
      <c r="V234" s="1112" t="s">
        <v>618</v>
      </c>
      <c r="W234" s="1113">
        <v>1.3998</v>
      </c>
      <c r="X234" s="1114">
        <f t="shared" si="156"/>
        <v>7698.9</v>
      </c>
      <c r="Y234" s="1012"/>
      <c r="Z234" s="1159" t="s">
        <v>292</v>
      </c>
      <c r="AA234" s="1150" t="s">
        <v>128</v>
      </c>
      <c r="AB234" s="1150"/>
      <c r="AC234" s="1151">
        <v>5500</v>
      </c>
      <c r="AD234" s="1151">
        <f t="shared" si="149"/>
        <v>0</v>
      </c>
      <c r="AE234" s="1151"/>
      <c r="AF234" s="579"/>
      <c r="AG234" s="579"/>
      <c r="AH234" s="1151">
        <f t="shared" si="157"/>
        <v>5500</v>
      </c>
      <c r="AI234" s="1151"/>
      <c r="AJ234" s="1151"/>
      <c r="AK234" s="1151"/>
      <c r="AL234" s="1151"/>
      <c r="AM234" s="1151"/>
      <c r="AN234" s="1310"/>
      <c r="AO234" s="543"/>
      <c r="AP234" s="543"/>
      <c r="AQ234" s="543">
        <f t="shared" ref="AQ234:AQ236" si="160">I234</f>
        <v>5500</v>
      </c>
      <c r="AR234" s="543"/>
      <c r="AS234" s="543"/>
      <c r="AT234" s="543"/>
      <c r="AU234" s="1310"/>
      <c r="AV234" s="1310">
        <f t="shared" si="159"/>
        <v>5500</v>
      </c>
      <c r="AW234" s="543"/>
      <c r="AX234" s="543"/>
      <c r="AY234" s="543"/>
      <c r="AZ234" s="543"/>
      <c r="BA234" s="543"/>
      <c r="BB234" s="543"/>
      <c r="BC234" s="1200"/>
      <c r="BD234" s="1200"/>
      <c r="BE234" s="1200"/>
      <c r="BF234" s="1200"/>
      <c r="BG234" s="1200"/>
      <c r="BH234" s="1200"/>
      <c r="BI234" s="1200"/>
      <c r="BJ234" s="1200"/>
      <c r="BK234" s="1200"/>
      <c r="BL234" s="1200"/>
      <c r="BM234" s="1200"/>
      <c r="BN234" s="1200">
        <f>I234/25</f>
        <v>220</v>
      </c>
      <c r="BO234" s="1200"/>
      <c r="BP234" s="1200"/>
      <c r="BQ234" s="1200"/>
      <c r="BR234" s="1200"/>
      <c r="BS234" s="1200"/>
      <c r="BT234" s="1200"/>
      <c r="BU234" s="1200"/>
      <c r="BV234" s="1200"/>
      <c r="BW234" s="1374"/>
      <c r="BX234" s="1374"/>
      <c r="BY234" s="1374"/>
      <c r="BZ234" s="1012">
        <f t="shared" si="129"/>
        <v>5500</v>
      </c>
      <c r="CB234" s="1219"/>
      <c r="CC234" s="1219"/>
      <c r="CE234" s="1009">
        <f t="shared" si="137"/>
        <v>872595</v>
      </c>
    </row>
    <row r="235" s="1009" customFormat="1" ht="36" customHeight="1" spans="1:83">
      <c r="A235" s="540">
        <v>45890</v>
      </c>
      <c r="B235" s="1036" t="s">
        <v>4204</v>
      </c>
      <c r="C235" s="1037" t="s">
        <v>500</v>
      </c>
      <c r="D235" s="1038">
        <v>4500177457</v>
      </c>
      <c r="E235" s="1039" t="s">
        <v>4205</v>
      </c>
      <c r="F235" s="1038" t="s">
        <v>4206</v>
      </c>
      <c r="G235" s="1040" t="s">
        <v>4207</v>
      </c>
      <c r="H235" s="1041" t="s">
        <v>4208</v>
      </c>
      <c r="I235" s="1012">
        <v>552</v>
      </c>
      <c r="J235" s="1087">
        <v>0</v>
      </c>
      <c r="K235" s="1040">
        <v>24</v>
      </c>
      <c r="L235" s="1012">
        <f t="shared" si="119"/>
        <v>23</v>
      </c>
      <c r="M235" s="1079">
        <v>45930</v>
      </c>
      <c r="N235" s="1349">
        <v>45926</v>
      </c>
      <c r="O235" s="1391" t="s">
        <v>4209</v>
      </c>
      <c r="P235" s="579" t="s">
        <v>92</v>
      </c>
      <c r="Q235" s="1041"/>
      <c r="R235" s="579" t="s">
        <v>4210</v>
      </c>
      <c r="S235" s="584" t="s">
        <v>123</v>
      </c>
      <c r="T235" s="1357" t="s">
        <v>4211</v>
      </c>
      <c r="U235" s="1039" t="s">
        <v>4212</v>
      </c>
      <c r="V235" s="1112" t="s">
        <v>2629</v>
      </c>
      <c r="W235" s="1113">
        <v>1.565</v>
      </c>
      <c r="X235" s="1114">
        <f t="shared" si="156"/>
        <v>863.88</v>
      </c>
      <c r="Y235" s="1012"/>
      <c r="Z235" s="1040" t="s">
        <v>4207</v>
      </c>
      <c r="AA235" s="1150" t="s">
        <v>128</v>
      </c>
      <c r="AB235" s="1150"/>
      <c r="AC235" s="1151">
        <v>552</v>
      </c>
      <c r="AD235" s="1151">
        <f t="shared" si="149"/>
        <v>0</v>
      </c>
      <c r="AE235" s="1151"/>
      <c r="AF235" s="579"/>
      <c r="AG235" s="579"/>
      <c r="AH235" s="1151">
        <f t="shared" si="157"/>
        <v>552</v>
      </c>
      <c r="AI235" s="1151"/>
      <c r="AJ235" s="1151"/>
      <c r="AK235" s="1151"/>
      <c r="AL235" s="1151"/>
      <c r="AM235" s="1151"/>
      <c r="AN235" s="1310"/>
      <c r="AO235" s="543"/>
      <c r="AP235" s="543"/>
      <c r="AQ235" s="543">
        <f t="shared" si="160"/>
        <v>552</v>
      </c>
      <c r="AR235" s="543"/>
      <c r="AS235" s="543"/>
      <c r="AT235" s="543"/>
      <c r="AU235" s="1310"/>
      <c r="AV235" s="1310">
        <f t="shared" si="159"/>
        <v>552</v>
      </c>
      <c r="AW235" s="543"/>
      <c r="AX235" s="543"/>
      <c r="AY235" s="543"/>
      <c r="AZ235" s="543"/>
      <c r="BA235" s="543"/>
      <c r="BB235" s="543"/>
      <c r="BC235" s="1200"/>
      <c r="BD235" s="1200"/>
      <c r="BE235" s="1200"/>
      <c r="BF235" s="1200"/>
      <c r="BG235" s="1200"/>
      <c r="BH235" s="1200"/>
      <c r="BI235" s="1200"/>
      <c r="BJ235" s="1200"/>
      <c r="BK235" s="1200"/>
      <c r="BL235" s="1200"/>
      <c r="BM235" s="1200"/>
      <c r="BN235" s="1200"/>
      <c r="BO235" s="1200"/>
      <c r="BP235" s="1200"/>
      <c r="BQ235" s="1200"/>
      <c r="BR235" s="1200"/>
      <c r="BS235" s="1200"/>
      <c r="BT235" s="1200"/>
      <c r="BU235" s="1200"/>
      <c r="BV235" s="1200"/>
      <c r="BW235" s="1374"/>
      <c r="BX235" s="1374"/>
      <c r="BY235" s="1374"/>
      <c r="BZ235" s="1012">
        <f t="shared" si="129"/>
        <v>552</v>
      </c>
      <c r="CB235" s="1219"/>
      <c r="CC235" s="1219"/>
      <c r="CE235" s="1009">
        <f t="shared" si="137"/>
        <v>872043</v>
      </c>
    </row>
    <row r="236" s="1009" customFormat="1" ht="36" customHeight="1" spans="1:83">
      <c r="A236" s="540">
        <v>45890</v>
      </c>
      <c r="B236" s="1036" t="s">
        <v>4204</v>
      </c>
      <c r="C236" s="1037" t="s">
        <v>4213</v>
      </c>
      <c r="D236" s="1038">
        <v>4500177457</v>
      </c>
      <c r="E236" s="1039" t="s">
        <v>4214</v>
      </c>
      <c r="F236" s="1038" t="s">
        <v>4215</v>
      </c>
      <c r="G236" s="1040" t="s">
        <v>4207</v>
      </c>
      <c r="H236" s="1041" t="s">
        <v>4208</v>
      </c>
      <c r="I236" s="1012">
        <v>480</v>
      </c>
      <c r="J236" s="1087">
        <v>0</v>
      </c>
      <c r="K236" s="1040">
        <v>24</v>
      </c>
      <c r="L236" s="1012">
        <f t="shared" si="119"/>
        <v>20</v>
      </c>
      <c r="M236" s="1079">
        <v>45930</v>
      </c>
      <c r="N236" s="1349">
        <v>45926</v>
      </c>
      <c r="O236" s="1391" t="s">
        <v>4209</v>
      </c>
      <c r="P236" s="579" t="s">
        <v>92</v>
      </c>
      <c r="Q236" s="1041" t="s">
        <v>4216</v>
      </c>
      <c r="R236" s="579" t="s">
        <v>4210</v>
      </c>
      <c r="S236" s="584" t="s">
        <v>123</v>
      </c>
      <c r="T236" s="1357" t="s">
        <v>4211</v>
      </c>
      <c r="U236" s="1039" t="s">
        <v>4212</v>
      </c>
      <c r="V236" s="1112" t="s">
        <v>2629</v>
      </c>
      <c r="W236" s="1113">
        <v>1.52</v>
      </c>
      <c r="X236" s="1114">
        <f t="shared" si="156"/>
        <v>729.6</v>
      </c>
      <c r="Y236" s="1012"/>
      <c r="Z236" s="1040" t="s">
        <v>4207</v>
      </c>
      <c r="AA236" s="1150" t="s">
        <v>128</v>
      </c>
      <c r="AB236" s="1150"/>
      <c r="AC236" s="1151">
        <v>480</v>
      </c>
      <c r="AD236" s="1151">
        <f t="shared" si="149"/>
        <v>0</v>
      </c>
      <c r="AE236" s="1151"/>
      <c r="AF236" s="579"/>
      <c r="AG236" s="579"/>
      <c r="AH236" s="1151">
        <f t="shared" si="157"/>
        <v>480</v>
      </c>
      <c r="AI236" s="1151"/>
      <c r="AJ236" s="1151"/>
      <c r="AK236" s="1151"/>
      <c r="AL236" s="1151"/>
      <c r="AM236" s="1151"/>
      <c r="AN236" s="1310"/>
      <c r="AO236" s="543"/>
      <c r="AP236" s="543"/>
      <c r="AQ236" s="543">
        <f t="shared" si="160"/>
        <v>480</v>
      </c>
      <c r="AR236" s="543"/>
      <c r="AS236" s="543"/>
      <c r="AT236" s="543"/>
      <c r="AU236" s="1310"/>
      <c r="AV236" s="1310">
        <f t="shared" si="159"/>
        <v>480</v>
      </c>
      <c r="AW236" s="543"/>
      <c r="AX236" s="543"/>
      <c r="AY236" s="543"/>
      <c r="AZ236" s="543"/>
      <c r="BA236" s="543"/>
      <c r="BB236" s="543"/>
      <c r="BC236" s="1200"/>
      <c r="BD236" s="1200"/>
      <c r="BE236" s="1200"/>
      <c r="BF236" s="1200"/>
      <c r="BG236" s="1200"/>
      <c r="BH236" s="1200"/>
      <c r="BI236" s="1200"/>
      <c r="BJ236" s="1200"/>
      <c r="BK236" s="1200"/>
      <c r="BL236" s="1200"/>
      <c r="BM236" s="1200"/>
      <c r="BN236" s="1200"/>
      <c r="BO236" s="1200"/>
      <c r="BP236" s="1200"/>
      <c r="BQ236" s="1200"/>
      <c r="BR236" s="1200"/>
      <c r="BS236" s="1200"/>
      <c r="BT236" s="1200"/>
      <c r="BU236" s="1200"/>
      <c r="BV236" s="1200"/>
      <c r="BW236" s="1200"/>
      <c r="BX236" s="1200"/>
      <c r="BY236" s="1200"/>
      <c r="BZ236" s="1012">
        <f t="shared" si="129"/>
        <v>480</v>
      </c>
      <c r="CB236" s="1219"/>
      <c r="CC236" s="1219"/>
      <c r="CE236" s="1009">
        <f t="shared" si="137"/>
        <v>871563</v>
      </c>
    </row>
    <row r="237" s="1009" customFormat="1" ht="36" customHeight="1" spans="1:83">
      <c r="A237" s="540">
        <v>45706</v>
      </c>
      <c r="B237" s="1036" t="s">
        <v>4121</v>
      </c>
      <c r="C237" s="1037" t="s">
        <v>233</v>
      </c>
      <c r="D237" s="1038">
        <v>4500157857</v>
      </c>
      <c r="E237" s="1039">
        <v>4401011374</v>
      </c>
      <c r="F237" s="1038" t="s">
        <v>4217</v>
      </c>
      <c r="G237" s="1040" t="s">
        <v>73</v>
      </c>
      <c r="H237" s="1041" t="s">
        <v>74</v>
      </c>
      <c r="I237" s="1012">
        <v>32664</v>
      </c>
      <c r="J237" s="1087">
        <v>0</v>
      </c>
      <c r="K237" s="1040">
        <v>24</v>
      </c>
      <c r="L237" s="1012">
        <f t="shared" si="119"/>
        <v>1361</v>
      </c>
      <c r="M237" s="1079">
        <v>45938</v>
      </c>
      <c r="N237" s="1349">
        <v>45927</v>
      </c>
      <c r="O237" s="579"/>
      <c r="P237" s="579" t="s">
        <v>92</v>
      </c>
      <c r="Q237" s="579" t="s">
        <v>4218</v>
      </c>
      <c r="R237" s="579">
        <v>45715</v>
      </c>
      <c r="S237" s="578" t="s">
        <v>77</v>
      </c>
      <c r="T237" s="578" t="s">
        <v>77</v>
      </c>
      <c r="U237" s="1039" t="s">
        <v>4139</v>
      </c>
      <c r="V237" s="1112" t="s">
        <v>2800</v>
      </c>
      <c r="W237" s="1113">
        <v>1.3443</v>
      </c>
      <c r="X237" s="1114">
        <f t="shared" si="156"/>
        <v>43910.2152</v>
      </c>
      <c r="Y237" s="1012" t="s">
        <v>4219</v>
      </c>
      <c r="Z237" s="1159" t="s">
        <v>4126</v>
      </c>
      <c r="AA237" s="1150" t="s">
        <v>128</v>
      </c>
      <c r="AB237" s="1150"/>
      <c r="AC237" s="1151">
        <v>32664</v>
      </c>
      <c r="AD237" s="1151">
        <f t="shared" si="149"/>
        <v>0</v>
      </c>
      <c r="AE237" s="1151"/>
      <c r="AF237" s="579"/>
      <c r="AG237" s="579"/>
      <c r="AH237" s="1151">
        <f t="shared" si="157"/>
        <v>32664</v>
      </c>
      <c r="AI237" s="1151"/>
      <c r="AJ237" s="1151"/>
      <c r="AK237" s="1151"/>
      <c r="AL237" s="1151"/>
      <c r="AM237" s="1151"/>
      <c r="AN237" s="543"/>
      <c r="AO237" s="543"/>
      <c r="AP237" s="543"/>
      <c r="AQ237" s="543"/>
      <c r="AR237" s="543"/>
      <c r="AS237" s="543">
        <f t="shared" si="158"/>
        <v>32664</v>
      </c>
      <c r="AT237" s="543"/>
      <c r="AU237" s="1012"/>
      <c r="AV237" s="1373">
        <f t="shared" si="159"/>
        <v>32664</v>
      </c>
      <c r="AW237" s="543"/>
      <c r="AX237" s="543"/>
      <c r="AY237" s="543"/>
      <c r="AZ237" s="543"/>
      <c r="BA237" s="543"/>
      <c r="BB237" s="543"/>
      <c r="BC237" s="1200"/>
      <c r="BD237" s="1200"/>
      <c r="BE237" s="1200"/>
      <c r="BF237" s="1200"/>
      <c r="BG237" s="1200"/>
      <c r="BH237" s="1200"/>
      <c r="BI237" s="1200"/>
      <c r="BJ237" s="1200"/>
      <c r="BK237" s="1200"/>
      <c r="BL237" s="1200"/>
      <c r="BM237" s="1200"/>
      <c r="BN237" s="1200"/>
      <c r="BO237" s="1200"/>
      <c r="BP237" s="1200"/>
      <c r="BQ237" s="1200"/>
      <c r="BR237" s="1200"/>
      <c r="BS237" s="1200"/>
      <c r="BT237" s="1200"/>
      <c r="BU237" s="1200"/>
      <c r="BV237" s="1200"/>
      <c r="BW237" s="1200"/>
      <c r="BX237" s="1200"/>
      <c r="BY237" s="1200"/>
      <c r="BZ237" s="1012">
        <f t="shared" si="129"/>
        <v>32664</v>
      </c>
      <c r="CB237" s="1219"/>
      <c r="CC237" s="1219"/>
      <c r="CE237" s="1009">
        <f t="shared" si="137"/>
        <v>838899</v>
      </c>
    </row>
    <row r="238" s="1009" customFormat="1" ht="36" customHeight="1" spans="1:83">
      <c r="A238" s="540">
        <v>45706</v>
      </c>
      <c r="B238" s="1036" t="s">
        <v>4121</v>
      </c>
      <c r="C238" s="1037" t="s">
        <v>233</v>
      </c>
      <c r="D238" s="1038">
        <v>4500157857</v>
      </c>
      <c r="E238" s="1039">
        <v>4401011367</v>
      </c>
      <c r="F238" s="1038" t="s">
        <v>4220</v>
      </c>
      <c r="G238" s="1040" t="s">
        <v>73</v>
      </c>
      <c r="H238" s="1041" t="s">
        <v>74</v>
      </c>
      <c r="I238" s="1012">
        <v>32664</v>
      </c>
      <c r="J238" s="1087">
        <v>0</v>
      </c>
      <c r="K238" s="1040">
        <v>24</v>
      </c>
      <c r="L238" s="1012">
        <f t="shared" ref="L238:L284" si="161">I238/K238</f>
        <v>1361</v>
      </c>
      <c r="M238" s="1079">
        <v>45939</v>
      </c>
      <c r="N238" s="1349">
        <v>45927</v>
      </c>
      <c r="O238" s="579"/>
      <c r="P238" s="579" t="s">
        <v>92</v>
      </c>
      <c r="Q238" s="579" t="s">
        <v>4218</v>
      </c>
      <c r="R238" s="579">
        <v>45715</v>
      </c>
      <c r="S238" s="578" t="s">
        <v>77</v>
      </c>
      <c r="T238" s="578" t="s">
        <v>77</v>
      </c>
      <c r="U238" s="1039" t="s">
        <v>4139</v>
      </c>
      <c r="V238" s="1112" t="s">
        <v>2800</v>
      </c>
      <c r="W238" s="1113">
        <v>1.3443</v>
      </c>
      <c r="X238" s="1114">
        <f t="shared" si="156"/>
        <v>43910.2152</v>
      </c>
      <c r="Y238" s="1012"/>
      <c r="Z238" s="1159" t="s">
        <v>4126</v>
      </c>
      <c r="AA238" s="1150" t="s">
        <v>128</v>
      </c>
      <c r="AB238" s="1150"/>
      <c r="AC238" s="1151">
        <f>3120+29520+24</f>
        <v>32664</v>
      </c>
      <c r="AD238" s="1151">
        <f t="shared" si="149"/>
        <v>0</v>
      </c>
      <c r="AE238" s="1151"/>
      <c r="AF238" s="579"/>
      <c r="AG238" s="579"/>
      <c r="AH238" s="1151">
        <f t="shared" si="157"/>
        <v>32664</v>
      </c>
      <c r="AI238" s="1151"/>
      <c r="AJ238" s="1151"/>
      <c r="AK238" s="1151"/>
      <c r="AL238" s="1151"/>
      <c r="AM238" s="1151"/>
      <c r="AN238" s="543"/>
      <c r="AO238" s="543"/>
      <c r="AP238" s="543"/>
      <c r="AQ238" s="543"/>
      <c r="AR238" s="543"/>
      <c r="AS238" s="543">
        <f t="shared" si="158"/>
        <v>32664</v>
      </c>
      <c r="AT238" s="543"/>
      <c r="AU238" s="1012"/>
      <c r="AV238" s="1373">
        <f t="shared" si="159"/>
        <v>32664</v>
      </c>
      <c r="AW238" s="543"/>
      <c r="AX238" s="543"/>
      <c r="AY238" s="543"/>
      <c r="AZ238" s="543"/>
      <c r="BA238" s="543"/>
      <c r="BB238" s="543"/>
      <c r="BC238" s="1200"/>
      <c r="BD238" s="1200"/>
      <c r="BE238" s="1200"/>
      <c r="BF238" s="1200"/>
      <c r="BG238" s="1200"/>
      <c r="BH238" s="1200"/>
      <c r="BI238" s="1200"/>
      <c r="BJ238" s="1200"/>
      <c r="BK238" s="1200"/>
      <c r="BL238" s="1200"/>
      <c r="BM238" s="1200"/>
      <c r="BN238" s="1200"/>
      <c r="BO238" s="1200"/>
      <c r="BP238" s="1200"/>
      <c r="BQ238" s="1200"/>
      <c r="BR238" s="1200"/>
      <c r="BS238" s="1200"/>
      <c r="BT238" s="1200"/>
      <c r="BU238" s="1200"/>
      <c r="BV238" s="1200"/>
      <c r="BW238" s="1200"/>
      <c r="BX238" s="1200"/>
      <c r="BY238" s="1200"/>
      <c r="BZ238" s="1012">
        <f t="shared" si="129"/>
        <v>32664</v>
      </c>
      <c r="CB238" s="1219"/>
      <c r="CC238" s="1219"/>
      <c r="CE238" s="1009">
        <f t="shared" si="137"/>
        <v>806235</v>
      </c>
    </row>
    <row r="239" s="1235" customFormat="1" ht="36" customHeight="1" spans="1:83">
      <c r="A239" s="1042">
        <v>45876</v>
      </c>
      <c r="B239" s="550" t="s">
        <v>4107</v>
      </c>
      <c r="C239" s="552" t="s">
        <v>117</v>
      </c>
      <c r="D239" s="1043">
        <v>4500176167</v>
      </c>
      <c r="E239" s="1044" t="s">
        <v>4221</v>
      </c>
      <c r="F239" s="1043" t="s">
        <v>4222</v>
      </c>
      <c r="G239" s="1045" t="s">
        <v>628</v>
      </c>
      <c r="H239" s="693" t="s">
        <v>623</v>
      </c>
      <c r="I239" s="1010">
        <v>504</v>
      </c>
      <c r="J239" s="1084">
        <v>0</v>
      </c>
      <c r="K239" s="1045">
        <v>12</v>
      </c>
      <c r="L239" s="1010">
        <f t="shared" si="161"/>
        <v>42</v>
      </c>
      <c r="M239" s="1083">
        <v>45938</v>
      </c>
      <c r="N239" s="1392">
        <v>45937</v>
      </c>
      <c r="O239" s="449"/>
      <c r="P239" s="449" t="s">
        <v>92</v>
      </c>
      <c r="Q239" s="449" t="s">
        <v>4223</v>
      </c>
      <c r="R239" s="449">
        <v>45904</v>
      </c>
      <c r="S239" s="448" t="s">
        <v>77</v>
      </c>
      <c r="T239" s="450" t="s">
        <v>4224</v>
      </c>
      <c r="U239" s="1044" t="s">
        <v>4160</v>
      </c>
      <c r="V239" s="1116" t="s">
        <v>2458</v>
      </c>
      <c r="W239" s="1119">
        <v>1.8222</v>
      </c>
      <c r="X239" s="1120">
        <f>W239*I239</f>
        <v>918.3888</v>
      </c>
      <c r="Y239" s="1010" t="s">
        <v>4225</v>
      </c>
      <c r="Z239" s="1153" t="s">
        <v>822</v>
      </c>
      <c r="AA239" s="1154" t="s">
        <v>128</v>
      </c>
      <c r="AB239" s="1154"/>
      <c r="AC239" s="1155"/>
      <c r="AD239" s="1155">
        <f t="shared" si="149"/>
        <v>-504</v>
      </c>
      <c r="AE239" s="1155"/>
      <c r="AF239" s="449"/>
      <c r="AG239" s="449"/>
      <c r="AH239" s="1155">
        <f>I239*2</f>
        <v>1008</v>
      </c>
      <c r="AI239" s="1155"/>
      <c r="AJ239" s="1155"/>
      <c r="AK239" s="1155"/>
      <c r="AL239" s="1155"/>
      <c r="AM239" s="1155"/>
      <c r="AN239" s="1411">
        <f>I239*2</f>
        <v>1008</v>
      </c>
      <c r="AO239" s="1178"/>
      <c r="AP239" s="1178"/>
      <c r="AQ239" s="1178"/>
      <c r="AR239" s="1178"/>
      <c r="AS239" s="1178"/>
      <c r="AT239" s="1178"/>
      <c r="AU239" s="1411">
        <f>AN239</f>
        <v>1008</v>
      </c>
      <c r="AV239" s="1411"/>
      <c r="AW239" s="1178"/>
      <c r="AX239" s="1178"/>
      <c r="AY239" s="1178"/>
      <c r="AZ239" s="1178"/>
      <c r="BA239" s="1178"/>
      <c r="BB239" s="1178"/>
      <c r="BC239" s="1201"/>
      <c r="BD239" s="1201"/>
      <c r="BE239" s="1201"/>
      <c r="BF239" s="1201"/>
      <c r="BG239" s="1201"/>
      <c r="BH239" s="1201"/>
      <c r="BI239" s="1201"/>
      <c r="BJ239" s="1201"/>
      <c r="BK239" s="1201"/>
      <c r="BL239" s="1201"/>
      <c r="BM239" s="1201"/>
      <c r="BN239" s="1201"/>
      <c r="BO239" s="1201"/>
      <c r="BP239" s="1201"/>
      <c r="BQ239" s="1201"/>
      <c r="BR239" s="1201"/>
      <c r="BS239" s="1201"/>
      <c r="BT239" s="1201"/>
      <c r="BU239" s="1201"/>
      <c r="BV239" s="1201"/>
      <c r="BW239" s="1220">
        <f>I239</f>
        <v>504</v>
      </c>
      <c r="BX239" s="1220"/>
      <c r="BY239" s="1220">
        <f>BW239</f>
        <v>504</v>
      </c>
      <c r="BZ239" s="1012">
        <f t="shared" si="129"/>
        <v>1008</v>
      </c>
      <c r="CB239" s="1419"/>
      <c r="CC239" s="1419"/>
      <c r="CE239" s="1009">
        <f t="shared" si="137"/>
        <v>805227</v>
      </c>
    </row>
    <row r="240" s="1009" customFormat="1" ht="36" customHeight="1" spans="1:83">
      <c r="A240" s="540">
        <v>45890</v>
      </c>
      <c r="B240" s="1036" t="s">
        <v>517</v>
      </c>
      <c r="C240" s="1037" t="s">
        <v>117</v>
      </c>
      <c r="D240" s="1038">
        <v>4500177533</v>
      </c>
      <c r="E240" s="1039" t="s">
        <v>4226</v>
      </c>
      <c r="F240" s="1038" t="s">
        <v>4227</v>
      </c>
      <c r="G240" s="1040" t="s">
        <v>215</v>
      </c>
      <c r="H240" s="1041" t="s">
        <v>74</v>
      </c>
      <c r="I240" s="1012">
        <v>8526</v>
      </c>
      <c r="J240" s="1087">
        <v>0</v>
      </c>
      <c r="K240" s="1040">
        <v>42</v>
      </c>
      <c r="L240" s="1012">
        <f t="shared" si="161"/>
        <v>203</v>
      </c>
      <c r="M240" s="1079">
        <v>45940</v>
      </c>
      <c r="N240" s="1349">
        <v>45937</v>
      </c>
      <c r="O240" s="579" t="s">
        <v>4228</v>
      </c>
      <c r="P240" s="579" t="s">
        <v>1262</v>
      </c>
      <c r="Q240" s="579" t="s">
        <v>2749</v>
      </c>
      <c r="R240" s="579">
        <v>45902</v>
      </c>
      <c r="S240" s="578" t="s">
        <v>77</v>
      </c>
      <c r="T240" s="578" t="s">
        <v>77</v>
      </c>
      <c r="U240" s="1039" t="s">
        <v>4229</v>
      </c>
      <c r="V240" s="1112" t="s">
        <v>4230</v>
      </c>
      <c r="W240" s="1113">
        <v>0.8513</v>
      </c>
      <c r="X240" s="1114">
        <f t="shared" ref="X240:X246" si="162">I240*W240</f>
        <v>7258.1838</v>
      </c>
      <c r="Y240" s="1012" t="s">
        <v>4231</v>
      </c>
      <c r="Z240" s="1159" t="s">
        <v>215</v>
      </c>
      <c r="AA240" s="1150" t="s">
        <v>128</v>
      </c>
      <c r="AB240" s="1150"/>
      <c r="AC240" s="1151">
        <f>42+8484</f>
        <v>8526</v>
      </c>
      <c r="AD240" s="1151">
        <f t="shared" si="149"/>
        <v>0</v>
      </c>
      <c r="AE240" s="1151"/>
      <c r="AF240" s="579"/>
      <c r="AG240" s="579"/>
      <c r="AH240" s="1151">
        <f t="shared" ref="AH240:AH246" si="163">I240</f>
        <v>8526</v>
      </c>
      <c r="AI240" s="1151"/>
      <c r="AJ240" s="1151"/>
      <c r="AK240" s="1151"/>
      <c r="AL240" s="1151"/>
      <c r="AM240" s="1151"/>
      <c r="AN240" s="543">
        <f>I240</f>
        <v>8526</v>
      </c>
      <c r="AO240" s="543"/>
      <c r="AP240" s="543"/>
      <c r="AQ240" s="543"/>
      <c r="AR240" s="543"/>
      <c r="AS240" s="543"/>
      <c r="AT240" s="543"/>
      <c r="AU240" s="1310">
        <f>I240</f>
        <v>8526</v>
      </c>
      <c r="AW240" s="543"/>
      <c r="AX240" s="543"/>
      <c r="AY240" s="543"/>
      <c r="AZ240" s="543"/>
      <c r="BA240" s="543"/>
      <c r="BB240" s="543">
        <f>I240/21</f>
        <v>406</v>
      </c>
      <c r="BC240" s="1200"/>
      <c r="BD240" s="1200"/>
      <c r="BE240" s="1200"/>
      <c r="BF240" s="1200"/>
      <c r="BG240" s="1200"/>
      <c r="BH240" s="1200"/>
      <c r="BI240" s="1200"/>
      <c r="BJ240" s="1200"/>
      <c r="BK240" s="1200"/>
      <c r="BL240" s="1200"/>
      <c r="BM240" s="1200"/>
      <c r="BN240" s="1200"/>
      <c r="BO240" s="1200"/>
      <c r="BP240" s="1200"/>
      <c r="BQ240" s="1200"/>
      <c r="BR240" s="1200"/>
      <c r="BS240" s="1200"/>
      <c r="BT240" s="1200"/>
      <c r="BU240" s="1200"/>
      <c r="BV240" s="1200"/>
      <c r="BW240" s="1200"/>
      <c r="BX240" s="1200"/>
      <c r="BY240" s="1200"/>
      <c r="BZ240" s="1012">
        <f t="shared" si="129"/>
        <v>8526</v>
      </c>
      <c r="CB240" s="1219"/>
      <c r="CC240" s="1219"/>
      <c r="CE240" s="1009">
        <f t="shared" si="137"/>
        <v>796701</v>
      </c>
    </row>
    <row r="241" s="1235" customFormat="1" ht="36" customHeight="1" spans="1:83">
      <c r="A241" s="1042">
        <v>45706</v>
      </c>
      <c r="B241" s="550" t="s">
        <v>4121</v>
      </c>
      <c r="C241" s="552" t="s">
        <v>233</v>
      </c>
      <c r="D241" s="1043">
        <v>4500157857</v>
      </c>
      <c r="E241" s="1044">
        <v>4401011359</v>
      </c>
      <c r="F241" s="1043" t="s">
        <v>4232</v>
      </c>
      <c r="G241" s="1045" t="s">
        <v>73</v>
      </c>
      <c r="H241" s="693" t="s">
        <v>74</v>
      </c>
      <c r="I241" s="1010">
        <v>32664</v>
      </c>
      <c r="J241" s="1084">
        <v>0</v>
      </c>
      <c r="K241" s="1045">
        <v>24</v>
      </c>
      <c r="L241" s="1010">
        <f t="shared" si="161"/>
        <v>1361</v>
      </c>
      <c r="M241" s="1083">
        <v>45943</v>
      </c>
      <c r="N241" s="1392">
        <v>45939</v>
      </c>
      <c r="O241" s="449"/>
      <c r="P241" s="579" t="s">
        <v>92</v>
      </c>
      <c r="Q241" s="449"/>
      <c r="R241" s="449">
        <v>45715</v>
      </c>
      <c r="S241" s="448" t="s">
        <v>77</v>
      </c>
      <c r="T241" s="448" t="s">
        <v>77</v>
      </c>
      <c r="U241" s="1044" t="s">
        <v>4139</v>
      </c>
      <c r="V241" s="1116" t="s">
        <v>2800</v>
      </c>
      <c r="W241" s="1119">
        <v>1.3443</v>
      </c>
      <c r="X241" s="1120">
        <f t="shared" si="162"/>
        <v>43910.2152</v>
      </c>
      <c r="Y241" s="1010"/>
      <c r="Z241" s="1153" t="s">
        <v>4126</v>
      </c>
      <c r="AA241" s="1154" t="s">
        <v>128</v>
      </c>
      <c r="AB241" s="1154"/>
      <c r="AC241" s="1155">
        <f>26280+1584+4800</f>
        <v>32664</v>
      </c>
      <c r="AD241" s="1155">
        <f t="shared" si="149"/>
        <v>0</v>
      </c>
      <c r="AE241" s="1155"/>
      <c r="AF241" s="449"/>
      <c r="AG241" s="449"/>
      <c r="AH241" s="1155">
        <f t="shared" si="163"/>
        <v>32664</v>
      </c>
      <c r="AI241" s="1155"/>
      <c r="AJ241" s="1155"/>
      <c r="AK241" s="1155"/>
      <c r="AL241" s="1155"/>
      <c r="AM241" s="1155"/>
      <c r="AN241" s="1178"/>
      <c r="AO241" s="1178"/>
      <c r="AP241" s="1178"/>
      <c r="AQ241" s="1178"/>
      <c r="AR241" s="1178"/>
      <c r="AS241" s="1178">
        <f>I241</f>
        <v>32664</v>
      </c>
      <c r="AT241" s="1178"/>
      <c r="AU241" s="1010"/>
      <c r="AV241" s="1414">
        <f t="shared" ref="AV241:AV246" si="164">I241</f>
        <v>32664</v>
      </c>
      <c r="AW241" s="1178"/>
      <c r="AX241" s="1178"/>
      <c r="AY241" s="1178"/>
      <c r="AZ241" s="1178"/>
      <c r="BA241" s="1178"/>
      <c r="BB241" s="1178"/>
      <c r="BC241" s="1201"/>
      <c r="BD241" s="1201"/>
      <c r="BE241" s="1201"/>
      <c r="BF241" s="1201"/>
      <c r="BG241" s="1201"/>
      <c r="BH241" s="1201"/>
      <c r="BI241" s="1201"/>
      <c r="BJ241" s="1201"/>
      <c r="BK241" s="1201"/>
      <c r="BL241" s="1201"/>
      <c r="BM241" s="1201"/>
      <c r="BN241" s="1201"/>
      <c r="BO241" s="1201"/>
      <c r="BP241" s="1201"/>
      <c r="BQ241" s="1201"/>
      <c r="BR241" s="1201"/>
      <c r="BS241" s="1201"/>
      <c r="BT241" s="1201"/>
      <c r="BU241" s="1201"/>
      <c r="BV241" s="1201"/>
      <c r="BW241" s="1201"/>
      <c r="BX241" s="1201"/>
      <c r="BY241" s="1201"/>
      <c r="BZ241" s="1012">
        <f t="shared" si="129"/>
        <v>32664</v>
      </c>
      <c r="CB241" s="1419"/>
      <c r="CC241" s="1419"/>
      <c r="CE241" s="1009">
        <f t="shared" si="137"/>
        <v>764037</v>
      </c>
    </row>
    <row r="242" s="1009" customFormat="1" ht="36" customHeight="1" spans="1:83">
      <c r="A242" s="1047">
        <v>45902</v>
      </c>
      <c r="B242" s="1048" t="s">
        <v>4233</v>
      </c>
      <c r="C242" s="1049" t="s">
        <v>351</v>
      </c>
      <c r="D242" s="1050">
        <v>4500178548</v>
      </c>
      <c r="E242" s="1051">
        <v>378456</v>
      </c>
      <c r="F242" s="1050" t="s">
        <v>4234</v>
      </c>
      <c r="G242" s="1052" t="s">
        <v>245</v>
      </c>
      <c r="H242" s="1041" t="s">
        <v>74</v>
      </c>
      <c r="I242" s="1012">
        <v>504</v>
      </c>
      <c r="J242" s="1087">
        <v>0</v>
      </c>
      <c r="K242" s="1040">
        <v>12</v>
      </c>
      <c r="L242" s="1012">
        <f t="shared" si="161"/>
        <v>42</v>
      </c>
      <c r="M242" s="1086">
        <v>45947</v>
      </c>
      <c r="N242" s="1347">
        <v>45943</v>
      </c>
      <c r="O242" s="707"/>
      <c r="P242" s="579" t="s">
        <v>1262</v>
      </c>
      <c r="Q242" s="707" t="s">
        <v>4235</v>
      </c>
      <c r="R242" s="707">
        <v>45911</v>
      </c>
      <c r="S242" s="1122" t="s">
        <v>77</v>
      </c>
      <c r="T242" s="1122" t="s">
        <v>4236</v>
      </c>
      <c r="U242" s="1051" t="s">
        <v>4237</v>
      </c>
      <c r="V242" s="1124" t="s">
        <v>4238</v>
      </c>
      <c r="W242" s="1113">
        <v>1.3648</v>
      </c>
      <c r="X242" s="1114">
        <f t="shared" si="162"/>
        <v>687.8592</v>
      </c>
      <c r="Y242" s="1011"/>
      <c r="Z242" s="1159" t="s">
        <v>249</v>
      </c>
      <c r="AA242" s="1157" t="s">
        <v>128</v>
      </c>
      <c r="AB242" s="1157"/>
      <c r="AC242" s="1158">
        <v>504</v>
      </c>
      <c r="AD242" s="1151">
        <f t="shared" si="149"/>
        <v>0</v>
      </c>
      <c r="AE242" s="1158"/>
      <c r="AF242" s="707"/>
      <c r="AG242" s="707"/>
      <c r="AH242" s="1151">
        <f t="shared" si="163"/>
        <v>504</v>
      </c>
      <c r="AI242" s="1158"/>
      <c r="AJ242" s="1158"/>
      <c r="AK242" s="1158"/>
      <c r="AL242" s="1158"/>
      <c r="AM242" s="1158"/>
      <c r="AN242" s="1193"/>
      <c r="AO242" s="1193"/>
      <c r="AP242" s="1193"/>
      <c r="AQ242" s="543">
        <f>AH242</f>
        <v>504</v>
      </c>
      <c r="AR242" s="1193"/>
      <c r="AS242" s="1193"/>
      <c r="AT242" s="1193"/>
      <c r="AU242" s="1011"/>
      <c r="AV242" s="543">
        <f t="shared" si="164"/>
        <v>504</v>
      </c>
      <c r="AW242" s="1193"/>
      <c r="AX242" s="1193"/>
      <c r="AY242" s="1193"/>
      <c r="AZ242" s="1193"/>
      <c r="BA242" s="1193"/>
      <c r="BB242" s="1193"/>
      <c r="BC242" s="1202"/>
      <c r="BD242" s="1202"/>
      <c r="BE242" s="1202"/>
      <c r="BF242" s="1202"/>
      <c r="BG242" s="1202"/>
      <c r="BH242" s="1200">
        <f>I242/12</f>
        <v>42</v>
      </c>
      <c r="BI242" s="1202"/>
      <c r="BJ242" s="1202"/>
      <c r="BK242" s="1202"/>
      <c r="BL242" s="1202"/>
      <c r="BM242" s="1202"/>
      <c r="BN242" s="1202"/>
      <c r="BO242" s="1202"/>
      <c r="BP242" s="1202"/>
      <c r="BQ242" s="1202"/>
      <c r="BR242" s="1202"/>
      <c r="BS242" s="1202"/>
      <c r="BT242" s="1202"/>
      <c r="BU242" s="1202"/>
      <c r="BV242" s="1202"/>
      <c r="BW242" s="1202"/>
      <c r="BX242" s="1202"/>
      <c r="BY242" s="1202"/>
      <c r="BZ242" s="1012">
        <f t="shared" si="129"/>
        <v>504</v>
      </c>
      <c r="CB242" s="1219"/>
      <c r="CC242" s="1219"/>
      <c r="CE242" s="1009">
        <f t="shared" si="137"/>
        <v>763533</v>
      </c>
    </row>
    <row r="243" s="1009" customFormat="1" ht="36" customHeight="1" spans="1:83">
      <c r="A243" s="1047">
        <v>45904</v>
      </c>
      <c r="B243" s="1048" t="s">
        <v>713</v>
      </c>
      <c r="C243" s="1049" t="s">
        <v>351</v>
      </c>
      <c r="D243" s="1050">
        <v>4500178714</v>
      </c>
      <c r="E243" s="1051" t="s">
        <v>4239</v>
      </c>
      <c r="F243" s="1050" t="s">
        <v>4240</v>
      </c>
      <c r="G243" s="1052" t="s">
        <v>120</v>
      </c>
      <c r="H243" s="1041" t="s">
        <v>74</v>
      </c>
      <c r="I243" s="1012">
        <v>2625</v>
      </c>
      <c r="J243" s="1087">
        <v>0</v>
      </c>
      <c r="K243" s="1040">
        <v>21</v>
      </c>
      <c r="L243" s="1012">
        <f t="shared" si="161"/>
        <v>125</v>
      </c>
      <c r="M243" s="1347">
        <v>45952</v>
      </c>
      <c r="N243" s="1347">
        <v>45948</v>
      </c>
      <c r="O243" s="707"/>
      <c r="P243" s="707" t="s">
        <v>1262</v>
      </c>
      <c r="Q243" s="707" t="s">
        <v>2795</v>
      </c>
      <c r="R243" s="707">
        <v>45909</v>
      </c>
      <c r="S243" s="1122" t="s">
        <v>77</v>
      </c>
      <c r="T243" s="1122" t="s">
        <v>4241</v>
      </c>
      <c r="U243" s="1051" t="s">
        <v>4242</v>
      </c>
      <c r="V243" s="1124" t="s">
        <v>647</v>
      </c>
      <c r="W243" s="1113">
        <v>1.4397</v>
      </c>
      <c r="X243" s="1114">
        <f t="shared" si="162"/>
        <v>3779.2125</v>
      </c>
      <c r="Y243" s="1011"/>
      <c r="Z243" s="1159" t="s">
        <v>257</v>
      </c>
      <c r="AA243" s="1157" t="s">
        <v>128</v>
      </c>
      <c r="AB243" s="1157"/>
      <c r="AC243" s="1158">
        <v>2625</v>
      </c>
      <c r="AD243" s="1151">
        <f t="shared" si="149"/>
        <v>0</v>
      </c>
      <c r="AE243" s="1158"/>
      <c r="AF243" s="707"/>
      <c r="AG243" s="707"/>
      <c r="AH243" s="1151">
        <f t="shared" si="163"/>
        <v>2625</v>
      </c>
      <c r="AI243" s="1158"/>
      <c r="AJ243" s="1158"/>
      <c r="AK243" s="1158"/>
      <c r="AL243" s="1158"/>
      <c r="AM243" s="1158"/>
      <c r="AN243" s="1193"/>
      <c r="AO243" s="1193"/>
      <c r="AP243" s="1193"/>
      <c r="AQ243" s="1193">
        <f t="shared" ref="AQ243:AQ250" si="165">I243</f>
        <v>2625</v>
      </c>
      <c r="AR243" s="1193"/>
      <c r="AS243" s="1193"/>
      <c r="AT243" s="1193"/>
      <c r="AU243" s="1011"/>
      <c r="AV243" s="1194">
        <f t="shared" si="164"/>
        <v>2625</v>
      </c>
      <c r="AW243" s="1193"/>
      <c r="AX243" s="1193"/>
      <c r="AY243" s="1193"/>
      <c r="AZ243" s="1193"/>
      <c r="BA243" s="1193"/>
      <c r="BB243" s="1193"/>
      <c r="BD243" s="1202">
        <f>I243/21</f>
        <v>125</v>
      </c>
      <c r="BE243" s="1202"/>
      <c r="BF243" s="1202"/>
      <c r="BG243" s="1202"/>
      <c r="BH243" s="1202"/>
      <c r="BI243" s="1202"/>
      <c r="BJ243" s="1202"/>
      <c r="BK243" s="1202"/>
      <c r="BL243" s="1202"/>
      <c r="BM243" s="1202"/>
      <c r="BN243" s="1202"/>
      <c r="BO243" s="1202"/>
      <c r="BP243" s="1202"/>
      <c r="BQ243" s="1202"/>
      <c r="BR243" s="1202"/>
      <c r="BS243" s="1202"/>
      <c r="BT243" s="1202"/>
      <c r="BU243" s="1202"/>
      <c r="BV243" s="1202"/>
      <c r="BW243" s="1202"/>
      <c r="BX243" s="1202"/>
      <c r="BY243" s="1202"/>
      <c r="BZ243" s="1012">
        <f t="shared" si="129"/>
        <v>2625</v>
      </c>
      <c r="CB243" s="1219"/>
      <c r="CC243" s="1219"/>
      <c r="CE243" s="1009">
        <f t="shared" si="137"/>
        <v>760908</v>
      </c>
    </row>
    <row r="244" s="1235" customFormat="1" ht="36" customHeight="1" spans="1:83">
      <c r="A244" s="517">
        <v>45706</v>
      </c>
      <c r="B244" s="1378" t="s">
        <v>4121</v>
      </c>
      <c r="C244" s="1379" t="s">
        <v>233</v>
      </c>
      <c r="D244" s="1380">
        <v>4500157857</v>
      </c>
      <c r="E244" s="1381">
        <v>4401011363</v>
      </c>
      <c r="F244" s="1380" t="s">
        <v>4243</v>
      </c>
      <c r="G244" s="1082" t="s">
        <v>73</v>
      </c>
      <c r="H244" s="1046" t="s">
        <v>74</v>
      </c>
      <c r="I244" s="1080">
        <v>32664</v>
      </c>
      <c r="J244" s="1081">
        <v>0</v>
      </c>
      <c r="K244" s="1082">
        <v>24</v>
      </c>
      <c r="L244" s="1010">
        <f t="shared" si="161"/>
        <v>1361</v>
      </c>
      <c r="M244" s="1393">
        <v>45953</v>
      </c>
      <c r="N244" s="1393">
        <v>45950</v>
      </c>
      <c r="O244" s="694"/>
      <c r="P244" s="579" t="s">
        <v>92</v>
      </c>
      <c r="Q244" s="694" t="s">
        <v>4244</v>
      </c>
      <c r="R244" s="694">
        <v>45715</v>
      </c>
      <c r="S244" s="1400" t="s">
        <v>77</v>
      </c>
      <c r="T244" s="1400" t="s">
        <v>77</v>
      </c>
      <c r="U244" s="1381" t="s">
        <v>4139</v>
      </c>
      <c r="V244" s="1401" t="s">
        <v>2800</v>
      </c>
      <c r="W244" s="1117">
        <v>1.3443</v>
      </c>
      <c r="X244" s="1120">
        <f t="shared" si="162"/>
        <v>43910.2152</v>
      </c>
      <c r="Y244" s="1080"/>
      <c r="Z244" s="1408" t="s">
        <v>4126</v>
      </c>
      <c r="AA244" s="1409" t="s">
        <v>128</v>
      </c>
      <c r="AB244" s="1409"/>
      <c r="AC244" s="1177">
        <f>28752+2400+1512</f>
        <v>32664</v>
      </c>
      <c r="AD244" s="1155">
        <f t="shared" si="149"/>
        <v>0</v>
      </c>
      <c r="AE244" s="1177"/>
      <c r="AF244" s="694"/>
      <c r="AG244" s="694"/>
      <c r="AH244" s="1177">
        <f t="shared" si="163"/>
        <v>32664</v>
      </c>
      <c r="AI244" s="1177"/>
      <c r="AJ244" s="1177"/>
      <c r="AK244" s="1177"/>
      <c r="AL244" s="1177"/>
      <c r="AM244" s="1177"/>
      <c r="AN244" s="520"/>
      <c r="AO244" s="520"/>
      <c r="AP244" s="520"/>
      <c r="AQ244" s="520"/>
      <c r="AR244" s="520"/>
      <c r="AS244" s="520">
        <f>I244</f>
        <v>32664</v>
      </c>
      <c r="AT244" s="520"/>
      <c r="AU244" s="1080"/>
      <c r="AV244" s="1415">
        <f t="shared" si="164"/>
        <v>32664</v>
      </c>
      <c r="AW244" s="520"/>
      <c r="AX244" s="520"/>
      <c r="AY244" s="520"/>
      <c r="AZ244" s="520"/>
      <c r="BA244" s="520"/>
      <c r="BB244" s="520"/>
      <c r="BC244" s="1209"/>
      <c r="BD244" s="1209"/>
      <c r="BE244" s="1209"/>
      <c r="BF244" s="1209"/>
      <c r="BG244" s="1209"/>
      <c r="BH244" s="1209"/>
      <c r="BI244" s="1209"/>
      <c r="BJ244" s="1209"/>
      <c r="BK244" s="1209"/>
      <c r="BL244" s="1209"/>
      <c r="BM244" s="1209"/>
      <c r="BN244" s="1209"/>
      <c r="BO244" s="1209"/>
      <c r="BP244" s="1209"/>
      <c r="BQ244" s="1209"/>
      <c r="BR244" s="1209"/>
      <c r="BS244" s="1209"/>
      <c r="BT244" s="1209"/>
      <c r="BU244" s="1209"/>
      <c r="BV244" s="1209"/>
      <c r="BW244" s="1209"/>
      <c r="BX244" s="1209"/>
      <c r="BY244" s="1209"/>
      <c r="BZ244" s="1010">
        <f t="shared" si="129"/>
        <v>32664</v>
      </c>
      <c r="CB244" s="1419"/>
      <c r="CC244" s="1419"/>
      <c r="CE244" s="1009">
        <f t="shared" si="137"/>
        <v>728244</v>
      </c>
    </row>
    <row r="245" s="1235" customFormat="1" ht="36" customHeight="1" spans="1:83">
      <c r="A245" s="517">
        <v>45902</v>
      </c>
      <c r="B245" s="1378" t="s">
        <v>4245</v>
      </c>
      <c r="C245" s="1379" t="s">
        <v>213</v>
      </c>
      <c r="D245" s="1380">
        <v>4500178312</v>
      </c>
      <c r="E245" s="1381" t="s">
        <v>4246</v>
      </c>
      <c r="F245" s="1380" t="s">
        <v>4247</v>
      </c>
      <c r="G245" s="1082" t="s">
        <v>96</v>
      </c>
      <c r="H245" s="693" t="s">
        <v>74</v>
      </c>
      <c r="I245" s="1010">
        <v>500</v>
      </c>
      <c r="J245" s="1084">
        <v>0</v>
      </c>
      <c r="K245" s="1045">
        <v>50</v>
      </c>
      <c r="L245" s="1010">
        <f t="shared" si="161"/>
        <v>10</v>
      </c>
      <c r="M245" s="1083">
        <v>45953</v>
      </c>
      <c r="N245" s="1083">
        <v>45950</v>
      </c>
      <c r="O245" s="694"/>
      <c r="P245" s="707" t="s">
        <v>1262</v>
      </c>
      <c r="Q245" s="694" t="s">
        <v>4248</v>
      </c>
      <c r="R245" s="694">
        <v>45901</v>
      </c>
      <c r="S245" s="457" t="s">
        <v>77</v>
      </c>
      <c r="T245" s="1400" t="s">
        <v>4249</v>
      </c>
      <c r="U245" s="1381" t="s">
        <v>4250</v>
      </c>
      <c r="V245" s="1401" t="s">
        <v>4251</v>
      </c>
      <c r="W245" s="1119">
        <v>1.4452</v>
      </c>
      <c r="X245" s="1120">
        <f t="shared" si="162"/>
        <v>722.6</v>
      </c>
      <c r="Y245" s="1080" t="s">
        <v>4252</v>
      </c>
      <c r="Z245" s="1408" t="s">
        <v>96</v>
      </c>
      <c r="AA245" s="1409" t="s">
        <v>128</v>
      </c>
      <c r="AB245" s="1409"/>
      <c r="AC245" s="1177">
        <f>450+50</f>
        <v>500</v>
      </c>
      <c r="AD245" s="1155">
        <f t="shared" si="149"/>
        <v>0</v>
      </c>
      <c r="AE245" s="1177"/>
      <c r="AF245" s="694"/>
      <c r="AG245" s="694"/>
      <c r="AH245" s="1155">
        <f t="shared" si="163"/>
        <v>500</v>
      </c>
      <c r="AI245" s="1177"/>
      <c r="AJ245" s="1177"/>
      <c r="AK245" s="1177"/>
      <c r="AL245" s="1177"/>
      <c r="AM245" s="1177"/>
      <c r="AN245" s="520"/>
      <c r="AO245" s="520"/>
      <c r="AP245" s="1178">
        <f>AH245</f>
        <v>500</v>
      </c>
      <c r="AQ245" s="520"/>
      <c r="AR245" s="520"/>
      <c r="AS245" s="520"/>
      <c r="AT245" s="520"/>
      <c r="AU245" s="1080"/>
      <c r="AV245" s="1411">
        <f t="shared" si="164"/>
        <v>500</v>
      </c>
      <c r="AW245" s="520"/>
      <c r="AX245" s="520"/>
      <c r="AY245" s="520"/>
      <c r="AZ245" s="520"/>
      <c r="BA245" s="520"/>
      <c r="BB245" s="520"/>
      <c r="BC245" s="1209"/>
      <c r="BD245" s="1209"/>
      <c r="BE245" s="1209"/>
      <c r="BF245" s="1209"/>
      <c r="BG245" s="1209"/>
      <c r="BH245" s="1209"/>
      <c r="BI245" s="1209"/>
      <c r="BJ245" s="1209"/>
      <c r="BK245" s="1209"/>
      <c r="BL245" s="1209"/>
      <c r="BM245" s="1201">
        <f>I245/25</f>
        <v>20</v>
      </c>
      <c r="BN245" s="1201"/>
      <c r="BO245" s="1209"/>
      <c r="BP245" s="1209"/>
      <c r="BQ245" s="1209"/>
      <c r="BR245" s="1209"/>
      <c r="BS245" s="1209"/>
      <c r="BT245" s="1209"/>
      <c r="BU245" s="1209"/>
      <c r="BV245" s="1209"/>
      <c r="BW245" s="1209"/>
      <c r="BX245" s="1209"/>
      <c r="BY245" s="1209"/>
      <c r="BZ245" s="1080">
        <f t="shared" si="129"/>
        <v>500</v>
      </c>
      <c r="CB245" s="1419"/>
      <c r="CC245" s="1419"/>
      <c r="CE245" s="1009">
        <f t="shared" si="137"/>
        <v>727744</v>
      </c>
    </row>
    <row r="246" s="1235" customFormat="1" ht="36" customHeight="1" spans="1:83">
      <c r="A246" s="517">
        <v>45904</v>
      </c>
      <c r="B246" s="1378" t="s">
        <v>179</v>
      </c>
      <c r="C246" s="1379" t="s">
        <v>180</v>
      </c>
      <c r="D246" s="1380">
        <v>4500178711</v>
      </c>
      <c r="E246" s="1381" t="s">
        <v>4253</v>
      </c>
      <c r="F246" s="1380" t="s">
        <v>4254</v>
      </c>
      <c r="G246" s="1082" t="s">
        <v>4207</v>
      </c>
      <c r="H246" s="693" t="s">
        <v>4208</v>
      </c>
      <c r="I246" s="1010">
        <v>480</v>
      </c>
      <c r="J246" s="1084">
        <v>0</v>
      </c>
      <c r="K246" s="1045">
        <v>24</v>
      </c>
      <c r="L246" s="1010">
        <f t="shared" si="161"/>
        <v>20</v>
      </c>
      <c r="M246" s="1083">
        <v>45950</v>
      </c>
      <c r="N246" s="556">
        <v>45954</v>
      </c>
      <c r="O246" s="1394" t="s">
        <v>4209</v>
      </c>
      <c r="P246" s="1394" t="s">
        <v>1262</v>
      </c>
      <c r="Q246" s="694" t="s">
        <v>4255</v>
      </c>
      <c r="R246" s="449" t="s">
        <v>4210</v>
      </c>
      <c r="S246" s="457" t="s">
        <v>123</v>
      </c>
      <c r="T246" s="1402" t="s">
        <v>4211</v>
      </c>
      <c r="U246" s="1381" t="s">
        <v>4256</v>
      </c>
      <c r="V246" s="1401" t="s">
        <v>186</v>
      </c>
      <c r="W246" s="1119">
        <v>1.4579</v>
      </c>
      <c r="X246" s="1120">
        <f t="shared" si="162"/>
        <v>699.792</v>
      </c>
      <c r="Y246" s="1080" t="s">
        <v>4257</v>
      </c>
      <c r="Z246" s="1045" t="s">
        <v>4207</v>
      </c>
      <c r="AA246" s="1409" t="s">
        <v>128</v>
      </c>
      <c r="AB246" s="1409"/>
      <c r="AC246" s="1177">
        <v>480</v>
      </c>
      <c r="AD246" s="1155">
        <f t="shared" si="149"/>
        <v>0</v>
      </c>
      <c r="AE246" s="1177"/>
      <c r="AF246" s="694"/>
      <c r="AG246" s="694"/>
      <c r="AH246" s="1155">
        <f t="shared" si="163"/>
        <v>480</v>
      </c>
      <c r="AI246" s="1177"/>
      <c r="AJ246" s="1177"/>
      <c r="AK246" s="1177"/>
      <c r="AL246" s="1177"/>
      <c r="AM246" s="1177"/>
      <c r="AN246" s="520"/>
      <c r="AO246" s="520"/>
      <c r="AP246" s="520"/>
      <c r="AQ246" s="1178">
        <f t="shared" si="165"/>
        <v>480</v>
      </c>
      <c r="AR246" s="520"/>
      <c r="AS246" s="520"/>
      <c r="AT246" s="520"/>
      <c r="AU246" s="1080"/>
      <c r="AV246" s="1411">
        <f t="shared" si="164"/>
        <v>480</v>
      </c>
      <c r="AW246" s="520"/>
      <c r="AX246" s="520"/>
      <c r="AY246" s="520"/>
      <c r="AZ246" s="520"/>
      <c r="BA246" s="520"/>
      <c r="BB246" s="520"/>
      <c r="BC246" s="1209"/>
      <c r="BD246" s="1209"/>
      <c r="BE246" s="1209"/>
      <c r="BF246" s="1209"/>
      <c r="BG246" s="1209"/>
      <c r="BH246" s="1209"/>
      <c r="BI246" s="1209"/>
      <c r="BJ246" s="1209"/>
      <c r="BK246" s="1209"/>
      <c r="BL246" s="1209"/>
      <c r="BM246" s="1209"/>
      <c r="BN246" s="1209"/>
      <c r="BO246" s="1209"/>
      <c r="BP246" s="1209"/>
      <c r="BQ246" s="1209"/>
      <c r="BR246" s="1209"/>
      <c r="BS246" s="1209"/>
      <c r="BT246" s="1209"/>
      <c r="BU246" s="1209"/>
      <c r="BV246" s="1201"/>
      <c r="BW246" s="1201"/>
      <c r="BX246" s="1201"/>
      <c r="BY246" s="1201"/>
      <c r="BZ246" s="1010">
        <f t="shared" ref="BZ246:BZ258" si="166">AH246+AI246+AJ246</f>
        <v>480</v>
      </c>
      <c r="CB246" s="1419"/>
      <c r="CC246" s="1419"/>
      <c r="CE246" s="1009">
        <f t="shared" si="137"/>
        <v>727264</v>
      </c>
    </row>
    <row r="247" s="1080" customFormat="1" ht="36" customHeight="1" spans="1:83">
      <c r="A247" s="517">
        <v>45876</v>
      </c>
      <c r="B247" s="1378" t="s">
        <v>4107</v>
      </c>
      <c r="C247" s="1379" t="s">
        <v>117</v>
      </c>
      <c r="D247" s="1382">
        <v>4500176175</v>
      </c>
      <c r="E247" s="1381">
        <v>70072714</v>
      </c>
      <c r="F247" s="1380" t="s">
        <v>4258</v>
      </c>
      <c r="G247" s="1082" t="s">
        <v>628</v>
      </c>
      <c r="H247" s="1046" t="s">
        <v>623</v>
      </c>
      <c r="I247" s="1080">
        <v>600</v>
      </c>
      <c r="J247" s="1081">
        <v>0</v>
      </c>
      <c r="K247" s="1082">
        <v>12</v>
      </c>
      <c r="L247" s="1080">
        <f t="shared" si="161"/>
        <v>50</v>
      </c>
      <c r="M247" s="556">
        <v>45958</v>
      </c>
      <c r="N247" s="556">
        <v>45954</v>
      </c>
      <c r="O247" s="694" t="s">
        <v>1283</v>
      </c>
      <c r="P247" s="1394" t="s">
        <v>1262</v>
      </c>
      <c r="Q247" s="694" t="s">
        <v>2854</v>
      </c>
      <c r="R247" s="694">
        <v>45904</v>
      </c>
      <c r="S247" s="1400" t="s">
        <v>77</v>
      </c>
      <c r="T247" s="1403" t="s">
        <v>4259</v>
      </c>
      <c r="U247" s="1381" t="s">
        <v>4160</v>
      </c>
      <c r="V247" s="1401" t="s">
        <v>2458</v>
      </c>
      <c r="W247" s="1117">
        <v>1.8222</v>
      </c>
      <c r="X247" s="1118">
        <f>W247*I247</f>
        <v>1093.32</v>
      </c>
      <c r="Y247" s="1080" t="s">
        <v>4260</v>
      </c>
      <c r="Z247" s="1408" t="s">
        <v>822</v>
      </c>
      <c r="AA247" s="1154" t="s">
        <v>128</v>
      </c>
      <c r="AB247" s="1409"/>
      <c r="AC247" s="1177"/>
      <c r="AD247" s="1155">
        <f t="shared" si="149"/>
        <v>-600</v>
      </c>
      <c r="AE247" s="1177"/>
      <c r="AF247" s="694"/>
      <c r="AG247" s="694"/>
      <c r="AH247" s="1177">
        <f>I247*2</f>
        <v>1200</v>
      </c>
      <c r="AI247" s="1177"/>
      <c r="AJ247" s="1177"/>
      <c r="AK247" s="1177"/>
      <c r="AL247" s="1177"/>
      <c r="AM247" s="1177"/>
      <c r="AN247" s="1412">
        <f>I247*2</f>
        <v>1200</v>
      </c>
      <c r="AO247" s="520"/>
      <c r="AP247" s="520"/>
      <c r="AQ247" s="520"/>
      <c r="AR247" s="520"/>
      <c r="AS247" s="520"/>
      <c r="AT247" s="520"/>
      <c r="AU247" s="1412">
        <f>AN247</f>
        <v>1200</v>
      </c>
      <c r="AV247" s="520"/>
      <c r="AW247" s="520"/>
      <c r="AX247" s="520"/>
      <c r="AY247" s="520"/>
      <c r="AZ247" s="520"/>
      <c r="BA247" s="520"/>
      <c r="BB247" s="520"/>
      <c r="BC247" s="1209"/>
      <c r="BD247" s="1209"/>
      <c r="BE247" s="1209"/>
      <c r="BF247" s="1209"/>
      <c r="BG247" s="1209"/>
      <c r="BH247" s="1209"/>
      <c r="BI247" s="1209"/>
      <c r="BJ247" s="1209"/>
      <c r="BK247" s="1209"/>
      <c r="BL247" s="1209"/>
      <c r="BM247" s="1209"/>
      <c r="BN247" s="1209"/>
      <c r="BO247" s="1209"/>
      <c r="BP247" s="1209"/>
      <c r="BQ247" s="1209"/>
      <c r="BR247" s="1209"/>
      <c r="BS247" s="1209"/>
      <c r="BT247" s="1209"/>
      <c r="BU247" s="1209"/>
      <c r="BV247" s="1209"/>
      <c r="BW247" s="1225">
        <f>I247</f>
        <v>600</v>
      </c>
      <c r="BX247" s="1225"/>
      <c r="BY247" s="1225">
        <f>BW247</f>
        <v>600</v>
      </c>
      <c r="BZ247" s="1080">
        <f t="shared" si="166"/>
        <v>1200</v>
      </c>
      <c r="CB247" s="1420"/>
      <c r="CC247" s="1420"/>
      <c r="CE247" s="1009">
        <f t="shared" si="137"/>
        <v>726064</v>
      </c>
    </row>
    <row r="248" s="1080" customFormat="1" ht="36" customHeight="1" spans="1:83">
      <c r="A248" s="517">
        <v>45917</v>
      </c>
      <c r="B248" s="1378" t="s">
        <v>688</v>
      </c>
      <c r="C248" s="1379" t="s">
        <v>689</v>
      </c>
      <c r="D248" s="1382">
        <v>4500179668</v>
      </c>
      <c r="E248" s="1381">
        <v>32693010</v>
      </c>
      <c r="F248" s="1380" t="s">
        <v>4261</v>
      </c>
      <c r="G248" s="1082" t="s">
        <v>1435</v>
      </c>
      <c r="H248" s="693" t="s">
        <v>74</v>
      </c>
      <c r="I248" s="1010">
        <v>1222</v>
      </c>
      <c r="J248" s="1084">
        <v>0</v>
      </c>
      <c r="K248" s="1045">
        <v>13</v>
      </c>
      <c r="L248" s="1010">
        <f t="shared" si="161"/>
        <v>94</v>
      </c>
      <c r="M248" s="556">
        <v>45960</v>
      </c>
      <c r="N248" s="556">
        <v>45957</v>
      </c>
      <c r="O248" s="694"/>
      <c r="P248" s="694" t="s">
        <v>92</v>
      </c>
      <c r="Q248" s="694" t="s">
        <v>4262</v>
      </c>
      <c r="R248" s="694">
        <v>45918</v>
      </c>
      <c r="S248" s="1400" t="s">
        <v>77</v>
      </c>
      <c r="T248" s="1403" t="s">
        <v>4263</v>
      </c>
      <c r="U248" s="1381" t="s">
        <v>4264</v>
      </c>
      <c r="V248" s="1401" t="s">
        <v>695</v>
      </c>
      <c r="W248" s="1119">
        <v>1.3618</v>
      </c>
      <c r="X248" s="1120">
        <f t="shared" ref="X248:X250" si="167">I248*W248</f>
        <v>1664.1196</v>
      </c>
      <c r="Y248" s="1080" t="s">
        <v>4265</v>
      </c>
      <c r="Z248" s="1410" t="s">
        <v>4100</v>
      </c>
      <c r="AA248" s="1154" t="s">
        <v>128</v>
      </c>
      <c r="AB248" s="1409"/>
      <c r="AC248" s="1177">
        <f>143+1079</f>
        <v>1222</v>
      </c>
      <c r="AD248" s="1155"/>
      <c r="AE248" s="1177"/>
      <c r="AF248" s="694"/>
      <c r="AG248" s="694"/>
      <c r="AH248" s="1177"/>
      <c r="AI248" s="1155">
        <f>I248</f>
        <v>1222</v>
      </c>
      <c r="AJ248" s="1177"/>
      <c r="AK248" s="1177"/>
      <c r="AL248" s="1177"/>
      <c r="AM248" s="1177"/>
      <c r="AN248" s="1412"/>
      <c r="AO248" s="520"/>
      <c r="AP248" s="520"/>
      <c r="AQ248" s="520">
        <f t="shared" si="165"/>
        <v>1222</v>
      </c>
      <c r="AR248" s="520"/>
      <c r="AS248" s="520"/>
      <c r="AT248" s="520"/>
      <c r="AU248" s="1412"/>
      <c r="AV248" s="520">
        <f t="shared" ref="AV248:AV250" si="168">I248</f>
        <v>1222</v>
      </c>
      <c r="AW248" s="520"/>
      <c r="AX248" s="520"/>
      <c r="AY248" s="520"/>
      <c r="AZ248" s="520"/>
      <c r="BA248" s="520"/>
      <c r="BB248" s="520"/>
      <c r="BC248" s="1209"/>
      <c r="BD248" s="1209"/>
      <c r="BE248" s="1209"/>
      <c r="BF248" s="1209"/>
      <c r="BG248" s="1209"/>
      <c r="BH248" s="1209"/>
      <c r="BI248" s="1209"/>
      <c r="BJ248" s="1209"/>
      <c r="BK248" s="1209"/>
      <c r="BL248" s="1201">
        <f>I248/13</f>
        <v>94</v>
      </c>
      <c r="BM248" s="1209"/>
      <c r="BN248" s="1209"/>
      <c r="BO248" s="1209"/>
      <c r="BP248" s="1209"/>
      <c r="BQ248" s="1209"/>
      <c r="BR248" s="1209"/>
      <c r="BS248" s="1209"/>
      <c r="BT248" s="1209"/>
      <c r="BU248" s="1209"/>
      <c r="BV248" s="1209"/>
      <c r="BW248" s="1225"/>
      <c r="BX248" s="1225"/>
      <c r="BY248" s="1225"/>
      <c r="BZ248" s="1080">
        <f t="shared" si="166"/>
        <v>1222</v>
      </c>
      <c r="CB248" s="1420"/>
      <c r="CC248" s="1420"/>
      <c r="CE248" s="1009">
        <f t="shared" si="137"/>
        <v>724842</v>
      </c>
    </row>
    <row r="249" s="1080" customFormat="1" ht="36" customHeight="1" spans="1:83">
      <c r="A249" s="517">
        <v>45917</v>
      </c>
      <c r="B249" s="1378" t="s">
        <v>449</v>
      </c>
      <c r="C249" s="1379" t="s">
        <v>477</v>
      </c>
      <c r="D249" s="1382">
        <v>4500179736</v>
      </c>
      <c r="E249" s="1381" t="s">
        <v>4266</v>
      </c>
      <c r="F249" s="1380" t="s">
        <v>4267</v>
      </c>
      <c r="G249" s="1082" t="s">
        <v>4207</v>
      </c>
      <c r="H249" s="693" t="s">
        <v>4208</v>
      </c>
      <c r="I249" s="1010">
        <v>936</v>
      </c>
      <c r="J249" s="1084">
        <v>0</v>
      </c>
      <c r="K249" s="1045">
        <v>24</v>
      </c>
      <c r="L249" s="1010">
        <f t="shared" si="161"/>
        <v>39</v>
      </c>
      <c r="M249" s="556">
        <v>45968</v>
      </c>
      <c r="N249" s="556">
        <v>45964</v>
      </c>
      <c r="O249" s="1394" t="s">
        <v>4209</v>
      </c>
      <c r="P249" s="1394" t="s">
        <v>1262</v>
      </c>
      <c r="Q249" s="694" t="s">
        <v>4268</v>
      </c>
      <c r="R249" s="449" t="s">
        <v>4210</v>
      </c>
      <c r="S249" s="457" t="s">
        <v>123</v>
      </c>
      <c r="T249" s="1402" t="s">
        <v>4269</v>
      </c>
      <c r="U249" s="1381" t="s">
        <v>4270</v>
      </c>
      <c r="V249" s="1401" t="s">
        <v>186</v>
      </c>
      <c r="W249" s="1119">
        <v>1.53</v>
      </c>
      <c r="X249" s="1120">
        <f t="shared" si="167"/>
        <v>1432.08</v>
      </c>
      <c r="Z249" s="1045" t="s">
        <v>4207</v>
      </c>
      <c r="AA249" s="1154" t="s">
        <v>128</v>
      </c>
      <c r="AB249" s="1409"/>
      <c r="AC249" s="1177">
        <v>936</v>
      </c>
      <c r="AD249" s="1155"/>
      <c r="AE249" s="1177"/>
      <c r="AF249" s="694"/>
      <c r="AG249" s="694"/>
      <c r="AH249" s="1155">
        <f t="shared" ref="AH249:AH251" si="169">I249</f>
        <v>936</v>
      </c>
      <c r="AI249" s="1177"/>
      <c r="AJ249" s="1177"/>
      <c r="AK249" s="1177"/>
      <c r="AL249" s="1177"/>
      <c r="AM249" s="1177"/>
      <c r="AN249" s="1412"/>
      <c r="AO249" s="520"/>
      <c r="AP249" s="520"/>
      <c r="AQ249" s="1178">
        <f t="shared" si="165"/>
        <v>936</v>
      </c>
      <c r="AR249" s="1178"/>
      <c r="AS249" s="1178"/>
      <c r="AT249" s="1178"/>
      <c r="AU249" s="1178"/>
      <c r="AV249" s="1178">
        <f t="shared" si="168"/>
        <v>936</v>
      </c>
      <c r="AW249" s="520"/>
      <c r="AX249" s="520"/>
      <c r="AY249" s="520"/>
      <c r="AZ249" s="520"/>
      <c r="BA249" s="520"/>
      <c r="BB249" s="520"/>
      <c r="BC249" s="1209"/>
      <c r="BD249" s="1209"/>
      <c r="BE249" s="1209"/>
      <c r="BF249" s="1209"/>
      <c r="BG249" s="1209"/>
      <c r="BH249" s="1209"/>
      <c r="BI249" s="1209"/>
      <c r="BJ249" s="1209"/>
      <c r="BK249" s="1209"/>
      <c r="BL249" s="1209"/>
      <c r="BM249" s="1209"/>
      <c r="BN249" s="1209"/>
      <c r="BO249" s="1209"/>
      <c r="BP249" s="1209"/>
      <c r="BQ249" s="1209"/>
      <c r="BR249" s="1209"/>
      <c r="BS249" s="1209"/>
      <c r="BT249" s="1209"/>
      <c r="BU249" s="1209"/>
      <c r="BV249" s="1201"/>
      <c r="BW249" s="1201"/>
      <c r="BX249" s="1201"/>
      <c r="BY249" s="1201"/>
      <c r="BZ249" s="1010">
        <f t="shared" si="166"/>
        <v>936</v>
      </c>
      <c r="CB249" s="1420"/>
      <c r="CC249" s="1420"/>
      <c r="CE249" s="1009">
        <f t="shared" si="137"/>
        <v>723906</v>
      </c>
    </row>
    <row r="250" s="1080" customFormat="1" ht="36" customHeight="1" spans="1:83">
      <c r="A250" s="517">
        <v>45918</v>
      </c>
      <c r="B250" s="1378" t="s">
        <v>4204</v>
      </c>
      <c r="C250" s="1379" t="s">
        <v>500</v>
      </c>
      <c r="D250" s="1382">
        <v>4500179692</v>
      </c>
      <c r="E250" s="1381" t="s">
        <v>4271</v>
      </c>
      <c r="F250" s="1380" t="s">
        <v>4272</v>
      </c>
      <c r="G250" s="1082" t="s">
        <v>4207</v>
      </c>
      <c r="H250" s="693" t="s">
        <v>4208</v>
      </c>
      <c r="I250" s="1010">
        <v>480</v>
      </c>
      <c r="J250" s="1084">
        <v>0</v>
      </c>
      <c r="K250" s="1045">
        <v>24</v>
      </c>
      <c r="L250" s="1010">
        <f t="shared" si="161"/>
        <v>20</v>
      </c>
      <c r="M250" s="556">
        <v>45968</v>
      </c>
      <c r="N250" s="556">
        <v>45966</v>
      </c>
      <c r="O250" s="1394" t="s">
        <v>4209</v>
      </c>
      <c r="P250" s="1394" t="s">
        <v>1262</v>
      </c>
      <c r="Q250" s="694"/>
      <c r="R250" s="449" t="s">
        <v>4210</v>
      </c>
      <c r="S250" s="457" t="s">
        <v>123</v>
      </c>
      <c r="T250" s="1402" t="s">
        <v>4273</v>
      </c>
      <c r="U250" s="1381" t="s">
        <v>4274</v>
      </c>
      <c r="V250" s="1401" t="s">
        <v>2629</v>
      </c>
      <c r="W250" s="1119">
        <v>1.565</v>
      </c>
      <c r="X250" s="1120">
        <f t="shared" si="167"/>
        <v>751.2</v>
      </c>
      <c r="Z250" s="1045" t="s">
        <v>4207</v>
      </c>
      <c r="AA250" s="1154" t="s">
        <v>128</v>
      </c>
      <c r="AB250" s="1409"/>
      <c r="AC250" s="1177">
        <v>480</v>
      </c>
      <c r="AD250" s="1155"/>
      <c r="AE250" s="1177"/>
      <c r="AF250" s="694"/>
      <c r="AG250" s="694"/>
      <c r="AH250" s="1155">
        <f t="shared" si="169"/>
        <v>480</v>
      </c>
      <c r="AI250" s="1177"/>
      <c r="AJ250" s="1177"/>
      <c r="AK250" s="1177"/>
      <c r="AL250" s="1177"/>
      <c r="AM250" s="1177"/>
      <c r="AN250" s="1412"/>
      <c r="AO250" s="520"/>
      <c r="AP250" s="520"/>
      <c r="AQ250" s="1178">
        <f t="shared" si="165"/>
        <v>480</v>
      </c>
      <c r="AR250" s="1178"/>
      <c r="AS250" s="1178"/>
      <c r="AT250" s="1178"/>
      <c r="AU250" s="1178"/>
      <c r="AV250" s="1178">
        <f t="shared" si="168"/>
        <v>480</v>
      </c>
      <c r="AW250" s="520"/>
      <c r="AX250" s="520"/>
      <c r="AY250" s="520"/>
      <c r="AZ250" s="520"/>
      <c r="BA250" s="520"/>
      <c r="BB250" s="520"/>
      <c r="BC250" s="1209"/>
      <c r="BD250" s="1209"/>
      <c r="BE250" s="1209"/>
      <c r="BF250" s="1209"/>
      <c r="BG250" s="1209"/>
      <c r="BH250" s="1209"/>
      <c r="BI250" s="1209"/>
      <c r="BJ250" s="1209"/>
      <c r="BK250" s="1209"/>
      <c r="BL250" s="1209"/>
      <c r="BM250" s="1209"/>
      <c r="BN250" s="1209"/>
      <c r="BO250" s="1209"/>
      <c r="BP250" s="1209"/>
      <c r="BQ250" s="1209"/>
      <c r="BR250" s="1209"/>
      <c r="BS250" s="1209"/>
      <c r="BT250" s="1209"/>
      <c r="BU250" s="1209"/>
      <c r="BV250" s="1201"/>
      <c r="BW250" s="1201"/>
      <c r="BX250" s="1201"/>
      <c r="BY250" s="1201"/>
      <c r="BZ250" s="1010">
        <f t="shared" si="166"/>
        <v>480</v>
      </c>
      <c r="CB250" s="1420"/>
      <c r="CC250" s="1420"/>
      <c r="CE250" s="1009">
        <f t="shared" si="137"/>
        <v>723426</v>
      </c>
    </row>
    <row r="251" s="1088" customFormat="1" ht="36" customHeight="1" spans="1:83">
      <c r="A251" s="767">
        <v>45954</v>
      </c>
      <c r="B251" s="1383"/>
      <c r="C251" s="1384"/>
      <c r="D251" s="1385" t="s">
        <v>4275</v>
      </c>
      <c r="E251" s="1386"/>
      <c r="F251" s="1387"/>
      <c r="G251" s="1090" t="s">
        <v>73</v>
      </c>
      <c r="H251" s="1057" t="s">
        <v>3579</v>
      </c>
      <c r="I251" s="1088">
        <v>3000</v>
      </c>
      <c r="J251" s="1089">
        <v>0</v>
      </c>
      <c r="K251" s="1090">
        <v>24</v>
      </c>
      <c r="L251" s="1013">
        <f t="shared" si="161"/>
        <v>125</v>
      </c>
      <c r="M251" s="1395">
        <v>45974</v>
      </c>
      <c r="N251" s="1395">
        <v>45971</v>
      </c>
      <c r="O251" s="1396"/>
      <c r="P251" s="1396" t="s">
        <v>1283</v>
      </c>
      <c r="Q251" s="1396"/>
      <c r="R251" s="452">
        <v>45954</v>
      </c>
      <c r="S251" s="453" t="s">
        <v>77</v>
      </c>
      <c r="T251" s="458" t="s">
        <v>77</v>
      </c>
      <c r="U251" s="1386" t="s">
        <v>4276</v>
      </c>
      <c r="V251" s="1404" t="s">
        <v>2968</v>
      </c>
      <c r="W251" s="1405"/>
      <c r="X251" s="1406"/>
      <c r="Y251" s="1088" t="s">
        <v>4277</v>
      </c>
      <c r="Z251" s="1149" t="s">
        <v>3421</v>
      </c>
      <c r="AA251" s="1161" t="s">
        <v>128</v>
      </c>
      <c r="AB251" s="1166" t="s">
        <v>4278</v>
      </c>
      <c r="AC251" s="1179">
        <v>3000</v>
      </c>
      <c r="AD251" s="1162"/>
      <c r="AE251" s="1179"/>
      <c r="AF251" s="1396"/>
      <c r="AG251" s="1396"/>
      <c r="AH251" s="1177">
        <f t="shared" si="169"/>
        <v>3000</v>
      </c>
      <c r="AI251" s="1179"/>
      <c r="AJ251" s="1179"/>
      <c r="AK251" s="1179"/>
      <c r="AL251" s="1179"/>
      <c r="AM251" s="1179"/>
      <c r="AN251" s="1413"/>
      <c r="AO251" s="770"/>
      <c r="AP251" s="770"/>
      <c r="AQ251" s="1413"/>
      <c r="AR251" s="1413"/>
      <c r="AS251" s="1413"/>
      <c r="AT251" s="1413"/>
      <c r="AU251" s="1413"/>
      <c r="AV251" s="1413"/>
      <c r="AW251" s="770"/>
      <c r="AX251" s="770"/>
      <c r="AY251" s="770"/>
      <c r="AZ251" s="770"/>
      <c r="BA251" s="770"/>
      <c r="BB251" s="770"/>
      <c r="BC251" s="1416"/>
      <c r="BD251" s="1416"/>
      <c r="BE251" s="1416"/>
      <c r="BF251" s="1416"/>
      <c r="BG251" s="1416"/>
      <c r="BH251" s="1416"/>
      <c r="BI251" s="1416"/>
      <c r="BJ251" s="1416"/>
      <c r="BK251" s="1416"/>
      <c r="BL251" s="1416"/>
      <c r="BM251" s="1416"/>
      <c r="BN251" s="1416"/>
      <c r="BO251" s="1416"/>
      <c r="BP251" s="1416"/>
      <c r="BQ251" s="1416"/>
      <c r="BR251" s="1416"/>
      <c r="BS251" s="1416"/>
      <c r="BT251" s="1416"/>
      <c r="BU251" s="1416"/>
      <c r="BV251" s="1421"/>
      <c r="BW251" s="1421"/>
      <c r="BX251" s="1421"/>
      <c r="BY251" s="1421"/>
      <c r="BZ251" s="1010">
        <f t="shared" si="166"/>
        <v>3000</v>
      </c>
      <c r="CB251" s="1422"/>
      <c r="CC251" s="1422"/>
      <c r="CE251" s="1009">
        <f t="shared" si="137"/>
        <v>720426</v>
      </c>
    </row>
    <row r="252" s="1011" customFormat="1" ht="36" customHeight="1" spans="1:83">
      <c r="A252" s="1047">
        <v>45880</v>
      </c>
      <c r="B252" s="1048" t="s">
        <v>4107</v>
      </c>
      <c r="C252" s="1049" t="s">
        <v>117</v>
      </c>
      <c r="D252" s="1388">
        <v>4500176581</v>
      </c>
      <c r="E252" s="1051">
        <v>70072716</v>
      </c>
      <c r="F252" s="1050" t="s">
        <v>4279</v>
      </c>
      <c r="G252" s="1052" t="s">
        <v>628</v>
      </c>
      <c r="H252" s="1053" t="s">
        <v>623</v>
      </c>
      <c r="I252" s="1011">
        <v>1008</v>
      </c>
      <c r="J252" s="1085">
        <v>0</v>
      </c>
      <c r="K252" s="1052">
        <v>12</v>
      </c>
      <c r="L252" s="1011">
        <f t="shared" si="161"/>
        <v>84</v>
      </c>
      <c r="M252" s="1086">
        <v>45981</v>
      </c>
      <c r="N252" s="1086">
        <v>45978</v>
      </c>
      <c r="O252" s="707"/>
      <c r="P252" s="707" t="s">
        <v>1262</v>
      </c>
      <c r="Q252" s="707" t="s">
        <v>4280</v>
      </c>
      <c r="R252" s="707">
        <v>45904</v>
      </c>
      <c r="S252" s="1122" t="s">
        <v>77</v>
      </c>
      <c r="T252" s="1351" t="s">
        <v>4281</v>
      </c>
      <c r="U252" s="1051" t="s">
        <v>4160</v>
      </c>
      <c r="V252" s="1124" t="s">
        <v>2458</v>
      </c>
      <c r="W252" s="1125">
        <v>1.8004</v>
      </c>
      <c r="X252" s="1126">
        <f>W252*I252</f>
        <v>1814.8032</v>
      </c>
      <c r="Y252" s="1011" t="s">
        <v>4282</v>
      </c>
      <c r="Z252" s="1156" t="s">
        <v>822</v>
      </c>
      <c r="AA252" s="1150" t="s">
        <v>128</v>
      </c>
      <c r="AB252" s="1157" t="s">
        <v>4278</v>
      </c>
      <c r="AC252" s="1158"/>
      <c r="AD252" s="1151">
        <f>AC252-I252</f>
        <v>-1008</v>
      </c>
      <c r="AE252" s="1158"/>
      <c r="AF252" s="707"/>
      <c r="AG252" s="707"/>
      <c r="AH252" s="1158">
        <f>I252*2</f>
        <v>2016</v>
      </c>
      <c r="AI252" s="1158"/>
      <c r="AJ252" s="1158"/>
      <c r="AK252" s="1158"/>
      <c r="AL252" s="1158"/>
      <c r="AM252" s="1158"/>
      <c r="AN252" s="1194">
        <f>I252*2</f>
        <v>2016</v>
      </c>
      <c r="AO252" s="1193"/>
      <c r="AP252" s="1193"/>
      <c r="AQ252" s="1194"/>
      <c r="AR252" s="1194"/>
      <c r="AS252" s="1194"/>
      <c r="AT252" s="1194"/>
      <c r="AU252" s="1194">
        <f>AN252</f>
        <v>2016</v>
      </c>
      <c r="AV252" s="1194"/>
      <c r="AW252" s="1193"/>
      <c r="AX252" s="1193"/>
      <c r="AY252" s="1193"/>
      <c r="AZ252" s="1193"/>
      <c r="BA252" s="1193"/>
      <c r="BB252" s="1193"/>
      <c r="BC252" s="1202"/>
      <c r="BD252" s="1202"/>
      <c r="BE252" s="1202"/>
      <c r="BF252" s="1202"/>
      <c r="BG252" s="1202"/>
      <c r="BH252" s="1202"/>
      <c r="BI252" s="1202"/>
      <c r="BJ252" s="1202"/>
      <c r="BK252" s="1202"/>
      <c r="BL252" s="1202"/>
      <c r="BM252" s="1202"/>
      <c r="BN252" s="1202"/>
      <c r="BO252" s="1202"/>
      <c r="BP252" s="1202"/>
      <c r="BQ252" s="1202"/>
      <c r="BR252" s="1202"/>
      <c r="BS252" s="1202"/>
      <c r="BT252" s="1202"/>
      <c r="BU252" s="1202"/>
      <c r="BV252" s="1222"/>
      <c r="BW252" s="1222">
        <f>I252</f>
        <v>1008</v>
      </c>
      <c r="BX252" s="1222"/>
      <c r="BY252" s="1222">
        <f>BW252</f>
        <v>1008</v>
      </c>
      <c r="BZ252" s="1256">
        <f t="shared" si="166"/>
        <v>2016</v>
      </c>
      <c r="CB252" s="1223"/>
      <c r="CC252" s="1223"/>
      <c r="CE252" s="1009">
        <f t="shared" si="137"/>
        <v>718410</v>
      </c>
    </row>
    <row r="253" s="1012" customFormat="1" ht="36" customHeight="1" spans="1:83">
      <c r="A253" s="540">
        <v>45928</v>
      </c>
      <c r="B253" s="1036" t="s">
        <v>449</v>
      </c>
      <c r="C253" s="1037" t="s">
        <v>213</v>
      </c>
      <c r="D253" s="1038">
        <v>4500180750</v>
      </c>
      <c r="E253" s="1039" t="s">
        <v>4283</v>
      </c>
      <c r="F253" s="1038" t="s">
        <v>4284</v>
      </c>
      <c r="G253" s="1040" t="s">
        <v>4207</v>
      </c>
      <c r="H253" s="1041" t="s">
        <v>4208</v>
      </c>
      <c r="I253" s="1012">
        <v>720</v>
      </c>
      <c r="J253" s="1087">
        <v>0</v>
      </c>
      <c r="K253" s="1040">
        <v>24</v>
      </c>
      <c r="L253" s="1012">
        <f t="shared" si="161"/>
        <v>30</v>
      </c>
      <c r="M253" s="1079">
        <v>45989</v>
      </c>
      <c r="N253" s="1079">
        <v>45985</v>
      </c>
      <c r="O253" s="579"/>
      <c r="P253" s="1391" t="s">
        <v>1262</v>
      </c>
      <c r="Q253" s="579" t="s">
        <v>4285</v>
      </c>
      <c r="R253" s="579" t="s">
        <v>4210</v>
      </c>
      <c r="S253" s="584" t="s">
        <v>123</v>
      </c>
      <c r="T253" s="578" t="s">
        <v>4286</v>
      </c>
      <c r="U253" s="1039" t="s">
        <v>4287</v>
      </c>
      <c r="V253" s="1112" t="s">
        <v>186</v>
      </c>
      <c r="W253" s="1113">
        <v>1.53</v>
      </c>
      <c r="X253" s="1114">
        <f t="shared" ref="X253:X258" si="170">I253*W253</f>
        <v>1101.6</v>
      </c>
      <c r="Z253" s="1040" t="s">
        <v>4207</v>
      </c>
      <c r="AA253" s="1150" t="s">
        <v>128</v>
      </c>
      <c r="AB253" s="1150" t="s">
        <v>4278</v>
      </c>
      <c r="AC253" s="1151">
        <f>696+24</f>
        <v>720</v>
      </c>
      <c r="AD253" s="1151"/>
      <c r="AE253" s="1151"/>
      <c r="AF253" s="579"/>
      <c r="AG253" s="579"/>
      <c r="AH253" s="1151">
        <f t="shared" ref="AH253:AH258" si="171">I253</f>
        <v>720</v>
      </c>
      <c r="AI253" s="1151"/>
      <c r="AJ253" s="1151"/>
      <c r="AK253" s="1151"/>
      <c r="AL253" s="1151"/>
      <c r="AM253" s="1151"/>
      <c r="AN253" s="543"/>
      <c r="AO253" s="543"/>
      <c r="AP253" s="543"/>
      <c r="AQ253" s="543">
        <f t="shared" ref="AQ253:AQ258" si="172">I253</f>
        <v>720</v>
      </c>
      <c r="AR253" s="543"/>
      <c r="AS253" s="543"/>
      <c r="AT253" s="543"/>
      <c r="AU253" s="543"/>
      <c r="AV253" s="543">
        <f t="shared" ref="AV253:AV258" si="173">I253</f>
        <v>720</v>
      </c>
      <c r="AW253" s="543"/>
      <c r="AX253" s="543"/>
      <c r="AY253" s="543"/>
      <c r="AZ253" s="543"/>
      <c r="BA253" s="1372">
        <f t="shared" ref="BA253:BA257" si="174">I253</f>
        <v>720</v>
      </c>
      <c r="BB253" s="543"/>
      <c r="BC253" s="1200"/>
      <c r="BD253" s="1200"/>
      <c r="BE253" s="1200"/>
      <c r="BF253" s="1200"/>
      <c r="BG253" s="1200"/>
      <c r="BH253" s="1200"/>
      <c r="BI253" s="1200"/>
      <c r="BJ253" s="1200"/>
      <c r="BK253" s="1200"/>
      <c r="BL253" s="1200"/>
      <c r="BM253" s="1200"/>
      <c r="BN253" s="1200"/>
      <c r="BO253" s="1200"/>
      <c r="BP253" s="1200"/>
      <c r="BQ253" s="1200"/>
      <c r="BR253" s="1200"/>
      <c r="BS253" s="1200"/>
      <c r="BT253" s="1200"/>
      <c r="BU253" s="1200"/>
      <c r="BV253" s="1200"/>
      <c r="BW253" s="1200"/>
      <c r="BX253" s="1200"/>
      <c r="BY253" s="1200"/>
      <c r="BZ253" s="1012">
        <f t="shared" si="166"/>
        <v>720</v>
      </c>
      <c r="CB253" s="1224"/>
      <c r="CC253" s="1224"/>
      <c r="CE253" s="1009">
        <f>CE257-AH253-AI253-AJ253</f>
        <v>714750</v>
      </c>
    </row>
    <row r="254" s="1256" customFormat="1" ht="36" customHeight="1" spans="1:83">
      <c r="A254" s="1335">
        <v>45943</v>
      </c>
      <c r="B254" s="1336" t="s">
        <v>1118</v>
      </c>
      <c r="C254" s="1337" t="s">
        <v>1119</v>
      </c>
      <c r="D254" s="1338">
        <v>4500176686</v>
      </c>
      <c r="E254" s="1389">
        <v>300581433</v>
      </c>
      <c r="F254" s="1338" t="s">
        <v>4288</v>
      </c>
      <c r="G254" s="1339" t="s">
        <v>4289</v>
      </c>
      <c r="H254" s="1377" t="s">
        <v>4290</v>
      </c>
      <c r="I254" s="1367">
        <v>546</v>
      </c>
      <c r="J254" s="1390">
        <v>0</v>
      </c>
      <c r="K254" s="1344">
        <v>13</v>
      </c>
      <c r="L254" s="1367">
        <f t="shared" si="161"/>
        <v>42</v>
      </c>
      <c r="M254" s="1347">
        <v>45993</v>
      </c>
      <c r="N254" s="1347">
        <v>45989</v>
      </c>
      <c r="P254" s="1348" t="s">
        <v>1262</v>
      </c>
      <c r="Q254" s="1348" t="s">
        <v>4291</v>
      </c>
      <c r="R254" s="1348">
        <v>45946</v>
      </c>
      <c r="S254" s="1352" t="s">
        <v>77</v>
      </c>
      <c r="T254" s="1357" t="s">
        <v>4292</v>
      </c>
      <c r="U254" s="1389" t="s">
        <v>4293</v>
      </c>
      <c r="V254" s="1353" t="s">
        <v>3630</v>
      </c>
      <c r="W254" s="1359">
        <v>1.4</v>
      </c>
      <c r="X254" s="1360">
        <f t="shared" si="170"/>
        <v>764.4</v>
      </c>
      <c r="Z254" s="1339" t="s">
        <v>4289</v>
      </c>
      <c r="AA254" s="1369" t="s">
        <v>128</v>
      </c>
      <c r="AB254" s="1150" t="s">
        <v>4278</v>
      </c>
      <c r="AC254" s="1366">
        <v>546</v>
      </c>
      <c r="AD254" s="1370"/>
      <c r="AE254" s="1366"/>
      <c r="AF254" s="1348"/>
      <c r="AG254" s="1348"/>
      <c r="AH254" s="1366"/>
      <c r="AI254" s="1370">
        <f>I254</f>
        <v>546</v>
      </c>
      <c r="AJ254" s="1366"/>
      <c r="AK254" s="1366"/>
      <c r="AL254" s="1366"/>
      <c r="AM254" s="1366"/>
      <c r="AN254" s="1194"/>
      <c r="AO254" s="1310"/>
      <c r="AP254" s="1194"/>
      <c r="AQ254" s="1194">
        <f t="shared" si="172"/>
        <v>546</v>
      </c>
      <c r="AR254" s="1194"/>
      <c r="AS254" s="1194"/>
      <c r="AT254" s="1194"/>
      <c r="AU254" s="1194"/>
      <c r="AV254" s="1310">
        <f t="shared" si="173"/>
        <v>546</v>
      </c>
      <c r="AW254" s="1194"/>
      <c r="AX254" s="1194"/>
      <c r="AY254" s="1194"/>
      <c r="AZ254" s="1194"/>
      <c r="BA254" s="1417">
        <f t="shared" si="174"/>
        <v>546</v>
      </c>
      <c r="BB254" s="1194"/>
      <c r="BC254" s="1222"/>
      <c r="BD254" s="1222"/>
      <c r="BE254" s="1222"/>
      <c r="BF254" s="1222"/>
      <c r="BG254" s="1222"/>
      <c r="BH254" s="1222"/>
      <c r="BI254" s="1222"/>
      <c r="BJ254" s="1222"/>
      <c r="BK254" s="1222"/>
      <c r="BL254" s="1374"/>
      <c r="BM254" s="1222"/>
      <c r="BN254" s="1222"/>
      <c r="BO254" s="1222"/>
      <c r="BP254" s="1222"/>
      <c r="BQ254" s="1222"/>
      <c r="BR254" s="1222"/>
      <c r="BS254" s="1222"/>
      <c r="BT254" s="1222"/>
      <c r="BU254" s="1222"/>
      <c r="BV254" s="1222"/>
      <c r="BW254" s="1222"/>
      <c r="BX254" s="1222"/>
      <c r="BY254" s="1222"/>
      <c r="BZ254" s="1367">
        <f t="shared" si="166"/>
        <v>546</v>
      </c>
      <c r="CB254" s="1423"/>
      <c r="CC254" s="1423"/>
      <c r="CE254" s="1009">
        <f>CE253-AH254-AI254-AJ254</f>
        <v>714204</v>
      </c>
    </row>
    <row r="255" s="1011" customFormat="1" ht="36" customHeight="1" spans="1:83">
      <c r="A255" s="1047">
        <v>45909</v>
      </c>
      <c r="B255" s="1048" t="s">
        <v>4294</v>
      </c>
      <c r="C255" s="1049" t="s">
        <v>689</v>
      </c>
      <c r="D255" s="1050">
        <v>4500177965</v>
      </c>
      <c r="E255" s="1051">
        <v>28004</v>
      </c>
      <c r="F255" s="1050" t="s">
        <v>4295</v>
      </c>
      <c r="G255" s="1052" t="s">
        <v>1435</v>
      </c>
      <c r="H255" s="1053" t="s">
        <v>74</v>
      </c>
      <c r="I255" s="1011">
        <v>195</v>
      </c>
      <c r="J255" s="1085">
        <v>0</v>
      </c>
      <c r="K255" s="1052">
        <v>13</v>
      </c>
      <c r="L255" s="1011">
        <f t="shared" si="161"/>
        <v>15</v>
      </c>
      <c r="M255" s="1086">
        <v>45994</v>
      </c>
      <c r="N255" s="1086">
        <f>M255-4</f>
        <v>45990</v>
      </c>
      <c r="P255" s="707" t="s">
        <v>1262</v>
      </c>
      <c r="Q255" s="707" t="s">
        <v>4296</v>
      </c>
      <c r="R255" s="707">
        <v>45944</v>
      </c>
      <c r="S255" s="1398" t="s">
        <v>77</v>
      </c>
      <c r="T255" s="1352" t="s">
        <v>4297</v>
      </c>
      <c r="U255" s="1051" t="s">
        <v>4298</v>
      </c>
      <c r="V255" s="1124" t="s">
        <v>218</v>
      </c>
      <c r="W255" s="1125">
        <v>1.3834</v>
      </c>
      <c r="X255" s="1126">
        <f t="shared" si="170"/>
        <v>269.763</v>
      </c>
      <c r="Z255" s="1364" t="s">
        <v>4100</v>
      </c>
      <c r="AA255" s="1157" t="s">
        <v>128</v>
      </c>
      <c r="AB255" s="1157" t="s">
        <v>4278</v>
      </c>
      <c r="AC255" s="1158">
        <v>195</v>
      </c>
      <c r="AD255" s="1158"/>
      <c r="AE255" s="1158"/>
      <c r="AF255" s="707"/>
      <c r="AG255" s="707"/>
      <c r="AH255" s="1158"/>
      <c r="AI255" s="1158">
        <f>I255</f>
        <v>195</v>
      </c>
      <c r="AJ255" s="1158"/>
      <c r="AK255" s="1158"/>
      <c r="AL255" s="1158"/>
      <c r="AM255" s="1158"/>
      <c r="AN255" s="1194"/>
      <c r="AO255" s="1193"/>
      <c r="AP255" s="1193"/>
      <c r="AQ255" s="1193">
        <f t="shared" si="172"/>
        <v>195</v>
      </c>
      <c r="AR255" s="1193"/>
      <c r="AS255" s="1193"/>
      <c r="AT255" s="1193"/>
      <c r="AU255" s="1194"/>
      <c r="AV255" s="1193">
        <f t="shared" si="173"/>
        <v>195</v>
      </c>
      <c r="AW255" s="1193"/>
      <c r="AX255" s="1193"/>
      <c r="AY255" s="1193"/>
      <c r="AZ255" s="1193">
        <f>I255</f>
        <v>195</v>
      </c>
      <c r="BA255" s="1418">
        <f t="shared" si="174"/>
        <v>195</v>
      </c>
      <c r="BB255" s="1193"/>
      <c r="BC255" s="1202"/>
      <c r="BD255" s="1202"/>
      <c r="BE255" s="1202"/>
      <c r="BF255" s="1202"/>
      <c r="BG255" s="1202"/>
      <c r="BH255" s="1202"/>
      <c r="BI255" s="1202"/>
      <c r="BJ255" s="1202"/>
      <c r="BK255" s="1202"/>
      <c r="BL255" s="1202">
        <f>I255/13</f>
        <v>15</v>
      </c>
      <c r="BM255" s="1202"/>
      <c r="BN255" s="1202"/>
      <c r="BO255" s="1202"/>
      <c r="BP255" s="1202"/>
      <c r="BQ255" s="1202"/>
      <c r="BR255" s="1202"/>
      <c r="BS255" s="1202"/>
      <c r="BT255" s="1202"/>
      <c r="BU255" s="1202"/>
      <c r="BV255" s="1202"/>
      <c r="BW255" s="1222"/>
      <c r="BX255" s="1222"/>
      <c r="BY255" s="1222"/>
      <c r="BZ255" s="1011">
        <f t="shared" si="166"/>
        <v>195</v>
      </c>
      <c r="CB255" s="1223"/>
      <c r="CC255" s="1223"/>
      <c r="CE255" s="1009">
        <f>CE254-AH255-AI255-AJ255</f>
        <v>714009</v>
      </c>
    </row>
    <row r="256" s="1012" customFormat="1" ht="36" customHeight="1" spans="1:83">
      <c r="A256" s="540">
        <v>45947</v>
      </c>
      <c r="B256" s="1036" t="s">
        <v>4299</v>
      </c>
      <c r="C256" s="1037" t="s">
        <v>477</v>
      </c>
      <c r="D256" s="1038">
        <v>4500182286</v>
      </c>
      <c r="E256" s="1039" t="s">
        <v>4300</v>
      </c>
      <c r="F256" s="1038" t="s">
        <v>4301</v>
      </c>
      <c r="G256" s="1040" t="s">
        <v>4207</v>
      </c>
      <c r="H256" s="1041" t="s">
        <v>4208</v>
      </c>
      <c r="I256" s="1012">
        <v>480</v>
      </c>
      <c r="J256" s="1087">
        <v>0</v>
      </c>
      <c r="K256" s="1040">
        <v>24</v>
      </c>
      <c r="L256" s="1012">
        <f t="shared" si="161"/>
        <v>20</v>
      </c>
      <c r="M256" s="1079">
        <v>45996</v>
      </c>
      <c r="N256" s="1079">
        <v>45992</v>
      </c>
      <c r="O256" s="579"/>
      <c r="P256" s="1391" t="s">
        <v>1262</v>
      </c>
      <c r="Q256" s="579"/>
      <c r="R256" s="579" t="s">
        <v>4210</v>
      </c>
      <c r="S256" s="584" t="s">
        <v>123</v>
      </c>
      <c r="T256" s="578" t="s">
        <v>4302</v>
      </c>
      <c r="U256" s="1039" t="s">
        <v>4303</v>
      </c>
      <c r="V256" s="1112" t="s">
        <v>186</v>
      </c>
      <c r="W256" s="1113">
        <v>1.4579</v>
      </c>
      <c r="X256" s="1114">
        <f t="shared" si="170"/>
        <v>699.792</v>
      </c>
      <c r="Z256" s="1040" t="s">
        <v>4207</v>
      </c>
      <c r="AA256" s="1150" t="s">
        <v>128</v>
      </c>
      <c r="AB256" s="1150" t="s">
        <v>4278</v>
      </c>
      <c r="AC256" s="1151">
        <v>480</v>
      </c>
      <c r="AD256" s="1151"/>
      <c r="AE256" s="1151"/>
      <c r="AF256" s="579"/>
      <c r="AG256" s="579"/>
      <c r="AH256" s="1151">
        <f t="shared" si="171"/>
        <v>480</v>
      </c>
      <c r="AI256" s="1151"/>
      <c r="AJ256" s="1151"/>
      <c r="AK256" s="1151"/>
      <c r="AL256" s="1151"/>
      <c r="AM256" s="1151"/>
      <c r="AN256" s="543"/>
      <c r="AO256" s="543"/>
      <c r="AP256" s="543"/>
      <c r="AQ256" s="543">
        <f t="shared" si="172"/>
        <v>480</v>
      </c>
      <c r="AR256" s="543"/>
      <c r="AS256" s="543"/>
      <c r="AT256" s="543"/>
      <c r="AU256" s="543"/>
      <c r="AV256" s="543">
        <f t="shared" si="173"/>
        <v>480</v>
      </c>
      <c r="AW256" s="543"/>
      <c r="AX256" s="543"/>
      <c r="AY256" s="543"/>
      <c r="AZ256" s="543"/>
      <c r="BA256" s="1372">
        <f t="shared" si="174"/>
        <v>480</v>
      </c>
      <c r="BB256" s="543"/>
      <c r="BC256" s="1200"/>
      <c r="BD256" s="1200"/>
      <c r="BE256" s="1200"/>
      <c r="BF256" s="1200"/>
      <c r="BG256" s="1200"/>
      <c r="BH256" s="1200"/>
      <c r="BI256" s="1200"/>
      <c r="BJ256" s="1200"/>
      <c r="BK256" s="1200"/>
      <c r="BL256" s="1200"/>
      <c r="BM256" s="1200"/>
      <c r="BN256" s="1200"/>
      <c r="BO256" s="1200"/>
      <c r="BP256" s="1200"/>
      <c r="BQ256" s="1200"/>
      <c r="BR256" s="1200"/>
      <c r="BS256" s="1200"/>
      <c r="BT256" s="1200"/>
      <c r="BU256" s="1200"/>
      <c r="BV256" s="1200"/>
      <c r="BW256" s="1200"/>
      <c r="BX256" s="1200"/>
      <c r="BY256" s="1200"/>
      <c r="BZ256" s="1012">
        <f t="shared" si="166"/>
        <v>480</v>
      </c>
      <c r="CB256" s="1224"/>
      <c r="CC256" s="1224"/>
      <c r="CE256" s="1009">
        <f>CE258-AH256-AI256-AJ256</f>
        <v>713129</v>
      </c>
    </row>
    <row r="257" s="1011" customFormat="1" ht="36" customHeight="1" spans="1:83">
      <c r="A257" s="1047">
        <v>45952</v>
      </c>
      <c r="B257" s="1048" t="s">
        <v>4304</v>
      </c>
      <c r="C257" s="1049" t="s">
        <v>180</v>
      </c>
      <c r="D257" s="1050">
        <v>4500182680</v>
      </c>
      <c r="E257" s="1051"/>
      <c r="F257" s="1050" t="s">
        <v>4305</v>
      </c>
      <c r="G257" s="1052" t="s">
        <v>215</v>
      </c>
      <c r="H257" s="1053" t="s">
        <v>74</v>
      </c>
      <c r="I257" s="1011">
        <v>2940</v>
      </c>
      <c r="J257" s="1085">
        <v>0</v>
      </c>
      <c r="K257" s="1052">
        <v>42</v>
      </c>
      <c r="L257" s="1011">
        <f t="shared" si="161"/>
        <v>70</v>
      </c>
      <c r="M257" s="1086">
        <v>45989</v>
      </c>
      <c r="N257" s="1079">
        <v>45992</v>
      </c>
      <c r="O257" s="707"/>
      <c r="P257" s="707" t="s">
        <v>1262</v>
      </c>
      <c r="Q257" s="707" t="s">
        <v>4306</v>
      </c>
      <c r="R257" s="707">
        <v>45952</v>
      </c>
      <c r="S257" s="1122" t="s">
        <v>77</v>
      </c>
      <c r="T257" s="1123" t="s">
        <v>4307</v>
      </c>
      <c r="U257" s="1051" t="s">
        <v>4308</v>
      </c>
      <c r="V257" s="1124" t="s">
        <v>1129</v>
      </c>
      <c r="W257" s="1125">
        <v>1.4239</v>
      </c>
      <c r="X257" s="1126">
        <f t="shared" si="170"/>
        <v>4186.266</v>
      </c>
      <c r="Y257" s="1011" t="s">
        <v>4309</v>
      </c>
      <c r="Z257" s="1156" t="s">
        <v>220</v>
      </c>
      <c r="AA257" s="1157" t="s">
        <v>128</v>
      </c>
      <c r="AB257" s="1157" t="s">
        <v>4278</v>
      </c>
      <c r="AC257" s="1158">
        <v>2940</v>
      </c>
      <c r="AD257" s="1158"/>
      <c r="AE257" s="1158"/>
      <c r="AF257" s="707"/>
      <c r="AG257" s="707"/>
      <c r="AH257" s="1158">
        <f t="shared" si="171"/>
        <v>2940</v>
      </c>
      <c r="AI257" s="1158"/>
      <c r="AJ257" s="1158"/>
      <c r="AK257" s="1158"/>
      <c r="AL257" s="1158"/>
      <c r="AM257" s="1158"/>
      <c r="AN257" s="1194"/>
      <c r="AO257" s="1193"/>
      <c r="AP257" s="1193"/>
      <c r="AQ257" s="1194">
        <f t="shared" si="172"/>
        <v>2940</v>
      </c>
      <c r="AR257" s="1194"/>
      <c r="AS257" s="1194"/>
      <c r="AT257" s="1194"/>
      <c r="AU257" s="1194"/>
      <c r="AV257" s="1009">
        <f t="shared" si="173"/>
        <v>2940</v>
      </c>
      <c r="AW257" s="1193"/>
      <c r="AX257" s="1193"/>
      <c r="AY257" s="1193"/>
      <c r="AZ257" s="1193">
        <f>I257</f>
        <v>2940</v>
      </c>
      <c r="BA257" s="1193">
        <f t="shared" si="174"/>
        <v>2940</v>
      </c>
      <c r="BB257" s="1193"/>
      <c r="BC257" s="1202">
        <f>I257/21</f>
        <v>140</v>
      </c>
      <c r="BD257" s="1202"/>
      <c r="BE257" s="1202"/>
      <c r="BF257" s="1202"/>
      <c r="BG257" s="1202"/>
      <c r="BH257" s="1202"/>
      <c r="BI257" s="1202"/>
      <c r="BJ257" s="1202"/>
      <c r="BK257" s="1202"/>
      <c r="BL257" s="1202"/>
      <c r="BM257" s="1202"/>
      <c r="BN257" s="1202"/>
      <c r="BO257" s="1202"/>
      <c r="BP257" s="1202"/>
      <c r="BQ257" s="1202"/>
      <c r="BR257" s="1202"/>
      <c r="BS257" s="1202"/>
      <c r="BT257" s="1202"/>
      <c r="BU257" s="1202"/>
      <c r="BV257" s="1222"/>
      <c r="BW257" s="1222"/>
      <c r="BX257" s="1222"/>
      <c r="BY257" s="1222"/>
      <c r="BZ257" s="1011">
        <f t="shared" si="166"/>
        <v>2940</v>
      </c>
      <c r="CB257" s="1223"/>
      <c r="CC257" s="1223"/>
      <c r="CE257" s="1009">
        <f>CE252-AH257-AI257-AJ257</f>
        <v>715470</v>
      </c>
    </row>
    <row r="258" s="1012" customFormat="1" ht="36" customHeight="1" spans="1:83">
      <c r="A258" s="540">
        <v>45930</v>
      </c>
      <c r="B258" s="1036" t="s">
        <v>3979</v>
      </c>
      <c r="C258" s="1037" t="s">
        <v>1211</v>
      </c>
      <c r="D258" s="1038">
        <v>4500181141</v>
      </c>
      <c r="E258" s="1039" t="s">
        <v>4310</v>
      </c>
      <c r="F258" s="1038" t="s">
        <v>4311</v>
      </c>
      <c r="G258" s="1040" t="s">
        <v>96</v>
      </c>
      <c r="H258" s="1041" t="s">
        <v>74</v>
      </c>
      <c r="I258" s="1012">
        <v>400</v>
      </c>
      <c r="J258" s="1087">
        <v>0</v>
      </c>
      <c r="K258" s="1040">
        <v>50</v>
      </c>
      <c r="L258" s="1012">
        <f t="shared" si="161"/>
        <v>8</v>
      </c>
      <c r="M258" s="1079">
        <v>45996</v>
      </c>
      <c r="N258" s="1079">
        <v>45992</v>
      </c>
      <c r="O258" s="579"/>
      <c r="P258" s="579" t="s">
        <v>1262</v>
      </c>
      <c r="Q258" s="579"/>
      <c r="R258" s="579">
        <v>45930</v>
      </c>
      <c r="S258" s="578" t="s">
        <v>77</v>
      </c>
      <c r="T258" s="578" t="s">
        <v>4312</v>
      </c>
      <c r="U258" s="1039" t="s">
        <v>4313</v>
      </c>
      <c r="V258" s="1112" t="s">
        <v>618</v>
      </c>
      <c r="W258" s="1113">
        <v>1.4097</v>
      </c>
      <c r="X258" s="1114">
        <f t="shared" si="170"/>
        <v>563.88</v>
      </c>
      <c r="Y258" s="1012" t="s">
        <v>4314</v>
      </c>
      <c r="Z258" s="1159" t="s">
        <v>292</v>
      </c>
      <c r="AA258" s="1150" t="s">
        <v>128</v>
      </c>
      <c r="AB258" s="1150" t="s">
        <v>4278</v>
      </c>
      <c r="AC258" s="1151">
        <v>400</v>
      </c>
      <c r="AD258" s="1151"/>
      <c r="AE258" s="1151"/>
      <c r="AF258" s="579"/>
      <c r="AG258" s="579"/>
      <c r="AH258" s="1151">
        <f t="shared" si="171"/>
        <v>400</v>
      </c>
      <c r="AI258" s="1151"/>
      <c r="AJ258" s="1151"/>
      <c r="AK258" s="1151"/>
      <c r="AL258" s="1151"/>
      <c r="AM258" s="1151"/>
      <c r="AN258" s="543"/>
      <c r="AO258" s="543"/>
      <c r="AP258" s="543"/>
      <c r="AQ258" s="543">
        <f t="shared" si="172"/>
        <v>400</v>
      </c>
      <c r="AR258" s="543"/>
      <c r="AS258" s="543"/>
      <c r="AT258" s="543"/>
      <c r="AU258" s="543"/>
      <c r="AV258" s="543">
        <f t="shared" si="173"/>
        <v>400</v>
      </c>
      <c r="AW258" s="543"/>
      <c r="AX258" s="543"/>
      <c r="AY258" s="543"/>
      <c r="AZ258" s="543"/>
      <c r="BA258" s="543"/>
      <c r="BB258" s="543"/>
      <c r="BC258" s="1200"/>
      <c r="BD258" s="1200"/>
      <c r="BE258" s="1200"/>
      <c r="BF258" s="1200"/>
      <c r="BG258" s="1200"/>
      <c r="BH258" s="1200"/>
      <c r="BI258" s="1200"/>
      <c r="BJ258" s="1200"/>
      <c r="BK258" s="1200"/>
      <c r="BL258" s="1200"/>
      <c r="BM258" s="1200"/>
      <c r="BN258" s="1200">
        <f>I258/25</f>
        <v>16</v>
      </c>
      <c r="BO258" s="1200"/>
      <c r="BP258" s="1200"/>
      <c r="BQ258" s="1200"/>
      <c r="BR258" s="1200"/>
      <c r="BS258" s="1200"/>
      <c r="BT258" s="1200"/>
      <c r="BU258" s="1200"/>
      <c r="BV258" s="1200"/>
      <c r="BW258" s="1200"/>
      <c r="BX258" s="1200"/>
      <c r="BY258" s="1200"/>
      <c r="BZ258" s="1012">
        <f t="shared" si="166"/>
        <v>400</v>
      </c>
      <c r="CB258" s="1224"/>
      <c r="CC258" s="1224"/>
      <c r="CE258" s="1009">
        <f>CE255-AH258-AI258-AJ258</f>
        <v>713609</v>
      </c>
    </row>
    <row r="259" s="1010" customFormat="1" ht="36" customHeight="1" spans="1:83">
      <c r="A259" s="1042">
        <v>45960</v>
      </c>
      <c r="B259" s="550" t="s">
        <v>1794</v>
      </c>
      <c r="C259" s="552" t="s">
        <v>117</v>
      </c>
      <c r="D259" s="1043">
        <v>4500183797</v>
      </c>
      <c r="E259" s="1044" t="s">
        <v>4315</v>
      </c>
      <c r="F259" s="1043" t="s">
        <v>4316</v>
      </c>
      <c r="G259" s="1045" t="s">
        <v>628</v>
      </c>
      <c r="H259" s="693" t="s">
        <v>623</v>
      </c>
      <c r="I259" s="1010">
        <v>996</v>
      </c>
      <c r="J259" s="1084">
        <v>0</v>
      </c>
      <c r="K259" s="1045">
        <v>12</v>
      </c>
      <c r="L259" s="1010">
        <f t="shared" si="161"/>
        <v>83</v>
      </c>
      <c r="M259" s="1083">
        <v>45996</v>
      </c>
      <c r="N259" s="1083">
        <v>45992</v>
      </c>
      <c r="O259" s="449" t="s">
        <v>4317</v>
      </c>
      <c r="P259" s="449" t="s">
        <v>92</v>
      </c>
      <c r="Q259" s="449" t="s">
        <v>3010</v>
      </c>
      <c r="R259" s="449">
        <v>45965</v>
      </c>
      <c r="S259" s="448" t="s">
        <v>77</v>
      </c>
      <c r="T259" s="586" t="s">
        <v>4318</v>
      </c>
      <c r="U259" s="1044" t="s">
        <v>4319</v>
      </c>
      <c r="V259" s="1116" t="s">
        <v>1341</v>
      </c>
      <c r="W259" s="1119">
        <v>1.8222</v>
      </c>
      <c r="X259" s="1120">
        <f t="shared" ref="X259:X272" si="175">W259*I259</f>
        <v>1814.9112</v>
      </c>
      <c r="Z259" s="1153" t="s">
        <v>628</v>
      </c>
      <c r="AA259" s="1154" t="s">
        <v>128</v>
      </c>
      <c r="AB259" s="1154" t="s">
        <v>4278</v>
      </c>
      <c r="AC259" s="1155">
        <v>996</v>
      </c>
      <c r="AD259" s="1155"/>
      <c r="AE259" s="1155"/>
      <c r="AF259" s="449"/>
      <c r="AG259" s="449"/>
      <c r="AH259" s="1155">
        <f t="shared" ref="AH259:AH272" si="176">I259*2</f>
        <v>1992</v>
      </c>
      <c r="AI259" s="1155"/>
      <c r="AJ259" s="1155"/>
      <c r="AK259" s="1155">
        <f t="shared" ref="AK259:AK264" si="177">I259*2</f>
        <v>1992</v>
      </c>
      <c r="AL259" s="1155"/>
      <c r="AM259" s="1155"/>
      <c r="AN259" s="1178"/>
      <c r="AO259" s="1178"/>
      <c r="AP259" s="1178"/>
      <c r="AQ259" s="1178"/>
      <c r="AR259" s="1178"/>
      <c r="AS259" s="1178"/>
      <c r="AT259" s="1178"/>
      <c r="AU259" s="1178">
        <f t="shared" ref="AU259:AU272" si="178">I259*2</f>
        <v>1992</v>
      </c>
      <c r="AV259" s="1178"/>
      <c r="AW259" s="1178"/>
      <c r="AX259" s="1178"/>
      <c r="AY259" s="1178"/>
      <c r="AZ259" s="1178"/>
      <c r="BA259" s="1178"/>
      <c r="BB259" s="1178"/>
      <c r="BC259" s="1201"/>
      <c r="BD259" s="1201"/>
      <c r="BE259" s="1201"/>
      <c r="BF259" s="1201"/>
      <c r="BG259" s="1201"/>
      <c r="BH259" s="1201"/>
      <c r="BI259" s="1201"/>
      <c r="BJ259" s="1201"/>
      <c r="BK259" s="1201"/>
      <c r="BL259" s="1201"/>
      <c r="BM259" s="1201"/>
      <c r="BN259" s="1201"/>
      <c r="BO259" s="1201"/>
      <c r="BP259" s="1201"/>
      <c r="BQ259" s="1201"/>
      <c r="BR259" s="1201"/>
      <c r="BS259" s="1201"/>
      <c r="BT259" s="1201"/>
      <c r="BU259" s="1201"/>
      <c r="BV259" s="1201"/>
      <c r="BW259" s="1220">
        <f t="shared" ref="BW259:BW272" si="179">I259</f>
        <v>996</v>
      </c>
      <c r="BX259" s="1201">
        <f t="shared" ref="BX259:BX264" si="180">I259</f>
        <v>996</v>
      </c>
      <c r="BY259" s="1201"/>
      <c r="BZ259" s="1010">
        <f t="shared" ref="BZ259:BZ264" si="181">I259</f>
        <v>996</v>
      </c>
      <c r="CB259" s="1221"/>
      <c r="CC259" s="1221"/>
      <c r="CE259" s="1235">
        <f>CE256-AH259-AI259-AJ259</f>
        <v>711137</v>
      </c>
    </row>
    <row r="260" s="1010" customFormat="1" ht="36" customHeight="1" spans="1:83">
      <c r="A260" s="1042">
        <v>45960</v>
      </c>
      <c r="B260" s="550" t="s">
        <v>1794</v>
      </c>
      <c r="C260" s="552" t="s">
        <v>117</v>
      </c>
      <c r="D260" s="1043">
        <v>4500183798</v>
      </c>
      <c r="E260" s="1044" t="s">
        <v>4320</v>
      </c>
      <c r="F260" s="1043" t="s">
        <v>4321</v>
      </c>
      <c r="G260" s="1045" t="s">
        <v>628</v>
      </c>
      <c r="H260" s="693" t="s">
        <v>623</v>
      </c>
      <c r="I260" s="1010">
        <v>1200</v>
      </c>
      <c r="J260" s="1084">
        <v>0</v>
      </c>
      <c r="K260" s="1045">
        <v>12</v>
      </c>
      <c r="L260" s="1010">
        <f t="shared" si="161"/>
        <v>100</v>
      </c>
      <c r="M260" s="1083">
        <v>45996</v>
      </c>
      <c r="N260" s="1083">
        <v>45992</v>
      </c>
      <c r="O260" s="449" t="s">
        <v>4317</v>
      </c>
      <c r="P260" s="449" t="s">
        <v>92</v>
      </c>
      <c r="Q260" s="449" t="s">
        <v>3010</v>
      </c>
      <c r="R260" s="449">
        <v>45965</v>
      </c>
      <c r="S260" s="448" t="s">
        <v>77</v>
      </c>
      <c r="T260" s="586" t="s">
        <v>4318</v>
      </c>
      <c r="U260" s="1044" t="s">
        <v>4319</v>
      </c>
      <c r="V260" s="1116" t="s">
        <v>1341</v>
      </c>
      <c r="W260" s="1119">
        <v>1.8222</v>
      </c>
      <c r="X260" s="1120">
        <f t="shared" si="175"/>
        <v>2186.64</v>
      </c>
      <c r="Z260" s="1153" t="s">
        <v>628</v>
      </c>
      <c r="AA260" s="1154" t="s">
        <v>128</v>
      </c>
      <c r="AB260" s="1154" t="s">
        <v>4278</v>
      </c>
      <c r="AC260" s="1155">
        <v>1200</v>
      </c>
      <c r="AD260" s="1155"/>
      <c r="AE260" s="1155"/>
      <c r="AF260" s="449"/>
      <c r="AG260" s="449"/>
      <c r="AH260" s="1155">
        <f t="shared" si="176"/>
        <v>2400</v>
      </c>
      <c r="AI260" s="1155"/>
      <c r="AJ260" s="1155"/>
      <c r="AK260" s="1155">
        <f t="shared" si="177"/>
        <v>2400</v>
      </c>
      <c r="AL260" s="1155"/>
      <c r="AM260" s="1155"/>
      <c r="AN260" s="1178"/>
      <c r="AO260" s="1178"/>
      <c r="AP260" s="1178"/>
      <c r="AQ260" s="1178"/>
      <c r="AR260" s="1178"/>
      <c r="AS260" s="1178"/>
      <c r="AT260" s="1178"/>
      <c r="AU260" s="1178">
        <f t="shared" si="178"/>
        <v>2400</v>
      </c>
      <c r="AV260" s="1178"/>
      <c r="AW260" s="1178"/>
      <c r="AX260" s="1178"/>
      <c r="AY260" s="1178"/>
      <c r="AZ260" s="1178"/>
      <c r="BA260" s="1178"/>
      <c r="BB260" s="1178"/>
      <c r="BC260" s="1201"/>
      <c r="BD260" s="1201"/>
      <c r="BE260" s="1201"/>
      <c r="BF260" s="1201"/>
      <c r="BG260" s="1201"/>
      <c r="BH260" s="1201"/>
      <c r="BI260" s="1201"/>
      <c r="BJ260" s="1201"/>
      <c r="BK260" s="1201"/>
      <c r="BL260" s="1201"/>
      <c r="BM260" s="1201"/>
      <c r="BN260" s="1201"/>
      <c r="BO260" s="1201"/>
      <c r="BP260" s="1201"/>
      <c r="BQ260" s="1201"/>
      <c r="BR260" s="1201"/>
      <c r="BS260" s="1201"/>
      <c r="BT260" s="1201"/>
      <c r="BU260" s="1201"/>
      <c r="BV260" s="1201"/>
      <c r="BW260" s="1220">
        <f t="shared" si="179"/>
        <v>1200</v>
      </c>
      <c r="BX260" s="1201">
        <f t="shared" si="180"/>
        <v>1200</v>
      </c>
      <c r="BY260" s="1201"/>
      <c r="BZ260" s="1010">
        <f t="shared" si="181"/>
        <v>1200</v>
      </c>
      <c r="CB260" s="1221"/>
      <c r="CC260" s="1221"/>
      <c r="CE260" s="1235">
        <f t="shared" ref="CE260:CE264" si="182">CE259-AH260-AI260-AJ260</f>
        <v>708737</v>
      </c>
    </row>
    <row r="261" s="1010" customFormat="1" ht="36" customHeight="1" spans="1:83">
      <c r="A261" s="1042">
        <v>45912</v>
      </c>
      <c r="B261" s="550" t="s">
        <v>1210</v>
      </c>
      <c r="C261" s="552" t="s">
        <v>1211</v>
      </c>
      <c r="D261" s="1043">
        <v>4500179365</v>
      </c>
      <c r="E261" s="1044" t="s">
        <v>4322</v>
      </c>
      <c r="F261" s="1043" t="s">
        <v>4323</v>
      </c>
      <c r="G261" s="1045" t="s">
        <v>96</v>
      </c>
      <c r="H261" s="693" t="s">
        <v>74</v>
      </c>
      <c r="I261" s="1010">
        <v>5000</v>
      </c>
      <c r="J261" s="1084">
        <v>0</v>
      </c>
      <c r="K261" s="1045">
        <v>50</v>
      </c>
      <c r="L261" s="1010">
        <f t="shared" si="161"/>
        <v>100</v>
      </c>
      <c r="M261" s="1083">
        <v>46016</v>
      </c>
      <c r="N261" s="1083">
        <v>46013</v>
      </c>
      <c r="O261" s="449"/>
      <c r="P261" s="449" t="s">
        <v>92</v>
      </c>
      <c r="Q261" s="449" t="s">
        <v>4324</v>
      </c>
      <c r="R261" s="449">
        <v>45919</v>
      </c>
      <c r="S261" s="448" t="s">
        <v>77</v>
      </c>
      <c r="T261" s="448" t="s">
        <v>4312</v>
      </c>
      <c r="U261" s="1044" t="s">
        <v>4325</v>
      </c>
      <c r="V261" s="1116" t="s">
        <v>618</v>
      </c>
      <c r="W261" s="1119">
        <v>1.3998</v>
      </c>
      <c r="X261" s="1120">
        <f>I261*W261</f>
        <v>6999</v>
      </c>
      <c r="Z261" s="1153" t="s">
        <v>292</v>
      </c>
      <c r="AA261" s="1154" t="s">
        <v>128</v>
      </c>
      <c r="AB261" s="1154" t="s">
        <v>4278</v>
      </c>
      <c r="AC261" s="1155">
        <f>150+4850</f>
        <v>5000</v>
      </c>
      <c r="AD261" s="1155"/>
      <c r="AE261" s="1155"/>
      <c r="AF261" s="449"/>
      <c r="AG261" s="449"/>
      <c r="AH261" s="1155">
        <f>I261</f>
        <v>5000</v>
      </c>
      <c r="AI261" s="1155"/>
      <c r="AJ261" s="1155"/>
      <c r="AK261" s="1155"/>
      <c r="AL261" s="1155"/>
      <c r="AM261" s="1155"/>
      <c r="AN261" s="1178"/>
      <c r="AO261" s="1178"/>
      <c r="AP261" s="1178"/>
      <c r="AQ261" s="1178">
        <f>I261</f>
        <v>5000</v>
      </c>
      <c r="AR261" s="1178"/>
      <c r="AS261" s="1178"/>
      <c r="AT261" s="1178"/>
      <c r="AU261" s="1178">
        <f>I261</f>
        <v>5000</v>
      </c>
      <c r="AW261" s="1178"/>
      <c r="AX261" s="1178"/>
      <c r="AY261" s="1178"/>
      <c r="AZ261" s="1178"/>
      <c r="BA261" s="1178"/>
      <c r="BB261" s="1178"/>
      <c r="BC261" s="1201"/>
      <c r="BD261" s="1201"/>
      <c r="BE261" s="1201"/>
      <c r="BF261" s="1201"/>
      <c r="BG261" s="1201"/>
      <c r="BH261" s="1201"/>
      <c r="BI261" s="1201"/>
      <c r="BJ261" s="1201"/>
      <c r="BK261" s="1201"/>
      <c r="BL261" s="1201"/>
      <c r="BM261" s="1201"/>
      <c r="BN261" s="1201">
        <f>I261/25</f>
        <v>200</v>
      </c>
      <c r="BO261" s="1201"/>
      <c r="BP261" s="1201"/>
      <c r="BQ261" s="1201"/>
      <c r="BR261" s="1201"/>
      <c r="BS261" s="1201"/>
      <c r="BT261" s="1201"/>
      <c r="BU261" s="1201"/>
      <c r="BV261" s="1201"/>
      <c r="BW261" s="1201"/>
      <c r="BX261" s="1201"/>
      <c r="BY261" s="1201"/>
      <c r="BZ261" s="1010">
        <f>AH261+AI261+AJ261</f>
        <v>5000</v>
      </c>
      <c r="CB261" s="1221"/>
      <c r="CC261" s="1221"/>
      <c r="CE261" s="1235">
        <f t="shared" si="182"/>
        <v>703737</v>
      </c>
    </row>
    <row r="262" s="1010" customFormat="1" ht="36" customHeight="1" spans="1:83">
      <c r="A262" s="1042">
        <v>45975</v>
      </c>
      <c r="B262" s="550" t="s">
        <v>4326</v>
      </c>
      <c r="C262" s="552" t="s">
        <v>689</v>
      </c>
      <c r="D262" s="1043">
        <v>4500185718</v>
      </c>
      <c r="E262" s="1044">
        <v>32727064</v>
      </c>
      <c r="F262" s="1043" t="s">
        <v>4327</v>
      </c>
      <c r="G262" s="1045" t="s">
        <v>1435</v>
      </c>
      <c r="H262" s="1046" t="s">
        <v>74</v>
      </c>
      <c r="I262" s="1080">
        <v>1300</v>
      </c>
      <c r="J262" s="1081">
        <v>0</v>
      </c>
      <c r="K262" s="1082">
        <v>13</v>
      </c>
      <c r="L262" s="1080">
        <f t="shared" si="161"/>
        <v>100</v>
      </c>
      <c r="M262" s="1083">
        <v>46017</v>
      </c>
      <c r="N262" s="1083">
        <v>46013</v>
      </c>
      <c r="O262" s="449" t="s">
        <v>863</v>
      </c>
      <c r="P262" s="449" t="s">
        <v>92</v>
      </c>
      <c r="Q262" s="449" t="s">
        <v>4328</v>
      </c>
      <c r="R262" s="449">
        <v>45975</v>
      </c>
      <c r="S262" s="1115" t="s">
        <v>77</v>
      </c>
      <c r="T262" s="586" t="s">
        <v>4263</v>
      </c>
      <c r="U262" s="1044" t="s">
        <v>4329</v>
      </c>
      <c r="V262" s="1116" t="s">
        <v>695</v>
      </c>
      <c r="W262" s="1117">
        <v>1.3618</v>
      </c>
      <c r="X262" s="1118">
        <f>I262*W262</f>
        <v>1770.34</v>
      </c>
      <c r="Y262" s="1152" t="s">
        <v>3582</v>
      </c>
      <c r="Z262" s="1153" t="s">
        <v>4100</v>
      </c>
      <c r="AA262" s="1154" t="s">
        <v>128</v>
      </c>
      <c r="AB262" s="1154" t="s">
        <v>4278</v>
      </c>
      <c r="AC262" s="1155">
        <v>1300</v>
      </c>
      <c r="AD262" s="1155"/>
      <c r="AE262" s="1155"/>
      <c r="AF262" s="449"/>
      <c r="AG262" s="449"/>
      <c r="AH262" s="1155"/>
      <c r="AI262" s="1177">
        <f>I262</f>
        <v>1300</v>
      </c>
      <c r="AJ262" s="1155"/>
      <c r="AK262" s="1155"/>
      <c r="AL262" s="1155"/>
      <c r="AM262" s="1155"/>
      <c r="AN262" s="1178"/>
      <c r="AO262" s="1178"/>
      <c r="AP262" s="1178"/>
      <c r="AQ262" s="520">
        <f>I262</f>
        <v>1300</v>
      </c>
      <c r="AR262" s="1178"/>
      <c r="AS262" s="1178"/>
      <c r="AT262" s="1178"/>
      <c r="AU262" s="520">
        <f>I262</f>
        <v>1300</v>
      </c>
      <c r="AW262" s="520"/>
      <c r="AX262" s="520"/>
      <c r="AY262" s="520"/>
      <c r="AZ262" s="520">
        <f>I262</f>
        <v>1300</v>
      </c>
      <c r="BA262" s="520">
        <f>I262</f>
        <v>1300</v>
      </c>
      <c r="BB262" s="1178"/>
      <c r="BC262" s="1201"/>
      <c r="BD262" s="1201"/>
      <c r="BE262" s="1201"/>
      <c r="BF262" s="1201"/>
      <c r="BG262" s="1201"/>
      <c r="BH262" s="1201"/>
      <c r="BI262" s="1201"/>
      <c r="BJ262" s="1201"/>
      <c r="BK262" s="1201"/>
      <c r="BL262" s="1209">
        <f>I262/13</f>
        <v>100</v>
      </c>
      <c r="BM262" s="1201"/>
      <c r="BN262" s="1201"/>
      <c r="BO262" s="1201"/>
      <c r="BP262" s="1201"/>
      <c r="BQ262" s="1201"/>
      <c r="BR262" s="1201"/>
      <c r="BS262" s="1201"/>
      <c r="BT262" s="1201"/>
      <c r="BU262" s="1201"/>
      <c r="BV262" s="1201"/>
      <c r="BW262" s="1220"/>
      <c r="BX262" s="1201"/>
      <c r="BY262" s="1201"/>
      <c r="BZ262" s="1080">
        <f>AH262+AI262+AJ262</f>
        <v>1300</v>
      </c>
      <c r="CB262" s="1221"/>
      <c r="CC262" s="1221"/>
      <c r="CE262" s="1235">
        <f t="shared" si="182"/>
        <v>702437</v>
      </c>
    </row>
    <row r="263" s="1010" customFormat="1" ht="36" customHeight="1" spans="1:83">
      <c r="A263" s="1042">
        <v>45960</v>
      </c>
      <c r="B263" s="550" t="s">
        <v>4330</v>
      </c>
      <c r="C263" s="552" t="s">
        <v>117</v>
      </c>
      <c r="D263" s="1043">
        <v>4500183805</v>
      </c>
      <c r="E263" s="1044" t="s">
        <v>4331</v>
      </c>
      <c r="F263" s="1043" t="s">
        <v>4332</v>
      </c>
      <c r="G263" s="1045" t="s">
        <v>628</v>
      </c>
      <c r="H263" s="693" t="s">
        <v>623</v>
      </c>
      <c r="I263" s="1010">
        <v>996</v>
      </c>
      <c r="J263" s="1084">
        <v>0</v>
      </c>
      <c r="K263" s="1045">
        <v>12</v>
      </c>
      <c r="L263" s="1010">
        <f t="shared" si="161"/>
        <v>83</v>
      </c>
      <c r="M263" s="1083">
        <v>46022</v>
      </c>
      <c r="N263" s="1083">
        <v>46018</v>
      </c>
      <c r="O263" s="449" t="s">
        <v>4317</v>
      </c>
      <c r="P263" s="449" t="s">
        <v>1262</v>
      </c>
      <c r="Q263" s="449" t="s">
        <v>3217</v>
      </c>
      <c r="R263" s="449">
        <v>45965</v>
      </c>
      <c r="S263" s="448" t="s">
        <v>77</v>
      </c>
      <c r="T263" s="586" t="s">
        <v>4333</v>
      </c>
      <c r="U263" s="1044" t="s">
        <v>4334</v>
      </c>
      <c r="V263" s="1116" t="s">
        <v>3618</v>
      </c>
      <c r="W263" s="1119">
        <v>1.8222</v>
      </c>
      <c r="X263" s="1120">
        <f t="shared" si="175"/>
        <v>1814.9112</v>
      </c>
      <c r="Y263" s="1152" t="s">
        <v>3582</v>
      </c>
      <c r="Z263" s="1153" t="s">
        <v>628</v>
      </c>
      <c r="AA263" s="1154" t="s">
        <v>128</v>
      </c>
      <c r="AB263" s="1154"/>
      <c r="AC263" s="1155"/>
      <c r="AD263" s="1155"/>
      <c r="AE263" s="1155" t="s">
        <v>4335</v>
      </c>
      <c r="AF263" s="449"/>
      <c r="AG263" s="449"/>
      <c r="AH263" s="1155">
        <f t="shared" si="176"/>
        <v>1992</v>
      </c>
      <c r="AI263" s="1155"/>
      <c r="AJ263" s="1155"/>
      <c r="AK263" s="1155">
        <f t="shared" si="177"/>
        <v>1992</v>
      </c>
      <c r="AL263" s="1155"/>
      <c r="AM263" s="1155"/>
      <c r="AN263" s="1178"/>
      <c r="AO263" s="1178"/>
      <c r="AP263" s="1178"/>
      <c r="AQ263" s="1178"/>
      <c r="AR263" s="1178"/>
      <c r="AS263" s="1178"/>
      <c r="AT263" s="1178"/>
      <c r="AU263" s="1178">
        <f t="shared" si="178"/>
        <v>1992</v>
      </c>
      <c r="AV263" s="1178"/>
      <c r="AW263" s="1178"/>
      <c r="AX263" s="1178"/>
      <c r="AY263" s="1178"/>
      <c r="AZ263" s="1178"/>
      <c r="BA263" s="1178"/>
      <c r="BB263" s="1178"/>
      <c r="BC263" s="1201"/>
      <c r="BD263" s="1201"/>
      <c r="BE263" s="1201"/>
      <c r="BF263" s="1201"/>
      <c r="BG263" s="1201"/>
      <c r="BH263" s="1201"/>
      <c r="BI263" s="1201"/>
      <c r="BJ263" s="1201"/>
      <c r="BK263" s="1201"/>
      <c r="BL263" s="1201"/>
      <c r="BM263" s="1201"/>
      <c r="BN263" s="1201"/>
      <c r="BO263" s="1201"/>
      <c r="BP263" s="1201"/>
      <c r="BQ263" s="1201"/>
      <c r="BR263" s="1201"/>
      <c r="BS263" s="1201"/>
      <c r="BT263" s="1201"/>
      <c r="BU263" s="1201"/>
      <c r="BV263" s="1201"/>
      <c r="BW263" s="1220">
        <f t="shared" si="179"/>
        <v>996</v>
      </c>
      <c r="BX263" s="1201">
        <f t="shared" si="180"/>
        <v>996</v>
      </c>
      <c r="BY263" s="1201"/>
      <c r="BZ263" s="1010">
        <f t="shared" si="181"/>
        <v>996</v>
      </c>
      <c r="CB263" s="1221"/>
      <c r="CC263" s="1221"/>
      <c r="CE263" s="1235">
        <f t="shared" si="182"/>
        <v>700445</v>
      </c>
    </row>
    <row r="264" s="1010" customFormat="1" ht="36" customHeight="1" spans="1:83">
      <c r="A264" s="1042">
        <v>45960</v>
      </c>
      <c r="B264" s="550" t="s">
        <v>1794</v>
      </c>
      <c r="C264" s="552" t="s">
        <v>117</v>
      </c>
      <c r="D264" s="1043">
        <v>4500183809</v>
      </c>
      <c r="E264" s="1044" t="s">
        <v>4336</v>
      </c>
      <c r="F264" s="1043" t="s">
        <v>4337</v>
      </c>
      <c r="G264" s="1045" t="s">
        <v>628</v>
      </c>
      <c r="H264" s="693" t="s">
        <v>623</v>
      </c>
      <c r="I264" s="1010">
        <v>1200</v>
      </c>
      <c r="J264" s="1084">
        <v>0</v>
      </c>
      <c r="K264" s="1045">
        <v>12</v>
      </c>
      <c r="L264" s="1010">
        <f t="shared" si="161"/>
        <v>100</v>
      </c>
      <c r="M264" s="1083">
        <v>46022</v>
      </c>
      <c r="N264" s="1083">
        <v>46018</v>
      </c>
      <c r="O264" s="449" t="s">
        <v>4317</v>
      </c>
      <c r="P264" s="449" t="s">
        <v>1262</v>
      </c>
      <c r="Q264" s="449" t="s">
        <v>4338</v>
      </c>
      <c r="R264" s="449">
        <v>45965</v>
      </c>
      <c r="S264" s="448" t="s">
        <v>77</v>
      </c>
      <c r="T264" s="586" t="s">
        <v>4333</v>
      </c>
      <c r="U264" s="1044" t="s">
        <v>4319</v>
      </c>
      <c r="V264" s="1116" t="s">
        <v>1341</v>
      </c>
      <c r="W264" s="1119">
        <v>1.8004</v>
      </c>
      <c r="X264" s="1120">
        <f t="shared" si="175"/>
        <v>2160.48</v>
      </c>
      <c r="Y264" s="1152" t="s">
        <v>3582</v>
      </c>
      <c r="Z264" s="1153" t="s">
        <v>628</v>
      </c>
      <c r="AA264" s="1154" t="s">
        <v>128</v>
      </c>
      <c r="AB264" s="1154"/>
      <c r="AC264" s="1155"/>
      <c r="AD264" s="1155"/>
      <c r="AE264" s="1155" t="s">
        <v>4335</v>
      </c>
      <c r="AF264" s="449"/>
      <c r="AG264" s="449"/>
      <c r="AH264" s="1155">
        <f t="shared" si="176"/>
        <v>2400</v>
      </c>
      <c r="AI264" s="1155"/>
      <c r="AJ264" s="1155"/>
      <c r="AK264" s="1155">
        <f t="shared" si="177"/>
        <v>2400</v>
      </c>
      <c r="AL264" s="1155"/>
      <c r="AM264" s="1155"/>
      <c r="AN264" s="1178"/>
      <c r="AO264" s="1178"/>
      <c r="AP264" s="1178"/>
      <c r="AQ264" s="1178"/>
      <c r="AR264" s="1178"/>
      <c r="AS264" s="1178"/>
      <c r="AT264" s="1178"/>
      <c r="AU264" s="1178">
        <f t="shared" si="178"/>
        <v>2400</v>
      </c>
      <c r="AV264" s="1178"/>
      <c r="AW264" s="1178"/>
      <c r="AX264" s="1178"/>
      <c r="AY264" s="1178"/>
      <c r="AZ264" s="1178"/>
      <c r="BA264" s="1178"/>
      <c r="BB264" s="1178"/>
      <c r="BC264" s="1201"/>
      <c r="BD264" s="1201"/>
      <c r="BE264" s="1201"/>
      <c r="BF264" s="1201"/>
      <c r="BG264" s="1201"/>
      <c r="BH264" s="1201"/>
      <c r="BI264" s="1201"/>
      <c r="BJ264" s="1201"/>
      <c r="BK264" s="1201"/>
      <c r="BL264" s="1201"/>
      <c r="BM264" s="1201"/>
      <c r="BN264" s="1201"/>
      <c r="BO264" s="1201"/>
      <c r="BP264" s="1201"/>
      <c r="BQ264" s="1201"/>
      <c r="BR264" s="1201"/>
      <c r="BS264" s="1201"/>
      <c r="BT264" s="1201"/>
      <c r="BU264" s="1201"/>
      <c r="BV264" s="1201"/>
      <c r="BW264" s="1220">
        <f t="shared" si="179"/>
        <v>1200</v>
      </c>
      <c r="BX264" s="1201">
        <f t="shared" si="180"/>
        <v>1200</v>
      </c>
      <c r="BY264" s="1201"/>
      <c r="BZ264" s="1010">
        <f t="shared" si="181"/>
        <v>1200</v>
      </c>
      <c r="CB264" s="1221"/>
      <c r="CC264" s="1221"/>
      <c r="CE264" s="1235">
        <f t="shared" si="182"/>
        <v>698045</v>
      </c>
    </row>
    <row r="265" s="1010" customFormat="1" ht="36" customHeight="1" spans="1:83">
      <c r="A265" s="1042">
        <v>45988</v>
      </c>
      <c r="B265" s="550" t="s">
        <v>1794</v>
      </c>
      <c r="C265" s="552" t="s">
        <v>117</v>
      </c>
      <c r="D265" s="1043">
        <v>4500187232</v>
      </c>
      <c r="E265" s="1044">
        <v>765820</v>
      </c>
      <c r="F265" s="1043" t="s">
        <v>4339</v>
      </c>
      <c r="G265" s="1045" t="s">
        <v>628</v>
      </c>
      <c r="H265" s="693" t="s">
        <v>623</v>
      </c>
      <c r="I265" s="1010">
        <v>1200</v>
      </c>
      <c r="J265" s="1084">
        <v>0</v>
      </c>
      <c r="K265" s="1045">
        <v>12</v>
      </c>
      <c r="L265" s="1010">
        <f t="shared" si="161"/>
        <v>100</v>
      </c>
      <c r="M265" s="1083">
        <v>46029</v>
      </c>
      <c r="N265" s="1083">
        <v>46027</v>
      </c>
      <c r="O265" s="449"/>
      <c r="P265" s="449" t="s">
        <v>1262</v>
      </c>
      <c r="Q265" s="449" t="s">
        <v>4340</v>
      </c>
      <c r="R265" s="449">
        <v>45973</v>
      </c>
      <c r="S265" s="448" t="s">
        <v>77</v>
      </c>
      <c r="T265" s="586" t="s">
        <v>4333</v>
      </c>
      <c r="U265" s="1044" t="s">
        <v>4341</v>
      </c>
      <c r="V265" s="1116" t="s">
        <v>1341</v>
      </c>
      <c r="W265" s="1119">
        <v>1.8004</v>
      </c>
      <c r="X265" s="1120">
        <f t="shared" si="175"/>
        <v>2160.48</v>
      </c>
      <c r="Y265" s="1152" t="s">
        <v>3582</v>
      </c>
      <c r="Z265" s="1153" t="s">
        <v>628</v>
      </c>
      <c r="AA265" s="1154" t="s">
        <v>128</v>
      </c>
      <c r="AB265" s="1154"/>
      <c r="AC265" s="1155">
        <v>1200</v>
      </c>
      <c r="AD265" s="1155"/>
      <c r="AE265" s="1155" t="s">
        <v>4335</v>
      </c>
      <c r="AF265" s="449"/>
      <c r="AG265" s="449"/>
      <c r="AH265" s="1155">
        <f t="shared" si="176"/>
        <v>2400</v>
      </c>
      <c r="AI265" s="1155"/>
      <c r="AJ265" s="1155"/>
      <c r="AL265" s="1155"/>
      <c r="AM265" s="1155">
        <f>I265*2</f>
        <v>2400</v>
      </c>
      <c r="AN265" s="1178"/>
      <c r="AO265" s="1178"/>
      <c r="AP265" s="1178"/>
      <c r="AQ265" s="1178"/>
      <c r="AR265" s="1178"/>
      <c r="AS265" s="1178"/>
      <c r="AT265" s="1178"/>
      <c r="AU265" s="1178">
        <f t="shared" si="178"/>
        <v>2400</v>
      </c>
      <c r="AV265" s="1178"/>
      <c r="AW265" s="1178"/>
      <c r="AX265" s="1178"/>
      <c r="AY265" s="1178"/>
      <c r="AZ265" s="1178"/>
      <c r="BA265" s="1178"/>
      <c r="BB265" s="1178"/>
      <c r="BC265" s="1201"/>
      <c r="BD265" s="1201"/>
      <c r="BE265" s="1201"/>
      <c r="BF265" s="1201"/>
      <c r="BG265" s="1201"/>
      <c r="BH265" s="1201"/>
      <c r="BI265" s="1201"/>
      <c r="BJ265" s="1201"/>
      <c r="BK265" s="1201"/>
      <c r="BL265" s="1201"/>
      <c r="BM265" s="1201"/>
      <c r="BN265" s="1201"/>
      <c r="BO265" s="1201"/>
      <c r="BP265" s="1201"/>
      <c r="BQ265" s="1201"/>
      <c r="BR265" s="1201"/>
      <c r="BS265" s="1201"/>
      <c r="BT265" s="1201"/>
      <c r="BU265" s="1201"/>
      <c r="BV265" s="1201"/>
      <c r="BW265" s="1201">
        <f t="shared" si="179"/>
        <v>1200</v>
      </c>
      <c r="BX265" s="1201"/>
      <c r="BY265" s="1201">
        <f>BW265</f>
        <v>1200</v>
      </c>
      <c r="BZ265" s="1010">
        <f>AH265+AI265+AJ265</f>
        <v>2400</v>
      </c>
      <c r="CB265" s="1221"/>
      <c r="CC265" s="1221"/>
      <c r="CE265" s="1235" t="e">
        <f>#REF!-AH265-AI265-AJ265</f>
        <v>#REF!</v>
      </c>
    </row>
    <row r="266" s="1010" customFormat="1" ht="36" customHeight="1" spans="1:83">
      <c r="A266" s="1042">
        <v>45988</v>
      </c>
      <c r="B266" s="550" t="s">
        <v>1794</v>
      </c>
      <c r="C266" s="552" t="s">
        <v>117</v>
      </c>
      <c r="D266" s="1043">
        <v>4500187228</v>
      </c>
      <c r="E266" s="1044">
        <v>765819</v>
      </c>
      <c r="F266" s="1043" t="s">
        <v>4342</v>
      </c>
      <c r="G266" s="1045" t="s">
        <v>628</v>
      </c>
      <c r="H266" s="693" t="s">
        <v>623</v>
      </c>
      <c r="I266" s="1010">
        <v>996</v>
      </c>
      <c r="J266" s="1084">
        <v>0</v>
      </c>
      <c r="K266" s="1045">
        <v>12</v>
      </c>
      <c r="L266" s="1010">
        <f t="shared" si="161"/>
        <v>83</v>
      </c>
      <c r="M266" s="1083">
        <v>46029</v>
      </c>
      <c r="N266" s="1083">
        <v>46027</v>
      </c>
      <c r="O266" s="449"/>
      <c r="P266" s="449" t="s">
        <v>1262</v>
      </c>
      <c r="Q266" s="449" t="s">
        <v>4340</v>
      </c>
      <c r="R266" s="449">
        <v>45973</v>
      </c>
      <c r="S266" s="448" t="s">
        <v>77</v>
      </c>
      <c r="T266" s="586" t="s">
        <v>4333</v>
      </c>
      <c r="U266" s="1044" t="s">
        <v>4343</v>
      </c>
      <c r="V266" s="1116" t="s">
        <v>1341</v>
      </c>
      <c r="W266" s="1119">
        <v>1.8004</v>
      </c>
      <c r="X266" s="1120">
        <f t="shared" si="175"/>
        <v>1793.1984</v>
      </c>
      <c r="Y266" s="1152" t="s">
        <v>3582</v>
      </c>
      <c r="Z266" s="1153" t="s">
        <v>628</v>
      </c>
      <c r="AA266" s="1154" t="s">
        <v>128</v>
      </c>
      <c r="AB266" s="1154"/>
      <c r="AC266" s="1155">
        <v>996</v>
      </c>
      <c r="AD266" s="1155"/>
      <c r="AE266" s="1155" t="s">
        <v>4335</v>
      </c>
      <c r="AF266" s="449"/>
      <c r="AG266" s="449"/>
      <c r="AH266" s="1155">
        <f t="shared" si="176"/>
        <v>1992</v>
      </c>
      <c r="AI266" s="1155"/>
      <c r="AJ266" s="1155"/>
      <c r="AL266" s="1155"/>
      <c r="AM266" s="1155">
        <f>I266*2</f>
        <v>1992</v>
      </c>
      <c r="AN266" s="1178"/>
      <c r="AO266" s="1178"/>
      <c r="AP266" s="1178"/>
      <c r="AQ266" s="1178"/>
      <c r="AR266" s="1178"/>
      <c r="AS266" s="1178"/>
      <c r="AT266" s="1178"/>
      <c r="AU266" s="1178">
        <f t="shared" si="178"/>
        <v>1992</v>
      </c>
      <c r="AV266" s="1178"/>
      <c r="AW266" s="1178"/>
      <c r="AX266" s="1178"/>
      <c r="AY266" s="1178"/>
      <c r="AZ266" s="1178"/>
      <c r="BA266" s="1178"/>
      <c r="BB266" s="1178"/>
      <c r="BC266" s="1201"/>
      <c r="BD266" s="1201"/>
      <c r="BE266" s="1201"/>
      <c r="BF266" s="1201"/>
      <c r="BG266" s="1201"/>
      <c r="BH266" s="1201"/>
      <c r="BI266" s="1201"/>
      <c r="BJ266" s="1201"/>
      <c r="BK266" s="1201"/>
      <c r="BL266" s="1201"/>
      <c r="BM266" s="1201"/>
      <c r="BN266" s="1201"/>
      <c r="BO266" s="1201"/>
      <c r="BP266" s="1201"/>
      <c r="BQ266" s="1201"/>
      <c r="BR266" s="1201"/>
      <c r="BS266" s="1201"/>
      <c r="BT266" s="1201"/>
      <c r="BU266" s="1201"/>
      <c r="BV266" s="1201"/>
      <c r="BW266" s="1201">
        <f t="shared" si="179"/>
        <v>996</v>
      </c>
      <c r="BX266" s="1201"/>
      <c r="BY266" s="1201">
        <f>BW266</f>
        <v>996</v>
      </c>
      <c r="BZ266" s="1010">
        <f>AH266+AI266+AJ266</f>
        <v>1992</v>
      </c>
      <c r="CB266" s="1221"/>
      <c r="CC266" s="1221"/>
      <c r="CE266" s="1235" t="e">
        <f>CE265-AH266-AI266-AJ266</f>
        <v>#REF!</v>
      </c>
    </row>
    <row r="267" s="1088" customFormat="1" ht="36" customHeight="1" spans="1:83">
      <c r="A267" s="767">
        <v>46027</v>
      </c>
      <c r="B267" s="1383" t="s">
        <v>4344</v>
      </c>
      <c r="C267" s="1384" t="s">
        <v>4345</v>
      </c>
      <c r="D267" s="1387">
        <v>4500190681</v>
      </c>
      <c r="E267" s="1386"/>
      <c r="F267" s="1387" t="s">
        <v>4346</v>
      </c>
      <c r="G267" s="1090" t="s">
        <v>215</v>
      </c>
      <c r="H267" s="1424" t="s">
        <v>74</v>
      </c>
      <c r="I267" s="1088">
        <v>294</v>
      </c>
      <c r="J267" s="1089">
        <v>0</v>
      </c>
      <c r="K267" s="1090">
        <v>42</v>
      </c>
      <c r="L267" s="1088">
        <f t="shared" si="161"/>
        <v>7</v>
      </c>
      <c r="M267" s="1395">
        <v>46057</v>
      </c>
      <c r="N267" s="1091">
        <f>M267-4</f>
        <v>46053</v>
      </c>
      <c r="O267" s="1396"/>
      <c r="P267" s="1396"/>
      <c r="Q267" s="1396"/>
      <c r="R267" s="1396">
        <v>46028</v>
      </c>
      <c r="S267" s="1425" t="s">
        <v>77</v>
      </c>
      <c r="T267" s="1426" t="s">
        <v>77</v>
      </c>
      <c r="U267" s="1386" t="s">
        <v>4347</v>
      </c>
      <c r="V267" s="1404" t="s">
        <v>4348</v>
      </c>
      <c r="W267" s="1405">
        <v>1.4091</v>
      </c>
      <c r="X267" s="1406">
        <f t="shared" ref="X267:X276" si="183">I267*W267</f>
        <v>414.2754</v>
      </c>
      <c r="Z267" s="1431" t="s">
        <v>215</v>
      </c>
      <c r="AA267" s="1166"/>
      <c r="AB267" s="1166"/>
      <c r="AC267" s="1179"/>
      <c r="AD267" s="1179"/>
      <c r="AE267" s="1179"/>
      <c r="AF267" s="1396"/>
      <c r="AG267" s="1396"/>
      <c r="AH267" s="1179">
        <f t="shared" ref="AH267:AH276" si="184">I267</f>
        <v>294</v>
      </c>
      <c r="AI267" s="1179"/>
      <c r="AJ267" s="1179"/>
      <c r="AK267" s="1179"/>
      <c r="AL267" s="1179"/>
      <c r="AM267" s="1179"/>
      <c r="AO267" s="770"/>
      <c r="AP267" s="1413">
        <f>I267</f>
        <v>294</v>
      </c>
      <c r="AQ267" s="1413"/>
      <c r="AR267" s="1413"/>
      <c r="AS267" s="1413"/>
      <c r="AT267" s="1413"/>
      <c r="AU267" s="1413"/>
      <c r="AV267" s="781">
        <f t="shared" ref="AV267:AV276" si="185">I267</f>
        <v>294</v>
      </c>
      <c r="AW267" s="770"/>
      <c r="AX267" s="770"/>
      <c r="AY267" s="770"/>
      <c r="AZ267" s="770"/>
      <c r="BA267" s="770"/>
      <c r="BB267" s="781">
        <f>I267/21</f>
        <v>14</v>
      </c>
      <c r="BC267" s="1416"/>
      <c r="BD267" s="1416"/>
      <c r="BE267" s="1416"/>
      <c r="BF267" s="1416"/>
      <c r="BG267" s="1416"/>
      <c r="BH267" s="1416"/>
      <c r="BI267" s="1416"/>
      <c r="BJ267" s="1416"/>
      <c r="BK267" s="1416"/>
      <c r="BL267" s="1416"/>
      <c r="BM267" s="1416"/>
      <c r="BN267" s="1416"/>
      <c r="BO267" s="1416"/>
      <c r="BP267" s="1416"/>
      <c r="BQ267" s="1416"/>
      <c r="BR267" s="1416"/>
      <c r="BS267" s="1416"/>
      <c r="BT267" s="1416"/>
      <c r="BU267" s="1416"/>
      <c r="BV267" s="1421"/>
      <c r="BW267" s="1421"/>
      <c r="BX267" s="1421"/>
      <c r="BY267" s="1421"/>
      <c r="BZ267" s="1088">
        <f t="shared" ref="BZ267:BZ278" si="186">AH267+AI267+AJ267</f>
        <v>294</v>
      </c>
      <c r="CB267" s="1422"/>
      <c r="CC267" s="1422"/>
      <c r="CE267" s="1009" t="e">
        <f>#REF!-AH267-AI267-AJ267</f>
        <v>#REF!</v>
      </c>
    </row>
    <row r="268" s="1013" customFormat="1" ht="36" customHeight="1" spans="1:83">
      <c r="A268" s="778">
        <v>46015</v>
      </c>
      <c r="B268" s="636" t="s">
        <v>1794</v>
      </c>
      <c r="C268" s="637" t="s">
        <v>117</v>
      </c>
      <c r="D268" s="1054">
        <v>4500189850</v>
      </c>
      <c r="E268" s="1055">
        <v>951854</v>
      </c>
      <c r="F268" s="1054" t="s">
        <v>4349</v>
      </c>
      <c r="G268" s="1056" t="s">
        <v>628</v>
      </c>
      <c r="H268" s="1057" t="s">
        <v>623</v>
      </c>
      <c r="I268" s="1013">
        <v>996</v>
      </c>
      <c r="J268" s="1097">
        <v>0</v>
      </c>
      <c r="K268" s="1056">
        <v>12</v>
      </c>
      <c r="L268" s="1013">
        <f t="shared" si="161"/>
        <v>83</v>
      </c>
      <c r="M268" s="1091">
        <v>46058</v>
      </c>
      <c r="N268" s="1091">
        <v>46055</v>
      </c>
      <c r="O268" s="452"/>
      <c r="P268" s="452"/>
      <c r="Q268" s="452"/>
      <c r="R268" s="452">
        <v>46015</v>
      </c>
      <c r="S268" s="453" t="s">
        <v>77</v>
      </c>
      <c r="T268" s="454" t="s">
        <v>4350</v>
      </c>
      <c r="U268" s="1055" t="s">
        <v>4351</v>
      </c>
      <c r="V268" s="1129" t="s">
        <v>1341</v>
      </c>
      <c r="W268" s="1130">
        <v>1.8222</v>
      </c>
      <c r="X268" s="1131">
        <f>W268*I268</f>
        <v>1814.9112</v>
      </c>
      <c r="Y268" s="1160" t="s">
        <v>3582</v>
      </c>
      <c r="Z268" s="1149" t="s">
        <v>628</v>
      </c>
      <c r="AA268" s="1161" t="s">
        <v>128</v>
      </c>
      <c r="AB268" s="1161"/>
      <c r="AC268" s="1162"/>
      <c r="AD268" s="1162"/>
      <c r="AE268" s="1162"/>
      <c r="AF268" s="452"/>
      <c r="AG268" s="452"/>
      <c r="AH268" s="1162">
        <f>I268*2</f>
        <v>1992</v>
      </c>
      <c r="AI268" s="1162"/>
      <c r="AJ268" s="1162"/>
      <c r="AK268" s="1162"/>
      <c r="AL268" s="1162"/>
      <c r="AM268" s="1162">
        <f>I268*2</f>
        <v>1992</v>
      </c>
      <c r="AN268" s="781"/>
      <c r="AO268" s="781"/>
      <c r="AP268" s="781"/>
      <c r="AQ268" s="781"/>
      <c r="AR268" s="781"/>
      <c r="AS268" s="781"/>
      <c r="AT268" s="781"/>
      <c r="AU268" s="781">
        <f>I268*2</f>
        <v>1992</v>
      </c>
      <c r="AV268" s="781"/>
      <c r="AW268" s="781"/>
      <c r="AX268" s="781"/>
      <c r="AY268" s="781"/>
      <c r="AZ268" s="781"/>
      <c r="BA268" s="781"/>
      <c r="BB268" s="781"/>
      <c r="BC268" s="1203"/>
      <c r="BD268" s="1203"/>
      <c r="BE268" s="1203"/>
      <c r="BF268" s="1203"/>
      <c r="BG268" s="1203"/>
      <c r="BH268" s="1203"/>
      <c r="BI268" s="1203"/>
      <c r="BJ268" s="1203"/>
      <c r="BK268" s="1203"/>
      <c r="BL268" s="1203"/>
      <c r="BM268" s="1203"/>
      <c r="BN268" s="1203"/>
      <c r="BO268" s="1203"/>
      <c r="BP268" s="1203"/>
      <c r="BQ268" s="1203"/>
      <c r="BR268" s="1203"/>
      <c r="BS268" s="1203"/>
      <c r="BT268" s="1203"/>
      <c r="BU268" s="1203"/>
      <c r="BV268" s="1203"/>
      <c r="BW268" s="1203">
        <f>I268</f>
        <v>996</v>
      </c>
      <c r="BX268" s="1203"/>
      <c r="BY268" s="1203">
        <f>BW268</f>
        <v>996</v>
      </c>
      <c r="BZ268" s="1013">
        <f t="shared" si="186"/>
        <v>1992</v>
      </c>
      <c r="CB268" s="1227"/>
      <c r="CC268" s="1227"/>
      <c r="CE268" s="1009" t="e">
        <f t="shared" ref="CE267:CE278" si="187">CE267-AH268-AI268-AJ268</f>
        <v>#REF!</v>
      </c>
    </row>
    <row r="269" s="1013" customFormat="1" ht="36" customHeight="1" spans="1:83">
      <c r="A269" s="778">
        <v>46015</v>
      </c>
      <c r="B269" s="636" t="s">
        <v>1794</v>
      </c>
      <c r="C269" s="637" t="s">
        <v>117</v>
      </c>
      <c r="D269" s="1054">
        <v>4500189851</v>
      </c>
      <c r="E269" s="1055">
        <v>951857</v>
      </c>
      <c r="F269" s="1054" t="s">
        <v>4352</v>
      </c>
      <c r="G269" s="1056" t="s">
        <v>628</v>
      </c>
      <c r="H269" s="1057" t="s">
        <v>623</v>
      </c>
      <c r="I269" s="1013">
        <v>1200</v>
      </c>
      <c r="J269" s="1097">
        <v>0</v>
      </c>
      <c r="K269" s="1056">
        <v>12</v>
      </c>
      <c r="L269" s="1013">
        <f t="shared" si="161"/>
        <v>100</v>
      </c>
      <c r="M269" s="1091">
        <v>46058</v>
      </c>
      <c r="N269" s="1091">
        <v>46055</v>
      </c>
      <c r="O269" s="452"/>
      <c r="P269" s="452"/>
      <c r="Q269" s="452"/>
      <c r="R269" s="452">
        <v>46015</v>
      </c>
      <c r="S269" s="453" t="s">
        <v>77</v>
      </c>
      <c r="T269" s="454" t="s">
        <v>4350</v>
      </c>
      <c r="U269" s="1055" t="s">
        <v>4353</v>
      </c>
      <c r="V269" s="1129" t="s">
        <v>1341</v>
      </c>
      <c r="W269" s="1130">
        <v>1.8004</v>
      </c>
      <c r="X269" s="1131">
        <f>W269*I269</f>
        <v>2160.48</v>
      </c>
      <c r="Y269" s="1160" t="s">
        <v>3582</v>
      </c>
      <c r="Z269" s="1149" t="s">
        <v>628</v>
      </c>
      <c r="AA269" s="1161" t="s">
        <v>128</v>
      </c>
      <c r="AB269" s="1161"/>
      <c r="AC269" s="1162"/>
      <c r="AD269" s="1162"/>
      <c r="AE269" s="1162"/>
      <c r="AF269" s="452"/>
      <c r="AG269" s="452"/>
      <c r="AH269" s="1162">
        <f>I269*2</f>
        <v>2400</v>
      </c>
      <c r="AI269" s="1162"/>
      <c r="AJ269" s="1162"/>
      <c r="AK269" s="1162"/>
      <c r="AL269" s="1162"/>
      <c r="AM269" s="1162">
        <f>I269*2</f>
        <v>2400</v>
      </c>
      <c r="AN269" s="781"/>
      <c r="AO269" s="781"/>
      <c r="AP269" s="781"/>
      <c r="AQ269" s="781"/>
      <c r="AR269" s="781"/>
      <c r="AS269" s="781"/>
      <c r="AT269" s="781"/>
      <c r="AU269" s="781">
        <f>I269*2</f>
        <v>2400</v>
      </c>
      <c r="AV269" s="781"/>
      <c r="AW269" s="781"/>
      <c r="AX269" s="781"/>
      <c r="AY269" s="781"/>
      <c r="AZ269" s="781"/>
      <c r="BA269" s="781"/>
      <c r="BB269" s="781"/>
      <c r="BC269" s="1203"/>
      <c r="BD269" s="1203"/>
      <c r="BE269" s="1203"/>
      <c r="BF269" s="1203"/>
      <c r="BG269" s="1203"/>
      <c r="BH269" s="1203"/>
      <c r="BI269" s="1203"/>
      <c r="BJ269" s="1203"/>
      <c r="BK269" s="1203"/>
      <c r="BL269" s="1203"/>
      <c r="BM269" s="1203"/>
      <c r="BN269" s="1203"/>
      <c r="BO269" s="1203"/>
      <c r="BP269" s="1203"/>
      <c r="BQ269" s="1203"/>
      <c r="BR269" s="1203"/>
      <c r="BS269" s="1203"/>
      <c r="BT269" s="1203"/>
      <c r="BU269" s="1203"/>
      <c r="BV269" s="1203"/>
      <c r="BW269" s="1203">
        <f>I269</f>
        <v>1200</v>
      </c>
      <c r="BX269" s="1203"/>
      <c r="BY269" s="1203">
        <f>BW269</f>
        <v>1200</v>
      </c>
      <c r="BZ269" s="1013">
        <f t="shared" si="186"/>
        <v>2400</v>
      </c>
      <c r="CB269" s="1227"/>
      <c r="CC269" s="1227"/>
      <c r="CE269" s="1009" t="e">
        <f t="shared" si="187"/>
        <v>#REF!</v>
      </c>
    </row>
    <row r="270" s="1013" customFormat="1" ht="36" customHeight="1" spans="1:83">
      <c r="A270" s="778">
        <v>46016</v>
      </c>
      <c r="B270" s="636" t="s">
        <v>3926</v>
      </c>
      <c r="C270" s="637" t="s">
        <v>351</v>
      </c>
      <c r="D270" s="1054">
        <v>4500190061</v>
      </c>
      <c r="E270" s="1055" t="s">
        <v>4354</v>
      </c>
      <c r="F270" s="1054" t="s">
        <v>4355</v>
      </c>
      <c r="G270" s="1056" t="s">
        <v>73</v>
      </c>
      <c r="H270" s="1057" t="s">
        <v>74</v>
      </c>
      <c r="I270" s="1088">
        <v>96</v>
      </c>
      <c r="J270" s="1089">
        <v>0</v>
      </c>
      <c r="K270" s="1090">
        <v>24</v>
      </c>
      <c r="L270" s="1013">
        <f t="shared" si="161"/>
        <v>4</v>
      </c>
      <c r="M270" s="1091">
        <v>46059</v>
      </c>
      <c r="N270" s="1091">
        <v>46055</v>
      </c>
      <c r="O270" s="452"/>
      <c r="P270" s="452"/>
      <c r="Q270" s="452"/>
      <c r="R270" s="587">
        <v>46016</v>
      </c>
      <c r="S270" s="91" t="s">
        <v>123</v>
      </c>
      <c r="T270" s="454" t="s">
        <v>4356</v>
      </c>
      <c r="U270" s="1055" t="s">
        <v>4357</v>
      </c>
      <c r="V270" s="1129" t="s">
        <v>396</v>
      </c>
      <c r="W270" s="1130">
        <v>1.3228</v>
      </c>
      <c r="X270" s="1131">
        <f t="shared" si="183"/>
        <v>126.9888</v>
      </c>
      <c r="Y270" s="1160" t="s">
        <v>3582</v>
      </c>
      <c r="Z270" s="1149" t="s">
        <v>188</v>
      </c>
      <c r="AA270" s="1161" t="s">
        <v>128</v>
      </c>
      <c r="AB270" s="1161"/>
      <c r="AC270" s="1162"/>
      <c r="AD270" s="1162"/>
      <c r="AE270" s="1162"/>
      <c r="AF270" s="452"/>
      <c r="AG270" s="452"/>
      <c r="AH270" s="1179">
        <f t="shared" si="184"/>
        <v>96</v>
      </c>
      <c r="AI270" s="1162"/>
      <c r="AJ270" s="1162"/>
      <c r="AK270" s="1162"/>
      <c r="AL270" s="1162"/>
      <c r="AM270" s="1162"/>
      <c r="AN270" s="781"/>
      <c r="AO270" s="781"/>
      <c r="AP270" s="781"/>
      <c r="AQ270" s="781">
        <f t="shared" ref="AQ270:AQ276" si="188">AH270</f>
        <v>96</v>
      </c>
      <c r="AR270" s="781"/>
      <c r="AS270" s="781"/>
      <c r="AT270" s="781"/>
      <c r="AV270" s="781">
        <f t="shared" si="185"/>
        <v>96</v>
      </c>
      <c r="AW270" s="781"/>
      <c r="AX270" s="781"/>
      <c r="AY270" s="781"/>
      <c r="AZ270" s="781"/>
      <c r="BA270" s="781"/>
      <c r="BB270" s="781"/>
      <c r="BC270" s="1203"/>
      <c r="BD270" s="1203"/>
      <c r="BE270" s="1203"/>
      <c r="BF270" s="1203"/>
      <c r="BG270" s="1203"/>
      <c r="BH270" s="1203"/>
      <c r="BI270" s="1203"/>
      <c r="BJ270" s="1203"/>
      <c r="BK270" s="1203"/>
      <c r="BL270" s="1203"/>
      <c r="BM270" s="1203"/>
      <c r="BN270" s="1203"/>
      <c r="BO270" s="1203"/>
      <c r="BP270" s="1203"/>
      <c r="BQ270" s="1203"/>
      <c r="BR270" s="1203"/>
      <c r="BS270" s="1203"/>
      <c r="BT270" s="1203"/>
      <c r="BU270" s="1203"/>
      <c r="BV270" s="1203"/>
      <c r="BW270" s="1203"/>
      <c r="BX270" s="1203"/>
      <c r="BY270" s="1203"/>
      <c r="BZ270" s="1013">
        <f t="shared" si="186"/>
        <v>96</v>
      </c>
      <c r="CB270" s="1227"/>
      <c r="CC270" s="1227"/>
      <c r="CE270" s="1009" t="e">
        <f t="shared" si="187"/>
        <v>#REF!</v>
      </c>
    </row>
    <row r="271" s="1013" customFormat="1" ht="36" customHeight="1" spans="1:83">
      <c r="A271" s="778">
        <v>46016</v>
      </c>
      <c r="B271" s="636" t="s">
        <v>3926</v>
      </c>
      <c r="C271" s="637" t="s">
        <v>351</v>
      </c>
      <c r="D271" s="1054">
        <v>4500190061</v>
      </c>
      <c r="E271" s="1055" t="s">
        <v>4358</v>
      </c>
      <c r="F271" s="1054" t="s">
        <v>4359</v>
      </c>
      <c r="G271" s="1056" t="s">
        <v>73</v>
      </c>
      <c r="H271" s="1057" t="s">
        <v>74</v>
      </c>
      <c r="I271" s="1088">
        <v>48</v>
      </c>
      <c r="J271" s="1089">
        <v>0</v>
      </c>
      <c r="K271" s="1090">
        <v>24</v>
      </c>
      <c r="L271" s="1013">
        <f t="shared" si="161"/>
        <v>2</v>
      </c>
      <c r="M271" s="1091">
        <v>46059</v>
      </c>
      <c r="N271" s="1091">
        <v>46055</v>
      </c>
      <c r="O271" s="452"/>
      <c r="P271" s="452"/>
      <c r="Q271" s="452"/>
      <c r="R271" s="587">
        <v>46016</v>
      </c>
      <c r="S271" s="91" t="s">
        <v>123</v>
      </c>
      <c r="T271" s="454" t="s">
        <v>4356</v>
      </c>
      <c r="U271" s="1055" t="s">
        <v>4357</v>
      </c>
      <c r="V271" s="1129" t="s">
        <v>396</v>
      </c>
      <c r="W271" s="1130">
        <v>1.3228</v>
      </c>
      <c r="X271" s="1131">
        <f t="shared" si="183"/>
        <v>63.4944</v>
      </c>
      <c r="Y271" s="1160" t="s">
        <v>3582</v>
      </c>
      <c r="Z271" s="1149" t="s">
        <v>188</v>
      </c>
      <c r="AA271" s="1161" t="s">
        <v>128</v>
      </c>
      <c r="AB271" s="1161"/>
      <c r="AC271" s="1162"/>
      <c r="AD271" s="1162"/>
      <c r="AE271" s="1162"/>
      <c r="AF271" s="452"/>
      <c r="AG271" s="452"/>
      <c r="AH271" s="1179">
        <f t="shared" si="184"/>
        <v>48</v>
      </c>
      <c r="AI271" s="1162"/>
      <c r="AJ271" s="1162"/>
      <c r="AK271" s="1162"/>
      <c r="AL271" s="1162"/>
      <c r="AM271" s="1162"/>
      <c r="AN271" s="781"/>
      <c r="AO271" s="781"/>
      <c r="AP271" s="781"/>
      <c r="AQ271" s="781">
        <f t="shared" si="188"/>
        <v>48</v>
      </c>
      <c r="AR271" s="781"/>
      <c r="AS271" s="781"/>
      <c r="AT271" s="781"/>
      <c r="AV271" s="781">
        <f t="shared" si="185"/>
        <v>48</v>
      </c>
      <c r="AW271" s="781"/>
      <c r="AX271" s="781"/>
      <c r="AY271" s="781"/>
      <c r="AZ271" s="781"/>
      <c r="BA271" s="781"/>
      <c r="BB271" s="781"/>
      <c r="BC271" s="1203"/>
      <c r="BD271" s="1203"/>
      <c r="BE271" s="1203"/>
      <c r="BF271" s="1203"/>
      <c r="BG271" s="1203"/>
      <c r="BH271" s="1203"/>
      <c r="BI271" s="1203"/>
      <c r="BJ271" s="1203"/>
      <c r="BK271" s="1203"/>
      <c r="BL271" s="1203"/>
      <c r="BM271" s="1203"/>
      <c r="BN271" s="1203"/>
      <c r="BO271" s="1203"/>
      <c r="BP271" s="1203"/>
      <c r="BQ271" s="1203"/>
      <c r="BR271" s="1203"/>
      <c r="BS271" s="1203"/>
      <c r="BT271" s="1203"/>
      <c r="BU271" s="1203"/>
      <c r="BV271" s="1203"/>
      <c r="BW271" s="1203"/>
      <c r="BX271" s="1203"/>
      <c r="BY271" s="1203"/>
      <c r="BZ271" s="1013">
        <f t="shared" si="186"/>
        <v>48</v>
      </c>
      <c r="CB271" s="1227"/>
      <c r="CC271" s="1227"/>
      <c r="CE271" s="1009" t="e">
        <f t="shared" si="187"/>
        <v>#REF!</v>
      </c>
    </row>
    <row r="272" s="1013" customFormat="1" ht="36" customHeight="1" spans="1:83">
      <c r="A272" s="778">
        <v>46016</v>
      </c>
      <c r="B272" s="636" t="s">
        <v>3926</v>
      </c>
      <c r="C272" s="637" t="s">
        <v>351</v>
      </c>
      <c r="D272" s="1054">
        <v>4500190061</v>
      </c>
      <c r="E272" s="1055" t="s">
        <v>4360</v>
      </c>
      <c r="F272" s="1054" t="s">
        <v>4361</v>
      </c>
      <c r="G272" s="1056" t="s">
        <v>73</v>
      </c>
      <c r="H272" s="1057" t="s">
        <v>74</v>
      </c>
      <c r="I272" s="1088">
        <v>24</v>
      </c>
      <c r="J272" s="1089">
        <v>0</v>
      </c>
      <c r="K272" s="1090">
        <v>24</v>
      </c>
      <c r="L272" s="1013">
        <f t="shared" si="161"/>
        <v>1</v>
      </c>
      <c r="M272" s="1091">
        <v>46059</v>
      </c>
      <c r="N272" s="1091">
        <v>46055</v>
      </c>
      <c r="O272" s="452"/>
      <c r="P272" s="452"/>
      <c r="Q272" s="452"/>
      <c r="R272" s="587">
        <v>46016</v>
      </c>
      <c r="S272" s="91" t="s">
        <v>123</v>
      </c>
      <c r="T272" s="454" t="s">
        <v>4356</v>
      </c>
      <c r="U272" s="1055" t="s">
        <v>4357</v>
      </c>
      <c r="V272" s="1129" t="s">
        <v>396</v>
      </c>
      <c r="W272" s="1130">
        <v>1.3228</v>
      </c>
      <c r="X272" s="1131">
        <f t="shared" si="183"/>
        <v>31.7472</v>
      </c>
      <c r="Y272" s="1160" t="s">
        <v>3582</v>
      </c>
      <c r="Z272" s="1149" t="s">
        <v>188</v>
      </c>
      <c r="AA272" s="1161" t="s">
        <v>128</v>
      </c>
      <c r="AB272" s="1161"/>
      <c r="AC272" s="1162"/>
      <c r="AD272" s="1162"/>
      <c r="AE272" s="1162"/>
      <c r="AF272" s="452"/>
      <c r="AG272" s="452"/>
      <c r="AH272" s="1179">
        <f t="shared" si="184"/>
        <v>24</v>
      </c>
      <c r="AI272" s="1162"/>
      <c r="AJ272" s="1162"/>
      <c r="AK272" s="1162"/>
      <c r="AL272" s="1162"/>
      <c r="AM272" s="1162"/>
      <c r="AN272" s="781"/>
      <c r="AO272" s="781"/>
      <c r="AP272" s="781"/>
      <c r="AQ272" s="781">
        <f t="shared" si="188"/>
        <v>24</v>
      </c>
      <c r="AR272" s="781"/>
      <c r="AS272" s="781"/>
      <c r="AT272" s="781"/>
      <c r="AV272" s="781">
        <f t="shared" si="185"/>
        <v>24</v>
      </c>
      <c r="AW272" s="781"/>
      <c r="AX272" s="781"/>
      <c r="AY272" s="781"/>
      <c r="AZ272" s="781"/>
      <c r="BA272" s="781"/>
      <c r="BB272" s="781"/>
      <c r="BC272" s="1203"/>
      <c r="BD272" s="1203"/>
      <c r="BE272" s="1203"/>
      <c r="BF272" s="1203"/>
      <c r="BG272" s="1203"/>
      <c r="BH272" s="1203"/>
      <c r="BI272" s="1203"/>
      <c r="BJ272" s="1203"/>
      <c r="BK272" s="1203"/>
      <c r="BL272" s="1203"/>
      <c r="BM272" s="1203"/>
      <c r="BN272" s="1203"/>
      <c r="BO272" s="1203"/>
      <c r="BP272" s="1203"/>
      <c r="BQ272" s="1203"/>
      <c r="BR272" s="1203"/>
      <c r="BS272" s="1203"/>
      <c r="BT272" s="1203"/>
      <c r="BU272" s="1203"/>
      <c r="BV272" s="1203"/>
      <c r="BW272" s="1203"/>
      <c r="BX272" s="1203"/>
      <c r="BY272" s="1203"/>
      <c r="BZ272" s="1013">
        <f t="shared" si="186"/>
        <v>24</v>
      </c>
      <c r="CB272" s="1227"/>
      <c r="CC272" s="1227"/>
      <c r="CE272" s="1009" t="e">
        <f t="shared" si="187"/>
        <v>#REF!</v>
      </c>
    </row>
    <row r="273" s="1013" customFormat="1" ht="36" customHeight="1" spans="1:83">
      <c r="A273" s="778">
        <v>46016</v>
      </c>
      <c r="B273" s="636" t="s">
        <v>3926</v>
      </c>
      <c r="C273" s="637" t="s">
        <v>351</v>
      </c>
      <c r="D273" s="1054">
        <v>4500190061</v>
      </c>
      <c r="E273" s="1055" t="s">
        <v>4362</v>
      </c>
      <c r="F273" s="1054" t="s">
        <v>4363</v>
      </c>
      <c r="G273" s="1056" t="s">
        <v>73</v>
      </c>
      <c r="H273" s="1057" t="s">
        <v>74</v>
      </c>
      <c r="I273" s="1088">
        <v>48</v>
      </c>
      <c r="J273" s="1089">
        <v>0</v>
      </c>
      <c r="K273" s="1090">
        <v>24</v>
      </c>
      <c r="L273" s="1013">
        <f t="shared" si="161"/>
        <v>2</v>
      </c>
      <c r="M273" s="1091">
        <v>46059</v>
      </c>
      <c r="N273" s="1091">
        <v>46055</v>
      </c>
      <c r="O273" s="452"/>
      <c r="P273" s="452"/>
      <c r="Q273" s="452"/>
      <c r="R273" s="587">
        <v>46016</v>
      </c>
      <c r="S273" s="91" t="s">
        <v>123</v>
      </c>
      <c r="T273" s="454" t="s">
        <v>4356</v>
      </c>
      <c r="U273" s="1055" t="s">
        <v>4357</v>
      </c>
      <c r="V273" s="1129" t="s">
        <v>396</v>
      </c>
      <c r="W273" s="1130">
        <v>1.3228</v>
      </c>
      <c r="X273" s="1131">
        <f t="shared" si="183"/>
        <v>63.4944</v>
      </c>
      <c r="Y273" s="1160" t="s">
        <v>3582</v>
      </c>
      <c r="Z273" s="1149" t="s">
        <v>188</v>
      </c>
      <c r="AA273" s="1161" t="s">
        <v>128</v>
      </c>
      <c r="AB273" s="1161"/>
      <c r="AC273" s="1162"/>
      <c r="AD273" s="1162"/>
      <c r="AE273" s="1162"/>
      <c r="AF273" s="452"/>
      <c r="AG273" s="452"/>
      <c r="AH273" s="1179">
        <f t="shared" si="184"/>
        <v>48</v>
      </c>
      <c r="AI273" s="1162"/>
      <c r="AJ273" s="1162"/>
      <c r="AK273" s="1162"/>
      <c r="AL273" s="1162"/>
      <c r="AM273" s="1162"/>
      <c r="AN273" s="781"/>
      <c r="AO273" s="781"/>
      <c r="AP273" s="781"/>
      <c r="AQ273" s="781">
        <f t="shared" si="188"/>
        <v>48</v>
      </c>
      <c r="AR273" s="781"/>
      <c r="AS273" s="781"/>
      <c r="AT273" s="781"/>
      <c r="AV273" s="781">
        <f t="shared" si="185"/>
        <v>48</v>
      </c>
      <c r="AW273" s="781"/>
      <c r="AX273" s="781"/>
      <c r="AY273" s="781"/>
      <c r="AZ273" s="781"/>
      <c r="BA273" s="781"/>
      <c r="BB273" s="781"/>
      <c r="BC273" s="1203"/>
      <c r="BD273" s="1203"/>
      <c r="BE273" s="1203"/>
      <c r="BF273" s="1203"/>
      <c r="BG273" s="1203"/>
      <c r="BH273" s="1203"/>
      <c r="BI273" s="1203"/>
      <c r="BJ273" s="1203"/>
      <c r="BK273" s="1203"/>
      <c r="BL273" s="1203"/>
      <c r="BM273" s="1203"/>
      <c r="BN273" s="1203"/>
      <c r="BO273" s="1203"/>
      <c r="BP273" s="1203"/>
      <c r="BQ273" s="1203"/>
      <c r="BR273" s="1203"/>
      <c r="BS273" s="1203"/>
      <c r="BT273" s="1203"/>
      <c r="BU273" s="1203"/>
      <c r="BV273" s="1203"/>
      <c r="BW273" s="1203"/>
      <c r="BX273" s="1203"/>
      <c r="BY273" s="1203"/>
      <c r="BZ273" s="1013">
        <f t="shared" si="186"/>
        <v>48</v>
      </c>
      <c r="CB273" s="1227"/>
      <c r="CC273" s="1227"/>
      <c r="CE273" s="1009" t="e">
        <f t="shared" si="187"/>
        <v>#REF!</v>
      </c>
    </row>
    <row r="274" s="1013" customFormat="1" ht="36" customHeight="1" spans="1:83">
      <c r="A274" s="778">
        <v>46016</v>
      </c>
      <c r="B274" s="636" t="s">
        <v>3926</v>
      </c>
      <c r="C274" s="637" t="s">
        <v>351</v>
      </c>
      <c r="D274" s="1054">
        <v>4500190061</v>
      </c>
      <c r="E274" s="1055" t="s">
        <v>4364</v>
      </c>
      <c r="F274" s="1054" t="s">
        <v>4365</v>
      </c>
      <c r="G274" s="1056" t="s">
        <v>73</v>
      </c>
      <c r="H274" s="1057" t="s">
        <v>74</v>
      </c>
      <c r="I274" s="1088">
        <v>24</v>
      </c>
      <c r="J274" s="1089">
        <v>0</v>
      </c>
      <c r="K274" s="1090">
        <v>24</v>
      </c>
      <c r="L274" s="1013">
        <f t="shared" si="161"/>
        <v>1</v>
      </c>
      <c r="M274" s="1091">
        <v>46059</v>
      </c>
      <c r="N274" s="1091">
        <v>46055</v>
      </c>
      <c r="O274" s="452"/>
      <c r="P274" s="452"/>
      <c r="Q274" s="452"/>
      <c r="R274" s="587">
        <v>46016</v>
      </c>
      <c r="S274" s="91" t="s">
        <v>123</v>
      </c>
      <c r="T274" s="454" t="s">
        <v>4356</v>
      </c>
      <c r="U274" s="1055" t="s">
        <v>4357</v>
      </c>
      <c r="V274" s="1129" t="s">
        <v>396</v>
      </c>
      <c r="W274" s="1130">
        <v>1.3228</v>
      </c>
      <c r="X274" s="1131">
        <f t="shared" si="183"/>
        <v>31.7472</v>
      </c>
      <c r="Y274" s="1160" t="s">
        <v>3582</v>
      </c>
      <c r="Z274" s="1149" t="s">
        <v>188</v>
      </c>
      <c r="AA274" s="1161" t="s">
        <v>128</v>
      </c>
      <c r="AB274" s="1161"/>
      <c r="AC274" s="1162"/>
      <c r="AD274" s="1162"/>
      <c r="AE274" s="1162"/>
      <c r="AF274" s="452"/>
      <c r="AG274" s="452"/>
      <c r="AH274" s="1179">
        <f t="shared" si="184"/>
        <v>24</v>
      </c>
      <c r="AI274" s="1162"/>
      <c r="AJ274" s="1162"/>
      <c r="AK274" s="1162"/>
      <c r="AL274" s="1162"/>
      <c r="AM274" s="1162"/>
      <c r="AN274" s="781"/>
      <c r="AO274" s="781"/>
      <c r="AP274" s="781"/>
      <c r="AQ274" s="781">
        <f t="shared" si="188"/>
        <v>24</v>
      </c>
      <c r="AR274" s="781"/>
      <c r="AS274" s="781"/>
      <c r="AT274" s="781"/>
      <c r="AV274" s="781">
        <f t="shared" si="185"/>
        <v>24</v>
      </c>
      <c r="AW274" s="781"/>
      <c r="AX274" s="781"/>
      <c r="AY274" s="781"/>
      <c r="AZ274" s="781"/>
      <c r="BA274" s="781"/>
      <c r="BB274" s="781"/>
      <c r="BC274" s="1203"/>
      <c r="BD274" s="1203"/>
      <c r="BE274" s="1203"/>
      <c r="BF274" s="1203"/>
      <c r="BG274" s="1203"/>
      <c r="BH274" s="1203"/>
      <c r="BI274" s="1203"/>
      <c r="BJ274" s="1203"/>
      <c r="BK274" s="1203"/>
      <c r="BL274" s="1203"/>
      <c r="BM274" s="1203"/>
      <c r="BN274" s="1203"/>
      <c r="BO274" s="1203"/>
      <c r="BP274" s="1203"/>
      <c r="BQ274" s="1203"/>
      <c r="BR274" s="1203"/>
      <c r="BS274" s="1203"/>
      <c r="BT274" s="1203"/>
      <c r="BU274" s="1203"/>
      <c r="BV274" s="1203"/>
      <c r="BW274" s="1203"/>
      <c r="BX274" s="1203"/>
      <c r="BY274" s="1203"/>
      <c r="BZ274" s="1013">
        <f t="shared" si="186"/>
        <v>24</v>
      </c>
      <c r="CB274" s="1227"/>
      <c r="CC274" s="1227"/>
      <c r="CE274" s="1009" t="e">
        <f t="shared" si="187"/>
        <v>#REF!</v>
      </c>
    </row>
    <row r="275" s="1013" customFormat="1" ht="36" customHeight="1" spans="1:83">
      <c r="A275" s="778">
        <v>46016</v>
      </c>
      <c r="B275" s="636" t="s">
        <v>3926</v>
      </c>
      <c r="C275" s="637" t="s">
        <v>351</v>
      </c>
      <c r="D275" s="1054">
        <v>4500190061</v>
      </c>
      <c r="E275" s="1055" t="s">
        <v>4366</v>
      </c>
      <c r="F275" s="1054" t="s">
        <v>4367</v>
      </c>
      <c r="G275" s="1056" t="s">
        <v>73</v>
      </c>
      <c r="H275" s="1057" t="s">
        <v>74</v>
      </c>
      <c r="I275" s="1088">
        <v>72</v>
      </c>
      <c r="J275" s="1089">
        <v>0</v>
      </c>
      <c r="K275" s="1090">
        <v>24</v>
      </c>
      <c r="L275" s="1013">
        <f t="shared" si="161"/>
        <v>3</v>
      </c>
      <c r="M275" s="1091">
        <v>46059</v>
      </c>
      <c r="N275" s="1091">
        <v>46055</v>
      </c>
      <c r="O275" s="452"/>
      <c r="P275" s="452"/>
      <c r="Q275" s="452"/>
      <c r="R275" s="587">
        <v>46016</v>
      </c>
      <c r="S275" s="91" t="s">
        <v>123</v>
      </c>
      <c r="T275" s="454" t="s">
        <v>4356</v>
      </c>
      <c r="U275" s="1055" t="s">
        <v>4357</v>
      </c>
      <c r="V275" s="1129" t="s">
        <v>396</v>
      </c>
      <c r="W275" s="1130">
        <v>1.3228</v>
      </c>
      <c r="X275" s="1131">
        <f t="shared" si="183"/>
        <v>95.2416</v>
      </c>
      <c r="Y275" s="1160" t="s">
        <v>3582</v>
      </c>
      <c r="Z275" s="1149" t="s">
        <v>188</v>
      </c>
      <c r="AA275" s="1161" t="s">
        <v>128</v>
      </c>
      <c r="AB275" s="1161"/>
      <c r="AC275" s="1162"/>
      <c r="AD275" s="1162"/>
      <c r="AE275" s="1162"/>
      <c r="AF275" s="452"/>
      <c r="AG275" s="452"/>
      <c r="AH275" s="1179">
        <f t="shared" si="184"/>
        <v>72</v>
      </c>
      <c r="AI275" s="1162"/>
      <c r="AJ275" s="1162"/>
      <c r="AK275" s="1162"/>
      <c r="AL275" s="1162"/>
      <c r="AM275" s="1162"/>
      <c r="AN275" s="781"/>
      <c r="AO275" s="781"/>
      <c r="AP275" s="781"/>
      <c r="AQ275" s="781">
        <f t="shared" si="188"/>
        <v>72</v>
      </c>
      <c r="AR275" s="781"/>
      <c r="AS275" s="781"/>
      <c r="AT275" s="781"/>
      <c r="AV275" s="781">
        <f t="shared" si="185"/>
        <v>72</v>
      </c>
      <c r="AW275" s="781"/>
      <c r="AX275" s="781"/>
      <c r="AY275" s="781"/>
      <c r="AZ275" s="781"/>
      <c r="BA275" s="781"/>
      <c r="BB275" s="781"/>
      <c r="BC275" s="1203"/>
      <c r="BD275" s="1203"/>
      <c r="BE275" s="1203"/>
      <c r="BF275" s="1203"/>
      <c r="BG275" s="1203"/>
      <c r="BH275" s="1203"/>
      <c r="BI275" s="1203"/>
      <c r="BJ275" s="1203"/>
      <c r="BK275" s="1203"/>
      <c r="BL275" s="1203"/>
      <c r="BM275" s="1203"/>
      <c r="BN275" s="1203"/>
      <c r="BO275" s="1203"/>
      <c r="BP275" s="1203"/>
      <c r="BQ275" s="1203"/>
      <c r="BR275" s="1203"/>
      <c r="BS275" s="1203"/>
      <c r="BT275" s="1203"/>
      <c r="BU275" s="1203"/>
      <c r="BV275" s="1203"/>
      <c r="BW275" s="1203"/>
      <c r="BX275" s="1203"/>
      <c r="BY275" s="1203"/>
      <c r="BZ275" s="1013">
        <f t="shared" si="186"/>
        <v>72</v>
      </c>
      <c r="CB275" s="1227"/>
      <c r="CC275" s="1227"/>
      <c r="CE275" s="1009" t="e">
        <f t="shared" si="187"/>
        <v>#REF!</v>
      </c>
    </row>
    <row r="276" s="1013" customFormat="1" ht="36" customHeight="1" spans="1:83">
      <c r="A276" s="778">
        <v>46016</v>
      </c>
      <c r="B276" s="636" t="s">
        <v>3926</v>
      </c>
      <c r="C276" s="637" t="s">
        <v>351</v>
      </c>
      <c r="D276" s="1054">
        <v>4500190061</v>
      </c>
      <c r="E276" s="1055" t="s">
        <v>4368</v>
      </c>
      <c r="F276" s="1054" t="s">
        <v>4369</v>
      </c>
      <c r="G276" s="1056" t="s">
        <v>73</v>
      </c>
      <c r="H276" s="1057" t="s">
        <v>74</v>
      </c>
      <c r="I276" s="1088">
        <v>24</v>
      </c>
      <c r="J276" s="1089">
        <v>0</v>
      </c>
      <c r="K276" s="1090">
        <v>24</v>
      </c>
      <c r="L276" s="1013">
        <f t="shared" si="161"/>
        <v>1</v>
      </c>
      <c r="M276" s="1091">
        <v>46059</v>
      </c>
      <c r="N276" s="1091">
        <v>46055</v>
      </c>
      <c r="O276" s="452"/>
      <c r="P276" s="452"/>
      <c r="Q276" s="452"/>
      <c r="R276" s="587">
        <v>46016</v>
      </c>
      <c r="S276" s="91" t="s">
        <v>123</v>
      </c>
      <c r="T276" s="454" t="s">
        <v>4356</v>
      </c>
      <c r="U276" s="1055" t="s">
        <v>4357</v>
      </c>
      <c r="V276" s="1129" t="s">
        <v>396</v>
      </c>
      <c r="W276" s="1130">
        <v>1.3228</v>
      </c>
      <c r="X276" s="1131">
        <f t="shared" si="183"/>
        <v>31.7472</v>
      </c>
      <c r="Y276" s="1160" t="s">
        <v>3582</v>
      </c>
      <c r="Z276" s="1149" t="s">
        <v>188</v>
      </c>
      <c r="AA276" s="1161" t="s">
        <v>128</v>
      </c>
      <c r="AB276" s="1161"/>
      <c r="AC276" s="1162"/>
      <c r="AD276" s="1162"/>
      <c r="AE276" s="1162"/>
      <c r="AF276" s="452"/>
      <c r="AG276" s="452"/>
      <c r="AH276" s="1179">
        <f t="shared" si="184"/>
        <v>24</v>
      </c>
      <c r="AI276" s="1162"/>
      <c r="AJ276" s="1162"/>
      <c r="AK276" s="1162"/>
      <c r="AL276" s="1162"/>
      <c r="AM276" s="1162"/>
      <c r="AN276" s="781"/>
      <c r="AO276" s="781"/>
      <c r="AP276" s="781"/>
      <c r="AQ276" s="781">
        <f t="shared" si="188"/>
        <v>24</v>
      </c>
      <c r="AR276" s="781"/>
      <c r="AS276" s="781"/>
      <c r="AT276" s="781"/>
      <c r="AV276" s="781">
        <f t="shared" si="185"/>
        <v>24</v>
      </c>
      <c r="AW276" s="781"/>
      <c r="AX276" s="781"/>
      <c r="AY276" s="781"/>
      <c r="AZ276" s="781"/>
      <c r="BA276" s="781"/>
      <c r="BB276" s="781"/>
      <c r="BC276" s="1203"/>
      <c r="BD276" s="1203"/>
      <c r="BE276" s="1203"/>
      <c r="BF276" s="1203"/>
      <c r="BG276" s="1203"/>
      <c r="BH276" s="1203"/>
      <c r="BI276" s="1203"/>
      <c r="BJ276" s="1203"/>
      <c r="BK276" s="1203"/>
      <c r="BL276" s="1203"/>
      <c r="BM276" s="1203"/>
      <c r="BN276" s="1203"/>
      <c r="BO276" s="1203"/>
      <c r="BP276" s="1203"/>
      <c r="BQ276" s="1203"/>
      <c r="BR276" s="1203"/>
      <c r="BS276" s="1203"/>
      <c r="BT276" s="1203"/>
      <c r="BU276" s="1203"/>
      <c r="BV276" s="1203"/>
      <c r="BW276" s="1203"/>
      <c r="BX276" s="1203"/>
      <c r="BY276" s="1203"/>
      <c r="BZ276" s="1013">
        <f t="shared" si="186"/>
        <v>24</v>
      </c>
      <c r="CB276" s="1227"/>
      <c r="CC276" s="1227"/>
      <c r="CE276" s="1009" t="e">
        <f t="shared" si="187"/>
        <v>#REF!</v>
      </c>
    </row>
    <row r="277" s="1013" customFormat="1" ht="36" customHeight="1" spans="1:83">
      <c r="A277" s="778">
        <v>45971</v>
      </c>
      <c r="B277" s="636" t="s">
        <v>3991</v>
      </c>
      <c r="C277" s="637" t="s">
        <v>117</v>
      </c>
      <c r="D277" s="1054">
        <v>4500184784</v>
      </c>
      <c r="E277" s="1055" t="s">
        <v>4370</v>
      </c>
      <c r="F277" s="1054" t="s">
        <v>4371</v>
      </c>
      <c r="G277" s="1056" t="s">
        <v>628</v>
      </c>
      <c r="H277" s="1057" t="s">
        <v>623</v>
      </c>
      <c r="I277" s="1013">
        <v>216</v>
      </c>
      <c r="J277" s="1097">
        <v>0</v>
      </c>
      <c r="K277" s="1056">
        <v>12</v>
      </c>
      <c r="L277" s="1013">
        <f t="shared" si="161"/>
        <v>18</v>
      </c>
      <c r="M277" s="1091">
        <v>46077</v>
      </c>
      <c r="N277" s="1091">
        <v>46062</v>
      </c>
      <c r="O277" s="452"/>
      <c r="P277" s="452"/>
      <c r="Q277" s="452"/>
      <c r="R277" s="452">
        <v>45971</v>
      </c>
      <c r="S277" s="453" t="s">
        <v>123</v>
      </c>
      <c r="T277" s="454" t="s">
        <v>4372</v>
      </c>
      <c r="U277" s="1062" t="s">
        <v>4373</v>
      </c>
      <c r="V277" s="1129" t="s">
        <v>3759</v>
      </c>
      <c r="W277" s="1130">
        <v>1.8222</v>
      </c>
      <c r="X277" s="1131">
        <f>W277*I277</f>
        <v>393.5952</v>
      </c>
      <c r="Y277" s="1160" t="s">
        <v>3582</v>
      </c>
      <c r="Z277" s="1149" t="s">
        <v>628</v>
      </c>
      <c r="AA277" s="1161" t="s">
        <v>128</v>
      </c>
      <c r="AB277" s="1161"/>
      <c r="AC277" s="1162"/>
      <c r="AD277" s="1162"/>
      <c r="AE277" s="1162"/>
      <c r="AF277" s="452"/>
      <c r="AG277" s="452"/>
      <c r="AH277" s="1162">
        <f>I277*2</f>
        <v>432</v>
      </c>
      <c r="AI277" s="1162"/>
      <c r="AJ277" s="1162"/>
      <c r="AK277" s="1162">
        <f>I277*2</f>
        <v>432</v>
      </c>
      <c r="AL277" s="1162"/>
      <c r="AM277" s="1162"/>
      <c r="AN277" s="781"/>
      <c r="AO277" s="781"/>
      <c r="AP277" s="781"/>
      <c r="AQ277" s="781"/>
      <c r="AR277" s="781"/>
      <c r="AS277" s="781"/>
      <c r="AT277" s="781"/>
      <c r="AU277" s="781">
        <f>I277*2</f>
        <v>432</v>
      </c>
      <c r="AV277" s="781"/>
      <c r="AW277" s="781"/>
      <c r="AX277" s="781"/>
      <c r="AY277" s="781"/>
      <c r="AZ277" s="781"/>
      <c r="BA277" s="781"/>
      <c r="BB277" s="781"/>
      <c r="BC277" s="1203"/>
      <c r="BD277" s="1203"/>
      <c r="BE277" s="1203"/>
      <c r="BF277" s="1203"/>
      <c r="BG277" s="1203"/>
      <c r="BH277" s="1203"/>
      <c r="BI277" s="1203"/>
      <c r="BJ277" s="1203"/>
      <c r="BK277" s="1203"/>
      <c r="BL277" s="1203"/>
      <c r="BM277" s="1203"/>
      <c r="BN277" s="1203"/>
      <c r="BO277" s="1203"/>
      <c r="BP277" s="1203"/>
      <c r="BQ277" s="1203"/>
      <c r="BR277" s="1203"/>
      <c r="BS277" s="1203"/>
      <c r="BT277" s="1203"/>
      <c r="BU277" s="1203"/>
      <c r="BV277" s="1203"/>
      <c r="BW277" s="1421">
        <f>I277</f>
        <v>216</v>
      </c>
      <c r="BX277" s="1421"/>
      <c r="BY277" s="1421">
        <f>BW277</f>
        <v>216</v>
      </c>
      <c r="BZ277" s="1435">
        <f t="shared" si="186"/>
        <v>432</v>
      </c>
      <c r="CB277" s="1227"/>
      <c r="CC277" s="1227"/>
      <c r="CE277" s="1009" t="e">
        <f t="shared" si="187"/>
        <v>#REF!</v>
      </c>
    </row>
    <row r="278" s="1013" customFormat="1" ht="36" customHeight="1" spans="1:83">
      <c r="A278" s="778">
        <v>45971</v>
      </c>
      <c r="B278" s="636" t="s">
        <v>3991</v>
      </c>
      <c r="C278" s="637" t="s">
        <v>117</v>
      </c>
      <c r="D278" s="1054">
        <v>4500184901</v>
      </c>
      <c r="E278" s="1055" t="s">
        <v>4374</v>
      </c>
      <c r="F278" s="1054" t="s">
        <v>4375</v>
      </c>
      <c r="G278" s="1056" t="s">
        <v>628</v>
      </c>
      <c r="H278" s="1057" t="s">
        <v>623</v>
      </c>
      <c r="I278" s="1013">
        <v>216</v>
      </c>
      <c r="J278" s="1097">
        <v>0</v>
      </c>
      <c r="K278" s="1056">
        <v>12</v>
      </c>
      <c r="L278" s="1013">
        <f t="shared" si="161"/>
        <v>18</v>
      </c>
      <c r="M278" s="1091">
        <v>46087</v>
      </c>
      <c r="N278" s="1091">
        <v>46083</v>
      </c>
      <c r="O278" s="452"/>
      <c r="P278" s="452"/>
      <c r="Q278" s="452"/>
      <c r="R278" s="452">
        <v>45971</v>
      </c>
      <c r="S278" s="453" t="s">
        <v>123</v>
      </c>
      <c r="T278" s="454" t="s">
        <v>4372</v>
      </c>
      <c r="U278" s="1062" t="s">
        <v>4376</v>
      </c>
      <c r="V278" s="1129" t="s">
        <v>3759</v>
      </c>
      <c r="W278" s="1130">
        <v>1.8222</v>
      </c>
      <c r="X278" s="1131">
        <f>W278*I278</f>
        <v>393.5952</v>
      </c>
      <c r="Y278" s="1160" t="s">
        <v>3582</v>
      </c>
      <c r="Z278" s="1149" t="s">
        <v>628</v>
      </c>
      <c r="AA278" s="1161" t="s">
        <v>128</v>
      </c>
      <c r="AB278" s="1161"/>
      <c r="AC278" s="1162"/>
      <c r="AD278" s="1162"/>
      <c r="AE278" s="1162"/>
      <c r="AF278" s="452"/>
      <c r="AG278" s="452"/>
      <c r="AH278" s="1162">
        <f>I278*2</f>
        <v>432</v>
      </c>
      <c r="AI278" s="1162"/>
      <c r="AJ278" s="1162"/>
      <c r="AK278" s="1162">
        <f>I278*2</f>
        <v>432</v>
      </c>
      <c r="AL278" s="1162"/>
      <c r="AM278" s="1162"/>
      <c r="AN278" s="781"/>
      <c r="AO278" s="781"/>
      <c r="AP278" s="781"/>
      <c r="AQ278" s="781"/>
      <c r="AR278" s="781"/>
      <c r="AS278" s="781"/>
      <c r="AT278" s="781"/>
      <c r="AU278" s="781">
        <f>I278*2</f>
        <v>432</v>
      </c>
      <c r="AV278" s="781"/>
      <c r="AW278" s="781"/>
      <c r="AX278" s="781"/>
      <c r="AY278" s="781"/>
      <c r="AZ278" s="781"/>
      <c r="BA278" s="781"/>
      <c r="BB278" s="781"/>
      <c r="BC278" s="1203"/>
      <c r="BD278" s="1203"/>
      <c r="BE278" s="1203"/>
      <c r="BF278" s="1203"/>
      <c r="BG278" s="1203"/>
      <c r="BH278" s="1203"/>
      <c r="BI278" s="1203"/>
      <c r="BJ278" s="1203"/>
      <c r="BK278" s="1203"/>
      <c r="BL278" s="1203"/>
      <c r="BM278" s="1203"/>
      <c r="BN278" s="1203"/>
      <c r="BO278" s="1203"/>
      <c r="BP278" s="1203"/>
      <c r="BQ278" s="1203"/>
      <c r="BR278" s="1203"/>
      <c r="BS278" s="1203"/>
      <c r="BT278" s="1203"/>
      <c r="BU278" s="1203"/>
      <c r="BV278" s="1203"/>
      <c r="BW278" s="1421">
        <f>I278</f>
        <v>216</v>
      </c>
      <c r="BX278" s="1421"/>
      <c r="BY278" s="1421">
        <f>BW278</f>
        <v>216</v>
      </c>
      <c r="BZ278" s="1435">
        <f t="shared" si="186"/>
        <v>432</v>
      </c>
      <c r="CB278" s="1227"/>
      <c r="CC278" s="1227"/>
      <c r="CE278" s="1009" t="e">
        <f t="shared" si="187"/>
        <v>#REF!</v>
      </c>
    </row>
    <row r="279" s="1013" customFormat="1" ht="36" customHeight="1" spans="1:83">
      <c r="A279" s="778"/>
      <c r="B279" s="636"/>
      <c r="C279" s="637"/>
      <c r="D279" s="1054"/>
      <c r="E279" s="1055"/>
      <c r="F279" s="1054"/>
      <c r="G279" s="1056"/>
      <c r="H279" s="1057"/>
      <c r="J279" s="1097"/>
      <c r="K279" s="1056"/>
      <c r="M279" s="1091"/>
      <c r="N279" s="1091"/>
      <c r="O279" s="216"/>
      <c r="P279" s="452"/>
      <c r="Q279" s="452"/>
      <c r="R279" s="452"/>
      <c r="S279" s="453"/>
      <c r="T279" s="453"/>
      <c r="U279" s="1055"/>
      <c r="V279" s="1129"/>
      <c r="W279" s="1130"/>
      <c r="X279" s="1131"/>
      <c r="Z279" s="1149"/>
      <c r="AA279" s="1161"/>
      <c r="AB279" s="1161"/>
      <c r="AC279" s="1162"/>
      <c r="AD279" s="1151"/>
      <c r="AE279" s="1162"/>
      <c r="AF279" s="452"/>
      <c r="AG279" s="452"/>
      <c r="AH279" s="1177">
        <f>I279</f>
        <v>0</v>
      </c>
      <c r="AI279" s="1162"/>
      <c r="AJ279" s="1162"/>
      <c r="AK279" s="1162"/>
      <c r="AL279" s="1162"/>
      <c r="AM279" s="1162"/>
      <c r="AN279" s="781"/>
      <c r="AO279" s="781"/>
      <c r="AP279" s="781"/>
      <c r="AQ279" s="781"/>
      <c r="AR279" s="781"/>
      <c r="AS279" s="781"/>
      <c r="AT279" s="781"/>
      <c r="AU279" s="781"/>
      <c r="AV279" s="781"/>
      <c r="AW279" s="781"/>
      <c r="AX279" s="781"/>
      <c r="AY279" s="781"/>
      <c r="AZ279" s="781"/>
      <c r="BA279" s="781"/>
      <c r="BB279" s="781"/>
      <c r="BC279" s="1203"/>
      <c r="BD279" s="1203"/>
      <c r="BE279" s="1203"/>
      <c r="BF279" s="1203"/>
      <c r="BG279" s="1203"/>
      <c r="BH279" s="1203"/>
      <c r="BI279" s="1203"/>
      <c r="BJ279" s="1203"/>
      <c r="BK279" s="1203"/>
      <c r="BL279" s="1203"/>
      <c r="BM279" s="1203"/>
      <c r="BN279" s="1203"/>
      <c r="BO279" s="1203"/>
      <c r="BP279" s="1203"/>
      <c r="BQ279" s="1203"/>
      <c r="BR279" s="1203"/>
      <c r="BS279" s="1203"/>
      <c r="BT279" s="1203"/>
      <c r="BU279" s="1203"/>
      <c r="BV279" s="1203"/>
      <c r="BW279" s="1203"/>
      <c r="BX279" s="1203"/>
      <c r="BY279" s="1203"/>
      <c r="CB279" s="1227"/>
      <c r="CC279" s="1227"/>
      <c r="CE279" s="1012"/>
    </row>
    <row r="280" s="1013" customFormat="1" ht="36" customHeight="1" spans="1:83">
      <c r="A280" s="778"/>
      <c r="B280" s="636"/>
      <c r="C280" s="637"/>
      <c r="D280" s="1054"/>
      <c r="E280" s="1055"/>
      <c r="F280" s="1054"/>
      <c r="G280" s="1056"/>
      <c r="H280" s="1057"/>
      <c r="J280" s="1097"/>
      <c r="K280" s="1056"/>
      <c r="M280" s="1091"/>
      <c r="N280" s="1091"/>
      <c r="O280" s="216"/>
      <c r="P280" s="452"/>
      <c r="Q280" s="452"/>
      <c r="R280" s="452"/>
      <c r="S280" s="453"/>
      <c r="T280" s="453"/>
      <c r="U280" s="1055"/>
      <c r="V280" s="1129"/>
      <c r="W280" s="1130"/>
      <c r="X280" s="1131"/>
      <c r="Z280" s="1149"/>
      <c r="AA280" s="1161"/>
      <c r="AB280" s="1161"/>
      <c r="AC280" s="1162"/>
      <c r="AD280" s="1151"/>
      <c r="AE280" s="1162"/>
      <c r="AF280" s="452"/>
      <c r="AG280" s="452"/>
      <c r="AH280" s="1162"/>
      <c r="AI280" s="1162"/>
      <c r="AJ280" s="1162"/>
      <c r="AK280" s="1162"/>
      <c r="AL280" s="1162"/>
      <c r="AM280" s="1162"/>
      <c r="AN280" s="781"/>
      <c r="AO280" s="781"/>
      <c r="AP280" s="781"/>
      <c r="AQ280" s="781"/>
      <c r="AR280" s="781"/>
      <c r="AS280" s="781"/>
      <c r="AT280" s="781"/>
      <c r="AU280" s="781"/>
      <c r="AV280" s="781"/>
      <c r="AW280" s="781"/>
      <c r="AX280" s="781"/>
      <c r="AY280" s="781"/>
      <c r="AZ280" s="781"/>
      <c r="BA280" s="781"/>
      <c r="BB280" s="781"/>
      <c r="BC280" s="1203"/>
      <c r="BD280" s="1203"/>
      <c r="BE280" s="1203"/>
      <c r="BF280" s="1203"/>
      <c r="BG280" s="1203"/>
      <c r="BH280" s="1203"/>
      <c r="BI280" s="1203"/>
      <c r="BJ280" s="1203"/>
      <c r="BK280" s="1203"/>
      <c r="BL280" s="1203"/>
      <c r="BM280" s="1203"/>
      <c r="BN280" s="1203"/>
      <c r="BO280" s="1203"/>
      <c r="BP280" s="1203"/>
      <c r="BQ280" s="1203"/>
      <c r="BR280" s="1203"/>
      <c r="BS280" s="1203"/>
      <c r="BT280" s="1203"/>
      <c r="BU280" s="1203"/>
      <c r="BV280" s="1203"/>
      <c r="BW280" s="1203"/>
      <c r="BX280" s="1203"/>
      <c r="BY280" s="1203"/>
      <c r="CB280" s="1227"/>
      <c r="CC280" s="1227"/>
      <c r="CE280" s="1012"/>
    </row>
    <row r="281" s="1013" customFormat="1" ht="36" customHeight="1" spans="1:83">
      <c r="A281" s="778"/>
      <c r="B281" s="636"/>
      <c r="C281" s="637"/>
      <c r="D281" s="1054"/>
      <c r="E281" s="1055"/>
      <c r="F281" s="1054"/>
      <c r="G281" s="1056"/>
      <c r="H281" s="1057"/>
      <c r="J281" s="1097"/>
      <c r="K281" s="1056"/>
      <c r="M281" s="1091"/>
      <c r="N281" s="1091"/>
      <c r="O281" s="216"/>
      <c r="P281" s="452"/>
      <c r="Q281" s="452"/>
      <c r="R281" s="452"/>
      <c r="S281" s="453"/>
      <c r="T281" s="453"/>
      <c r="U281" s="1055"/>
      <c r="V281" s="1129"/>
      <c r="W281" s="1130"/>
      <c r="X281" s="1131"/>
      <c r="Z281" s="1149"/>
      <c r="AA281" s="1161"/>
      <c r="AB281" s="1161"/>
      <c r="AC281" s="1162"/>
      <c r="AD281" s="1151"/>
      <c r="AE281" s="1162"/>
      <c r="AF281" s="452"/>
      <c r="AG281" s="452"/>
      <c r="AH281" s="1162"/>
      <c r="AI281" s="1162"/>
      <c r="AJ281" s="1162"/>
      <c r="AK281" s="1162"/>
      <c r="AL281" s="1162"/>
      <c r="AM281" s="1162"/>
      <c r="AN281" s="781"/>
      <c r="AO281" s="781"/>
      <c r="AP281" s="781"/>
      <c r="AQ281" s="781"/>
      <c r="AR281" s="781"/>
      <c r="AS281" s="781"/>
      <c r="AT281" s="781"/>
      <c r="AU281" s="781"/>
      <c r="AV281" s="781"/>
      <c r="AW281" s="781"/>
      <c r="AX281" s="781"/>
      <c r="AY281" s="781"/>
      <c r="AZ281" s="781"/>
      <c r="BA281" s="781"/>
      <c r="BB281" s="781"/>
      <c r="BC281" s="1203"/>
      <c r="BD281" s="1203"/>
      <c r="BE281" s="1203"/>
      <c r="BF281" s="1203"/>
      <c r="BG281" s="1203"/>
      <c r="BH281" s="1203"/>
      <c r="BI281" s="1203"/>
      <c r="BJ281" s="1203"/>
      <c r="BK281" s="1203"/>
      <c r="BL281" s="1203"/>
      <c r="BM281" s="1203"/>
      <c r="BN281" s="1203"/>
      <c r="BO281" s="1203"/>
      <c r="BP281" s="1203"/>
      <c r="BQ281" s="1203"/>
      <c r="BR281" s="1203"/>
      <c r="BS281" s="1203"/>
      <c r="BT281" s="1203"/>
      <c r="BU281" s="1203"/>
      <c r="BV281" s="1203"/>
      <c r="BW281" s="1203"/>
      <c r="BX281" s="1203"/>
      <c r="BY281" s="1203"/>
      <c r="CB281" s="1227"/>
      <c r="CC281" s="1227"/>
      <c r="CE281" s="1012"/>
    </row>
    <row r="282" s="1013" customFormat="1" ht="36" customHeight="1" spans="1:83">
      <c r="A282" s="778"/>
      <c r="B282" s="636"/>
      <c r="C282" s="637"/>
      <c r="D282" s="1054"/>
      <c r="E282" s="1055"/>
      <c r="F282" s="1054"/>
      <c r="G282" s="1056"/>
      <c r="H282" s="1057"/>
      <c r="J282" s="1097"/>
      <c r="K282" s="1056"/>
      <c r="M282" s="1091"/>
      <c r="N282" s="1091"/>
      <c r="O282" s="216"/>
      <c r="P282" s="452"/>
      <c r="Q282" s="452"/>
      <c r="R282" s="452"/>
      <c r="S282" s="453"/>
      <c r="T282" s="453"/>
      <c r="U282" s="1055"/>
      <c r="V282" s="1129"/>
      <c r="W282" s="1130"/>
      <c r="X282" s="1131"/>
      <c r="Z282" s="1149"/>
      <c r="AA282" s="1161"/>
      <c r="AB282" s="1161"/>
      <c r="AC282" s="1162"/>
      <c r="AD282" s="1151"/>
      <c r="AE282" s="1162"/>
      <c r="AF282" s="452"/>
      <c r="AG282" s="452"/>
      <c r="AH282" s="1162"/>
      <c r="AI282" s="1162"/>
      <c r="AJ282" s="1162"/>
      <c r="AK282" s="1162"/>
      <c r="AL282" s="1162"/>
      <c r="AM282" s="1162"/>
      <c r="AN282" s="781"/>
      <c r="AO282" s="781"/>
      <c r="AP282" s="781"/>
      <c r="AQ282" s="781"/>
      <c r="AR282" s="781"/>
      <c r="AS282" s="781"/>
      <c r="AT282" s="781"/>
      <c r="AU282" s="781"/>
      <c r="AV282" s="781"/>
      <c r="AW282" s="781"/>
      <c r="AX282" s="781"/>
      <c r="AY282" s="781"/>
      <c r="AZ282" s="781"/>
      <c r="BA282" s="781"/>
      <c r="BB282" s="781"/>
      <c r="BC282" s="1203"/>
      <c r="BD282" s="1203"/>
      <c r="BE282" s="1203"/>
      <c r="BF282" s="1203"/>
      <c r="BG282" s="1203"/>
      <c r="BH282" s="1203"/>
      <c r="BI282" s="1203"/>
      <c r="BJ282" s="1203"/>
      <c r="BK282" s="1203"/>
      <c r="BL282" s="1203"/>
      <c r="BM282" s="1203"/>
      <c r="BN282" s="1203"/>
      <c r="BO282" s="1203"/>
      <c r="BP282" s="1203"/>
      <c r="BQ282" s="1203"/>
      <c r="BR282" s="1203"/>
      <c r="BS282" s="1203"/>
      <c r="BT282" s="1203"/>
      <c r="BU282" s="1203"/>
      <c r="BV282" s="1203"/>
      <c r="BW282" s="1203"/>
      <c r="BX282" s="1203"/>
      <c r="BY282" s="1203"/>
      <c r="CB282" s="1227"/>
      <c r="CC282" s="1227"/>
      <c r="CE282" s="1012"/>
    </row>
    <row r="283" s="649" customFormat="1" ht="26.25" customHeight="1" spans="1:83">
      <c r="A283" s="1017"/>
      <c r="B283" s="1008"/>
      <c r="C283" s="1018"/>
      <c r="E283" s="1008"/>
      <c r="F283" s="1008"/>
      <c r="H283" s="1072"/>
      <c r="I283" s="1102"/>
      <c r="M283" s="1103"/>
      <c r="N283" s="1103"/>
      <c r="O283" s="1018"/>
      <c r="P283" s="1018"/>
      <c r="Q283" s="1018"/>
      <c r="R283" s="1103"/>
      <c r="S283" s="1103"/>
      <c r="T283" s="1018"/>
      <c r="U283" s="1141"/>
      <c r="W283" s="1142"/>
      <c r="X283" s="1143"/>
      <c r="Y283" s="1021"/>
      <c r="Z283" s="1021"/>
      <c r="AA283" s="1021"/>
      <c r="AB283" s="1021"/>
      <c r="AC283" s="1021"/>
      <c r="AD283" s="1021"/>
      <c r="AE283" s="1021"/>
      <c r="AF283" s="1018"/>
      <c r="AG283" s="1018"/>
      <c r="AH283" s="1102"/>
      <c r="AI283" s="1102"/>
      <c r="AJ283" s="1102"/>
      <c r="AK283" s="1102"/>
      <c r="AL283" s="1102"/>
      <c r="AM283" s="1102"/>
      <c r="AN283" s="1102"/>
      <c r="AO283" s="1102"/>
      <c r="AP283" s="1102"/>
      <c r="AQ283" s="1102"/>
      <c r="AR283" s="1102"/>
      <c r="AS283" s="1102"/>
      <c r="AT283" s="1102"/>
      <c r="AU283" s="1102"/>
      <c r="AV283" s="1102"/>
      <c r="AW283" s="1102"/>
      <c r="AX283" s="1102"/>
      <c r="AY283" s="1102"/>
      <c r="AZ283" s="1102"/>
      <c r="BA283" s="1102"/>
      <c r="BB283" s="1102"/>
      <c r="BC283" s="1102"/>
      <c r="BD283" s="1102"/>
      <c r="BE283" s="1102"/>
      <c r="BF283" s="1102"/>
      <c r="BG283" s="1102"/>
      <c r="BH283" s="1102"/>
      <c r="BI283" s="1102"/>
      <c r="BJ283" s="1102"/>
      <c r="BK283" s="1102"/>
      <c r="BL283" s="1102"/>
      <c r="BM283" s="1102"/>
      <c r="BN283" s="1102"/>
      <c r="BO283" s="1102"/>
      <c r="BP283" s="1102"/>
      <c r="BQ283" s="1102"/>
      <c r="BR283" s="1102"/>
      <c r="BS283" s="1102"/>
      <c r="BT283" s="1102"/>
      <c r="BU283" s="1102"/>
      <c r="BV283" s="1102"/>
      <c r="BW283" s="1102"/>
      <c r="BX283" s="1102"/>
      <c r="BY283" s="1102"/>
      <c r="BZ283" s="1102"/>
      <c r="CB283" s="1024"/>
      <c r="CC283" s="1024"/>
      <c r="CD283" s="1218"/>
      <c r="CE283" s="1009" t="e">
        <f>CE278-AH283-AI283-AJ283</f>
        <v>#REF!</v>
      </c>
    </row>
    <row r="284" s="649" customFormat="1" ht="26.25" customHeight="1" spans="1:83">
      <c r="A284" s="1017"/>
      <c r="B284" s="1008"/>
      <c r="C284" s="1018"/>
      <c r="E284" s="1008"/>
      <c r="F284" s="1008"/>
      <c r="H284" s="1072" t="s">
        <v>3401</v>
      </c>
      <c r="I284" s="1102">
        <f>SUM(I3:I244)</f>
        <v>1014421</v>
      </c>
      <c r="M284" s="1103"/>
      <c r="N284" s="1103"/>
      <c r="O284" s="1018"/>
      <c r="P284" s="1018"/>
      <c r="Q284" s="1018"/>
      <c r="R284" s="1103"/>
      <c r="S284" s="1103"/>
      <c r="T284" s="1018"/>
      <c r="U284" s="1019"/>
      <c r="W284" s="1142"/>
      <c r="X284" s="1143">
        <f>SUM(X3:X244)*7.75</f>
        <v>12459131.414225</v>
      </c>
      <c r="Y284" s="1021"/>
      <c r="Z284" s="1021"/>
      <c r="AA284" s="1021"/>
      <c r="AB284" s="1021"/>
      <c r="AC284" s="1021"/>
      <c r="AD284" s="1021"/>
      <c r="AE284" s="1021"/>
      <c r="AF284" s="1018"/>
      <c r="AG284" s="1018"/>
      <c r="AH284" s="1102">
        <f t="shared" ref="AH284:BZ284" si="189">SUM(AH3:AH283)+AH285</f>
        <v>3904415</v>
      </c>
      <c r="AI284" s="1102">
        <f t="shared" si="189"/>
        <v>69682</v>
      </c>
      <c r="AJ284" s="1102">
        <f t="shared" si="189"/>
        <v>8136</v>
      </c>
      <c r="AK284" s="1102">
        <f t="shared" si="189"/>
        <v>151512</v>
      </c>
      <c r="AL284" s="1102">
        <f t="shared" si="189"/>
        <v>0</v>
      </c>
      <c r="AM284" s="1102">
        <f t="shared" si="189"/>
        <v>69960</v>
      </c>
      <c r="AN284" s="1102">
        <f t="shared" si="189"/>
        <v>2237120</v>
      </c>
      <c r="AO284" s="1102">
        <f t="shared" si="189"/>
        <v>623203</v>
      </c>
      <c r="AP284" s="1102">
        <f t="shared" si="189"/>
        <v>5374</v>
      </c>
      <c r="AQ284" s="1102">
        <f t="shared" si="189"/>
        <v>57824</v>
      </c>
      <c r="AR284" s="1102">
        <f t="shared" si="189"/>
        <v>159952</v>
      </c>
      <c r="AS284" s="1102">
        <f t="shared" si="189"/>
        <v>617112</v>
      </c>
      <c r="AT284" s="1102">
        <f t="shared" si="189"/>
        <v>55216</v>
      </c>
      <c r="AU284" s="1102">
        <f t="shared" si="189"/>
        <v>3131388</v>
      </c>
      <c r="AV284" s="1102">
        <f t="shared" si="189"/>
        <v>497930</v>
      </c>
      <c r="AW284" s="1102">
        <f t="shared" si="189"/>
        <v>31074</v>
      </c>
      <c r="AX284" s="1102">
        <f t="shared" si="189"/>
        <v>297966</v>
      </c>
      <c r="AY284" s="1102">
        <f t="shared" si="189"/>
        <v>18915</v>
      </c>
      <c r="AZ284" s="1102">
        <f t="shared" si="189"/>
        <v>4435</v>
      </c>
      <c r="BA284" s="1102">
        <f t="shared" si="189"/>
        <v>6181</v>
      </c>
      <c r="BB284" s="1102">
        <f t="shared" si="189"/>
        <v>28801</v>
      </c>
      <c r="BC284" s="1102">
        <f t="shared" si="189"/>
        <v>4232</v>
      </c>
      <c r="BD284" s="1102">
        <f t="shared" si="189"/>
        <v>125</v>
      </c>
      <c r="BE284" s="1102">
        <f t="shared" si="189"/>
        <v>1270</v>
      </c>
      <c r="BF284" s="1102">
        <f t="shared" si="189"/>
        <v>18198</v>
      </c>
      <c r="BG284" s="1102">
        <f t="shared" si="189"/>
        <v>8657</v>
      </c>
      <c r="BH284" s="1102">
        <f t="shared" si="189"/>
        <v>2735</v>
      </c>
      <c r="BI284" s="1102">
        <f t="shared" si="189"/>
        <v>30054</v>
      </c>
      <c r="BJ284" s="1102">
        <f t="shared" si="189"/>
        <v>4729</v>
      </c>
      <c r="BK284" s="1102">
        <f t="shared" si="189"/>
        <v>56</v>
      </c>
      <c r="BL284" s="1102">
        <f t="shared" si="189"/>
        <v>265</v>
      </c>
      <c r="BM284" s="1102">
        <f t="shared" si="189"/>
        <v>9109</v>
      </c>
      <c r="BN284" s="1102">
        <f t="shared" si="189"/>
        <v>13030</v>
      </c>
      <c r="BO284" s="1102">
        <f t="shared" si="189"/>
        <v>1779</v>
      </c>
      <c r="BP284" s="1102">
        <f t="shared" si="189"/>
        <v>311</v>
      </c>
      <c r="BQ284" s="1102">
        <f t="shared" si="189"/>
        <v>1001</v>
      </c>
      <c r="BR284" s="1102">
        <f t="shared" si="189"/>
        <v>2775</v>
      </c>
      <c r="BS284" s="1102">
        <f t="shared" si="189"/>
        <v>801</v>
      </c>
      <c r="BT284" s="1102">
        <f t="shared" si="189"/>
        <v>1326</v>
      </c>
      <c r="BU284" s="1102">
        <f t="shared" si="189"/>
        <v>4280</v>
      </c>
      <c r="BV284" s="1102">
        <f t="shared" si="189"/>
        <v>19994</v>
      </c>
      <c r="BW284" s="1102">
        <f t="shared" si="189"/>
        <v>229320</v>
      </c>
      <c r="BX284" s="1102">
        <f t="shared" si="189"/>
        <v>180588</v>
      </c>
      <c r="BY284" s="1102">
        <f t="shared" si="189"/>
        <v>48732</v>
      </c>
      <c r="BZ284" s="1102">
        <f t="shared" si="189"/>
        <v>1115278</v>
      </c>
      <c r="CB284" s="1024"/>
      <c r="CC284" s="1024"/>
      <c r="CD284" s="1218" t="s">
        <v>4377</v>
      </c>
      <c r="CE284" s="238" t="e">
        <f>CE283-'生产MA Summary'!R4</f>
        <v>#REF!</v>
      </c>
    </row>
    <row r="285" s="649" customFormat="1" ht="26.25" customHeight="1" spans="1:81">
      <c r="A285" s="1017"/>
      <c r="B285" s="1008"/>
      <c r="C285" s="1018"/>
      <c r="E285" s="1008"/>
      <c r="F285" s="1008"/>
      <c r="H285" s="1008"/>
      <c r="M285" s="1103"/>
      <c r="N285" s="1103"/>
      <c r="O285" s="1018"/>
      <c r="P285" s="1018"/>
      <c r="Q285" s="1018"/>
      <c r="R285" s="1103"/>
      <c r="S285" s="1103"/>
      <c r="T285" s="1018"/>
      <c r="U285" s="1019"/>
      <c r="W285" s="1142"/>
      <c r="X285" s="1143"/>
      <c r="Y285" s="1021"/>
      <c r="Z285" s="1021"/>
      <c r="AA285" s="1021"/>
      <c r="AB285" s="1021"/>
      <c r="AC285" s="1021"/>
      <c r="AD285" s="1021"/>
      <c r="AE285" s="1021"/>
      <c r="AF285" s="1018"/>
      <c r="AG285" s="1184" t="s">
        <v>4378</v>
      </c>
      <c r="AH285" s="1185">
        <v>2801870</v>
      </c>
      <c r="AI285" s="1185">
        <v>52557</v>
      </c>
      <c r="AJ285" s="1185">
        <v>8136</v>
      </c>
      <c r="AK285" s="1185">
        <v>129792</v>
      </c>
      <c r="AL285" s="1185"/>
      <c r="AM285" s="1185"/>
      <c r="AN285" s="1185">
        <f>2071417+150</f>
        <v>2071567</v>
      </c>
      <c r="AO285" s="1185">
        <v>444136</v>
      </c>
      <c r="AP285" s="1185"/>
      <c r="AQ285" s="1185"/>
      <c r="AR285" s="1185">
        <v>159952</v>
      </c>
      <c r="AS285" s="1185"/>
      <c r="AT285" s="1185">
        <v>55216</v>
      </c>
      <c r="AU285" s="1185">
        <f>2518012+150</f>
        <v>2518162</v>
      </c>
      <c r="AV285" s="1185"/>
      <c r="AW285" s="1185">
        <v>28770</v>
      </c>
      <c r="AX285" s="1185">
        <v>294816</v>
      </c>
      <c r="AY285" s="1185">
        <v>18915</v>
      </c>
      <c r="AZ285" s="1185"/>
      <c r="BA285" s="1185"/>
      <c r="BB285" s="1185">
        <v>27274</v>
      </c>
      <c r="BC285" s="1185">
        <v>3808</v>
      </c>
      <c r="BD285" s="1185"/>
      <c r="BE285" s="1185">
        <v>1120</v>
      </c>
      <c r="BF285" s="1185">
        <v>18198</v>
      </c>
      <c r="BG285" s="1185">
        <v>8409</v>
      </c>
      <c r="BH285" s="1185">
        <v>2196</v>
      </c>
      <c r="BI285" s="1185">
        <v>26101</v>
      </c>
      <c r="BJ285" s="1185">
        <v>2853</v>
      </c>
      <c r="BK285" s="1185"/>
      <c r="BL285" s="1185"/>
      <c r="BM285" s="1185">
        <v>8455</v>
      </c>
      <c r="BN285" s="1185">
        <v>9456</v>
      </c>
      <c r="BO285" s="1185">
        <v>1779</v>
      </c>
      <c r="BP285" s="1185">
        <v>311</v>
      </c>
      <c r="BQ285" s="1185">
        <v>871</v>
      </c>
      <c r="BR285" s="1185">
        <v>2775</v>
      </c>
      <c r="BS285" s="1185">
        <v>662</v>
      </c>
      <c r="BT285" s="1185">
        <v>1187</v>
      </c>
      <c r="BU285" s="1185">
        <v>4280</v>
      </c>
      <c r="BV285" s="1185">
        <v>19994</v>
      </c>
      <c r="BW285" s="1185">
        <v>144924</v>
      </c>
      <c r="BX285" s="1185">
        <v>144924</v>
      </c>
      <c r="BY285" s="1185"/>
      <c r="BZ285" s="1021"/>
      <c r="CB285" s="1024"/>
      <c r="CC285" s="1024"/>
    </row>
    <row r="286" s="649" customFormat="1" ht="26.25" customHeight="1" spans="1:81">
      <c r="A286" s="1017"/>
      <c r="B286" s="1008"/>
      <c r="C286" s="1018"/>
      <c r="E286" s="1008"/>
      <c r="F286" s="1008"/>
      <c r="G286" s="649" t="s">
        <v>4379</v>
      </c>
      <c r="H286" s="1008"/>
      <c r="M286" s="1103"/>
      <c r="N286" s="1103"/>
      <c r="O286" s="1104"/>
      <c r="P286" s="1018"/>
      <c r="Q286" s="1018"/>
      <c r="R286" s="1103"/>
      <c r="S286" s="1103"/>
      <c r="T286" s="1018"/>
      <c r="U286" s="1019"/>
      <c r="W286" s="1142"/>
      <c r="X286" s="1020">
        <f>SUBTOTAL(9,X107:X244)*7.75</f>
        <v>8797250.121225</v>
      </c>
      <c r="Y286" s="1021"/>
      <c r="Z286" s="1021"/>
      <c r="AA286" s="1021"/>
      <c r="AB286" s="1021"/>
      <c r="AC286" s="1021"/>
      <c r="AD286" s="1021"/>
      <c r="AE286" s="1021"/>
      <c r="AF286" s="1018"/>
      <c r="AG286" s="1018"/>
      <c r="AH286" s="781">
        <f>SUM(AH3:AH282)</f>
        <v>1102545</v>
      </c>
      <c r="AI286" s="781">
        <f>SUM(AI3:AI282)</f>
        <v>17125</v>
      </c>
      <c r="AJ286" s="781">
        <f>SUM(AJ3:AJ282)</f>
        <v>0</v>
      </c>
      <c r="AK286" s="781">
        <f t="shared" ref="AK286:AO286" si="190">SUM(AK3:AK244)</f>
        <v>12072</v>
      </c>
      <c r="AL286" s="781"/>
      <c r="AM286" s="781"/>
      <c r="AN286" s="781">
        <f t="shared" si="190"/>
        <v>162337</v>
      </c>
      <c r="AO286" s="781">
        <f t="shared" si="190"/>
        <v>179067</v>
      </c>
      <c r="AP286" s="781"/>
      <c r="AQ286" s="781"/>
      <c r="AR286" s="781">
        <f t="shared" ref="AR286:AU286" si="191">SUM(AR3:AR244)</f>
        <v>0</v>
      </c>
      <c r="AS286" s="781"/>
      <c r="AT286" s="781">
        <f t="shared" si="191"/>
        <v>0</v>
      </c>
      <c r="AU286" s="781">
        <f t="shared" si="191"/>
        <v>585278</v>
      </c>
      <c r="AV286" s="781"/>
      <c r="AW286" s="781">
        <f t="shared" ref="AW286:AY286" si="192">SUM(AW3:AW244)</f>
        <v>2304</v>
      </c>
      <c r="AX286" s="781">
        <f t="shared" si="192"/>
        <v>3150</v>
      </c>
      <c r="AY286" s="781">
        <f t="shared" si="192"/>
        <v>0</v>
      </c>
      <c r="AZ286" s="781"/>
      <c r="BA286" s="781"/>
      <c r="BB286" s="781">
        <f t="shared" ref="BB286:BJ286" si="193">SUM(BB3:BB244)</f>
        <v>1513</v>
      </c>
      <c r="BC286" s="781">
        <f t="shared" si="193"/>
        <v>284</v>
      </c>
      <c r="BD286" s="781"/>
      <c r="BE286" s="781">
        <f t="shared" si="193"/>
        <v>150</v>
      </c>
      <c r="BF286" s="781">
        <f t="shared" si="193"/>
        <v>0</v>
      </c>
      <c r="BG286" s="781">
        <f t="shared" si="193"/>
        <v>248</v>
      </c>
      <c r="BH286" s="781">
        <f t="shared" si="193"/>
        <v>539</v>
      </c>
      <c r="BI286" s="781">
        <f t="shared" si="193"/>
        <v>3953</v>
      </c>
      <c r="BJ286" s="781">
        <f t="shared" si="193"/>
        <v>1876</v>
      </c>
      <c r="BK286" s="781"/>
      <c r="BL286" s="781"/>
      <c r="BM286" s="781">
        <f t="shared" ref="BM286:BX286" si="194">SUM(BM3:BM244)</f>
        <v>634</v>
      </c>
      <c r="BN286" s="781">
        <f t="shared" si="194"/>
        <v>3358</v>
      </c>
      <c r="BO286" s="781">
        <f t="shared" si="194"/>
        <v>0</v>
      </c>
      <c r="BP286" s="781">
        <f t="shared" si="194"/>
        <v>0</v>
      </c>
      <c r="BQ286" s="781">
        <f t="shared" si="194"/>
        <v>130</v>
      </c>
      <c r="BR286" s="781">
        <f t="shared" si="194"/>
        <v>0</v>
      </c>
      <c r="BS286" s="781">
        <f t="shared" si="194"/>
        <v>139</v>
      </c>
      <c r="BT286" s="781">
        <f t="shared" si="194"/>
        <v>139</v>
      </c>
      <c r="BU286" s="781">
        <f t="shared" si="194"/>
        <v>0</v>
      </c>
      <c r="BV286" s="781">
        <f t="shared" si="194"/>
        <v>0</v>
      </c>
      <c r="BW286" s="781">
        <f t="shared" si="194"/>
        <v>73572</v>
      </c>
      <c r="BX286" s="781">
        <f t="shared" si="194"/>
        <v>31272</v>
      </c>
      <c r="BY286" s="1021"/>
      <c r="BZ286" s="1436"/>
      <c r="CB286" s="1024"/>
      <c r="CC286" s="1024"/>
    </row>
    <row r="287" s="649" customFormat="1" ht="26.25" customHeight="1" spans="1:81">
      <c r="A287" s="1017"/>
      <c r="B287" s="1008"/>
      <c r="C287" s="1018"/>
      <c r="E287" s="1008"/>
      <c r="F287" s="1008"/>
      <c r="G287" s="649">
        <f>AH286+AI286+AJ286</f>
        <v>1119670</v>
      </c>
      <c r="H287" s="1008"/>
      <c r="M287" s="1103"/>
      <c r="N287" s="1103"/>
      <c r="O287" s="1018"/>
      <c r="P287" s="1018"/>
      <c r="Q287" s="1018"/>
      <c r="R287" s="1103"/>
      <c r="S287" s="1103"/>
      <c r="T287" s="1018"/>
      <c r="U287" s="1144"/>
      <c r="W287" s="1142"/>
      <c r="X287" s="1020"/>
      <c r="Y287" s="1021" t="s">
        <v>81</v>
      </c>
      <c r="Z287" s="1021"/>
      <c r="AA287" s="1021"/>
      <c r="AB287" s="1021"/>
      <c r="AC287" s="1021"/>
      <c r="AD287" s="1021"/>
      <c r="AE287" s="1021"/>
      <c r="AF287" s="1018"/>
      <c r="AG287" s="1018"/>
      <c r="AH287" s="1021"/>
      <c r="AI287" s="1021"/>
      <c r="AJ287" s="1021"/>
      <c r="AK287" s="1021"/>
      <c r="AL287" s="1021"/>
      <c r="AM287" s="1021"/>
      <c r="AN287" s="1021"/>
      <c r="AO287" s="1021"/>
      <c r="AP287" s="1021"/>
      <c r="AQ287" s="1021"/>
      <c r="AR287" s="1021"/>
      <c r="AS287" s="1021"/>
      <c r="AT287" s="1021"/>
      <c r="AU287" s="1021"/>
      <c r="AV287" s="1021"/>
      <c r="AW287" s="1021"/>
      <c r="AX287" s="1021"/>
      <c r="AY287" s="1021"/>
      <c r="AZ287" s="1021"/>
      <c r="BA287" s="1021"/>
      <c r="BB287" s="1021"/>
      <c r="BC287" s="1021"/>
      <c r="BD287" s="1021"/>
      <c r="BE287" s="1021"/>
      <c r="BF287" s="1021"/>
      <c r="BG287" s="1021"/>
      <c r="BH287" s="1021"/>
      <c r="BI287" s="1021"/>
      <c r="BJ287" s="1021"/>
      <c r="BK287" s="1021"/>
      <c r="BL287" s="1021"/>
      <c r="BM287" s="1021"/>
      <c r="BN287" s="1021"/>
      <c r="BO287" s="1021"/>
      <c r="BP287" s="1021"/>
      <c r="BQ287" s="1021"/>
      <c r="BR287" s="1021"/>
      <c r="BS287" s="1021"/>
      <c r="BT287" s="1021"/>
      <c r="BU287" s="1021"/>
      <c r="BV287" s="1021"/>
      <c r="BW287" s="1021"/>
      <c r="BX287" s="1021"/>
      <c r="BY287" s="1021"/>
      <c r="BZ287" s="1021"/>
      <c r="CB287" s="1024"/>
      <c r="CC287" s="1024"/>
    </row>
    <row r="288" s="649" customFormat="1" ht="26.25" customHeight="1" spans="1:81">
      <c r="A288" s="1017"/>
      <c r="B288" s="1008"/>
      <c r="C288" s="1018"/>
      <c r="E288" s="1008"/>
      <c r="F288" s="1008"/>
      <c r="H288" s="1008"/>
      <c r="M288" s="1103"/>
      <c r="N288" s="1103"/>
      <c r="O288" s="1018"/>
      <c r="P288" s="1018"/>
      <c r="Q288" s="1018"/>
      <c r="R288" s="1103"/>
      <c r="S288" s="1103"/>
      <c r="T288" s="1018"/>
      <c r="U288" s="1144"/>
      <c r="W288" s="1142"/>
      <c r="X288" s="1020">
        <f>SUBTOTAL(9,X156,X176,X108,X109,X110)*7.75</f>
        <v>116548.4308</v>
      </c>
      <c r="Y288" s="1021"/>
      <c r="Z288" s="1021"/>
      <c r="AA288" s="1021"/>
      <c r="AB288" s="1021"/>
      <c r="AC288" s="1021"/>
      <c r="AD288" s="1021"/>
      <c r="AE288" s="1021"/>
      <c r="AF288" s="1018"/>
      <c r="AG288" s="1018"/>
      <c r="AH288" s="1187"/>
      <c r="AI288" s="1021">
        <f>AH286+AI286+AJ286</f>
        <v>1119670</v>
      </c>
      <c r="AJ288" s="1021"/>
      <c r="AK288" s="1021"/>
      <c r="AL288" s="1021"/>
      <c r="AM288" s="1021"/>
      <c r="AN288" s="1018"/>
      <c r="AO288" s="1195"/>
      <c r="AP288" s="1018"/>
      <c r="AQ288" s="1018"/>
      <c r="AR288" s="1018"/>
      <c r="AS288" s="1018"/>
      <c r="AT288" s="1018"/>
      <c r="AU288" s="1018"/>
      <c r="AV288" s="1018"/>
      <c r="AW288" s="1018"/>
      <c r="AX288" s="1018"/>
      <c r="AY288" s="1018"/>
      <c r="AZ288" s="1018"/>
      <c r="BA288" s="1018"/>
      <c r="BB288" s="1018"/>
      <c r="BC288" s="1023"/>
      <c r="BD288" s="1023"/>
      <c r="BE288" s="1023"/>
      <c r="BF288" s="1023"/>
      <c r="BG288" s="1023"/>
      <c r="BH288" s="1023"/>
      <c r="BI288" s="1023"/>
      <c r="BJ288" s="1023"/>
      <c r="BK288" s="1023"/>
      <c r="BL288" s="1023"/>
      <c r="BM288" s="1023"/>
      <c r="BN288" s="1023"/>
      <c r="BO288" s="1023"/>
      <c r="BP288" s="1023"/>
      <c r="BQ288" s="1023"/>
      <c r="BR288" s="1023"/>
      <c r="BS288" s="1023"/>
      <c r="BT288" s="1023"/>
      <c r="BU288" s="1023"/>
      <c r="BV288" s="1023"/>
      <c r="BW288" s="1023"/>
      <c r="BX288" s="1023"/>
      <c r="BY288" s="1023"/>
      <c r="BZ288" s="1023"/>
      <c r="CB288" s="1024"/>
      <c r="CC288" s="1024"/>
    </row>
    <row r="289" s="649" customFormat="1" ht="26.25" customHeight="1" spans="1:81">
      <c r="A289" s="1017"/>
      <c r="B289" s="1008"/>
      <c r="C289" s="1018"/>
      <c r="E289" s="1008"/>
      <c r="F289" s="1008"/>
      <c r="H289" s="1008"/>
      <c r="M289" s="1103"/>
      <c r="N289" s="1103"/>
      <c r="O289" s="1018"/>
      <c r="P289" s="1018"/>
      <c r="Q289" s="1018"/>
      <c r="R289" s="1103"/>
      <c r="S289" s="1103"/>
      <c r="T289" s="1018"/>
      <c r="U289" s="1019"/>
      <c r="W289" s="1142"/>
      <c r="X289" s="1020"/>
      <c r="Y289" s="1021"/>
      <c r="Z289" s="1021"/>
      <c r="AA289" s="1021"/>
      <c r="AB289" s="1021"/>
      <c r="AC289" s="1021"/>
      <c r="AD289" s="1021"/>
      <c r="AE289" s="1021"/>
      <c r="AF289" s="1018"/>
      <c r="AG289" s="1186" t="s">
        <v>4380</v>
      </c>
      <c r="AH289" s="1187">
        <f>SUM(AH285,AH4:AJ266)</f>
        <v>3915144</v>
      </c>
      <c r="AI289" s="1021"/>
      <c r="AJ289" s="1021"/>
      <c r="AK289" s="1021"/>
      <c r="AL289" s="1021"/>
      <c r="AM289" s="1021"/>
      <c r="AN289" s="1018"/>
      <c r="AO289" s="1195"/>
      <c r="AP289" s="1018"/>
      <c r="AQ289" s="1018"/>
      <c r="AR289" s="1018"/>
      <c r="AS289" s="1018"/>
      <c r="AT289" s="1018"/>
      <c r="AU289" s="1018"/>
      <c r="AV289" s="1018"/>
      <c r="AW289" s="1018"/>
      <c r="AX289" s="1018"/>
      <c r="AY289" s="1018"/>
      <c r="AZ289" s="1018"/>
      <c r="BA289" s="1018"/>
      <c r="BB289" s="1018"/>
      <c r="BC289" s="1023"/>
      <c r="BD289" s="1023"/>
      <c r="BE289" s="1023"/>
      <c r="BF289" s="1023"/>
      <c r="BG289" s="1023"/>
      <c r="BH289" s="1023"/>
      <c r="BI289" s="1023"/>
      <c r="BJ289" s="1023"/>
      <c r="BK289" s="1023"/>
      <c r="BL289" s="1023"/>
      <c r="BM289" s="1023"/>
      <c r="BN289" s="1023"/>
      <c r="BO289" s="1023"/>
      <c r="BP289" s="1023"/>
      <c r="BQ289" s="1023"/>
      <c r="BR289" s="1023"/>
      <c r="BS289" s="1023"/>
      <c r="BT289" s="1023"/>
      <c r="BU289" s="1023"/>
      <c r="BV289" s="1023"/>
      <c r="BW289" s="1023"/>
      <c r="BX289" s="1023"/>
      <c r="BY289" s="1023"/>
      <c r="BZ289" s="1023"/>
      <c r="CB289" s="1024"/>
      <c r="CC289" s="1024"/>
    </row>
    <row r="290" ht="26.25" customHeight="1" spans="3:54">
      <c r="C290" s="1018"/>
      <c r="M290" s="1103"/>
      <c r="N290" s="1103"/>
      <c r="P290" s="1018"/>
      <c r="Q290" s="1018"/>
      <c r="R290" s="1103"/>
      <c r="S290" s="1103"/>
      <c r="U290" s="1144"/>
      <c r="W290" s="1142"/>
      <c r="AF290" s="1018"/>
      <c r="AG290" s="1018"/>
      <c r="AN290" s="1018"/>
      <c r="AO290" s="1195"/>
      <c r="AP290" s="1018"/>
      <c r="AQ290" s="1018"/>
      <c r="AR290" s="1018"/>
      <c r="AS290" s="1018"/>
      <c r="AT290" s="1018"/>
      <c r="AU290" s="1018"/>
      <c r="AV290" s="1018"/>
      <c r="AW290" s="1018"/>
      <c r="AX290" s="1018"/>
      <c r="AY290" s="1018"/>
      <c r="AZ290" s="1018"/>
      <c r="BA290" s="1018"/>
      <c r="BB290" s="1018"/>
    </row>
    <row r="291" ht="26.25" customHeight="1" spans="3:54">
      <c r="C291" s="1018"/>
      <c r="M291" s="1103"/>
      <c r="N291" s="1103"/>
      <c r="P291" s="1018"/>
      <c r="Q291" s="1018"/>
      <c r="R291" s="1103"/>
      <c r="S291" s="1103"/>
      <c r="W291" s="1142"/>
      <c r="AF291" s="1018"/>
      <c r="AG291" s="1018"/>
      <c r="AN291" s="1018"/>
      <c r="AO291" s="1195"/>
      <c r="AP291" s="1018"/>
      <c r="AQ291" s="1018"/>
      <c r="AR291" s="1018"/>
      <c r="AS291" s="1018"/>
      <c r="AT291" s="1018"/>
      <c r="AU291" s="1018"/>
      <c r="AV291" s="1018"/>
      <c r="AW291" s="1018"/>
      <c r="AX291" s="1018"/>
      <c r="AY291" s="1018"/>
      <c r="AZ291" s="1018"/>
      <c r="BA291" s="1018"/>
      <c r="BB291" s="1018"/>
    </row>
    <row r="292" ht="26.25" customHeight="1" spans="3:54">
      <c r="C292" s="1018"/>
      <c r="M292" s="1103"/>
      <c r="N292" s="1103"/>
      <c r="P292" s="1018"/>
      <c r="Q292" s="1018"/>
      <c r="R292" s="1103"/>
      <c r="S292" s="1103"/>
      <c r="W292" s="1142"/>
      <c r="AF292" s="1018"/>
      <c r="AG292" s="1018"/>
      <c r="AN292" s="1018"/>
      <c r="AO292" s="1195"/>
      <c r="AP292" s="1018"/>
      <c r="AQ292" s="1018"/>
      <c r="AR292" s="1018"/>
      <c r="AS292" s="1018"/>
      <c r="AT292" s="1018"/>
      <c r="AU292" s="1018"/>
      <c r="AV292" s="1018"/>
      <c r="AW292" s="1018"/>
      <c r="AX292" s="1018"/>
      <c r="AY292" s="1018"/>
      <c r="AZ292" s="1018"/>
      <c r="BA292" s="1018"/>
      <c r="BB292" s="1018"/>
    </row>
    <row r="293" ht="26.25" customHeight="1" spans="3:54">
      <c r="C293" s="1018"/>
      <c r="M293" s="1103"/>
      <c r="N293" s="1103"/>
      <c r="P293" s="1018"/>
      <c r="Q293" s="1018"/>
      <c r="R293" s="1103"/>
      <c r="S293" s="1103"/>
      <c r="W293" s="1142"/>
      <c r="AF293" s="1018"/>
      <c r="AG293" s="1018"/>
      <c r="AN293" s="1018"/>
      <c r="AO293" s="1195"/>
      <c r="AP293" s="1018"/>
      <c r="AQ293" s="1018"/>
      <c r="AR293" s="1018"/>
      <c r="AS293" s="1018"/>
      <c r="AT293" s="1018"/>
      <c r="AU293" s="1018"/>
      <c r="AV293" s="1018"/>
      <c r="AW293" s="1018"/>
      <c r="AX293" s="1018"/>
      <c r="AY293" s="1018"/>
      <c r="AZ293" s="1018"/>
      <c r="BA293" s="1018"/>
      <c r="BB293" s="1018"/>
    </row>
    <row r="294" s="1016" customFormat="1" ht="14.25" spans="1:1">
      <c r="A294" s="1239"/>
    </row>
    <row r="295" ht="26.25" customHeight="1" spans="3:54">
      <c r="C295" s="1018"/>
      <c r="M295" s="1103"/>
      <c r="N295" s="1103"/>
      <c r="P295" s="1018"/>
      <c r="Q295" s="1018"/>
      <c r="R295" s="1103"/>
      <c r="S295" s="1103"/>
      <c r="U295" s="1144"/>
      <c r="W295" s="1142"/>
      <c r="AF295" s="1018"/>
      <c r="AG295" s="1018"/>
      <c r="AN295" s="1018"/>
      <c r="AO295" s="1195"/>
      <c r="AP295" s="1018"/>
      <c r="AQ295" s="1018"/>
      <c r="AR295" s="1018"/>
      <c r="AS295" s="1018"/>
      <c r="AT295" s="1018"/>
      <c r="AU295" s="1018"/>
      <c r="AV295" s="1018"/>
      <c r="AW295" s="1018"/>
      <c r="AX295" s="1018"/>
      <c r="AY295" s="1018"/>
      <c r="AZ295" s="1018"/>
      <c r="BA295" s="1018"/>
      <c r="BB295" s="1018"/>
    </row>
    <row r="296" ht="26.25" customHeight="1" spans="3:54">
      <c r="C296" s="1018"/>
      <c r="M296" s="1103"/>
      <c r="N296" s="1103"/>
      <c r="P296" s="1018"/>
      <c r="Q296" s="1018"/>
      <c r="R296" s="1103"/>
      <c r="S296" s="1103"/>
      <c r="W296" s="1142"/>
      <c r="AF296" s="1018"/>
      <c r="AG296" s="1018"/>
      <c r="AN296" s="1018"/>
      <c r="AO296" s="1195"/>
      <c r="AP296" s="1018"/>
      <c r="AQ296" s="1018"/>
      <c r="AR296" s="1018"/>
      <c r="AS296" s="1018"/>
      <c r="AT296" s="1018"/>
      <c r="AU296" s="1018"/>
      <c r="AV296" s="1018"/>
      <c r="AW296" s="1018"/>
      <c r="AX296" s="1018"/>
      <c r="AY296" s="1018"/>
      <c r="AZ296" s="1018"/>
      <c r="BA296" s="1018"/>
      <c r="BB296" s="1018"/>
    </row>
    <row r="297" ht="26.25" customHeight="1" spans="3:54">
      <c r="C297" s="1018"/>
      <c r="M297" s="1103"/>
      <c r="N297" s="1103"/>
      <c r="P297" s="1018"/>
      <c r="Q297" s="1018"/>
      <c r="R297" s="1103"/>
      <c r="S297" s="1103"/>
      <c r="W297" s="1142"/>
      <c r="AF297" s="1018"/>
      <c r="AG297" s="1018"/>
      <c r="AN297" s="1018"/>
      <c r="AO297" s="1195"/>
      <c r="AP297" s="1018"/>
      <c r="AQ297" s="1018"/>
      <c r="AR297" s="1018"/>
      <c r="AS297" s="1018"/>
      <c r="AT297" s="1018"/>
      <c r="AU297" s="1018"/>
      <c r="AV297" s="1018"/>
      <c r="AW297" s="1018"/>
      <c r="AX297" s="1018"/>
      <c r="AY297" s="1018"/>
      <c r="AZ297" s="1018"/>
      <c r="BA297" s="1018"/>
      <c r="BB297" s="1018"/>
    </row>
    <row r="298" s="238" customFormat="1" ht="36" customHeight="1" spans="1:83">
      <c r="A298" s="1240">
        <v>45681</v>
      </c>
      <c r="B298" s="1241" t="s">
        <v>151</v>
      </c>
      <c r="C298" s="1242" t="s">
        <v>117</v>
      </c>
      <c r="D298" s="1243">
        <v>4500156588</v>
      </c>
      <c r="E298" s="1244" t="s">
        <v>4381</v>
      </c>
      <c r="F298" s="1243" t="s">
        <v>4382</v>
      </c>
      <c r="G298" s="225" t="s">
        <v>628</v>
      </c>
      <c r="H298" s="1245" t="s">
        <v>623</v>
      </c>
      <c r="I298" s="212">
        <v>2268</v>
      </c>
      <c r="J298" s="1246">
        <v>0</v>
      </c>
      <c r="K298" s="225">
        <v>12</v>
      </c>
      <c r="L298" s="212">
        <f t="shared" ref="L298:L304" si="195">I298/K298</f>
        <v>189</v>
      </c>
      <c r="M298" s="1248">
        <v>45750</v>
      </c>
      <c r="N298" s="1248" t="s">
        <v>4383</v>
      </c>
      <c r="O298" s="216" t="s">
        <v>4384</v>
      </c>
      <c r="P298" s="216" t="s">
        <v>92</v>
      </c>
      <c r="Q298" s="216" t="s">
        <v>4385</v>
      </c>
      <c r="R298" s="216">
        <v>45683</v>
      </c>
      <c r="S298" s="222" t="s">
        <v>123</v>
      </c>
      <c r="T298" s="1427" t="s">
        <v>4386</v>
      </c>
      <c r="U298" s="1428" t="s">
        <v>4387</v>
      </c>
      <c r="V298" s="1250" t="s">
        <v>396</v>
      </c>
      <c r="W298" s="1251">
        <v>3.018</v>
      </c>
      <c r="X298" s="221">
        <f t="shared" ref="X298:X302" si="196">I298*W298</f>
        <v>6844.824</v>
      </c>
      <c r="Y298" s="212"/>
      <c r="Z298" s="1253" t="s">
        <v>628</v>
      </c>
      <c r="AA298" s="226" t="s">
        <v>128</v>
      </c>
      <c r="AB298" s="226"/>
      <c r="AC298" s="228">
        <v>2268</v>
      </c>
      <c r="AD298" s="228">
        <f t="shared" ref="AD298:AD303" si="197">AC298-I298</f>
        <v>0</v>
      </c>
      <c r="AE298" s="228"/>
      <c r="AF298" s="216"/>
      <c r="AG298" s="216"/>
      <c r="AH298" s="228">
        <f t="shared" ref="AH298:AH302" si="198">I298*2</f>
        <v>4536</v>
      </c>
      <c r="AI298" s="228"/>
      <c r="AJ298" s="228"/>
      <c r="AK298" s="228">
        <f t="shared" ref="AK298:AK302" si="199">AH298</f>
        <v>4536</v>
      </c>
      <c r="AL298" s="228"/>
      <c r="AM298" s="228"/>
      <c r="AN298" s="212"/>
      <c r="AO298" s="230"/>
      <c r="AP298" s="230"/>
      <c r="AQ298" s="230"/>
      <c r="AR298" s="230"/>
      <c r="AS298" s="230"/>
      <c r="AT298" s="230"/>
      <c r="AU298" s="1433">
        <f t="shared" ref="AU298:AU302" si="200">AH298</f>
        <v>4536</v>
      </c>
      <c r="AV298" s="1433"/>
      <c r="AW298" s="230"/>
      <c r="AX298" s="230"/>
      <c r="AY298" s="230"/>
      <c r="AZ298" s="230"/>
      <c r="BA298" s="230"/>
      <c r="BB298" s="230"/>
      <c r="BC298" s="236"/>
      <c r="BD298" s="236"/>
      <c r="BE298" s="236"/>
      <c r="BF298" s="236"/>
      <c r="BG298" s="236"/>
      <c r="BH298" s="236"/>
      <c r="BI298" s="236"/>
      <c r="BJ298" s="236"/>
      <c r="BK298" s="236"/>
      <c r="BL298" s="236"/>
      <c r="BM298" s="236"/>
      <c r="BN298" s="236"/>
      <c r="BO298" s="236"/>
      <c r="BP298" s="236"/>
      <c r="BQ298" s="236"/>
      <c r="BR298" s="236"/>
      <c r="BS298" s="236"/>
      <c r="BT298" s="236"/>
      <c r="BU298" s="236"/>
      <c r="BV298" s="236"/>
      <c r="BW298" s="236">
        <f t="shared" ref="BW298:BW302" si="201">I298</f>
        <v>2268</v>
      </c>
      <c r="BX298" s="236">
        <f t="shared" ref="BX298:BX302" si="202">I298</f>
        <v>2268</v>
      </c>
      <c r="BY298" s="236"/>
      <c r="BZ298" s="212">
        <f t="shared" ref="BZ298:BZ302" si="203">AH298+AI298+AJ298</f>
        <v>4536</v>
      </c>
      <c r="CB298" s="1437"/>
      <c r="CC298" s="1437"/>
      <c r="CE298" s="238">
        <f>CE89-AH298-AI298-AJ298</f>
        <v>1612548</v>
      </c>
    </row>
    <row r="299" s="238" customFormat="1" ht="36" customHeight="1" spans="1:83">
      <c r="A299" s="1240">
        <v>45681</v>
      </c>
      <c r="B299" s="1241" t="s">
        <v>151</v>
      </c>
      <c r="C299" s="1242" t="s">
        <v>117</v>
      </c>
      <c r="D299" s="1243">
        <v>4500156588</v>
      </c>
      <c r="E299" s="1244" t="s">
        <v>4388</v>
      </c>
      <c r="F299" s="1243" t="s">
        <v>4389</v>
      </c>
      <c r="G299" s="225" t="s">
        <v>628</v>
      </c>
      <c r="H299" s="1245" t="s">
        <v>623</v>
      </c>
      <c r="I299" s="212">
        <v>2220</v>
      </c>
      <c r="J299" s="1246">
        <v>0</v>
      </c>
      <c r="K299" s="225">
        <v>12</v>
      </c>
      <c r="L299" s="212">
        <f t="shared" si="195"/>
        <v>185</v>
      </c>
      <c r="M299" s="1248">
        <v>45750</v>
      </c>
      <c r="N299" s="1248" t="s">
        <v>4383</v>
      </c>
      <c r="O299" s="216" t="s">
        <v>4384</v>
      </c>
      <c r="P299" s="216" t="s">
        <v>92</v>
      </c>
      <c r="Q299" s="216"/>
      <c r="R299" s="216">
        <v>45683</v>
      </c>
      <c r="S299" s="222" t="s">
        <v>123</v>
      </c>
      <c r="T299" s="1427" t="s">
        <v>4386</v>
      </c>
      <c r="U299" s="1428" t="s">
        <v>4387</v>
      </c>
      <c r="V299" s="1250" t="s">
        <v>396</v>
      </c>
      <c r="W299" s="1251">
        <v>3.018</v>
      </c>
      <c r="X299" s="221">
        <f t="shared" si="196"/>
        <v>6699.96</v>
      </c>
      <c r="Y299" s="212"/>
      <c r="Z299" s="1253" t="s">
        <v>628</v>
      </c>
      <c r="AA299" s="226" t="s">
        <v>128</v>
      </c>
      <c r="AB299" s="226"/>
      <c r="AC299" s="228">
        <v>2220</v>
      </c>
      <c r="AD299" s="228">
        <f t="shared" si="197"/>
        <v>0</v>
      </c>
      <c r="AE299" s="228"/>
      <c r="AF299" s="216"/>
      <c r="AG299" s="216"/>
      <c r="AH299" s="228">
        <f t="shared" si="198"/>
        <v>4440</v>
      </c>
      <c r="AI299" s="228"/>
      <c r="AJ299" s="228"/>
      <c r="AK299" s="228">
        <f t="shared" si="199"/>
        <v>4440</v>
      </c>
      <c r="AL299" s="228"/>
      <c r="AM299" s="228"/>
      <c r="AN299" s="212"/>
      <c r="AO299" s="230"/>
      <c r="AP299" s="230"/>
      <c r="AQ299" s="230"/>
      <c r="AR299" s="230"/>
      <c r="AS299" s="230"/>
      <c r="AT299" s="230"/>
      <c r="AU299" s="1433">
        <f t="shared" si="200"/>
        <v>4440</v>
      </c>
      <c r="AV299" s="1433"/>
      <c r="AW299" s="230"/>
      <c r="AX299" s="230"/>
      <c r="AY299" s="230"/>
      <c r="AZ299" s="230"/>
      <c r="BA299" s="230"/>
      <c r="BB299" s="230"/>
      <c r="BC299" s="236"/>
      <c r="BD299" s="236"/>
      <c r="BE299" s="236"/>
      <c r="BF299" s="236"/>
      <c r="BG299" s="236"/>
      <c r="BH299" s="236"/>
      <c r="BI299" s="236"/>
      <c r="BJ299" s="236"/>
      <c r="BK299" s="236"/>
      <c r="BL299" s="236"/>
      <c r="BM299" s="236"/>
      <c r="BN299" s="236"/>
      <c r="BO299" s="236"/>
      <c r="BP299" s="236"/>
      <c r="BQ299" s="236"/>
      <c r="BR299" s="236"/>
      <c r="BS299" s="236"/>
      <c r="BT299" s="236"/>
      <c r="BU299" s="236"/>
      <c r="BV299" s="236"/>
      <c r="BW299" s="236">
        <f t="shared" si="201"/>
        <v>2220</v>
      </c>
      <c r="BX299" s="236">
        <f t="shared" si="202"/>
        <v>2220</v>
      </c>
      <c r="BY299" s="236"/>
      <c r="BZ299" s="212">
        <f t="shared" si="203"/>
        <v>4440</v>
      </c>
      <c r="CB299" s="1437"/>
      <c r="CC299" s="1437"/>
      <c r="CE299" s="238">
        <f t="shared" ref="CE299:CE302" si="204">CE298-AH299-AI299-AJ299</f>
        <v>1608108</v>
      </c>
    </row>
    <row r="300" s="238" customFormat="1" ht="36" customHeight="1" spans="1:83">
      <c r="A300" s="1240">
        <v>45681</v>
      </c>
      <c r="B300" s="1241" t="s">
        <v>151</v>
      </c>
      <c r="C300" s="1242" t="s">
        <v>117</v>
      </c>
      <c r="D300" s="1243">
        <v>4500156588</v>
      </c>
      <c r="E300" s="1244" t="s">
        <v>4390</v>
      </c>
      <c r="F300" s="1243" t="s">
        <v>4391</v>
      </c>
      <c r="G300" s="225" t="s">
        <v>628</v>
      </c>
      <c r="H300" s="1245" t="s">
        <v>623</v>
      </c>
      <c r="I300" s="212">
        <v>4944</v>
      </c>
      <c r="J300" s="1246">
        <v>0</v>
      </c>
      <c r="K300" s="225">
        <v>12</v>
      </c>
      <c r="L300" s="212">
        <f t="shared" si="195"/>
        <v>412</v>
      </c>
      <c r="M300" s="1248">
        <v>45750</v>
      </c>
      <c r="N300" s="1248" t="s">
        <v>4383</v>
      </c>
      <c r="O300" s="216" t="s">
        <v>4384</v>
      </c>
      <c r="P300" s="216" t="s">
        <v>92</v>
      </c>
      <c r="Q300" s="216"/>
      <c r="R300" s="216">
        <v>45683</v>
      </c>
      <c r="S300" s="222" t="s">
        <v>123</v>
      </c>
      <c r="T300" s="1427" t="s">
        <v>4386</v>
      </c>
      <c r="U300" s="1428" t="s">
        <v>4387</v>
      </c>
      <c r="V300" s="1250" t="s">
        <v>396</v>
      </c>
      <c r="W300" s="1251">
        <v>3.018</v>
      </c>
      <c r="X300" s="221">
        <f t="shared" si="196"/>
        <v>14920.992</v>
      </c>
      <c r="Y300" s="212"/>
      <c r="Z300" s="1253" t="s">
        <v>628</v>
      </c>
      <c r="AA300" s="226" t="s">
        <v>128</v>
      </c>
      <c r="AB300" s="226"/>
      <c r="AC300" s="228">
        <v>4944</v>
      </c>
      <c r="AD300" s="228">
        <f t="shared" si="197"/>
        <v>0</v>
      </c>
      <c r="AE300" s="228"/>
      <c r="AF300" s="216"/>
      <c r="AG300" s="216"/>
      <c r="AH300" s="228">
        <f t="shared" si="198"/>
        <v>9888</v>
      </c>
      <c r="AI300" s="228"/>
      <c r="AJ300" s="228"/>
      <c r="AK300" s="228">
        <f t="shared" si="199"/>
        <v>9888</v>
      </c>
      <c r="AL300" s="228"/>
      <c r="AM300" s="228"/>
      <c r="AN300" s="212"/>
      <c r="AO300" s="230"/>
      <c r="AP300" s="230"/>
      <c r="AQ300" s="230"/>
      <c r="AR300" s="230"/>
      <c r="AS300" s="230"/>
      <c r="AT300" s="230"/>
      <c r="AU300" s="1433">
        <f t="shared" si="200"/>
        <v>9888</v>
      </c>
      <c r="AV300" s="1433"/>
      <c r="AW300" s="230"/>
      <c r="AX300" s="230"/>
      <c r="AY300" s="230"/>
      <c r="AZ300" s="230"/>
      <c r="BA300" s="230"/>
      <c r="BB300" s="230"/>
      <c r="BC300" s="236"/>
      <c r="BD300" s="236"/>
      <c r="BE300" s="236"/>
      <c r="BF300" s="236"/>
      <c r="BG300" s="236"/>
      <c r="BH300" s="236"/>
      <c r="BI300" s="236"/>
      <c r="BJ300" s="236"/>
      <c r="BK300" s="236"/>
      <c r="BL300" s="236"/>
      <c r="BM300" s="236"/>
      <c r="BN300" s="236"/>
      <c r="BO300" s="236"/>
      <c r="BP300" s="236"/>
      <c r="BQ300" s="236"/>
      <c r="BR300" s="236"/>
      <c r="BS300" s="236"/>
      <c r="BT300" s="236"/>
      <c r="BU300" s="236"/>
      <c r="BV300" s="236"/>
      <c r="BW300" s="236">
        <f t="shared" si="201"/>
        <v>4944</v>
      </c>
      <c r="BX300" s="236">
        <f t="shared" si="202"/>
        <v>4944</v>
      </c>
      <c r="BY300" s="236"/>
      <c r="BZ300" s="212">
        <f t="shared" si="203"/>
        <v>9888</v>
      </c>
      <c r="CB300" s="1437"/>
      <c r="CC300" s="1437"/>
      <c r="CE300" s="238">
        <f t="shared" si="204"/>
        <v>1598220</v>
      </c>
    </row>
    <row r="301" s="238" customFormat="1" ht="36" customHeight="1" spans="1:83">
      <c r="A301" s="1240">
        <v>45681</v>
      </c>
      <c r="B301" s="1241" t="s">
        <v>151</v>
      </c>
      <c r="C301" s="1242" t="s">
        <v>117</v>
      </c>
      <c r="D301" s="1243">
        <v>4500156588</v>
      </c>
      <c r="E301" s="1244" t="s">
        <v>4392</v>
      </c>
      <c r="F301" s="1243" t="s">
        <v>4393</v>
      </c>
      <c r="G301" s="225" t="s">
        <v>628</v>
      </c>
      <c r="H301" s="1245" t="s">
        <v>623</v>
      </c>
      <c r="I301" s="212">
        <v>936</v>
      </c>
      <c r="J301" s="1246">
        <v>0</v>
      </c>
      <c r="K301" s="225">
        <v>12</v>
      </c>
      <c r="L301" s="212">
        <f t="shared" si="195"/>
        <v>78</v>
      </c>
      <c r="M301" s="1248">
        <v>45750</v>
      </c>
      <c r="N301" s="1248" t="s">
        <v>4383</v>
      </c>
      <c r="O301" s="216" t="s">
        <v>4384</v>
      </c>
      <c r="P301" s="216" t="s">
        <v>92</v>
      </c>
      <c r="Q301" s="216"/>
      <c r="R301" s="216">
        <v>45683</v>
      </c>
      <c r="S301" s="222" t="s">
        <v>123</v>
      </c>
      <c r="T301" s="1427" t="s">
        <v>4386</v>
      </c>
      <c r="U301" s="1428" t="s">
        <v>4387</v>
      </c>
      <c r="V301" s="1250" t="s">
        <v>396</v>
      </c>
      <c r="W301" s="1251">
        <v>3.018</v>
      </c>
      <c r="X301" s="221">
        <f t="shared" si="196"/>
        <v>2824.848</v>
      </c>
      <c r="Y301" s="212"/>
      <c r="Z301" s="1253" t="s">
        <v>628</v>
      </c>
      <c r="AA301" s="226" t="s">
        <v>128</v>
      </c>
      <c r="AB301" s="226"/>
      <c r="AC301" s="228">
        <v>936</v>
      </c>
      <c r="AD301" s="228">
        <f t="shared" si="197"/>
        <v>0</v>
      </c>
      <c r="AE301" s="228"/>
      <c r="AF301" s="216"/>
      <c r="AG301" s="216"/>
      <c r="AH301" s="228">
        <f t="shared" si="198"/>
        <v>1872</v>
      </c>
      <c r="AI301" s="228"/>
      <c r="AJ301" s="228"/>
      <c r="AK301" s="228">
        <f t="shared" si="199"/>
        <v>1872</v>
      </c>
      <c r="AL301" s="228"/>
      <c r="AM301" s="228"/>
      <c r="AN301" s="212"/>
      <c r="AO301" s="230"/>
      <c r="AP301" s="230"/>
      <c r="AQ301" s="230"/>
      <c r="AR301" s="230"/>
      <c r="AS301" s="230"/>
      <c r="AT301" s="230"/>
      <c r="AU301" s="1433">
        <f t="shared" si="200"/>
        <v>1872</v>
      </c>
      <c r="AV301" s="1433"/>
      <c r="AW301" s="230"/>
      <c r="AX301" s="230"/>
      <c r="AY301" s="230"/>
      <c r="AZ301" s="230"/>
      <c r="BA301" s="230"/>
      <c r="BB301" s="230"/>
      <c r="BC301" s="236"/>
      <c r="BD301" s="236"/>
      <c r="BE301" s="236"/>
      <c r="BF301" s="236"/>
      <c r="BG301" s="236"/>
      <c r="BH301" s="236"/>
      <c r="BI301" s="236"/>
      <c r="BJ301" s="236"/>
      <c r="BK301" s="236"/>
      <c r="BL301" s="236"/>
      <c r="BM301" s="236"/>
      <c r="BN301" s="236"/>
      <c r="BO301" s="236"/>
      <c r="BP301" s="236"/>
      <c r="BQ301" s="236"/>
      <c r="BR301" s="236"/>
      <c r="BS301" s="236"/>
      <c r="BT301" s="236"/>
      <c r="BU301" s="236"/>
      <c r="BV301" s="236"/>
      <c r="BW301" s="236">
        <f t="shared" si="201"/>
        <v>936</v>
      </c>
      <c r="BX301" s="236">
        <f t="shared" si="202"/>
        <v>936</v>
      </c>
      <c r="BY301" s="236"/>
      <c r="BZ301" s="212">
        <f t="shared" si="203"/>
        <v>1872</v>
      </c>
      <c r="CB301" s="1437"/>
      <c r="CC301" s="1437"/>
      <c r="CE301" s="238">
        <f t="shared" si="204"/>
        <v>1596348</v>
      </c>
    </row>
    <row r="302" s="238" customFormat="1" ht="36" customHeight="1" spans="1:83">
      <c r="A302" s="1240">
        <v>45681</v>
      </c>
      <c r="B302" s="1241" t="s">
        <v>151</v>
      </c>
      <c r="C302" s="1242" t="s">
        <v>117</v>
      </c>
      <c r="D302" s="1243">
        <v>4500156588</v>
      </c>
      <c r="E302" s="1244" t="s">
        <v>4394</v>
      </c>
      <c r="F302" s="1243" t="s">
        <v>4395</v>
      </c>
      <c r="G302" s="225" t="s">
        <v>628</v>
      </c>
      <c r="H302" s="1245" t="s">
        <v>623</v>
      </c>
      <c r="I302" s="212">
        <v>1104</v>
      </c>
      <c r="J302" s="1246">
        <v>0</v>
      </c>
      <c r="K302" s="225">
        <v>12</v>
      </c>
      <c r="L302" s="212">
        <f t="shared" si="195"/>
        <v>92</v>
      </c>
      <c r="M302" s="1248">
        <v>45750</v>
      </c>
      <c r="N302" s="1248" t="s">
        <v>4383</v>
      </c>
      <c r="O302" s="216" t="s">
        <v>4384</v>
      </c>
      <c r="P302" s="216" t="s">
        <v>92</v>
      </c>
      <c r="Q302" s="216"/>
      <c r="R302" s="216">
        <v>45683</v>
      </c>
      <c r="S302" s="222" t="s">
        <v>123</v>
      </c>
      <c r="T302" s="1427" t="s">
        <v>4386</v>
      </c>
      <c r="U302" s="1428" t="s">
        <v>4387</v>
      </c>
      <c r="V302" s="1250" t="s">
        <v>396</v>
      </c>
      <c r="W302" s="1251">
        <v>3.018</v>
      </c>
      <c r="X302" s="221">
        <f t="shared" si="196"/>
        <v>3331.872</v>
      </c>
      <c r="Y302" s="212"/>
      <c r="Z302" s="1253" t="s">
        <v>628</v>
      </c>
      <c r="AA302" s="226" t="s">
        <v>128</v>
      </c>
      <c r="AB302" s="226"/>
      <c r="AC302" s="228">
        <v>1104</v>
      </c>
      <c r="AD302" s="228">
        <f t="shared" si="197"/>
        <v>0</v>
      </c>
      <c r="AE302" s="228"/>
      <c r="AF302" s="216"/>
      <c r="AG302" s="216"/>
      <c r="AH302" s="228">
        <f t="shared" si="198"/>
        <v>2208</v>
      </c>
      <c r="AI302" s="228"/>
      <c r="AJ302" s="228"/>
      <c r="AK302" s="228">
        <f t="shared" si="199"/>
        <v>2208</v>
      </c>
      <c r="AL302" s="228"/>
      <c r="AM302" s="228"/>
      <c r="AN302" s="212"/>
      <c r="AO302" s="230"/>
      <c r="AP302" s="230"/>
      <c r="AQ302" s="230"/>
      <c r="AR302" s="230"/>
      <c r="AS302" s="230"/>
      <c r="AT302" s="230"/>
      <c r="AU302" s="1433">
        <f t="shared" si="200"/>
        <v>2208</v>
      </c>
      <c r="AV302" s="1433"/>
      <c r="AW302" s="230"/>
      <c r="AX302" s="230"/>
      <c r="AY302" s="230"/>
      <c r="AZ302" s="230"/>
      <c r="BA302" s="230"/>
      <c r="BB302" s="230"/>
      <c r="BC302" s="236"/>
      <c r="BD302" s="236"/>
      <c r="BE302" s="236"/>
      <c r="BF302" s="236"/>
      <c r="BG302" s="236"/>
      <c r="BH302" s="236"/>
      <c r="BI302" s="236"/>
      <c r="BJ302" s="236"/>
      <c r="BK302" s="236"/>
      <c r="BL302" s="236"/>
      <c r="BM302" s="236"/>
      <c r="BN302" s="236"/>
      <c r="BO302" s="236"/>
      <c r="BP302" s="236"/>
      <c r="BQ302" s="236"/>
      <c r="BR302" s="236"/>
      <c r="BS302" s="236"/>
      <c r="BT302" s="236"/>
      <c r="BU302" s="236"/>
      <c r="BV302" s="236"/>
      <c r="BW302" s="236">
        <f t="shared" si="201"/>
        <v>1104</v>
      </c>
      <c r="BX302" s="236">
        <f t="shared" si="202"/>
        <v>1104</v>
      </c>
      <c r="BY302" s="236"/>
      <c r="BZ302" s="212">
        <f t="shared" si="203"/>
        <v>2208</v>
      </c>
      <c r="CB302" s="1437"/>
      <c r="CC302" s="1437"/>
      <c r="CE302" s="238">
        <f t="shared" si="204"/>
        <v>1594140</v>
      </c>
    </row>
    <row r="303" s="238" customFormat="1" ht="36" customHeight="1" spans="1:77">
      <c r="A303" s="1240">
        <v>45639</v>
      </c>
      <c r="B303" s="1241" t="s">
        <v>243</v>
      </c>
      <c r="C303" s="1242" t="s">
        <v>213</v>
      </c>
      <c r="D303" s="1243">
        <v>4500151765</v>
      </c>
      <c r="E303" s="1244">
        <v>2950866282</v>
      </c>
      <c r="F303" s="1243" t="s">
        <v>3369</v>
      </c>
      <c r="G303" s="225" t="s">
        <v>3203</v>
      </c>
      <c r="H303" s="1245" t="s">
        <v>833</v>
      </c>
      <c r="I303" s="212">
        <v>1950</v>
      </c>
      <c r="J303" s="1246">
        <v>0</v>
      </c>
      <c r="K303" s="225">
        <v>975</v>
      </c>
      <c r="L303" s="212">
        <f t="shared" si="195"/>
        <v>2</v>
      </c>
      <c r="M303" s="1248">
        <v>45705</v>
      </c>
      <c r="N303" s="1248" t="s">
        <v>4396</v>
      </c>
      <c r="O303" s="216"/>
      <c r="P303" s="216" t="s">
        <v>92</v>
      </c>
      <c r="Q303" s="216" t="s">
        <v>3521</v>
      </c>
      <c r="R303" s="216">
        <v>45651</v>
      </c>
      <c r="S303" s="1429" t="s">
        <v>123</v>
      </c>
      <c r="T303" s="1430" t="s">
        <v>3370</v>
      </c>
      <c r="U303" s="1428" t="s">
        <v>3371</v>
      </c>
      <c r="V303" s="1250" t="s">
        <v>3207</v>
      </c>
      <c r="W303" s="1251">
        <v>1358.5192</v>
      </c>
      <c r="X303" s="221">
        <f>W303*I303</f>
        <v>2649112.44</v>
      </c>
      <c r="Y303" s="212"/>
      <c r="Z303" s="1253" t="s">
        <v>3203</v>
      </c>
      <c r="AA303" s="226" t="s">
        <v>128</v>
      </c>
      <c r="AB303" s="226"/>
      <c r="AC303" s="228">
        <v>1950</v>
      </c>
      <c r="AD303" s="228">
        <f t="shared" si="197"/>
        <v>0</v>
      </c>
      <c r="AE303" s="228"/>
      <c r="AF303" s="216"/>
      <c r="AG303" s="216"/>
      <c r="AH303" s="228">
        <f>I303</f>
        <v>1950</v>
      </c>
      <c r="AI303" s="228"/>
      <c r="AJ303" s="228"/>
      <c r="AK303" s="228"/>
      <c r="AL303" s="1432"/>
      <c r="AM303" s="1432"/>
      <c r="AN303" s="1185"/>
      <c r="AO303" s="1434">
        <f>I303</f>
        <v>1950</v>
      </c>
      <c r="AP303" s="230"/>
      <c r="AQ303" s="230"/>
      <c r="AR303" s="230"/>
      <c r="AS303" s="230">
        <f>I303</f>
        <v>1950</v>
      </c>
      <c r="AT303" s="230"/>
      <c r="AU303" s="230"/>
      <c r="AV303" s="230"/>
      <c r="AW303" s="230"/>
      <c r="AX303" s="236"/>
      <c r="AY303" s="236"/>
      <c r="AZ303" s="236"/>
      <c r="BA303" s="236"/>
      <c r="BB303" s="236"/>
      <c r="BC303" s="236"/>
      <c r="BD303" s="236"/>
      <c r="BE303" s="236"/>
      <c r="BF303" s="236"/>
      <c r="BG303" s="236">
        <f>I303/13</f>
        <v>150</v>
      </c>
      <c r="BH303" s="236"/>
      <c r="BI303" s="236"/>
      <c r="BJ303" s="236"/>
      <c r="BK303" s="236"/>
      <c r="BL303" s="236"/>
      <c r="BM303" s="236"/>
      <c r="BN303" s="236"/>
      <c r="BO303" s="236"/>
      <c r="BP303" s="236"/>
      <c r="BQ303" s="236"/>
      <c r="BR303" s="236"/>
      <c r="BS303" s="236"/>
      <c r="BT303" s="212">
        <f>AH303+AI303+AJ303</f>
        <v>1950</v>
      </c>
      <c r="BV303" s="1437"/>
      <c r="BW303" s="1437"/>
      <c r="BY303" s="238">
        <f>'77515 DIY厨艺大师 旧排期'!CE62-AH303-AI303-AJ303</f>
        <v>1659904</v>
      </c>
    </row>
    <row r="304" s="238" customFormat="1" ht="36" customHeight="1" spans="1:76">
      <c r="A304" s="1240">
        <v>45659</v>
      </c>
      <c r="B304" s="1241" t="s">
        <v>116</v>
      </c>
      <c r="C304" s="1242" t="s">
        <v>117</v>
      </c>
      <c r="D304" s="1243">
        <v>4500155146</v>
      </c>
      <c r="E304" s="1244" t="s">
        <v>3380</v>
      </c>
      <c r="F304" s="1243" t="s">
        <v>3381</v>
      </c>
      <c r="G304" s="225" t="s">
        <v>120</v>
      </c>
      <c r="H304" s="1245" t="s">
        <v>74</v>
      </c>
      <c r="I304" s="212">
        <v>8631</v>
      </c>
      <c r="J304" s="1246">
        <v>0</v>
      </c>
      <c r="K304" s="225">
        <v>21</v>
      </c>
      <c r="L304" s="212">
        <f t="shared" si="195"/>
        <v>411</v>
      </c>
      <c r="M304" s="1248">
        <v>45712</v>
      </c>
      <c r="N304" s="1248" t="s">
        <v>4397</v>
      </c>
      <c r="O304" s="216"/>
      <c r="P304" s="216"/>
      <c r="Q304" s="216"/>
      <c r="R304" s="216">
        <v>45666</v>
      </c>
      <c r="S304" s="222" t="s">
        <v>123</v>
      </c>
      <c r="T304" s="1427" t="s">
        <v>4398</v>
      </c>
      <c r="U304" s="1428" t="s">
        <v>3382</v>
      </c>
      <c r="V304" s="1250" t="s">
        <v>126</v>
      </c>
      <c r="W304" s="1251">
        <v>1.4347</v>
      </c>
      <c r="X304" s="221">
        <f>I304*W304</f>
        <v>12382.8957</v>
      </c>
      <c r="Y304" s="212"/>
      <c r="Z304" s="1253" t="s">
        <v>120</v>
      </c>
      <c r="AA304" s="226" t="s">
        <v>128</v>
      </c>
      <c r="AB304" s="226"/>
      <c r="AC304" s="228"/>
      <c r="AD304" s="228" t="s">
        <v>4399</v>
      </c>
      <c r="AE304" s="228"/>
      <c r="AF304" s="216"/>
      <c r="AG304" s="216"/>
      <c r="AH304" s="228">
        <f>I304</f>
        <v>8631</v>
      </c>
      <c r="AI304" s="228"/>
      <c r="AJ304" s="228"/>
      <c r="AK304" s="228"/>
      <c r="AL304" s="228"/>
      <c r="AM304" s="228"/>
      <c r="AN304" s="230">
        <f>I304</f>
        <v>8631</v>
      </c>
      <c r="AO304" s="230"/>
      <c r="AP304" s="230"/>
      <c r="AQ304" s="230"/>
      <c r="AR304" s="1433">
        <f>I304</f>
        <v>8631</v>
      </c>
      <c r="AS304" s="230"/>
      <c r="AT304" s="230"/>
      <c r="AU304" s="230"/>
      <c r="AV304" s="230">
        <f>I304/21</f>
        <v>411</v>
      </c>
      <c r="AW304" s="236"/>
      <c r="AX304" s="236"/>
      <c r="AY304" s="236"/>
      <c r="AZ304" s="236"/>
      <c r="BA304" s="236"/>
      <c r="BB304" s="236"/>
      <c r="BC304" s="236"/>
      <c r="BD304" s="236"/>
      <c r="BE304" s="236"/>
      <c r="BF304" s="236"/>
      <c r="BG304" s="236"/>
      <c r="BH304" s="236"/>
      <c r="BI304" s="236"/>
      <c r="BJ304" s="236"/>
      <c r="BK304" s="236"/>
      <c r="BL304" s="236"/>
      <c r="BM304" s="236"/>
      <c r="BN304" s="236"/>
      <c r="BO304" s="236"/>
      <c r="BP304" s="236"/>
      <c r="BQ304" s="236"/>
      <c r="BR304" s="236"/>
      <c r="BS304" s="212">
        <f>AH304+AI304+AJ304</f>
        <v>8631</v>
      </c>
      <c r="BU304" s="1437"/>
      <c r="BV304" s="1437"/>
      <c r="BX304" s="238">
        <f>BX303-AH304-AI304-AJ304</f>
        <v>-8631</v>
      </c>
    </row>
    <row r="305" s="1016" customFormat="1" ht="14.25" spans="1:1">
      <c r="A305" s="1239"/>
    </row>
    <row r="306" s="1016" customFormat="1" ht="14.25" spans="1:1">
      <c r="A306" s="1239"/>
    </row>
    <row r="307" ht="26.25" customHeight="1" spans="3:54">
      <c r="C307" s="1018"/>
      <c r="I307" s="649">
        <f>I303/2</f>
        <v>975</v>
      </c>
      <c r="L307" s="649">
        <f>I263-I307</f>
        <v>21</v>
      </c>
      <c r="M307" s="1103"/>
      <c r="N307" s="1103"/>
      <c r="P307" s="1018"/>
      <c r="Q307" s="1018"/>
      <c r="R307" s="1103"/>
      <c r="S307" s="1103"/>
      <c r="W307" s="1142"/>
      <c r="AF307" s="1018"/>
      <c r="AG307" s="1018"/>
      <c r="AN307" s="1018"/>
      <c r="AO307" s="1195"/>
      <c r="AP307" s="1018"/>
      <c r="AQ307" s="1018"/>
      <c r="AR307" s="1018"/>
      <c r="AS307" s="1018"/>
      <c r="AT307" s="1018"/>
      <c r="AU307" s="1018"/>
      <c r="AV307" s="1018"/>
      <c r="AW307" s="1018"/>
      <c r="AX307" s="1018"/>
      <c r="AY307" s="1018"/>
      <c r="AZ307" s="1018"/>
      <c r="BA307" s="1018"/>
      <c r="BB307" s="1018"/>
    </row>
    <row r="308" ht="26.25" customHeight="1" spans="3:54">
      <c r="C308" s="1018"/>
      <c r="M308" s="1103"/>
      <c r="N308" s="1103"/>
      <c r="P308" s="1018"/>
      <c r="Q308" s="1018"/>
      <c r="R308" s="1103"/>
      <c r="S308" s="1103"/>
      <c r="W308" s="1142"/>
      <c r="AF308" s="1018"/>
      <c r="AG308" s="1018"/>
      <c r="AN308" s="1018"/>
      <c r="AO308" s="1195"/>
      <c r="AP308" s="1018"/>
      <c r="AQ308" s="1018"/>
      <c r="AR308" s="1018"/>
      <c r="AS308" s="1018"/>
      <c r="AT308" s="1018"/>
      <c r="AU308" s="1018"/>
      <c r="AV308" s="1018"/>
      <c r="AW308" s="1018"/>
      <c r="AX308" s="1018"/>
      <c r="AY308" s="1018"/>
      <c r="AZ308" s="1018"/>
      <c r="BA308" s="1018"/>
      <c r="BB308" s="1018"/>
    </row>
    <row r="309" ht="26.25" customHeight="1" spans="3:54">
      <c r="C309" s="1018"/>
      <c r="M309" s="1103"/>
      <c r="N309" s="1103"/>
      <c r="P309" s="1018"/>
      <c r="Q309" s="1018"/>
      <c r="R309" s="1103"/>
      <c r="S309" s="1103"/>
      <c r="W309" s="1142"/>
      <c r="AF309" s="1018"/>
      <c r="AG309" s="1018"/>
      <c r="AN309" s="1018"/>
      <c r="AO309" s="1195"/>
      <c r="AP309" s="1018"/>
      <c r="AQ309" s="1018"/>
      <c r="AR309" s="1018"/>
      <c r="AS309" s="1018"/>
      <c r="AT309" s="1018"/>
      <c r="AU309" s="1018"/>
      <c r="AV309" s="1018"/>
      <c r="AW309" s="1018"/>
      <c r="AX309" s="1018"/>
      <c r="AY309" s="1018"/>
      <c r="AZ309" s="1018"/>
      <c r="BA309" s="1018"/>
      <c r="BB309" s="1018"/>
    </row>
    <row r="310" ht="26.25" customHeight="1" spans="3:54">
      <c r="C310" s="1018"/>
      <c r="M310" s="1103"/>
      <c r="N310" s="1103"/>
      <c r="P310" s="1018"/>
      <c r="Q310" s="1018"/>
      <c r="R310" s="1103"/>
      <c r="S310" s="1103"/>
      <c r="W310" s="1142"/>
      <c r="AF310" s="1018"/>
      <c r="AG310" s="1018"/>
      <c r="AN310" s="1018"/>
      <c r="AO310" s="1195"/>
      <c r="AP310" s="1018"/>
      <c r="AQ310" s="1018"/>
      <c r="AR310" s="1018"/>
      <c r="AS310" s="1018"/>
      <c r="AT310" s="1018"/>
      <c r="AU310" s="1018"/>
      <c r="AV310" s="1018"/>
      <c r="AW310" s="1018"/>
      <c r="AX310" s="1018"/>
      <c r="AY310" s="1018"/>
      <c r="AZ310" s="1018"/>
      <c r="BA310" s="1018"/>
      <c r="BB310" s="1018"/>
    </row>
    <row r="311" ht="26.25" customHeight="1" spans="3:54">
      <c r="C311" s="1018"/>
      <c r="M311" s="1103"/>
      <c r="N311" s="1103"/>
      <c r="P311" s="1018"/>
      <c r="Q311" s="1018"/>
      <c r="R311" s="1103"/>
      <c r="S311" s="1103"/>
      <c r="W311" s="1142"/>
      <c r="AF311" s="1018"/>
      <c r="AG311" s="1018"/>
      <c r="AN311" s="1018"/>
      <c r="AO311" s="1195"/>
      <c r="AP311" s="1018"/>
      <c r="AQ311" s="1018"/>
      <c r="AR311" s="1018"/>
      <c r="AS311" s="1018"/>
      <c r="AT311" s="1018"/>
      <c r="AU311" s="1018"/>
      <c r="AV311" s="1018"/>
      <c r="AW311" s="1018"/>
      <c r="AX311" s="1018"/>
      <c r="AY311" s="1018"/>
      <c r="AZ311" s="1018"/>
      <c r="BA311" s="1018"/>
      <c r="BB311" s="1018"/>
    </row>
    <row r="312" ht="26.25" customHeight="1" spans="3:54">
      <c r="C312" s="1018"/>
      <c r="M312" s="1103"/>
      <c r="N312" s="1103"/>
      <c r="P312" s="1018"/>
      <c r="Q312" s="1018"/>
      <c r="R312" s="1103"/>
      <c r="S312" s="1103"/>
      <c r="W312" s="1142"/>
      <c r="AF312" s="1018"/>
      <c r="AG312" s="1018"/>
      <c r="AN312" s="1018"/>
      <c r="AO312" s="1195"/>
      <c r="AP312" s="1018"/>
      <c r="AQ312" s="1018"/>
      <c r="AR312" s="1018"/>
      <c r="AS312" s="1018"/>
      <c r="AT312" s="1018"/>
      <c r="AU312" s="1018"/>
      <c r="AV312" s="1018"/>
      <c r="AW312" s="1018"/>
      <c r="AX312" s="1018"/>
      <c r="AY312" s="1018"/>
      <c r="AZ312" s="1018"/>
      <c r="BA312" s="1018"/>
      <c r="BB312" s="1018"/>
    </row>
    <row r="313" ht="26.25" customHeight="1" spans="3:54">
      <c r="C313" s="1018"/>
      <c r="M313" s="1103"/>
      <c r="N313" s="1103"/>
      <c r="P313" s="1018"/>
      <c r="Q313" s="1018"/>
      <c r="R313" s="1103"/>
      <c r="S313" s="1103"/>
      <c r="W313" s="1142"/>
      <c r="AF313" s="1018"/>
      <c r="AG313" s="1018"/>
      <c r="AN313" s="1018"/>
      <c r="AO313" s="1195"/>
      <c r="AP313" s="1018"/>
      <c r="AQ313" s="1018"/>
      <c r="AR313" s="1018"/>
      <c r="AS313" s="1018"/>
      <c r="AT313" s="1018"/>
      <c r="AU313" s="1018"/>
      <c r="AV313" s="1018"/>
      <c r="AW313" s="1018"/>
      <c r="AX313" s="1018"/>
      <c r="AY313" s="1018"/>
      <c r="AZ313" s="1018"/>
      <c r="BA313" s="1018"/>
      <c r="BB313" s="1018"/>
    </row>
    <row r="314" ht="26.25" customHeight="1" spans="3:54">
      <c r="C314" s="1018"/>
      <c r="M314" s="1103"/>
      <c r="N314" s="1103"/>
      <c r="P314" s="1018"/>
      <c r="Q314" s="1018"/>
      <c r="R314" s="1103"/>
      <c r="S314" s="1103"/>
      <c r="W314" s="1142"/>
      <c r="AF314" s="1018"/>
      <c r="AG314" s="1018"/>
      <c r="AN314" s="1018"/>
      <c r="AO314" s="1195"/>
      <c r="AP314" s="1018"/>
      <c r="AQ314" s="1018"/>
      <c r="AR314" s="1018"/>
      <c r="AS314" s="1018"/>
      <c r="AT314" s="1018"/>
      <c r="AU314" s="1018"/>
      <c r="AV314" s="1018"/>
      <c r="AW314" s="1018"/>
      <c r="AX314" s="1018"/>
      <c r="AY314" s="1018"/>
      <c r="AZ314" s="1018"/>
      <c r="BA314" s="1018"/>
      <c r="BB314" s="1018"/>
    </row>
    <row r="315" ht="26.25" customHeight="1" spans="3:54">
      <c r="C315" s="1018"/>
      <c r="M315" s="1103"/>
      <c r="N315" s="1103"/>
      <c r="P315" s="1018"/>
      <c r="Q315" s="1018"/>
      <c r="R315" s="1103"/>
      <c r="S315" s="1103"/>
      <c r="W315" s="1142"/>
      <c r="AF315" s="1018"/>
      <c r="AG315" s="1018"/>
      <c r="AN315" s="1018"/>
      <c r="AO315" s="1195"/>
      <c r="AP315" s="1018"/>
      <c r="AQ315" s="1018"/>
      <c r="AR315" s="1018"/>
      <c r="AS315" s="1018"/>
      <c r="AT315" s="1018"/>
      <c r="AU315" s="1018"/>
      <c r="AV315" s="1018"/>
      <c r="AW315" s="1018"/>
      <c r="AX315" s="1018"/>
      <c r="AY315" s="1018"/>
      <c r="AZ315" s="1018"/>
      <c r="BA315" s="1018"/>
      <c r="BB315" s="1018"/>
    </row>
    <row r="316" ht="26.25" customHeight="1" spans="3:54">
      <c r="C316" s="1018"/>
      <c r="M316" s="1103"/>
      <c r="N316" s="1103"/>
      <c r="P316" s="1018"/>
      <c r="Q316" s="1018"/>
      <c r="R316" s="1103"/>
      <c r="S316" s="1103"/>
      <c r="W316" s="1142"/>
      <c r="AF316" s="1018"/>
      <c r="AG316" s="1018"/>
      <c r="AN316" s="1018"/>
      <c r="AO316" s="1195"/>
      <c r="AP316" s="1018"/>
      <c r="AQ316" s="1018"/>
      <c r="AR316" s="1018"/>
      <c r="AS316" s="1018"/>
      <c r="AT316" s="1018"/>
      <c r="AU316" s="1018"/>
      <c r="AV316" s="1018"/>
      <c r="AW316" s="1018"/>
      <c r="AX316" s="1018"/>
      <c r="AY316" s="1018"/>
      <c r="AZ316" s="1018"/>
      <c r="BA316" s="1018"/>
      <c r="BB316" s="1018"/>
    </row>
    <row r="317" ht="26.25" customHeight="1" spans="3:54">
      <c r="C317" s="1018"/>
      <c r="M317" s="1103"/>
      <c r="N317" s="1103"/>
      <c r="P317" s="1018"/>
      <c r="Q317" s="1018"/>
      <c r="R317" s="1103"/>
      <c r="S317" s="1103"/>
      <c r="W317" s="1142"/>
      <c r="AF317" s="1018"/>
      <c r="AG317" s="1018"/>
      <c r="AN317" s="1018"/>
      <c r="AO317" s="1195"/>
      <c r="AP317" s="1018"/>
      <c r="AQ317" s="1018"/>
      <c r="AR317" s="1018"/>
      <c r="AS317" s="1018"/>
      <c r="AT317" s="1018"/>
      <c r="AU317" s="1018"/>
      <c r="AV317" s="1018"/>
      <c r="AW317" s="1018"/>
      <c r="AX317" s="1018"/>
      <c r="AY317" s="1018"/>
      <c r="AZ317" s="1018"/>
      <c r="BA317" s="1018"/>
      <c r="BB317" s="1018"/>
    </row>
    <row r="318" ht="26.25" customHeight="1" spans="3:54">
      <c r="C318" s="1018"/>
      <c r="M318" s="1103"/>
      <c r="N318" s="1103"/>
      <c r="P318" s="1018"/>
      <c r="Q318" s="1018"/>
      <c r="R318" s="1103"/>
      <c r="S318" s="1103"/>
      <c r="W318" s="1142"/>
      <c r="AF318" s="1018"/>
      <c r="AG318" s="1018"/>
      <c r="AN318" s="1018"/>
      <c r="AO318" s="1195"/>
      <c r="AP318" s="1018"/>
      <c r="AQ318" s="1018"/>
      <c r="AR318" s="1018"/>
      <c r="AS318" s="1018"/>
      <c r="AT318" s="1018"/>
      <c r="AU318" s="1018"/>
      <c r="AV318" s="1018"/>
      <c r="AW318" s="1018"/>
      <c r="AX318" s="1018"/>
      <c r="AY318" s="1018"/>
      <c r="AZ318" s="1018"/>
      <c r="BA318" s="1018"/>
      <c r="BB318" s="1018"/>
    </row>
    <row r="319" ht="26.25" customHeight="1" spans="3:54">
      <c r="C319" s="1018"/>
      <c r="M319" s="1103"/>
      <c r="N319" s="1103"/>
      <c r="P319" s="1018"/>
      <c r="Q319" s="1018"/>
      <c r="R319" s="1103"/>
      <c r="S319" s="1103"/>
      <c r="W319" s="1142"/>
      <c r="AF319" s="1018"/>
      <c r="AG319" s="1018"/>
      <c r="AN319" s="1018"/>
      <c r="AO319" s="1195"/>
      <c r="AP319" s="1018"/>
      <c r="AQ319" s="1018"/>
      <c r="AR319" s="1018"/>
      <c r="AS319" s="1018"/>
      <c r="AT319" s="1018"/>
      <c r="AU319" s="1018"/>
      <c r="AV319" s="1018"/>
      <c r="AW319" s="1018"/>
      <c r="AX319" s="1018"/>
      <c r="AY319" s="1018"/>
      <c r="AZ319" s="1018"/>
      <c r="BA319" s="1018"/>
      <c r="BB319" s="1018"/>
    </row>
    <row r="320" ht="26.25" customHeight="1" spans="3:54">
      <c r="C320" s="1018"/>
      <c r="M320" s="1103"/>
      <c r="N320" s="1103"/>
      <c r="P320" s="1018"/>
      <c r="Q320" s="1018"/>
      <c r="R320" s="1103"/>
      <c r="S320" s="1103"/>
      <c r="W320" s="1142"/>
      <c r="AF320" s="1018"/>
      <c r="AG320" s="1018"/>
      <c r="AN320" s="1018"/>
      <c r="AO320" s="1195"/>
      <c r="AP320" s="1018"/>
      <c r="AQ320" s="1018"/>
      <c r="AR320" s="1018"/>
      <c r="AS320" s="1018"/>
      <c r="AT320" s="1018"/>
      <c r="AU320" s="1018"/>
      <c r="AV320" s="1018"/>
      <c r="AW320" s="1018"/>
      <c r="AX320" s="1018"/>
      <c r="AY320" s="1018"/>
      <c r="AZ320" s="1018"/>
      <c r="BA320" s="1018"/>
      <c r="BB320" s="1018"/>
    </row>
    <row r="321" ht="26.25" customHeight="1" spans="3:54">
      <c r="C321" s="1018"/>
      <c r="M321" s="1103"/>
      <c r="N321" s="1103"/>
      <c r="P321" s="1018"/>
      <c r="Q321" s="1018"/>
      <c r="R321" s="1103"/>
      <c r="S321" s="1103"/>
      <c r="W321" s="1142"/>
      <c r="AF321" s="1018"/>
      <c r="AG321" s="1018"/>
      <c r="AN321" s="1018"/>
      <c r="AO321" s="1195"/>
      <c r="AP321" s="1018"/>
      <c r="AQ321" s="1018"/>
      <c r="AR321" s="1018"/>
      <c r="AS321" s="1018"/>
      <c r="AT321" s="1018"/>
      <c r="AU321" s="1018"/>
      <c r="AV321" s="1018"/>
      <c r="AW321" s="1018"/>
      <c r="AX321" s="1018"/>
      <c r="AY321" s="1018"/>
      <c r="AZ321" s="1018"/>
      <c r="BA321" s="1018"/>
      <c r="BB321" s="1018"/>
    </row>
    <row r="322" ht="26.25" customHeight="1" spans="3:54">
      <c r="C322" s="1018"/>
      <c r="M322" s="1103"/>
      <c r="N322" s="1103"/>
      <c r="P322" s="1018"/>
      <c r="Q322" s="1018"/>
      <c r="R322" s="1103"/>
      <c r="S322" s="1103"/>
      <c r="W322" s="1142"/>
      <c r="AF322" s="1018"/>
      <c r="AG322" s="1018"/>
      <c r="AN322" s="1018"/>
      <c r="AO322" s="1195"/>
      <c r="AP322" s="1018"/>
      <c r="AQ322" s="1018"/>
      <c r="AR322" s="1018"/>
      <c r="AS322" s="1018"/>
      <c r="AT322" s="1018"/>
      <c r="AU322" s="1018"/>
      <c r="AV322" s="1018"/>
      <c r="AW322" s="1018"/>
      <c r="AX322" s="1018"/>
      <c r="AY322" s="1018"/>
      <c r="AZ322" s="1018"/>
      <c r="BA322" s="1018"/>
      <c r="BB322" s="1018"/>
    </row>
    <row r="323" ht="26.25" customHeight="1" spans="3:54">
      <c r="C323" s="1018"/>
      <c r="M323" s="1103"/>
      <c r="N323" s="1103"/>
      <c r="P323" s="1018"/>
      <c r="Q323" s="1018"/>
      <c r="R323" s="1103"/>
      <c r="S323" s="1103"/>
      <c r="W323" s="1142"/>
      <c r="AF323" s="1018"/>
      <c r="AG323" s="1018"/>
      <c r="AN323" s="1018"/>
      <c r="AO323" s="1195"/>
      <c r="AP323" s="1018"/>
      <c r="AQ323" s="1018"/>
      <c r="AR323" s="1018"/>
      <c r="AS323" s="1018"/>
      <c r="AT323" s="1018"/>
      <c r="AU323" s="1018"/>
      <c r="AV323" s="1018"/>
      <c r="AW323" s="1018"/>
      <c r="AX323" s="1018"/>
      <c r="AY323" s="1018"/>
      <c r="AZ323" s="1018"/>
      <c r="BA323" s="1018"/>
      <c r="BB323" s="1018"/>
    </row>
    <row r="324" ht="26.25" customHeight="1" spans="3:54">
      <c r="C324" s="1018"/>
      <c r="M324" s="1103"/>
      <c r="N324" s="1103"/>
      <c r="P324" s="1018"/>
      <c r="Q324" s="1018"/>
      <c r="R324" s="1103"/>
      <c r="S324" s="1103"/>
      <c r="W324" s="1142"/>
      <c r="AF324" s="1018"/>
      <c r="AG324" s="1018"/>
      <c r="AN324" s="1018"/>
      <c r="AO324" s="1195"/>
      <c r="AP324" s="1018"/>
      <c r="AQ324" s="1018"/>
      <c r="AR324" s="1018"/>
      <c r="AS324" s="1018"/>
      <c r="AT324" s="1018"/>
      <c r="AU324" s="1018"/>
      <c r="AV324" s="1018"/>
      <c r="AW324" s="1018"/>
      <c r="AX324" s="1018"/>
      <c r="AY324" s="1018"/>
      <c r="AZ324" s="1018"/>
      <c r="BA324" s="1018"/>
      <c r="BB324" s="1018"/>
    </row>
    <row r="325" ht="26.25" customHeight="1" spans="3:54">
      <c r="C325" s="1018"/>
      <c r="M325" s="1103"/>
      <c r="N325" s="1103"/>
      <c r="P325" s="1018"/>
      <c r="Q325" s="1018"/>
      <c r="R325" s="1103"/>
      <c r="S325" s="1103"/>
      <c r="W325" s="1142"/>
      <c r="AF325" s="1018"/>
      <c r="AG325" s="1018"/>
      <c r="AN325" s="1018"/>
      <c r="AO325" s="1195"/>
      <c r="AP325" s="1018"/>
      <c r="AQ325" s="1018"/>
      <c r="AR325" s="1018"/>
      <c r="AS325" s="1018"/>
      <c r="AT325" s="1018"/>
      <c r="AU325" s="1018"/>
      <c r="AV325" s="1018"/>
      <c r="AW325" s="1018"/>
      <c r="AX325" s="1018"/>
      <c r="AY325" s="1018"/>
      <c r="AZ325" s="1018"/>
      <c r="BA325" s="1018"/>
      <c r="BB325" s="1018"/>
    </row>
    <row r="326" ht="26.25" customHeight="1" spans="3:54">
      <c r="C326" s="1018"/>
      <c r="M326" s="1103"/>
      <c r="N326" s="1103"/>
      <c r="P326" s="1018"/>
      <c r="Q326" s="1018"/>
      <c r="R326" s="1103"/>
      <c r="S326" s="1103"/>
      <c r="W326" s="1142"/>
      <c r="AF326" s="1018"/>
      <c r="AG326" s="1018"/>
      <c r="AN326" s="1018"/>
      <c r="AO326" s="1195"/>
      <c r="AP326" s="1018"/>
      <c r="AQ326" s="1018"/>
      <c r="AR326" s="1018"/>
      <c r="AS326" s="1018"/>
      <c r="AT326" s="1018"/>
      <c r="AU326" s="1018"/>
      <c r="AV326" s="1018"/>
      <c r="AW326" s="1018"/>
      <c r="AX326" s="1018"/>
      <c r="AY326" s="1018"/>
      <c r="AZ326" s="1018"/>
      <c r="BA326" s="1018"/>
      <c r="BB326" s="1018"/>
    </row>
    <row r="327" ht="26.25" customHeight="1" spans="3:54">
      <c r="C327" s="1018"/>
      <c r="M327" s="1103"/>
      <c r="N327" s="1103"/>
      <c r="P327" s="1018"/>
      <c r="Q327" s="1018"/>
      <c r="R327" s="1103"/>
      <c r="S327" s="1103"/>
      <c r="W327" s="1142"/>
      <c r="AF327" s="1018"/>
      <c r="AG327" s="1018"/>
      <c r="AN327" s="1018"/>
      <c r="AO327" s="1195"/>
      <c r="AP327" s="1018"/>
      <c r="AQ327" s="1018"/>
      <c r="AR327" s="1018"/>
      <c r="AS327" s="1018"/>
      <c r="AT327" s="1018"/>
      <c r="AU327" s="1018"/>
      <c r="AV327" s="1018"/>
      <c r="AW327" s="1018"/>
      <c r="AX327" s="1018"/>
      <c r="AY327" s="1018"/>
      <c r="AZ327" s="1018"/>
      <c r="BA327" s="1018"/>
      <c r="BB327" s="1018"/>
    </row>
    <row r="328" ht="26.25" customHeight="1" spans="3:54">
      <c r="C328" s="1018"/>
      <c r="M328" s="1103"/>
      <c r="N328" s="1103"/>
      <c r="P328" s="1018"/>
      <c r="Q328" s="1018"/>
      <c r="R328" s="1103"/>
      <c r="S328" s="1103"/>
      <c r="W328" s="1142"/>
      <c r="AF328" s="1018"/>
      <c r="AG328" s="1018"/>
      <c r="AN328" s="1018"/>
      <c r="AO328" s="1195"/>
      <c r="AP328" s="1018"/>
      <c r="AQ328" s="1018"/>
      <c r="AR328" s="1018"/>
      <c r="AS328" s="1018"/>
      <c r="AT328" s="1018"/>
      <c r="AU328" s="1018"/>
      <c r="AV328" s="1018"/>
      <c r="AW328" s="1018"/>
      <c r="AX328" s="1018"/>
      <c r="AY328" s="1018"/>
      <c r="AZ328" s="1018"/>
      <c r="BA328" s="1018"/>
      <c r="BB328" s="1018"/>
    </row>
    <row r="329" ht="26.25" customHeight="1" spans="3:54">
      <c r="C329" s="1018"/>
      <c r="M329" s="1103"/>
      <c r="N329" s="1103"/>
      <c r="P329" s="1018"/>
      <c r="Q329" s="1018"/>
      <c r="R329" s="1103"/>
      <c r="S329" s="1103"/>
      <c r="W329" s="1142"/>
      <c r="AF329" s="1018"/>
      <c r="AG329" s="1018"/>
      <c r="AN329" s="1018"/>
      <c r="AO329" s="1195"/>
      <c r="AP329" s="1018"/>
      <c r="AQ329" s="1018"/>
      <c r="AR329" s="1018"/>
      <c r="AS329" s="1018"/>
      <c r="AT329" s="1018"/>
      <c r="AU329" s="1018"/>
      <c r="AV329" s="1018"/>
      <c r="AW329" s="1018"/>
      <c r="AX329" s="1018"/>
      <c r="AY329" s="1018"/>
      <c r="AZ329" s="1018"/>
      <c r="BA329" s="1018"/>
      <c r="BB329" s="1018"/>
    </row>
    <row r="330" ht="26.25" customHeight="1" spans="3:54">
      <c r="C330" s="1018"/>
      <c r="M330" s="1103"/>
      <c r="N330" s="1103"/>
      <c r="P330" s="1018"/>
      <c r="Q330" s="1018"/>
      <c r="R330" s="1103"/>
      <c r="S330" s="1103"/>
      <c r="W330" s="1142"/>
      <c r="AF330" s="1018"/>
      <c r="AG330" s="1018"/>
      <c r="AN330" s="1018"/>
      <c r="AO330" s="1195"/>
      <c r="AP330" s="1018"/>
      <c r="AQ330" s="1018"/>
      <c r="AR330" s="1018"/>
      <c r="AS330" s="1018"/>
      <c r="AT330" s="1018"/>
      <c r="AU330" s="1018"/>
      <c r="AV330" s="1018"/>
      <c r="AW330" s="1018"/>
      <c r="AX330" s="1018"/>
      <c r="AY330" s="1018"/>
      <c r="AZ330" s="1018"/>
      <c r="BA330" s="1018"/>
      <c r="BB330" s="1018"/>
    </row>
    <row r="331" ht="26.25" customHeight="1" spans="3:54">
      <c r="C331" s="1018"/>
      <c r="M331" s="1103"/>
      <c r="N331" s="1103"/>
      <c r="P331" s="1018"/>
      <c r="Q331" s="1018"/>
      <c r="R331" s="1103"/>
      <c r="S331" s="1103"/>
      <c r="W331" s="1142"/>
      <c r="AF331" s="1018"/>
      <c r="AG331" s="1018"/>
      <c r="AN331" s="1018"/>
      <c r="AO331" s="1195"/>
      <c r="AP331" s="1018"/>
      <c r="AQ331" s="1018"/>
      <c r="AR331" s="1018"/>
      <c r="AS331" s="1018"/>
      <c r="AT331" s="1018"/>
      <c r="AU331" s="1018"/>
      <c r="AV331" s="1018"/>
      <c r="AW331" s="1018"/>
      <c r="AX331" s="1018"/>
      <c r="AY331" s="1018"/>
      <c r="AZ331" s="1018"/>
      <c r="BA331" s="1018"/>
      <c r="BB331" s="1018"/>
    </row>
    <row r="332" ht="26.25" customHeight="1" spans="3:54">
      <c r="C332" s="1018"/>
      <c r="M332" s="1103"/>
      <c r="N332" s="1103"/>
      <c r="P332" s="1018"/>
      <c r="Q332" s="1018"/>
      <c r="R332" s="1103"/>
      <c r="S332" s="1103"/>
      <c r="AF332" s="1018"/>
      <c r="AG332" s="1018"/>
      <c r="AN332" s="1018"/>
      <c r="AO332" s="1195"/>
      <c r="AP332" s="1018"/>
      <c r="AQ332" s="1018"/>
      <c r="AR332" s="1018"/>
      <c r="AS332" s="1018"/>
      <c r="AT332" s="1018"/>
      <c r="AU332" s="1018"/>
      <c r="AV332" s="1018"/>
      <c r="AW332" s="1018"/>
      <c r="AX332" s="1018"/>
      <c r="AY332" s="1018"/>
      <c r="AZ332" s="1018"/>
      <c r="BA332" s="1018"/>
      <c r="BB332" s="1018"/>
    </row>
    <row r="333" ht="26.25" customHeight="1" spans="3:54">
      <c r="C333" s="1018"/>
      <c r="M333" s="1103"/>
      <c r="N333" s="1103"/>
      <c r="P333" s="1018"/>
      <c r="Q333" s="1018"/>
      <c r="R333" s="1103"/>
      <c r="S333" s="1103"/>
      <c r="AF333" s="1018"/>
      <c r="AG333" s="1018"/>
      <c r="AN333" s="1018"/>
      <c r="AO333" s="1195"/>
      <c r="AP333" s="1018"/>
      <c r="AQ333" s="1018"/>
      <c r="AR333" s="1018"/>
      <c r="AS333" s="1018"/>
      <c r="AT333" s="1018"/>
      <c r="AU333" s="1018"/>
      <c r="AV333" s="1018"/>
      <c r="AW333" s="1018"/>
      <c r="AX333" s="1018"/>
      <c r="AY333" s="1018"/>
      <c r="AZ333" s="1018"/>
      <c r="BA333" s="1018"/>
      <c r="BB333" s="1018"/>
    </row>
    <row r="334" ht="26.25" customHeight="1" spans="3:54">
      <c r="C334" s="1018"/>
      <c r="M334" s="1103"/>
      <c r="N334" s="1103"/>
      <c r="P334" s="1018"/>
      <c r="Q334" s="1018"/>
      <c r="R334" s="1103"/>
      <c r="S334" s="1103"/>
      <c r="AF334" s="1018"/>
      <c r="AG334" s="1018"/>
      <c r="AN334" s="1018"/>
      <c r="AO334" s="1195"/>
      <c r="AP334" s="1018"/>
      <c r="AQ334" s="1018"/>
      <c r="AR334" s="1018"/>
      <c r="AS334" s="1018"/>
      <c r="AT334" s="1018"/>
      <c r="AU334" s="1018"/>
      <c r="AV334" s="1018"/>
      <c r="AW334" s="1018"/>
      <c r="AX334" s="1018"/>
      <c r="AY334" s="1018"/>
      <c r="AZ334" s="1018"/>
      <c r="BA334" s="1018"/>
      <c r="BB334" s="1018"/>
    </row>
    <row r="335" ht="26.25" customHeight="1" spans="3:33">
      <c r="C335" s="1018"/>
      <c r="M335" s="1103"/>
      <c r="N335" s="1103"/>
      <c r="P335" s="1018"/>
      <c r="Q335" s="1018"/>
      <c r="AF335" s="1018"/>
      <c r="AG335" s="1018"/>
    </row>
    <row r="336" ht="26.25" customHeight="1" spans="3:33">
      <c r="C336" s="1018"/>
      <c r="M336" s="1103"/>
      <c r="N336" s="1103"/>
      <c r="P336" s="1018"/>
      <c r="Q336" s="1018"/>
      <c r="AF336" s="1018"/>
      <c r="AG336" s="1018"/>
    </row>
    <row r="337" ht="26.25" customHeight="1" spans="3:33">
      <c r="C337" s="1018"/>
      <c r="M337" s="1103"/>
      <c r="N337" s="1103"/>
      <c r="P337" s="1018"/>
      <c r="Q337" s="1018"/>
      <c r="AF337" s="1018"/>
      <c r="AG337" s="1018"/>
    </row>
    <row r="338" ht="26.25" customHeight="1" spans="3:33">
      <c r="C338" s="1018"/>
      <c r="M338" s="1103"/>
      <c r="N338" s="1103"/>
      <c r="P338" s="1018"/>
      <c r="Q338" s="1018"/>
      <c r="AF338" s="1018"/>
      <c r="AG338" s="1018"/>
    </row>
    <row r="339" ht="26.25" customHeight="1" spans="3:33">
      <c r="C339" s="1018"/>
      <c r="M339" s="1103"/>
      <c r="N339" s="1103"/>
      <c r="P339" s="1018"/>
      <c r="Q339" s="1018"/>
      <c r="AF339" s="1018"/>
      <c r="AG339" s="1018"/>
    </row>
    <row r="340" ht="26.25" customHeight="1" spans="3:33">
      <c r="C340" s="1018"/>
      <c r="M340" s="1103"/>
      <c r="N340" s="1103"/>
      <c r="P340" s="1018"/>
      <c r="Q340" s="1018"/>
      <c r="AF340" s="1018"/>
      <c r="AG340" s="1018"/>
    </row>
    <row r="341" ht="26.25" customHeight="1" spans="3:33">
      <c r="C341" s="1018"/>
      <c r="M341" s="1103"/>
      <c r="N341" s="1103"/>
      <c r="P341" s="1018"/>
      <c r="Q341" s="1018"/>
      <c r="AF341" s="1018"/>
      <c r="AG341" s="1018"/>
    </row>
    <row r="342" ht="26.25" customHeight="1" spans="3:33">
      <c r="C342" s="1018"/>
      <c r="M342" s="1103"/>
      <c r="N342" s="1103"/>
      <c r="P342" s="1018"/>
      <c r="Q342" s="1018"/>
      <c r="AF342" s="1018"/>
      <c r="AG342" s="1018"/>
    </row>
    <row r="343" ht="26.25" customHeight="1" spans="3:33">
      <c r="C343" s="1018"/>
      <c r="M343" s="1103"/>
      <c r="N343" s="1103"/>
      <c r="P343" s="1018"/>
      <c r="Q343" s="1018"/>
      <c r="AF343" s="1018"/>
      <c r="AG343" s="1018"/>
    </row>
    <row r="344" ht="26.25" customHeight="1" spans="3:33">
      <c r="C344" s="1018"/>
      <c r="M344" s="1103"/>
      <c r="N344" s="1103"/>
      <c r="P344" s="1018"/>
      <c r="Q344" s="1018"/>
      <c r="AF344" s="1018"/>
      <c r="AG344" s="1018"/>
    </row>
    <row r="345" ht="26.25" customHeight="1" spans="3:33">
      <c r="C345" s="1018"/>
      <c r="M345" s="1103"/>
      <c r="N345" s="1103"/>
      <c r="P345" s="1018"/>
      <c r="Q345" s="1018"/>
      <c r="AF345" s="1018"/>
      <c r="AG345" s="1018"/>
    </row>
    <row r="346" ht="26.25" customHeight="1" spans="3:33">
      <c r="C346" s="1018"/>
      <c r="M346" s="1103"/>
      <c r="N346" s="1103"/>
      <c r="P346" s="1018"/>
      <c r="Q346" s="1018"/>
      <c r="AF346" s="1018"/>
      <c r="AG346" s="1018"/>
    </row>
    <row r="347" ht="26.25" customHeight="1" spans="14:33">
      <c r="N347" s="1103"/>
      <c r="P347" s="1018"/>
      <c r="AF347" s="1018"/>
      <c r="AG347" s="1018"/>
    </row>
    <row r="348" ht="26.25" customHeight="1" spans="14:33">
      <c r="N348" s="1103"/>
      <c r="P348" s="1018"/>
      <c r="AF348" s="1018"/>
      <c r="AG348" s="1018"/>
    </row>
    <row r="349" ht="26.25" customHeight="1" spans="14:33">
      <c r="N349" s="1103"/>
      <c r="P349" s="1018"/>
      <c r="AF349" s="1018"/>
      <c r="AG349" s="1018"/>
    </row>
    <row r="350" ht="26.25" customHeight="1" spans="14:33">
      <c r="N350" s="1103"/>
      <c r="P350" s="1018"/>
      <c r="AF350" s="1018"/>
      <c r="AG350" s="1018"/>
    </row>
    <row r="351" ht="26.25" customHeight="1" spans="14:33">
      <c r="N351" s="1103"/>
      <c r="P351" s="1018"/>
      <c r="AF351" s="1018"/>
      <c r="AG351" s="1018"/>
    </row>
    <row r="352" ht="26.25" customHeight="1" spans="14:33">
      <c r="N352" s="1103"/>
      <c r="P352" s="1018"/>
      <c r="AF352" s="1018"/>
      <c r="AG352" s="1018"/>
    </row>
    <row r="353" ht="26.25" customHeight="1" spans="14:33">
      <c r="N353" s="1103"/>
      <c r="P353" s="1018"/>
      <c r="AF353" s="1018"/>
      <c r="AG353" s="1018"/>
    </row>
    <row r="354" ht="26.25" customHeight="1" spans="14:33">
      <c r="N354" s="1103"/>
      <c r="P354" s="1018"/>
      <c r="AF354" s="1018"/>
      <c r="AG354" s="1018"/>
    </row>
    <row r="355" ht="26.25" customHeight="1" spans="14:33">
      <c r="N355" s="1103"/>
      <c r="P355" s="1018"/>
      <c r="AF355" s="1018"/>
      <c r="AG355" s="1018"/>
    </row>
    <row r="356" ht="26.25" customHeight="1" spans="14:33">
      <c r="N356" s="1103"/>
      <c r="P356" s="1018"/>
      <c r="AF356" s="1018"/>
      <c r="AG356" s="1018"/>
    </row>
    <row r="357" ht="26.25" customHeight="1" spans="14:33">
      <c r="N357" s="1103"/>
      <c r="P357" s="1018"/>
      <c r="AF357" s="1018"/>
      <c r="AG357" s="1018"/>
    </row>
    <row r="358" ht="26.25" customHeight="1" spans="14:33">
      <c r="N358" s="1103"/>
      <c r="P358" s="1018"/>
      <c r="AF358" s="1018"/>
      <c r="AG358" s="1018"/>
    </row>
    <row r="359" ht="26.25" customHeight="1" spans="14:33">
      <c r="N359" s="1103"/>
      <c r="P359" s="1018"/>
      <c r="AF359" s="1018"/>
      <c r="AG359" s="1018"/>
    </row>
    <row r="360" ht="26.25" customHeight="1" spans="14:33">
      <c r="N360" s="1103"/>
      <c r="P360" s="1018"/>
      <c r="AF360" s="1018"/>
      <c r="AG360" s="1018"/>
    </row>
    <row r="361" ht="26.25" customHeight="1" spans="14:33">
      <c r="N361" s="1103"/>
      <c r="P361" s="1018"/>
      <c r="AF361" s="1018"/>
      <c r="AG361" s="1018"/>
    </row>
    <row r="362" ht="26.25" customHeight="1" spans="14:33">
      <c r="N362" s="1103"/>
      <c r="P362" s="1018"/>
      <c r="AF362" s="1018"/>
      <c r="AG362" s="1018"/>
    </row>
    <row r="363" ht="26.25" customHeight="1" spans="14:33">
      <c r="N363" s="1103"/>
      <c r="P363" s="1018"/>
      <c r="AF363" s="1018"/>
      <c r="AG363" s="1018"/>
    </row>
    <row r="364" ht="26.25" customHeight="1" spans="14:33">
      <c r="N364" s="1103"/>
      <c r="P364" s="1018"/>
      <c r="AF364" s="1018"/>
      <c r="AG364" s="1018"/>
    </row>
    <row r="365" ht="26.25" customHeight="1" spans="14:33">
      <c r="N365" s="1103"/>
      <c r="P365" s="1018"/>
      <c r="AF365" s="1018"/>
      <c r="AG365" s="1018"/>
    </row>
    <row r="366" ht="26.25" customHeight="1" spans="14:33">
      <c r="N366" s="1103"/>
      <c r="P366" s="1018"/>
      <c r="AF366" s="1018"/>
      <c r="AG366" s="1018"/>
    </row>
    <row r="367" ht="26.25" customHeight="1" spans="14:33">
      <c r="N367" s="1103"/>
      <c r="P367" s="1018"/>
      <c r="AF367" s="1018"/>
      <c r="AG367" s="1018"/>
    </row>
    <row r="368" ht="26.25" customHeight="1" spans="14:33">
      <c r="N368" s="1103"/>
      <c r="P368" s="1018"/>
      <c r="AF368" s="1018"/>
      <c r="AG368" s="1018"/>
    </row>
    <row r="369" ht="26.25" customHeight="1" spans="14:33">
      <c r="N369" s="1103"/>
      <c r="P369" s="1018"/>
      <c r="AF369" s="1018"/>
      <c r="AG369" s="1018"/>
    </row>
    <row r="370" ht="26.25" customHeight="1" spans="14:33">
      <c r="N370" s="1103"/>
      <c r="P370" s="1018"/>
      <c r="AF370" s="1018"/>
      <c r="AG370" s="1018"/>
    </row>
    <row r="371" ht="26.25" customHeight="1" spans="14:33">
      <c r="N371" s="1103"/>
      <c r="P371" s="1018"/>
      <c r="AF371" s="1018"/>
      <c r="AG371" s="1018"/>
    </row>
    <row r="372" ht="26.25" customHeight="1" spans="14:33">
      <c r="N372" s="1103"/>
      <c r="P372" s="1018"/>
      <c r="AF372" s="1018"/>
      <c r="AG372" s="1018"/>
    </row>
    <row r="373" ht="26.25" customHeight="1" spans="14:33">
      <c r="N373" s="1103"/>
      <c r="P373" s="1018"/>
      <c r="AF373" s="1018"/>
      <c r="AG373" s="1018"/>
    </row>
    <row r="374" ht="26.25" customHeight="1" spans="14:33">
      <c r="N374" s="1103"/>
      <c r="P374" s="1018"/>
      <c r="AF374" s="1018"/>
      <c r="AG374" s="1018"/>
    </row>
    <row r="375" ht="26.25" customHeight="1" spans="14:33">
      <c r="N375" s="1103"/>
      <c r="P375" s="1018"/>
      <c r="AF375" s="1018"/>
      <c r="AG375" s="1018"/>
    </row>
    <row r="376" ht="26.25" customHeight="1" spans="14:33">
      <c r="N376" s="1103"/>
      <c r="P376" s="1018"/>
      <c r="AF376" s="1018"/>
      <c r="AG376" s="1018"/>
    </row>
    <row r="377" ht="26.25" customHeight="1" spans="14:33">
      <c r="N377" s="1103"/>
      <c r="P377" s="1018"/>
      <c r="AF377" s="1018"/>
      <c r="AG377" s="1018"/>
    </row>
    <row r="378" ht="26.25" customHeight="1" spans="14:33">
      <c r="N378" s="1103"/>
      <c r="P378" s="1018"/>
      <c r="AF378" s="1018"/>
      <c r="AG378" s="1018"/>
    </row>
    <row r="379" ht="26.25" customHeight="1" spans="14:33">
      <c r="N379" s="1103"/>
      <c r="P379" s="1018"/>
      <c r="AF379" s="1018"/>
      <c r="AG379" s="1018"/>
    </row>
    <row r="380" ht="26.25" customHeight="1" spans="14:33">
      <c r="N380" s="1103"/>
      <c r="P380" s="1018"/>
      <c r="AF380" s="1018"/>
      <c r="AG380" s="1018"/>
    </row>
    <row r="381" ht="26.25" customHeight="1" spans="14:33">
      <c r="N381" s="1103"/>
      <c r="P381" s="1018"/>
      <c r="AF381" s="1018"/>
      <c r="AG381" s="1018"/>
    </row>
    <row r="382" ht="26.25" customHeight="1" spans="14:33">
      <c r="N382" s="1103"/>
      <c r="P382" s="1018"/>
      <c r="AF382" s="1018"/>
      <c r="AG382" s="1018"/>
    </row>
    <row r="383" ht="26.25" customHeight="1" spans="14:33">
      <c r="N383" s="1103"/>
      <c r="P383" s="1018"/>
      <c r="AF383" s="1018"/>
      <c r="AG383" s="1018"/>
    </row>
    <row r="384" ht="26.25" customHeight="1" spans="14:33">
      <c r="N384" s="1103"/>
      <c r="P384" s="1018"/>
      <c r="AF384" s="1018"/>
      <c r="AG384" s="1018"/>
    </row>
    <row r="385" ht="26.25" customHeight="1" spans="14:33">
      <c r="N385" s="1103"/>
      <c r="P385" s="1018"/>
      <c r="AF385" s="1018"/>
      <c r="AG385" s="1018"/>
    </row>
    <row r="386" ht="26.25" customHeight="1" spans="14:33">
      <c r="N386" s="1103"/>
      <c r="P386" s="1018"/>
      <c r="AF386" s="1018"/>
      <c r="AG386" s="1018"/>
    </row>
    <row r="387" ht="26.25" customHeight="1" spans="14:33">
      <c r="N387" s="1103"/>
      <c r="P387" s="1018"/>
      <c r="AF387" s="1018"/>
      <c r="AG387" s="1018"/>
    </row>
    <row r="388" ht="26.25" customHeight="1" spans="14:33">
      <c r="N388" s="1103"/>
      <c r="P388" s="1018"/>
      <c r="AF388" s="1018"/>
      <c r="AG388" s="1018"/>
    </row>
    <row r="389" ht="26.25" customHeight="1" spans="14:33">
      <c r="N389" s="1103"/>
      <c r="P389" s="1018"/>
      <c r="AF389" s="1018"/>
      <c r="AG389" s="1018"/>
    </row>
    <row r="390" ht="26.25" customHeight="1" spans="14:33">
      <c r="N390" s="1103"/>
      <c r="P390" s="1018"/>
      <c r="AF390" s="1018"/>
      <c r="AG390" s="1018"/>
    </row>
    <row r="391" ht="26.25" customHeight="1" spans="14:33">
      <c r="N391" s="1103"/>
      <c r="P391" s="1018"/>
      <c r="AF391" s="1018"/>
      <c r="AG391" s="1018"/>
    </row>
    <row r="392" ht="26.25" customHeight="1" spans="14:33">
      <c r="N392" s="1103"/>
      <c r="P392" s="1018"/>
      <c r="AF392" s="1018"/>
      <c r="AG392" s="1018"/>
    </row>
    <row r="393" ht="26.25" customHeight="1" spans="14:33">
      <c r="N393" s="1103"/>
      <c r="P393" s="1018"/>
      <c r="AF393" s="1018"/>
      <c r="AG393" s="1018"/>
    </row>
    <row r="394" ht="26.25" customHeight="1" spans="14:33">
      <c r="N394" s="1103"/>
      <c r="P394" s="1018"/>
      <c r="AF394" s="1018"/>
      <c r="AG394" s="1018"/>
    </row>
    <row r="395" ht="26.25" customHeight="1" spans="14:33">
      <c r="N395" s="1103"/>
      <c r="P395" s="1018"/>
      <c r="AF395" s="1018"/>
      <c r="AG395" s="1018"/>
    </row>
    <row r="396" ht="26.25" customHeight="1" spans="14:33">
      <c r="N396" s="1103"/>
      <c r="P396" s="1018"/>
      <c r="AF396" s="1018"/>
      <c r="AG396" s="1018"/>
    </row>
    <row r="397" ht="26.25" customHeight="1" spans="14:33">
      <c r="N397" s="1103"/>
      <c r="P397" s="1018"/>
      <c r="AF397" s="1018"/>
      <c r="AG397" s="1018"/>
    </row>
    <row r="398" ht="26.25" customHeight="1" spans="14:33">
      <c r="N398" s="1103"/>
      <c r="P398" s="1018"/>
      <c r="AF398" s="1018"/>
      <c r="AG398" s="1018"/>
    </row>
    <row r="399" ht="26.25" customHeight="1" spans="14:33">
      <c r="N399" s="1103"/>
      <c r="P399" s="1018"/>
      <c r="AF399" s="1018"/>
      <c r="AG399" s="1018"/>
    </row>
    <row r="400" ht="26.25" customHeight="1" spans="14:33">
      <c r="N400" s="1103"/>
      <c r="P400" s="1018"/>
      <c r="AF400" s="1018"/>
      <c r="AG400" s="1018"/>
    </row>
    <row r="401" ht="26.25" customHeight="1" spans="14:33">
      <c r="N401" s="1103"/>
      <c r="P401" s="1018"/>
      <c r="AF401" s="1018"/>
      <c r="AG401" s="1018"/>
    </row>
    <row r="402" ht="26.25" customHeight="1" spans="14:33">
      <c r="N402" s="1103"/>
      <c r="P402" s="1018"/>
      <c r="AF402" s="1018"/>
      <c r="AG402" s="1018"/>
    </row>
    <row r="403" ht="26.25" customHeight="1" spans="14:33">
      <c r="N403" s="1103"/>
      <c r="P403" s="1018"/>
      <c r="AF403" s="1018"/>
      <c r="AG403" s="1018"/>
    </row>
    <row r="404" ht="26.25" customHeight="1" spans="14:33">
      <c r="N404" s="1103"/>
      <c r="P404" s="1018"/>
      <c r="AF404" s="1018"/>
      <c r="AG404" s="1018"/>
    </row>
    <row r="405" ht="26.25" customHeight="1" spans="14:33">
      <c r="N405" s="1103"/>
      <c r="P405" s="1018"/>
      <c r="AF405" s="1018"/>
      <c r="AG405" s="1018"/>
    </row>
    <row r="406" ht="26.25" customHeight="1" spans="14:33">
      <c r="N406" s="1103"/>
      <c r="P406" s="1018"/>
      <c r="AF406" s="1018"/>
      <c r="AG406" s="1018"/>
    </row>
    <row r="407" ht="26.25" customHeight="1" spans="14:33">
      <c r="N407" s="1103"/>
      <c r="P407" s="1018"/>
      <c r="AF407" s="1018"/>
      <c r="AG407" s="1018"/>
    </row>
    <row r="408" ht="26.25" customHeight="1" spans="14:33">
      <c r="N408" s="1103"/>
      <c r="P408" s="1018"/>
      <c r="AF408" s="1018"/>
      <c r="AG408" s="1018"/>
    </row>
    <row r="409" ht="26.25" customHeight="1" spans="14:33">
      <c r="N409" s="1103"/>
      <c r="P409" s="1018"/>
      <c r="AF409" s="1018"/>
      <c r="AG409" s="1018"/>
    </row>
    <row r="410" ht="26.25" customHeight="1" spans="14:33">
      <c r="N410" s="1103"/>
      <c r="P410" s="1018"/>
      <c r="AF410" s="1018"/>
      <c r="AG410" s="1018"/>
    </row>
    <row r="411" ht="26.25" customHeight="1" spans="14:33">
      <c r="N411" s="1103"/>
      <c r="P411" s="1018"/>
      <c r="AF411" s="1018"/>
      <c r="AG411" s="1018"/>
    </row>
    <row r="412" ht="26.25" customHeight="1" spans="14:33">
      <c r="N412" s="1103"/>
      <c r="P412" s="1018"/>
      <c r="AF412" s="1018"/>
      <c r="AG412" s="1018"/>
    </row>
    <row r="413" ht="26.25" customHeight="1" spans="14:33">
      <c r="N413" s="1103"/>
      <c r="P413" s="1018"/>
      <c r="AF413" s="1018"/>
      <c r="AG413" s="1018"/>
    </row>
    <row r="414" ht="26.25" customHeight="1" spans="14:33">
      <c r="N414" s="1103"/>
      <c r="P414" s="1018"/>
      <c r="AF414" s="1018"/>
      <c r="AG414" s="1018"/>
    </row>
    <row r="415" ht="26.25" customHeight="1" spans="14:33">
      <c r="N415" s="1103"/>
      <c r="P415" s="1018"/>
      <c r="AF415" s="1018"/>
      <c r="AG415" s="1018"/>
    </row>
    <row r="416" ht="26.25" customHeight="1" spans="14:33">
      <c r="N416" s="1103"/>
      <c r="P416" s="1018"/>
      <c r="AF416" s="1018"/>
      <c r="AG416" s="1018"/>
    </row>
    <row r="417" ht="26.25" customHeight="1" spans="14:33">
      <c r="N417" s="1103"/>
      <c r="P417" s="1018"/>
      <c r="AF417" s="1018"/>
      <c r="AG417" s="1018"/>
    </row>
    <row r="418" ht="26.25" customHeight="1" spans="14:33">
      <c r="N418" s="1103"/>
      <c r="P418" s="1018"/>
      <c r="AF418" s="1018"/>
      <c r="AG418" s="1018"/>
    </row>
    <row r="419" ht="26.25" customHeight="1" spans="14:33">
      <c r="N419" s="1103"/>
      <c r="P419" s="1018"/>
      <c r="AF419" s="1018"/>
      <c r="AG419" s="1018"/>
    </row>
    <row r="420" ht="26.25" customHeight="1" spans="14:33">
      <c r="N420" s="1103"/>
      <c r="P420" s="1018"/>
      <c r="AF420" s="1018"/>
      <c r="AG420" s="1018"/>
    </row>
    <row r="421" ht="26.25" customHeight="1" spans="14:33">
      <c r="N421" s="1103"/>
      <c r="P421" s="1018"/>
      <c r="AF421" s="1018"/>
      <c r="AG421" s="1018"/>
    </row>
    <row r="422" ht="26.25" customHeight="1" spans="14:33">
      <c r="N422" s="1103"/>
      <c r="P422" s="1018"/>
      <c r="AF422" s="1018"/>
      <c r="AG422" s="1018"/>
    </row>
    <row r="423" ht="26.25" customHeight="1" spans="14:33">
      <c r="N423" s="1103"/>
      <c r="P423" s="1018"/>
      <c r="AF423" s="1018"/>
      <c r="AG423" s="1018"/>
    </row>
    <row r="424" ht="26.25" customHeight="1" spans="14:33">
      <c r="N424" s="1103"/>
      <c r="P424" s="1018"/>
      <c r="AF424" s="1018"/>
      <c r="AG424" s="1018"/>
    </row>
    <row r="425" ht="26.25" customHeight="1" spans="14:33">
      <c r="N425" s="1103"/>
      <c r="P425" s="1018"/>
      <c r="AF425" s="1018"/>
      <c r="AG425" s="1018"/>
    </row>
    <row r="426" ht="26.25" customHeight="1" spans="14:33">
      <c r="N426" s="1103"/>
      <c r="P426" s="1018"/>
      <c r="AF426" s="1018"/>
      <c r="AG426" s="1018"/>
    </row>
    <row r="427" ht="26.25" customHeight="1" spans="14:33">
      <c r="N427" s="1103"/>
      <c r="P427" s="1018"/>
      <c r="AF427" s="1018"/>
      <c r="AG427" s="1018"/>
    </row>
    <row r="428" ht="26.25" customHeight="1" spans="14:33">
      <c r="N428" s="1103"/>
      <c r="P428" s="1018"/>
      <c r="AF428" s="1018"/>
      <c r="AG428" s="1018"/>
    </row>
    <row r="429" ht="26.25" customHeight="1" spans="14:33">
      <c r="N429" s="1103"/>
      <c r="P429" s="1018"/>
      <c r="AF429" s="1018"/>
      <c r="AG429" s="1018"/>
    </row>
    <row r="430" ht="26.25" customHeight="1" spans="14:33">
      <c r="N430" s="1103"/>
      <c r="P430" s="1018"/>
      <c r="AF430" s="1018"/>
      <c r="AG430" s="1018"/>
    </row>
    <row r="431" ht="26.25" customHeight="1" spans="14:33">
      <c r="N431" s="1103"/>
      <c r="P431" s="1018"/>
      <c r="AF431" s="1018"/>
      <c r="AG431" s="1018"/>
    </row>
    <row r="432" ht="26.25" customHeight="1" spans="14:33">
      <c r="N432" s="1103"/>
      <c r="P432" s="1018"/>
      <c r="AF432" s="1018"/>
      <c r="AG432" s="1018"/>
    </row>
    <row r="433" ht="26.25" customHeight="1" spans="14:33">
      <c r="N433" s="1103"/>
      <c r="P433" s="1018"/>
      <c r="AF433" s="1018"/>
      <c r="AG433" s="1018"/>
    </row>
    <row r="434" ht="26.25" customHeight="1" spans="14:33">
      <c r="N434" s="1103"/>
      <c r="P434" s="1018"/>
      <c r="AF434" s="1018"/>
      <c r="AG434" s="1018"/>
    </row>
    <row r="435" ht="26.25" customHeight="1" spans="14:33">
      <c r="N435" s="1103"/>
      <c r="P435" s="1018"/>
      <c r="AF435" s="1018"/>
      <c r="AG435" s="1018"/>
    </row>
    <row r="436" ht="26.25" customHeight="1" spans="14:33">
      <c r="N436" s="1103"/>
      <c r="P436" s="1018"/>
      <c r="AF436" s="1018"/>
      <c r="AG436" s="1018"/>
    </row>
    <row r="437" ht="26.25" customHeight="1" spans="14:33">
      <c r="N437" s="1103"/>
      <c r="P437" s="1018"/>
      <c r="AF437" s="1018"/>
      <c r="AG437" s="1018"/>
    </row>
    <row r="438" ht="26.25" customHeight="1" spans="14:33">
      <c r="N438" s="1103"/>
      <c r="P438" s="1018"/>
      <c r="AF438" s="1018"/>
      <c r="AG438" s="1018"/>
    </row>
    <row r="439" ht="26.25" customHeight="1" spans="14:33">
      <c r="N439" s="1103"/>
      <c r="P439" s="1018"/>
      <c r="AF439" s="1018"/>
      <c r="AG439" s="1018"/>
    </row>
    <row r="440" ht="26.25" customHeight="1" spans="14:33">
      <c r="N440" s="1103"/>
      <c r="P440" s="1018"/>
      <c r="AF440" s="1018"/>
      <c r="AG440" s="1018"/>
    </row>
    <row r="441" ht="26.25" customHeight="1" spans="14:33">
      <c r="N441" s="1103"/>
      <c r="P441" s="1018"/>
      <c r="AF441" s="1018"/>
      <c r="AG441" s="1018"/>
    </row>
    <row r="442" ht="26.25" customHeight="1" spans="14:33">
      <c r="N442" s="1103"/>
      <c r="P442" s="1018"/>
      <c r="AF442" s="1018"/>
      <c r="AG442" s="1018"/>
    </row>
    <row r="443" ht="26.25" customHeight="1" spans="14:33">
      <c r="N443" s="1103"/>
      <c r="P443" s="1018"/>
      <c r="AF443" s="1018"/>
      <c r="AG443" s="1018"/>
    </row>
    <row r="444" ht="26.25" customHeight="1" spans="14:33">
      <c r="N444" s="1103"/>
      <c r="P444" s="1018"/>
      <c r="AF444" s="1018"/>
      <c r="AG444" s="1018"/>
    </row>
    <row r="445" ht="26.25" customHeight="1" spans="14:33">
      <c r="N445" s="1103"/>
      <c r="P445" s="1018"/>
      <c r="AF445" s="1018"/>
      <c r="AG445" s="1018"/>
    </row>
    <row r="446" ht="26.25" customHeight="1" spans="14:33">
      <c r="N446" s="1103"/>
      <c r="P446" s="1018"/>
      <c r="AF446" s="1018"/>
      <c r="AG446" s="1018"/>
    </row>
    <row r="447" ht="26.25" customHeight="1" spans="14:33">
      <c r="N447" s="1103"/>
      <c r="P447" s="1018"/>
      <c r="AF447" s="1018"/>
      <c r="AG447" s="1018"/>
    </row>
    <row r="448" ht="26.25" customHeight="1" spans="14:33">
      <c r="N448" s="1103"/>
      <c r="P448" s="1018"/>
      <c r="AF448" s="1018"/>
      <c r="AG448" s="1018"/>
    </row>
    <row r="449" ht="26.25" customHeight="1" spans="14:33">
      <c r="N449" s="1103"/>
      <c r="P449" s="1018"/>
      <c r="AF449" s="1018"/>
      <c r="AG449" s="1018"/>
    </row>
    <row r="450" ht="26.25" customHeight="1" spans="14:33">
      <c r="N450" s="1103"/>
      <c r="P450" s="1018"/>
      <c r="AF450" s="1018"/>
      <c r="AG450" s="1018"/>
    </row>
    <row r="451" ht="26.25" customHeight="1" spans="14:33">
      <c r="N451" s="1103"/>
      <c r="P451" s="1018"/>
      <c r="AF451" s="1018"/>
      <c r="AG451" s="1018"/>
    </row>
    <row r="452" ht="26.25" customHeight="1" spans="14:33">
      <c r="N452" s="1103"/>
      <c r="P452" s="1018"/>
      <c r="AF452" s="1018"/>
      <c r="AG452" s="1018"/>
    </row>
    <row r="453" ht="26.25" customHeight="1" spans="14:33">
      <c r="N453" s="1103"/>
      <c r="P453" s="1018"/>
      <c r="AF453" s="1018"/>
      <c r="AG453" s="1018"/>
    </row>
    <row r="454" ht="26.25" customHeight="1" spans="14:33">
      <c r="N454" s="1103"/>
      <c r="P454" s="1018"/>
      <c r="AF454" s="1018"/>
      <c r="AG454" s="1018"/>
    </row>
    <row r="455" ht="26.25" customHeight="1" spans="14:33">
      <c r="N455" s="1103"/>
      <c r="P455" s="1018"/>
      <c r="AF455" s="1018"/>
      <c r="AG455" s="1018"/>
    </row>
    <row r="456" ht="26.25" customHeight="1" spans="14:33">
      <c r="N456" s="1103"/>
      <c r="P456" s="1018"/>
      <c r="AF456" s="1018"/>
      <c r="AG456" s="1018"/>
    </row>
    <row r="457" ht="26.25" customHeight="1" spans="14:33">
      <c r="N457" s="1103"/>
      <c r="P457" s="1018"/>
      <c r="AF457" s="1018"/>
      <c r="AG457" s="1018"/>
    </row>
    <row r="458" ht="26.25" customHeight="1" spans="14:33">
      <c r="N458" s="1103"/>
      <c r="P458" s="1018"/>
      <c r="AF458" s="1018"/>
      <c r="AG458" s="1018"/>
    </row>
    <row r="459" ht="26.25" customHeight="1" spans="14:33">
      <c r="N459" s="1103"/>
      <c r="P459" s="1018"/>
      <c r="AF459" s="1018"/>
      <c r="AG459" s="1018"/>
    </row>
    <row r="460" ht="26.25" customHeight="1" spans="14:33">
      <c r="N460" s="1103"/>
      <c r="P460" s="1018"/>
      <c r="AF460" s="1018"/>
      <c r="AG460" s="1018"/>
    </row>
    <row r="461" ht="26.25" customHeight="1" spans="14:33">
      <c r="N461" s="1103"/>
      <c r="P461" s="1018"/>
      <c r="AF461" s="1018"/>
      <c r="AG461" s="1018"/>
    </row>
    <row r="462" ht="26.25" customHeight="1" spans="14:33">
      <c r="N462" s="1103"/>
      <c r="P462" s="1018"/>
      <c r="AF462" s="1018"/>
      <c r="AG462" s="1018"/>
    </row>
    <row r="463" ht="26.25" customHeight="1" spans="14:33">
      <c r="N463" s="1103"/>
      <c r="P463" s="1018"/>
      <c r="AF463" s="1018"/>
      <c r="AG463" s="1018"/>
    </row>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sheetData>
  <sheetProtection selectLockedCells="1" autoFilter="0"/>
  <autoFilter xmlns:etc="http://www.wps.cn/officeDocument/2017/etCustomData" ref="A2:CF289" etc:filterBottomFollowUsedRange="0">
    <extLst/>
  </autoFilter>
  <mergeCells count="5">
    <mergeCell ref="AN1:AT1"/>
    <mergeCell ref="AU1:AY1"/>
    <mergeCell ref="BB1:BG1"/>
    <mergeCell ref="BK1:BL1"/>
    <mergeCell ref="BW1:BX1"/>
  </mergeCells>
  <conditionalFormatting sqref="R3:T3">
    <cfRule type="cellIs" dxfId="0" priority="453" operator="equal">
      <formula>"欠"</formula>
    </cfRule>
  </conditionalFormatting>
  <conditionalFormatting sqref="R4:T4">
    <cfRule type="cellIs" dxfId="0" priority="455" operator="equal">
      <formula>"欠"</formula>
    </cfRule>
  </conditionalFormatting>
  <conditionalFormatting sqref="R5:T5">
    <cfRule type="cellIs" dxfId="0" priority="452" operator="equal">
      <formula>"欠"</formula>
    </cfRule>
  </conditionalFormatting>
  <conditionalFormatting sqref="S8">
    <cfRule type="cellIs" dxfId="0" priority="451" operator="equal">
      <formula>"欠"</formula>
    </cfRule>
  </conditionalFormatting>
  <conditionalFormatting sqref="T8">
    <cfRule type="cellIs" dxfId="0" priority="450" operator="equal">
      <formula>"欠"</formula>
    </cfRule>
  </conditionalFormatting>
  <conditionalFormatting sqref="R9">
    <cfRule type="cellIs" dxfId="0" priority="446" operator="equal">
      <formula>"欠"</formula>
    </cfRule>
  </conditionalFormatting>
  <conditionalFormatting sqref="S9">
    <cfRule type="containsText" dxfId="1" priority="433" operator="between" text="欠">
      <formula>NOT(ISERROR(SEARCH("欠",S9)))</formula>
    </cfRule>
  </conditionalFormatting>
  <conditionalFormatting sqref="T9">
    <cfRule type="containsText" dxfId="1" priority="432" operator="between" text="欠">
      <formula>NOT(ISERROR(SEARCH("欠",T9)))</formula>
    </cfRule>
  </conditionalFormatting>
  <conditionalFormatting sqref="S10">
    <cfRule type="containsText" dxfId="1" priority="417" operator="between" text="欠">
      <formula>NOT(ISERROR(SEARCH("欠",S10)))</formula>
    </cfRule>
  </conditionalFormatting>
  <conditionalFormatting sqref="S12">
    <cfRule type="cellIs" dxfId="0" priority="393" operator="equal">
      <formula>"欠"</formula>
    </cfRule>
  </conditionalFormatting>
  <conditionalFormatting sqref="R18">
    <cfRule type="cellIs" dxfId="0" priority="376" operator="equal">
      <formula>"欠"</formula>
    </cfRule>
  </conditionalFormatting>
  <conditionalFormatting sqref="S18">
    <cfRule type="containsText" dxfId="1" priority="375" operator="between" text="欠">
      <formula>NOT(ISERROR(SEARCH("欠",S18)))</formula>
    </cfRule>
    <cfRule type="cellIs" dxfId="0" priority="374" operator="equal">
      <formula>"欠"</formula>
    </cfRule>
  </conditionalFormatting>
  <conditionalFormatting sqref="T18">
    <cfRule type="containsText" dxfId="1" priority="391" operator="between" text="欠">
      <formula>NOT(ISERROR(SEARCH("欠",T18)))</formula>
    </cfRule>
  </conditionalFormatting>
  <conditionalFormatting sqref="R19">
    <cfRule type="cellIs" dxfId="0" priority="443" operator="equal">
      <formula>"欠"</formula>
    </cfRule>
    <cfRule type="containsText" dxfId="1" priority="442" operator="between" text="欠">
      <formula>NOT(ISERROR(SEARCH("欠",R19)))</formula>
    </cfRule>
  </conditionalFormatting>
  <conditionalFormatting sqref="S21">
    <cfRule type="containsText" dxfId="1" priority="415" operator="between" text="欠">
      <formula>NOT(ISERROR(SEARCH("欠",S21)))</formula>
    </cfRule>
  </conditionalFormatting>
  <conditionalFormatting sqref="S22">
    <cfRule type="containsText" dxfId="1" priority="378" operator="between" text="欠">
      <formula>NOT(ISERROR(SEARCH("欠",S22)))</formula>
    </cfRule>
    <cfRule type="cellIs" dxfId="0" priority="377" operator="equal">
      <formula>"欠"</formula>
    </cfRule>
  </conditionalFormatting>
  <conditionalFormatting sqref="T22">
    <cfRule type="containsText" dxfId="1" priority="379" operator="between" text="欠">
      <formula>NOT(ISERROR(SEARCH("欠",T22)))</formula>
    </cfRule>
  </conditionalFormatting>
  <conditionalFormatting sqref="R25">
    <cfRule type="cellIs" dxfId="0" priority="370" operator="equal">
      <formula>"欠"</formula>
    </cfRule>
    <cfRule type="containsText" dxfId="1" priority="369" operator="between" text="欠">
      <formula>NOT(ISERROR(SEARCH("欠",R25)))</formula>
    </cfRule>
  </conditionalFormatting>
  <conditionalFormatting sqref="S28">
    <cfRule type="containsText" dxfId="1" priority="416" operator="between" text="欠">
      <formula>NOT(ISERROR(SEARCH("欠",S28)))</formula>
    </cfRule>
  </conditionalFormatting>
  <conditionalFormatting sqref="S31">
    <cfRule type="containsText" dxfId="1" priority="395" operator="between" text="欠">
      <formula>NOT(ISERROR(SEARCH("欠",S31)))</formula>
    </cfRule>
    <cfRule type="cellIs" dxfId="0" priority="394" operator="equal">
      <formula>"欠"</formula>
    </cfRule>
  </conditionalFormatting>
  <conditionalFormatting sqref="T32">
    <cfRule type="containsText" dxfId="1" priority="434" operator="between" text="欠">
      <formula>NOT(ISERROR(SEARCH("欠",T32)))</formula>
    </cfRule>
  </conditionalFormatting>
  <conditionalFormatting sqref="R39">
    <cfRule type="cellIs" dxfId="0" priority="428" operator="equal">
      <formula>"欠"</formula>
    </cfRule>
    <cfRule type="containsText" dxfId="1" priority="427" operator="between" text="欠">
      <formula>NOT(ISERROR(SEARCH("欠",R39)))</formula>
    </cfRule>
  </conditionalFormatting>
  <conditionalFormatting sqref="S39">
    <cfRule type="cellIs" dxfId="0" priority="431" operator="equal">
      <formula>"欠"</formula>
    </cfRule>
  </conditionalFormatting>
  <conditionalFormatting sqref="T39">
    <cfRule type="containsText" dxfId="1" priority="426" operator="between" text="欠">
      <formula>NOT(ISERROR(SEARCH("欠",T39)))</formula>
    </cfRule>
  </conditionalFormatting>
  <conditionalFormatting sqref="R40">
    <cfRule type="cellIs" dxfId="0" priority="381" operator="equal">
      <formula>"欠"</formula>
    </cfRule>
    <cfRule type="containsText" dxfId="1" priority="380" operator="between" text="欠">
      <formula>NOT(ISERROR(SEARCH("欠",R40)))</formula>
    </cfRule>
  </conditionalFormatting>
  <conditionalFormatting sqref="S40">
    <cfRule type="containsText" dxfId="1" priority="383" operator="between" text="欠">
      <formula>NOT(ISERROR(SEARCH("欠",S40)))</formula>
    </cfRule>
    <cfRule type="cellIs" dxfId="0" priority="382" operator="equal">
      <formula>"欠"</formula>
    </cfRule>
  </conditionalFormatting>
  <conditionalFormatting sqref="T40">
    <cfRule type="containsText" dxfId="1" priority="386" operator="between" text="欠">
      <formula>NOT(ISERROR(SEARCH("欠",T40)))</formula>
    </cfRule>
  </conditionalFormatting>
  <conditionalFormatting sqref="S41">
    <cfRule type="cellIs" dxfId="0" priority="404" operator="equal">
      <formula>"欠"</formula>
    </cfRule>
  </conditionalFormatting>
  <conditionalFormatting sqref="T41">
    <cfRule type="containsText" dxfId="1" priority="403" operator="between" text="欠">
      <formula>NOT(ISERROR(SEARCH("欠",T41)))</formula>
    </cfRule>
    <cfRule type="cellIs" dxfId="0" priority="402" operator="equal">
      <formula>"欠"</formula>
    </cfRule>
  </conditionalFormatting>
  <conditionalFormatting sqref="T44">
    <cfRule type="containsText" dxfId="1" priority="420" operator="between" text="欠">
      <formula>NOT(ISERROR(SEARCH("欠",T44)))</formula>
    </cfRule>
  </conditionalFormatting>
  <conditionalFormatting sqref="T50">
    <cfRule type="cellIs" dxfId="0" priority="368" operator="equal">
      <formula>"欠"</formula>
    </cfRule>
  </conditionalFormatting>
  <conditionalFormatting sqref="R53">
    <cfRule type="cellIs" dxfId="0" priority="454" operator="equal">
      <formula>"欠"</formula>
    </cfRule>
  </conditionalFormatting>
  <conditionalFormatting sqref="S53">
    <cfRule type="cellIs" dxfId="0" priority="448" operator="equal">
      <formula>"欠"</formula>
    </cfRule>
  </conditionalFormatting>
  <conditionalFormatting sqref="R55">
    <cfRule type="cellIs" dxfId="0" priority="367" operator="equal">
      <formula>"欠"</formula>
    </cfRule>
    <cfRule type="containsText" dxfId="1" priority="366" operator="between" text="欠">
      <formula>NOT(ISERROR(SEARCH("欠",R55)))</formula>
    </cfRule>
  </conditionalFormatting>
  <conditionalFormatting sqref="R57">
    <cfRule type="cellIs" dxfId="0" priority="365" operator="equal">
      <formula>"欠"</formula>
    </cfRule>
    <cfRule type="containsText" dxfId="1" priority="364" operator="between" text="欠">
      <formula>NOT(ISERROR(SEARCH("欠",R57)))</formula>
    </cfRule>
  </conditionalFormatting>
  <conditionalFormatting sqref="R62">
    <cfRule type="cellIs" dxfId="0" priority="408" operator="equal">
      <formula>"欠"</formula>
    </cfRule>
    <cfRule type="containsText" dxfId="1" priority="407" operator="between" text="欠">
      <formula>NOT(ISERROR(SEARCH("欠",R62)))</formula>
    </cfRule>
  </conditionalFormatting>
  <conditionalFormatting sqref="R63">
    <cfRule type="cellIs" dxfId="0" priority="355" operator="equal">
      <formula>"欠"</formula>
    </cfRule>
    <cfRule type="containsText" dxfId="1" priority="354" operator="between" text="欠">
      <formula>NOT(ISERROR(SEARCH("欠",R63)))</formula>
    </cfRule>
  </conditionalFormatting>
  <conditionalFormatting sqref="S64">
    <cfRule type="containsText" dxfId="1" priority="331" operator="between" text="欠">
      <formula>NOT(ISERROR(SEARCH("欠",S64)))</formula>
    </cfRule>
    <cfRule type="cellIs" dxfId="0" priority="330" operator="equal">
      <formula>"欠"</formula>
    </cfRule>
  </conditionalFormatting>
  <conditionalFormatting sqref="S65">
    <cfRule type="containsText" dxfId="1" priority="329" operator="between" text="欠">
      <formula>NOT(ISERROR(SEARCH("欠",S65)))</formula>
    </cfRule>
    <cfRule type="cellIs" dxfId="0" priority="328" operator="equal">
      <formula>"欠"</formula>
    </cfRule>
  </conditionalFormatting>
  <conditionalFormatting sqref="R70">
    <cfRule type="cellIs" dxfId="0" priority="360" operator="equal">
      <formula>"欠"</formula>
    </cfRule>
  </conditionalFormatting>
  <conditionalFormatting sqref="S70:T70">
    <cfRule type="containsText" dxfId="1" priority="363" operator="between" text="欠">
      <formula>NOT(ISERROR(SEARCH("欠",S70)))</formula>
    </cfRule>
  </conditionalFormatting>
  <conditionalFormatting sqref="S70">
    <cfRule type="cellIs" dxfId="0" priority="362" operator="equal">
      <formula>"欠"</formula>
    </cfRule>
  </conditionalFormatting>
  <conditionalFormatting sqref="T70">
    <cfRule type="cellIs" dxfId="0" priority="361" operator="equal">
      <formula>"欠"</formula>
    </cfRule>
  </conditionalFormatting>
  <conditionalFormatting sqref="S71:T71">
    <cfRule type="containsText" dxfId="1" priority="359" operator="between" text="欠">
      <formula>NOT(ISERROR(SEARCH("欠",S71)))</formula>
    </cfRule>
  </conditionalFormatting>
  <conditionalFormatting sqref="S71">
    <cfRule type="cellIs" dxfId="0" priority="358" operator="equal">
      <formula>"欠"</formula>
    </cfRule>
  </conditionalFormatting>
  <conditionalFormatting sqref="T71">
    <cfRule type="cellIs" dxfId="0" priority="357" operator="equal">
      <formula>"欠"</formula>
    </cfRule>
  </conditionalFormatting>
  <conditionalFormatting sqref="R72">
    <cfRule type="cellIs" dxfId="0" priority="350" operator="equal">
      <formula>"欠"</formula>
    </cfRule>
    <cfRule type="containsText" dxfId="1" priority="349" operator="between" text="欠">
      <formula>NOT(ISERROR(SEARCH("欠",R72)))</formula>
    </cfRule>
  </conditionalFormatting>
  <conditionalFormatting sqref="T72">
    <cfRule type="containsText" dxfId="1" priority="352" operator="between" text="欠">
      <formula>NOT(ISERROR(SEARCH("欠",T72)))</formula>
    </cfRule>
    <cfRule type="cellIs" dxfId="0" priority="351" operator="equal">
      <formula>"欠"</formula>
    </cfRule>
  </conditionalFormatting>
  <conditionalFormatting sqref="T73">
    <cfRule type="containsText" dxfId="1" priority="337" operator="between" text="欠">
      <formula>NOT(ISERROR(SEARCH("欠",T73)))</formula>
    </cfRule>
    <cfRule type="cellIs" dxfId="0" priority="336" operator="equal">
      <formula>"欠"</formula>
    </cfRule>
  </conditionalFormatting>
  <conditionalFormatting sqref="R75">
    <cfRule type="cellIs" dxfId="0" priority="309" operator="equal">
      <formula>"欠"</formula>
    </cfRule>
  </conditionalFormatting>
  <conditionalFormatting sqref="S75">
    <cfRule type="containsText" dxfId="1" priority="306" operator="between" text="欠">
      <formula>NOT(ISERROR(SEARCH("欠",S75)))</formula>
    </cfRule>
    <cfRule type="cellIs" dxfId="0" priority="305" operator="equal">
      <formula>"欠"</formula>
    </cfRule>
  </conditionalFormatting>
  <conditionalFormatting sqref="T75">
    <cfRule type="containsText" dxfId="1" priority="308" operator="between" text="欠">
      <formula>NOT(ISERROR(SEARCH("欠",T75)))</formula>
    </cfRule>
    <cfRule type="cellIs" dxfId="0" priority="307" operator="equal">
      <formula>"欠"</formula>
    </cfRule>
  </conditionalFormatting>
  <conditionalFormatting sqref="T76">
    <cfRule type="containsText" dxfId="1" priority="323" operator="between" text="欠">
      <formula>NOT(ISERROR(SEARCH("欠",T76)))</formula>
    </cfRule>
    <cfRule type="cellIs" dxfId="0" priority="322" operator="equal">
      <formula>"欠"</formula>
    </cfRule>
  </conditionalFormatting>
  <conditionalFormatting sqref="R81">
    <cfRule type="cellIs" dxfId="0" priority="303" operator="equal">
      <formula>"欠"</formula>
    </cfRule>
  </conditionalFormatting>
  <conditionalFormatting sqref="S81">
    <cfRule type="containsText" dxfId="1" priority="311" operator="between" text="欠">
      <formula>NOT(ISERROR(SEARCH("欠",S81)))</formula>
    </cfRule>
    <cfRule type="cellIs" dxfId="0" priority="310" operator="equal">
      <formula>"欠"</formula>
    </cfRule>
  </conditionalFormatting>
  <conditionalFormatting sqref="T81">
    <cfRule type="containsText" dxfId="1" priority="313" operator="between" text="欠">
      <formula>NOT(ISERROR(SEARCH("欠",T81)))</formula>
    </cfRule>
    <cfRule type="cellIs" dxfId="0" priority="312" operator="equal">
      <formula>"欠"</formula>
    </cfRule>
  </conditionalFormatting>
  <conditionalFormatting sqref="R82">
    <cfRule type="cellIs" dxfId="0" priority="318" operator="equal">
      <formula>"欠"</formula>
    </cfRule>
  </conditionalFormatting>
  <conditionalFormatting sqref="S82">
    <cfRule type="containsText" dxfId="1" priority="315" operator="between" text="欠">
      <formula>NOT(ISERROR(SEARCH("欠",S82)))</formula>
    </cfRule>
    <cfRule type="cellIs" dxfId="0" priority="314" operator="equal">
      <formula>"欠"</formula>
    </cfRule>
  </conditionalFormatting>
  <conditionalFormatting sqref="T82">
    <cfRule type="containsText" dxfId="1" priority="317" operator="between" text="欠">
      <formula>NOT(ISERROR(SEARCH("欠",T82)))</formula>
    </cfRule>
    <cfRule type="cellIs" dxfId="0" priority="316" operator="equal">
      <formula>"欠"</formula>
    </cfRule>
  </conditionalFormatting>
  <conditionalFormatting sqref="R83">
    <cfRule type="cellIs" dxfId="0" priority="292" operator="equal">
      <formula>"欠"</formula>
    </cfRule>
  </conditionalFormatting>
  <conditionalFormatting sqref="S83">
    <cfRule type="cellIs" dxfId="0" priority="289" operator="equal">
      <formula>"欠"</formula>
    </cfRule>
  </conditionalFormatting>
  <conditionalFormatting sqref="T83">
    <cfRule type="containsText" dxfId="1" priority="291" operator="between" text="欠">
      <formula>NOT(ISERROR(SEARCH("欠",T83)))</formula>
    </cfRule>
    <cfRule type="cellIs" dxfId="0" priority="290" operator="equal">
      <formula>"欠"</formula>
    </cfRule>
  </conditionalFormatting>
  <conditionalFormatting sqref="R90">
    <cfRule type="cellIs" dxfId="0" priority="213" operator="equal">
      <formula>"欠"</formula>
    </cfRule>
  </conditionalFormatting>
  <conditionalFormatting sqref="S90">
    <cfRule type="containsText" dxfId="1" priority="212" operator="between" text="欠">
      <formula>NOT(ISERROR(SEARCH("欠",S90)))</formula>
    </cfRule>
    <cfRule type="cellIs" dxfId="0" priority="211" operator="equal">
      <formula>"欠"</formula>
    </cfRule>
  </conditionalFormatting>
  <conditionalFormatting sqref="T90">
    <cfRule type="containsText" dxfId="1" priority="210" operator="between" text="欠">
      <formula>NOT(ISERROR(SEARCH("欠",T90)))</formula>
    </cfRule>
    <cfRule type="cellIs" dxfId="0" priority="209" operator="equal">
      <formula>"欠"</formula>
    </cfRule>
  </conditionalFormatting>
  <conditionalFormatting sqref="T91">
    <cfRule type="containsText" dxfId="1" priority="272" operator="between" text="欠">
      <formula>NOT(ISERROR(SEARCH("欠",T91)))</formula>
    </cfRule>
    <cfRule type="cellIs" dxfId="0" priority="271" operator="equal">
      <formula>"欠"</formula>
    </cfRule>
  </conditionalFormatting>
  <conditionalFormatting sqref="T92">
    <cfRule type="containsText" dxfId="1" priority="282" operator="between" text="欠">
      <formula>NOT(ISERROR(SEARCH("欠",T92)))</formula>
    </cfRule>
    <cfRule type="cellIs" dxfId="0" priority="281" operator="equal">
      <formula>"欠"</formula>
    </cfRule>
  </conditionalFormatting>
  <conditionalFormatting sqref="T93">
    <cfRule type="containsText" dxfId="1" priority="278" operator="between" text="欠">
      <formula>NOT(ISERROR(SEARCH("欠",T93)))</formula>
    </cfRule>
    <cfRule type="cellIs" dxfId="0" priority="277" operator="equal">
      <formula>"欠"</formula>
    </cfRule>
  </conditionalFormatting>
  <conditionalFormatting sqref="R96">
    <cfRule type="cellIs" dxfId="0" priority="206" operator="equal">
      <formula>"欠"</formula>
    </cfRule>
    <cfRule type="containsText" dxfId="1" priority="205" operator="between" text="欠">
      <formula>NOT(ISERROR(SEARCH("欠",R96)))</formula>
    </cfRule>
  </conditionalFormatting>
  <conditionalFormatting sqref="S96">
    <cfRule type="containsText" dxfId="1" priority="208" operator="between" text="欠">
      <formula>NOT(ISERROR(SEARCH("欠",S96)))</formula>
    </cfRule>
    <cfRule type="cellIs" dxfId="0" priority="207" operator="equal">
      <formula>"欠"</formula>
    </cfRule>
  </conditionalFormatting>
  <conditionalFormatting sqref="T96">
    <cfRule type="containsText" dxfId="1" priority="204" operator="between" text="欠">
      <formula>NOT(ISERROR(SEARCH("欠",T96)))</formula>
    </cfRule>
    <cfRule type="cellIs" dxfId="0" priority="203" operator="equal">
      <formula>"欠"</formula>
    </cfRule>
  </conditionalFormatting>
  <conditionalFormatting sqref="R99">
    <cfRule type="cellIs" dxfId="0" priority="257" operator="equal">
      <formula>"欠"</formula>
    </cfRule>
  </conditionalFormatting>
  <conditionalFormatting sqref="S99">
    <cfRule type="containsText" dxfId="1" priority="259" operator="between" text="欠">
      <formula>NOT(ISERROR(SEARCH("欠",S99)))</formula>
    </cfRule>
    <cfRule type="cellIs" dxfId="0" priority="258" operator="equal">
      <formula>"欠"</formula>
    </cfRule>
  </conditionalFormatting>
  <conditionalFormatting sqref="T99">
    <cfRule type="containsText" dxfId="1" priority="256" operator="between" text="欠">
      <formula>NOT(ISERROR(SEARCH("欠",T99)))</formula>
    </cfRule>
    <cfRule type="cellIs" dxfId="0" priority="255" operator="equal">
      <formula>"欠"</formula>
    </cfRule>
  </conditionalFormatting>
  <conditionalFormatting sqref="S100">
    <cfRule type="cellIs" dxfId="0" priority="267" operator="equal">
      <formula>"欠"</formula>
    </cfRule>
  </conditionalFormatting>
  <conditionalFormatting sqref="T103">
    <cfRule type="containsText" dxfId="1" priority="270" operator="between" text="欠">
      <formula>NOT(ISERROR(SEARCH("欠",T103)))</formula>
    </cfRule>
    <cfRule type="cellIs" dxfId="0" priority="269" operator="equal">
      <formula>"欠"</formula>
    </cfRule>
  </conditionalFormatting>
  <conditionalFormatting sqref="T104">
    <cfRule type="containsText" dxfId="1" priority="254" operator="between" text="欠">
      <formula>NOT(ISERROR(SEARCH("欠",T104)))</formula>
    </cfRule>
    <cfRule type="cellIs" dxfId="0" priority="253" operator="equal">
      <formula>"欠"</formula>
    </cfRule>
  </conditionalFormatting>
  <conditionalFormatting sqref="T107">
    <cfRule type="containsText" dxfId="1" priority="231" operator="between" text="欠">
      <formula>NOT(ISERROR(SEARCH("欠",T107)))</formula>
    </cfRule>
    <cfRule type="cellIs" dxfId="0" priority="230" operator="equal">
      <formula>"欠"</formula>
    </cfRule>
  </conditionalFormatting>
  <conditionalFormatting sqref="T108">
    <cfRule type="containsText" dxfId="1" priority="248" operator="between" text="欠">
      <formula>NOT(ISERROR(SEARCH("欠",T108)))</formula>
    </cfRule>
    <cfRule type="cellIs" dxfId="0" priority="247" operator="equal">
      <formula>"欠"</formula>
    </cfRule>
  </conditionalFormatting>
  <conditionalFormatting sqref="T109">
    <cfRule type="containsText" dxfId="1" priority="246" operator="between" text="欠">
      <formula>NOT(ISERROR(SEARCH("欠",T109)))</formula>
    </cfRule>
    <cfRule type="cellIs" dxfId="0" priority="245" operator="equal">
      <formula>"欠"</formula>
    </cfRule>
  </conditionalFormatting>
  <conditionalFormatting sqref="R110">
    <cfRule type="cellIs" dxfId="0" priority="237" operator="equal">
      <formula>"欠"</formula>
    </cfRule>
    <cfRule type="containsText" dxfId="1" priority="236" operator="between" text="欠">
      <formula>NOT(ISERROR(SEARCH("欠",R110)))</formula>
    </cfRule>
  </conditionalFormatting>
  <conditionalFormatting sqref="S110">
    <cfRule type="containsText" dxfId="1" priority="235" operator="between" text="欠">
      <formula>NOT(ISERROR(SEARCH("欠",S110)))</formula>
    </cfRule>
    <cfRule type="cellIs" dxfId="0" priority="234" operator="equal">
      <formula>"欠"</formula>
    </cfRule>
  </conditionalFormatting>
  <conditionalFormatting sqref="T110">
    <cfRule type="containsText" dxfId="1" priority="233" operator="between" text="欠">
      <formula>NOT(ISERROR(SEARCH("欠",T110)))</formula>
    </cfRule>
    <cfRule type="cellIs" dxfId="0" priority="232" operator="equal">
      <formula>"欠"</formula>
    </cfRule>
  </conditionalFormatting>
  <conditionalFormatting sqref="R112">
    <cfRule type="cellIs" dxfId="0" priority="188" operator="equal">
      <formula>"欠"</formula>
    </cfRule>
    <cfRule type="containsText" dxfId="1" priority="187" operator="between" text="欠">
      <formula>NOT(ISERROR(SEARCH("欠",R112)))</formula>
    </cfRule>
  </conditionalFormatting>
  <conditionalFormatting sqref="S112">
    <cfRule type="containsText" dxfId="1" priority="190" operator="between" text="欠">
      <formula>NOT(ISERROR(SEARCH("欠",S112)))</formula>
    </cfRule>
    <cfRule type="cellIs" dxfId="0" priority="189" operator="equal">
      <formula>"欠"</formula>
    </cfRule>
  </conditionalFormatting>
  <conditionalFormatting sqref="T112">
    <cfRule type="containsText" dxfId="1" priority="186" operator="between" text="欠">
      <formula>NOT(ISERROR(SEARCH("欠",T112)))</formula>
    </cfRule>
    <cfRule type="cellIs" dxfId="0" priority="185" operator="equal">
      <formula>"欠"</formula>
    </cfRule>
  </conditionalFormatting>
  <conditionalFormatting sqref="R117">
    <cfRule type="cellIs" dxfId="0" priority="217" operator="equal">
      <formula>"欠"</formula>
    </cfRule>
    <cfRule type="containsText" dxfId="1" priority="216" operator="between" text="欠">
      <formula>NOT(ISERROR(SEARCH("欠",R117)))</formula>
    </cfRule>
  </conditionalFormatting>
  <conditionalFormatting sqref="T117">
    <cfRule type="containsText" dxfId="1" priority="215" operator="between" text="欠">
      <formula>NOT(ISERROR(SEARCH("欠",T117)))</formula>
    </cfRule>
    <cfRule type="cellIs" dxfId="0" priority="214" operator="equal">
      <formula>"欠"</formula>
    </cfRule>
  </conditionalFormatting>
  <conditionalFormatting sqref="R133">
    <cfRule type="cellIs" dxfId="0" priority="180" operator="equal">
      <formula>"欠"</formula>
    </cfRule>
    <cfRule type="containsText" dxfId="1" priority="179" operator="between" text="欠">
      <formula>NOT(ISERROR(SEARCH("欠",R133)))</formula>
    </cfRule>
  </conditionalFormatting>
  <conditionalFormatting sqref="S133">
    <cfRule type="containsText" dxfId="1" priority="182" operator="between" text="欠">
      <formula>NOT(ISERROR(SEARCH("欠",S133)))</formula>
    </cfRule>
    <cfRule type="cellIs" dxfId="0" priority="181" operator="equal">
      <formula>"欠"</formula>
    </cfRule>
  </conditionalFormatting>
  <conditionalFormatting sqref="S152">
    <cfRule type="containsText" dxfId="1" priority="162" operator="between" text="欠">
      <formula>NOT(ISERROR(SEARCH("欠",S152)))</formula>
    </cfRule>
    <cfRule type="cellIs" dxfId="0" priority="161" operator="equal">
      <formula>"欠"</formula>
    </cfRule>
  </conditionalFormatting>
  <conditionalFormatting sqref="R154">
    <cfRule type="cellIs" dxfId="0" priority="176" operator="equal">
      <formula>"欠"</formula>
    </cfRule>
    <cfRule type="containsText" dxfId="1" priority="175" operator="between" text="欠">
      <formula>NOT(ISERROR(SEARCH("欠",R154)))</formula>
    </cfRule>
  </conditionalFormatting>
  <conditionalFormatting sqref="S154">
    <cfRule type="cellIs" dxfId="0" priority="174" operator="equal">
      <formula>"欠"</formula>
    </cfRule>
    <cfRule type="containsText" dxfId="1" priority="173" operator="between" text="欠">
      <formula>NOT(ISERROR(SEARCH("欠",S154)))</formula>
    </cfRule>
  </conditionalFormatting>
  <conditionalFormatting sqref="T154">
    <cfRule type="cellIs" dxfId="0" priority="178" operator="equal">
      <formula>"欠"</formula>
    </cfRule>
    <cfRule type="containsText" dxfId="1" priority="177" operator="between" text="欠">
      <formula>NOT(ISERROR(SEARCH("欠",T154)))</formula>
    </cfRule>
  </conditionalFormatting>
  <conditionalFormatting sqref="R155">
    <cfRule type="cellIs" dxfId="0" priority="170" operator="equal">
      <formula>"欠"</formula>
    </cfRule>
    <cfRule type="containsText" dxfId="1" priority="169" operator="between" text="欠">
      <formula>NOT(ISERROR(SEARCH("欠",R155)))</formula>
    </cfRule>
  </conditionalFormatting>
  <conditionalFormatting sqref="S155">
    <cfRule type="cellIs" dxfId="0" priority="168" operator="equal">
      <formula>"欠"</formula>
    </cfRule>
    <cfRule type="containsText" dxfId="1" priority="167" operator="between" text="欠">
      <formula>NOT(ISERROR(SEARCH("欠",S155)))</formula>
    </cfRule>
  </conditionalFormatting>
  <conditionalFormatting sqref="T155">
    <cfRule type="cellIs" dxfId="0" priority="172" operator="equal">
      <formula>"欠"</formula>
    </cfRule>
    <cfRule type="containsText" dxfId="1" priority="171" operator="between" text="欠">
      <formula>NOT(ISERROR(SEARCH("欠",T155)))</formula>
    </cfRule>
  </conditionalFormatting>
  <conditionalFormatting sqref="T156">
    <cfRule type="containsText" dxfId="1" priority="202" operator="between" text="欠">
      <formula>NOT(ISERROR(SEARCH("欠",T156)))</formula>
    </cfRule>
    <cfRule type="cellIs" dxfId="0" priority="201" operator="equal">
      <formula>"欠"</formula>
    </cfRule>
  </conditionalFormatting>
  <conditionalFormatting sqref="R157">
    <cfRule type="cellIs" dxfId="0" priority="184" operator="equal">
      <formula>"欠"</formula>
    </cfRule>
    <cfRule type="containsText" dxfId="1" priority="183" operator="between" text="欠">
      <formula>NOT(ISERROR(SEARCH("欠",R157)))</formula>
    </cfRule>
  </conditionalFormatting>
  <conditionalFormatting sqref="R174">
    <cfRule type="cellIs" dxfId="0" priority="132" operator="equal">
      <formula>"欠"</formula>
    </cfRule>
    <cfRule type="containsText" dxfId="1" priority="131" operator="between" text="欠">
      <formula>NOT(ISERROR(SEARCH("欠",R174)))</formula>
    </cfRule>
  </conditionalFormatting>
  <conditionalFormatting sqref="S174">
    <cfRule type="cellIs" dxfId="0" priority="130" operator="equal">
      <formula>"欠"</formula>
    </cfRule>
    <cfRule type="containsText" dxfId="1" priority="129" operator="between" text="欠">
      <formula>NOT(ISERROR(SEARCH("欠",S174)))</formula>
    </cfRule>
  </conditionalFormatting>
  <conditionalFormatting sqref="T174">
    <cfRule type="cellIs" dxfId="0" priority="134" operator="equal">
      <formula>"欠"</formula>
    </cfRule>
    <cfRule type="containsText" dxfId="1" priority="133" operator="between" text="欠">
      <formula>NOT(ISERROR(SEARCH("欠",T174)))</formula>
    </cfRule>
  </conditionalFormatting>
  <conditionalFormatting sqref="T176">
    <cfRule type="containsText" dxfId="1" priority="200" operator="between" text="欠">
      <formula>NOT(ISERROR(SEARCH("欠",T176)))</formula>
    </cfRule>
    <cfRule type="cellIs" dxfId="0" priority="199" operator="equal">
      <formula>"欠"</formula>
    </cfRule>
  </conditionalFormatting>
  <conditionalFormatting sqref="R180">
    <cfRule type="cellIs" dxfId="0" priority="138" operator="equal">
      <formula>"欠"</formula>
    </cfRule>
    <cfRule type="containsText" dxfId="1" priority="137" operator="between" text="欠">
      <formula>NOT(ISERROR(SEARCH("欠",R180)))</formula>
    </cfRule>
  </conditionalFormatting>
  <conditionalFormatting sqref="T180">
    <cfRule type="containsText" dxfId="1" priority="136" operator="between" text="欠">
      <formula>NOT(ISERROR(SEARCH("欠",T180)))</formula>
    </cfRule>
    <cfRule type="cellIs" dxfId="0" priority="135" operator="equal">
      <formula>"欠"</formula>
    </cfRule>
  </conditionalFormatting>
  <conditionalFormatting sqref="R181">
    <cfRule type="cellIs" dxfId="0" priority="126" operator="equal">
      <formula>"欠"</formula>
    </cfRule>
    <cfRule type="containsText" dxfId="1" priority="125" operator="between" text="欠">
      <formula>NOT(ISERROR(SEARCH("欠",R181)))</formula>
    </cfRule>
  </conditionalFormatting>
  <conditionalFormatting sqref="S181">
    <cfRule type="containsText" dxfId="1" priority="122" operator="between" text="欠">
      <formula>NOT(ISERROR(SEARCH("欠",S181)))</formula>
    </cfRule>
    <cfRule type="cellIs" dxfId="0" priority="121" operator="equal">
      <formula>"欠"</formula>
    </cfRule>
  </conditionalFormatting>
  <conditionalFormatting sqref="T181">
    <cfRule type="containsText" dxfId="1" priority="124" operator="between" text="欠">
      <formula>NOT(ISERROR(SEARCH("欠",T181)))</formula>
    </cfRule>
    <cfRule type="cellIs" dxfId="0" priority="123" operator="equal">
      <formula>"欠"</formula>
    </cfRule>
  </conditionalFormatting>
  <conditionalFormatting sqref="R182">
    <cfRule type="cellIs" dxfId="0" priority="156" operator="equal">
      <formula>"欠"</formula>
    </cfRule>
    <cfRule type="containsText" dxfId="1" priority="155" operator="between" text="欠">
      <formula>NOT(ISERROR(SEARCH("欠",R182)))</formula>
    </cfRule>
  </conditionalFormatting>
  <conditionalFormatting sqref="S182">
    <cfRule type="containsText" dxfId="1" priority="160" operator="between" text="欠">
      <formula>NOT(ISERROR(SEARCH("欠",S182)))</formula>
    </cfRule>
    <cfRule type="cellIs" dxfId="0" priority="159" operator="equal">
      <formula>"欠"</formula>
    </cfRule>
  </conditionalFormatting>
  <conditionalFormatting sqref="T182">
    <cfRule type="containsText" dxfId="1" priority="158" operator="between" text="欠">
      <formula>NOT(ISERROR(SEARCH("欠",T182)))</formula>
    </cfRule>
    <cfRule type="cellIs" dxfId="0" priority="157" operator="equal">
      <formula>"欠"</formula>
    </cfRule>
  </conditionalFormatting>
  <conditionalFormatting sqref="R185">
    <cfRule type="cellIs" dxfId="0" priority="146" operator="equal">
      <formula>"欠"</formula>
    </cfRule>
    <cfRule type="containsText" dxfId="1" priority="145" operator="between" text="欠">
      <formula>NOT(ISERROR(SEARCH("欠",R185)))</formula>
    </cfRule>
  </conditionalFormatting>
  <conditionalFormatting sqref="S185">
    <cfRule type="containsText" dxfId="1" priority="150" operator="between" text="欠">
      <formula>NOT(ISERROR(SEARCH("欠",S185)))</formula>
    </cfRule>
    <cfRule type="cellIs" dxfId="0" priority="149" operator="equal">
      <formula>"欠"</formula>
    </cfRule>
  </conditionalFormatting>
  <conditionalFormatting sqref="T185">
    <cfRule type="containsText" dxfId="1" priority="148" operator="between" text="欠">
      <formula>NOT(ISERROR(SEARCH("欠",T185)))</formula>
    </cfRule>
    <cfRule type="cellIs" dxfId="0" priority="147" operator="equal">
      <formula>"欠"</formula>
    </cfRule>
  </conditionalFormatting>
  <conditionalFormatting sqref="T199">
    <cfRule type="containsText" dxfId="1" priority="107" operator="between" text="欠">
      <formula>NOT(ISERROR(SEARCH("欠",T199)))</formula>
    </cfRule>
    <cfRule type="cellIs" dxfId="0" priority="106" operator="equal">
      <formula>"欠"</formula>
    </cfRule>
  </conditionalFormatting>
  <conditionalFormatting sqref="T210">
    <cfRule type="containsText" dxfId="1" priority="75" operator="between" text="欠">
      <formula>NOT(ISERROR(SEARCH("欠",T210)))</formula>
    </cfRule>
    <cfRule type="cellIs" dxfId="0" priority="74" operator="equal">
      <formula>"欠"</formula>
    </cfRule>
  </conditionalFormatting>
  <conditionalFormatting sqref="T212">
    <cfRule type="containsText" dxfId="1" priority="73" operator="between" text="欠">
      <formula>NOT(ISERROR(SEARCH("欠",T212)))</formula>
    </cfRule>
    <cfRule type="cellIs" dxfId="0" priority="72" operator="equal">
      <formula>"欠"</formula>
    </cfRule>
  </conditionalFormatting>
  <conditionalFormatting sqref="R240">
    <cfRule type="cellIs" dxfId="0" priority="69" operator="equal">
      <formula>"欠"</formula>
    </cfRule>
    <cfRule type="containsText" dxfId="1" priority="68" operator="between" text="欠">
      <formula>NOT(ISERROR(SEARCH("欠",R240)))</formula>
    </cfRule>
  </conditionalFormatting>
  <conditionalFormatting sqref="R242">
    <cfRule type="cellIs" dxfId="0" priority="62" operator="equal">
      <formula>"欠"</formula>
    </cfRule>
    <cfRule type="containsText" dxfId="1" priority="61" operator="between" text="欠">
      <formula>NOT(ISERROR(SEARCH("欠",R242)))</formula>
    </cfRule>
  </conditionalFormatting>
  <conditionalFormatting sqref="S242">
    <cfRule type="containsText" dxfId="1" priority="60" operator="between" text="欠">
      <formula>NOT(ISERROR(SEARCH("欠",S242)))</formula>
    </cfRule>
    <cfRule type="cellIs" dxfId="0" priority="59" operator="equal">
      <formula>"欠"</formula>
    </cfRule>
  </conditionalFormatting>
  <conditionalFormatting sqref="S243">
    <cfRule type="containsText" dxfId="1" priority="66" operator="between" text="欠">
      <formula>NOT(ISERROR(SEARCH("欠",S243)))</formula>
    </cfRule>
    <cfRule type="cellIs" dxfId="0" priority="65" operator="equal">
      <formula>"欠"</formula>
    </cfRule>
  </conditionalFormatting>
  <conditionalFormatting sqref="T243">
    <cfRule type="containsText" dxfId="1" priority="58" operator="between" text="欠">
      <formula>NOT(ISERROR(SEARCH("欠",T243)))</formula>
    </cfRule>
    <cfRule type="cellIs" dxfId="0" priority="57" operator="equal">
      <formula>"欠"</formula>
    </cfRule>
  </conditionalFormatting>
  <conditionalFormatting sqref="T245">
    <cfRule type="containsText" dxfId="1" priority="64" operator="between" text="欠">
      <formula>NOT(ISERROR(SEARCH("欠",T245)))</formula>
    </cfRule>
    <cfRule type="cellIs" dxfId="0" priority="63" operator="equal">
      <formula>"欠"</formula>
    </cfRule>
  </conditionalFormatting>
  <conditionalFormatting sqref="R251">
    <cfRule type="cellIs" dxfId="0" priority="37" operator="equal">
      <formula>"欠"</formula>
    </cfRule>
    <cfRule type="containsText" dxfId="1" priority="36" operator="between" text="欠">
      <formula>NOT(ISERROR(SEARCH("欠",R251)))</formula>
    </cfRule>
  </conditionalFormatting>
  <conditionalFormatting sqref="S251">
    <cfRule type="containsText" dxfId="1" priority="39" operator="between" text="欠">
      <formula>NOT(ISERROR(SEARCH("欠",S251)))</formula>
    </cfRule>
    <cfRule type="cellIs" dxfId="0" priority="38" operator="equal">
      <formula>"欠"</formula>
    </cfRule>
  </conditionalFormatting>
  <conditionalFormatting sqref="T251">
    <cfRule type="containsText" dxfId="1" priority="35" operator="between" text="欠">
      <formula>NOT(ISERROR(SEARCH("欠",T251)))</formula>
    </cfRule>
    <cfRule type="cellIs" dxfId="0" priority="34" operator="equal">
      <formula>"欠"</formula>
    </cfRule>
  </conditionalFormatting>
  <conditionalFormatting sqref="S254">
    <cfRule type="containsText" dxfId="1" priority="41" operator="between" text="欠">
      <formula>NOT(ISERROR(SEARCH("欠",S254)))</formula>
    </cfRule>
    <cfRule type="cellIs" dxfId="0" priority="40" operator="equal">
      <formula>"欠"</formula>
    </cfRule>
  </conditionalFormatting>
  <conditionalFormatting sqref="R258">
    <cfRule type="cellIs" dxfId="0" priority="50" operator="equal">
      <formula>"欠"</formula>
    </cfRule>
    <cfRule type="containsText" dxfId="1" priority="49" operator="between" text="欠">
      <formula>NOT(ISERROR(SEARCH("欠",R258)))</formula>
    </cfRule>
  </conditionalFormatting>
  <conditionalFormatting sqref="S258">
    <cfRule type="containsText" dxfId="1" priority="43" operator="between" text="欠">
      <formula>NOT(ISERROR(SEARCH("欠",S258)))</formula>
    </cfRule>
    <cfRule type="cellIs" dxfId="0" priority="42" operator="equal">
      <formula>"欠"</formula>
    </cfRule>
  </conditionalFormatting>
  <conditionalFormatting sqref="T258">
    <cfRule type="containsText" dxfId="1" priority="52" operator="between" text="欠">
      <formula>NOT(ISERROR(SEARCH("欠",T258)))</formula>
    </cfRule>
    <cfRule type="cellIs" dxfId="0" priority="51" operator="equal">
      <formula>"欠"</formula>
    </cfRule>
  </conditionalFormatting>
  <conditionalFormatting sqref="S261">
    <cfRule type="containsText" dxfId="1" priority="54" operator="between" text="欠">
      <formula>NOT(ISERROR(SEARCH("欠",S261)))</formula>
    </cfRule>
    <cfRule type="cellIs" dxfId="0" priority="53" operator="equal">
      <formula>"欠"</formula>
    </cfRule>
  </conditionalFormatting>
  <conditionalFormatting sqref="S265">
    <cfRule type="containsText" dxfId="1" priority="19" operator="between" text="欠">
      <formula>NOT(ISERROR(SEARCH("欠",S265)))</formula>
    </cfRule>
    <cfRule type="cellIs" dxfId="0" priority="18" operator="equal">
      <formula>"欠"</formula>
    </cfRule>
  </conditionalFormatting>
  <conditionalFormatting sqref="R267">
    <cfRule type="containsText" dxfId="1" priority="4" operator="between" text="欠">
      <formula>NOT(ISERROR(SEARCH("欠",R267)))</formula>
    </cfRule>
    <cfRule type="cellIs" dxfId="0" priority="5" operator="equal">
      <formula>"欠"</formula>
    </cfRule>
  </conditionalFormatting>
  <conditionalFormatting sqref="S267:T267">
    <cfRule type="containsText" dxfId="1" priority="3" operator="between" text="欠">
      <formula>NOT(ISERROR(SEARCH("欠",S267)))</formula>
    </cfRule>
  </conditionalFormatting>
  <conditionalFormatting sqref="S267">
    <cfRule type="cellIs" dxfId="0" priority="2" operator="equal">
      <formula>"欠"</formula>
    </cfRule>
  </conditionalFormatting>
  <conditionalFormatting sqref="T267">
    <cfRule type="cellIs" dxfId="0" priority="1" operator="equal">
      <formula>"欠"</formula>
    </cfRule>
  </conditionalFormatting>
  <conditionalFormatting sqref="R303">
    <cfRule type="containsText" dxfId="1" priority="117" operator="between" text="欠">
      <formula>NOT(ISERROR(SEARCH("欠",R303)))</formula>
    </cfRule>
    <cfRule type="cellIs" dxfId="0" priority="118" operator="equal">
      <formula>"欠"</formula>
    </cfRule>
  </conditionalFormatting>
  <conditionalFormatting sqref="S303">
    <cfRule type="containsText" dxfId="1" priority="119" operator="between" text="欠">
      <formula>NOT(ISERROR(SEARCH("欠",S303)))</formula>
    </cfRule>
  </conditionalFormatting>
  <conditionalFormatting sqref="T303">
    <cfRule type="containsText" dxfId="1" priority="120" operator="between" text="欠">
      <formula>NOT(ISERROR(SEARCH("欠",T303)))</formula>
    </cfRule>
  </conditionalFormatting>
  <conditionalFormatting sqref="R304">
    <cfRule type="containsText" dxfId="1" priority="112" operator="between" text="欠">
      <formula>NOT(ISERROR(SEARCH("欠",R304)))</formula>
    </cfRule>
    <cfRule type="cellIs" dxfId="0" priority="113" operator="equal">
      <formula>"欠"</formula>
    </cfRule>
  </conditionalFormatting>
  <conditionalFormatting sqref="S304:T304">
    <cfRule type="containsText" dxfId="1" priority="116" operator="between" text="欠">
      <formula>NOT(ISERROR(SEARCH("欠",S304)))</formula>
    </cfRule>
  </conditionalFormatting>
  <conditionalFormatting sqref="S304">
    <cfRule type="cellIs" dxfId="0" priority="115" operator="equal">
      <formula>"欠"</formula>
    </cfRule>
  </conditionalFormatting>
  <conditionalFormatting sqref="T304">
    <cfRule type="cellIs" dxfId="0" priority="114" operator="equal">
      <formula>"欠"</formula>
    </cfRule>
  </conditionalFormatting>
  <conditionalFormatting sqref="Q154:Q155">
    <cfRule type="cellIs" dxfId="0" priority="194" operator="equal">
      <formula>"欠"</formula>
    </cfRule>
    <cfRule type="containsText" dxfId="1" priority="193" operator="between" text="欠">
      <formula>NOT(ISERROR(SEARCH("欠",Q154)))</formula>
    </cfRule>
  </conditionalFormatting>
  <conditionalFormatting sqref="R42:R43">
    <cfRule type="cellIs" dxfId="0" priority="430" operator="equal">
      <formula>"欠"</formula>
    </cfRule>
    <cfRule type="containsText" dxfId="1" priority="429" operator="between" text="欠">
      <formula>NOT(ISERROR(SEARCH("欠",R42)))</formula>
    </cfRule>
  </conditionalFormatting>
  <conditionalFormatting sqref="R64:R65">
    <cfRule type="cellIs" dxfId="0" priority="353" operator="equal">
      <formula>"欠"</formula>
    </cfRule>
  </conditionalFormatting>
  <conditionalFormatting sqref="R66:R67">
    <cfRule type="cellIs" dxfId="0" priority="341" operator="equal">
      <formula>"欠"</formula>
    </cfRule>
    <cfRule type="containsText" dxfId="1" priority="340" operator="between" text="欠">
      <formula>NOT(ISERROR(SEARCH("欠",R66)))</formula>
    </cfRule>
  </conditionalFormatting>
  <conditionalFormatting sqref="R77:R78">
    <cfRule type="cellIs" dxfId="0" priority="344" operator="equal">
      <formula>"欠"</formula>
    </cfRule>
  </conditionalFormatting>
  <conditionalFormatting sqref="R92:R95">
    <cfRule type="cellIs" dxfId="0" priority="284" operator="equal">
      <formula>"欠"</formula>
    </cfRule>
    <cfRule type="containsText" dxfId="1" priority="283" operator="between" text="欠">
      <formula>NOT(ISERROR(SEARCH("欠",R92)))</formula>
    </cfRule>
  </conditionalFormatting>
  <conditionalFormatting sqref="R100:R102">
    <cfRule type="cellIs" dxfId="0" priority="265" operator="equal">
      <formula>"欠"</formula>
    </cfRule>
    <cfRule type="containsText" dxfId="1" priority="264" operator="between" text="欠">
      <formula>NOT(ISERROR(SEARCH("欠",R100)))</formula>
    </cfRule>
  </conditionalFormatting>
  <conditionalFormatting sqref="R108:R109">
    <cfRule type="cellIs" dxfId="0" priority="252" operator="equal">
      <formula>"欠"</formula>
    </cfRule>
    <cfRule type="containsText" dxfId="1" priority="251" operator="between" text="欠">
      <formula>NOT(ISERROR(SEARCH("欠",R108)))</formula>
    </cfRule>
  </conditionalFormatting>
  <conditionalFormatting sqref="R134:R140">
    <cfRule type="cellIs" dxfId="0" priority="192" operator="equal">
      <formula>"欠"</formula>
    </cfRule>
    <cfRule type="containsText" dxfId="1" priority="191" operator="between" text="欠">
      <formula>NOT(ISERROR(SEARCH("欠",R134)))</formula>
    </cfRule>
  </conditionalFormatting>
  <conditionalFormatting sqref="R159:R173">
    <cfRule type="cellIs" dxfId="0" priority="142" operator="equal">
      <formula>"欠"</formula>
    </cfRule>
    <cfRule type="containsText" dxfId="1" priority="141" operator="between" text="欠">
      <formula>NOT(ISERROR(SEARCH("欠",R159)))</formula>
    </cfRule>
  </conditionalFormatting>
  <conditionalFormatting sqref="R223:R228">
    <cfRule type="cellIs" dxfId="0" priority="85" operator="equal">
      <formula>"欠"</formula>
    </cfRule>
  </conditionalFormatting>
  <conditionalFormatting sqref="R261:R262">
    <cfRule type="cellIs" dxfId="0" priority="56" operator="equal">
      <formula>"欠"</formula>
    </cfRule>
    <cfRule type="containsText" dxfId="1" priority="55" operator="between" text="欠">
      <formula>NOT(ISERROR(SEARCH("欠",R261)))</formula>
    </cfRule>
  </conditionalFormatting>
  <conditionalFormatting sqref="R270:R276">
    <cfRule type="containsText" dxfId="1" priority="8" operator="between" text="欠">
      <formula>NOT(ISERROR(SEARCH("欠",R270)))</formula>
    </cfRule>
    <cfRule type="cellIs" dxfId="0" priority="9" operator="equal">
      <formula>"欠"</formula>
    </cfRule>
  </conditionalFormatting>
  <conditionalFormatting sqref="S13:S16">
    <cfRule type="cellIs" dxfId="0" priority="392" operator="equal">
      <formula>"欠"</formula>
    </cfRule>
  </conditionalFormatting>
  <conditionalFormatting sqref="S26:S27">
    <cfRule type="cellIs" dxfId="0" priority="424" operator="equal">
      <formula>"欠"</formula>
    </cfRule>
  </conditionalFormatting>
  <conditionalFormatting sqref="S33:S37">
    <cfRule type="containsText" dxfId="1" priority="390" operator="between" text="欠">
      <formula>NOT(ISERROR(SEARCH("欠",S33)))</formula>
    </cfRule>
    <cfRule type="cellIs" dxfId="0" priority="389" operator="equal">
      <formula>"欠"</formula>
    </cfRule>
  </conditionalFormatting>
  <conditionalFormatting sqref="S66:S67">
    <cfRule type="containsText" dxfId="1" priority="339" operator="between" text="欠">
      <formula>NOT(ISERROR(SEARCH("欠",S66)))</formula>
    </cfRule>
    <cfRule type="cellIs" dxfId="0" priority="338" operator="equal">
      <formula>"欠"</formula>
    </cfRule>
  </conditionalFormatting>
  <conditionalFormatting sqref="S92:S95">
    <cfRule type="containsText" dxfId="1" priority="286" operator="between" text="欠">
      <formula>NOT(ISERROR(SEARCH("欠",S92)))</formula>
    </cfRule>
    <cfRule type="cellIs" dxfId="0" priority="285" operator="equal">
      <formula>"欠"</formula>
    </cfRule>
  </conditionalFormatting>
  <conditionalFormatting sqref="S108:S109">
    <cfRule type="containsText" dxfId="1" priority="250" operator="between" text="欠">
      <formula>NOT(ISERROR(SEARCH("欠",S108)))</formula>
    </cfRule>
    <cfRule type="cellIs" dxfId="0" priority="249" operator="equal">
      <formula>"欠"</formula>
    </cfRule>
  </conditionalFormatting>
  <conditionalFormatting sqref="S223:S228">
    <cfRule type="containsText" dxfId="1" priority="84" operator="between" text="欠">
      <formula>NOT(ISERROR(SEARCH("欠",S223)))</formula>
    </cfRule>
    <cfRule type="cellIs" dxfId="0" priority="83" operator="equal">
      <formula>"欠"</formula>
    </cfRule>
  </conditionalFormatting>
  <conditionalFormatting sqref="S270:S276">
    <cfRule type="containsText" dxfId="1" priority="10" operator="between" text="欠">
      <formula>NOT(ISERROR(SEARCH("欠",S270)))</formula>
    </cfRule>
    <cfRule type="cellIs" dxfId="0" priority="11" operator="equal">
      <formula>"欠"</formula>
    </cfRule>
  </conditionalFormatting>
  <conditionalFormatting sqref="S277:S278">
    <cfRule type="cellIs" dxfId="0" priority="24" operator="equal">
      <formula>"欠"</formula>
    </cfRule>
    <cfRule type="containsText" dxfId="1" priority="25" operator="between" text="欠">
      <formula>NOT(ISERROR(SEARCH("欠",S277)))</formula>
    </cfRule>
  </conditionalFormatting>
  <conditionalFormatting sqref="T26:T27">
    <cfRule type="cellIs" dxfId="0" priority="423" operator="equal">
      <formula>"欠"</formula>
    </cfRule>
  </conditionalFormatting>
  <conditionalFormatting sqref="T33:T37">
    <cfRule type="containsText" dxfId="1" priority="387" operator="between" text="欠">
      <formula>NOT(ISERROR(SEARCH("欠",T33)))</formula>
    </cfRule>
  </conditionalFormatting>
  <conditionalFormatting sqref="T66:T67">
    <cfRule type="containsText" dxfId="1" priority="343" operator="between" text="欠">
      <formula>NOT(ISERROR(SEARCH("欠",T66)))</formula>
    </cfRule>
    <cfRule type="cellIs" dxfId="0" priority="342" operator="equal">
      <formula>"欠"</formula>
    </cfRule>
  </conditionalFormatting>
  <conditionalFormatting sqref="T77:T78">
    <cfRule type="containsText" dxfId="1" priority="346" operator="between" text="欠">
      <formula>NOT(ISERROR(SEARCH("欠",T77)))</formula>
    </cfRule>
    <cfRule type="cellIs" dxfId="0" priority="345" operator="equal">
      <formula>"欠"</formula>
    </cfRule>
  </conditionalFormatting>
  <conditionalFormatting sqref="T94:T95">
    <cfRule type="containsText" dxfId="1" priority="280" operator="between" text="欠">
      <formula>NOT(ISERROR(SEARCH("欠",T94)))</formula>
    </cfRule>
    <cfRule type="cellIs" dxfId="0" priority="279" operator="equal">
      <formula>"欠"</formula>
    </cfRule>
  </conditionalFormatting>
  <conditionalFormatting sqref="T100:T102">
    <cfRule type="cellIs" dxfId="0" priority="266" operator="equal">
      <formula>"欠"</formula>
    </cfRule>
  </conditionalFormatting>
  <conditionalFormatting sqref="T159:T173">
    <cfRule type="containsText" dxfId="1" priority="140" operator="between" text="欠">
      <formula>NOT(ISERROR(SEARCH("欠",T159)))</formula>
    </cfRule>
    <cfRule type="cellIs" dxfId="0" priority="139" operator="equal">
      <formula>"欠"</formula>
    </cfRule>
  </conditionalFormatting>
  <conditionalFormatting sqref="T208:T209">
    <cfRule type="containsText" dxfId="1" priority="87" operator="between" text="欠">
      <formula>NOT(ISERROR(SEARCH("欠",T208)))</formula>
    </cfRule>
    <cfRule type="cellIs" dxfId="0" priority="86" operator="equal">
      <formula>"欠"</formula>
    </cfRule>
  </conditionalFormatting>
  <conditionalFormatting sqref="T223:T228">
    <cfRule type="containsText" dxfId="1" priority="82" operator="between" text="欠">
      <formula>NOT(ISERROR(SEARCH("欠",T223)))</formula>
    </cfRule>
    <cfRule type="cellIs" dxfId="0" priority="81" operator="equal">
      <formula>"欠"</formula>
    </cfRule>
  </conditionalFormatting>
  <conditionalFormatting sqref="T261:T262">
    <cfRule type="containsText" dxfId="1" priority="27" operator="between" text="欠">
      <formula>NOT(ISERROR(SEARCH("欠",T261)))</formula>
    </cfRule>
    <cfRule type="cellIs" dxfId="0" priority="26" operator="equal">
      <formula>"欠"</formula>
    </cfRule>
  </conditionalFormatting>
  <conditionalFormatting sqref="T265:T266">
    <cfRule type="containsText" dxfId="1" priority="15" operator="between" text="欠">
      <formula>NOT(ISERROR(SEARCH("欠",T265)))</formula>
    </cfRule>
    <cfRule type="cellIs" dxfId="0" priority="14" operator="equal">
      <formula>"欠"</formula>
    </cfRule>
  </conditionalFormatting>
  <conditionalFormatting sqref="T268:T269">
    <cfRule type="cellIs" dxfId="0" priority="6" operator="equal">
      <formula>"欠"</formula>
    </cfRule>
    <cfRule type="containsText" dxfId="1" priority="7" operator="between" text="欠">
      <formula>NOT(ISERROR(SEARCH("欠",T268)))</formula>
    </cfRule>
  </conditionalFormatting>
  <conditionalFormatting sqref="T270:T276">
    <cfRule type="cellIs" dxfId="0" priority="12" operator="equal">
      <formula>"欠"</formula>
    </cfRule>
    <cfRule type="containsText" dxfId="1" priority="13" operator="between" text="欠">
      <formula>NOT(ISERROR(SEARCH("欠",T270)))</formula>
    </cfRule>
  </conditionalFormatting>
  <conditionalFormatting sqref="T277:T278">
    <cfRule type="cellIs" dxfId="0" priority="20" operator="equal">
      <formula>"欠"</formula>
    </cfRule>
    <cfRule type="containsText" dxfId="1" priority="21" operator="between" text="欠">
      <formula>NOT(ISERROR(SEARCH("欠",T277)))</formula>
    </cfRule>
  </conditionalFormatting>
  <conditionalFormatting sqref="R1:T2 R284:T293 R295:T297 R307:T65600">
    <cfRule type="cellIs" dxfId="0" priority="457" operator="equal">
      <formula>"欠"</formula>
    </cfRule>
  </conditionalFormatting>
  <conditionalFormatting sqref="CE2:CE283 CE298:CE302">
    <cfRule type="cellIs" dxfId="0" priority="238" operator="lessThan">
      <formula>0</formula>
    </cfRule>
  </conditionalFormatting>
  <conditionalFormatting sqref="R8 R6:T7 R283:T283">
    <cfRule type="cellIs" dxfId="0" priority="456" operator="equal">
      <formula>"欠"</formula>
    </cfRule>
  </conditionalFormatting>
  <conditionalFormatting sqref="R10 R44:R52 R28 R38">
    <cfRule type="cellIs" dxfId="0" priority="419" operator="equal">
      <formula>"欠"</formula>
    </cfRule>
    <cfRule type="containsText" dxfId="1" priority="418" operator="between" text="欠">
      <formula>NOT(ISERROR(SEARCH("欠",R10)))</formula>
    </cfRule>
  </conditionalFormatting>
  <conditionalFormatting sqref="T10 T28 T53">
    <cfRule type="containsText" dxfId="1" priority="444" operator="between" text="欠">
      <formula>NOT(ISERROR(SEARCH("欠",T10)))</formula>
    </cfRule>
  </conditionalFormatting>
  <conditionalFormatting sqref="R17 R11 R32 R68">
    <cfRule type="cellIs" dxfId="0" priority="436" operator="equal">
      <formula>"欠"</formula>
    </cfRule>
    <cfRule type="containsText" dxfId="1" priority="435" operator="between" text="欠">
      <formula>NOT(ISERROR(SEARCH("欠",R11)))</formula>
    </cfRule>
  </conditionalFormatting>
  <conditionalFormatting sqref="S11:T11 S32 S29:S30 S17:T17 T54 S55:T55 S38:T38 S62:S63 S45:T52 S68:T68">
    <cfRule type="containsText" dxfId="1" priority="439" operator="between" text="欠">
      <formula>NOT(ISERROR(SEARCH("欠",S11)))</formula>
    </cfRule>
  </conditionalFormatting>
  <conditionalFormatting sqref="S38 S11 S32 S29:S30 S55 S62:S63 S45:S52 S17 S68">
    <cfRule type="cellIs" dxfId="0" priority="438" operator="equal">
      <formula>"欠"</formula>
    </cfRule>
  </conditionalFormatting>
  <conditionalFormatting sqref="T11 T17 T51:T52 T54:T55 T38 T45:T49 T68">
    <cfRule type="cellIs" dxfId="0" priority="437" operator="equal">
      <formula>"欠"</formula>
    </cfRule>
  </conditionalFormatting>
  <conditionalFormatting sqref="R23:R24 R12:R16 R20:R21">
    <cfRule type="cellIs" dxfId="0" priority="445" operator="equal">
      <formula>"欠"</formula>
    </cfRule>
  </conditionalFormatting>
  <conditionalFormatting sqref="T23:T24 T12:T16">
    <cfRule type="containsText" dxfId="1" priority="449" operator="between" text="欠">
      <formula>NOT(ISERROR(SEARCH("欠",T12)))</formula>
    </cfRule>
  </conditionalFormatting>
  <conditionalFormatting sqref="S19 S42:S43">
    <cfRule type="containsText" dxfId="1" priority="441" operator="between" text="欠">
      <formula>NOT(ISERROR(SEARCH("欠",S19)))</formula>
    </cfRule>
  </conditionalFormatting>
  <conditionalFormatting sqref="T19 T42:T43">
    <cfRule type="containsText" dxfId="1" priority="440" operator="between" text="欠">
      <formula>NOT(ISERROR(SEARCH("欠",T19)))</formula>
    </cfRule>
  </conditionalFormatting>
  <conditionalFormatting sqref="S23:S24 S20">
    <cfRule type="containsText" dxfId="1" priority="447" operator="between" text="欠">
      <formula>NOT(ISERROR(SEARCH("欠",S20)))</formula>
    </cfRule>
  </conditionalFormatting>
  <conditionalFormatting sqref="T20:T21 T29:T30">
    <cfRule type="containsText" dxfId="1" priority="421" operator="between" text="欠">
      <formula>NOT(ISERROR(SEARCH("欠",T20)))</formula>
    </cfRule>
  </conditionalFormatting>
  <conditionalFormatting sqref="R22 R33:R37">
    <cfRule type="cellIs" dxfId="0" priority="388" operator="equal">
      <formula>"欠"</formula>
    </cfRule>
  </conditionalFormatting>
  <conditionalFormatting sqref="S57:T57 S25:T25">
    <cfRule type="containsText" dxfId="1" priority="373" operator="between" text="欠">
      <formula>NOT(ISERROR(SEARCH("欠",S25)))</formula>
    </cfRule>
  </conditionalFormatting>
  <conditionalFormatting sqref="S57 S25">
    <cfRule type="cellIs" dxfId="0" priority="372" operator="equal">
      <formula>"欠"</formula>
    </cfRule>
  </conditionalFormatting>
  <conditionalFormatting sqref="T57 T25">
    <cfRule type="cellIs" dxfId="0" priority="371" operator="equal">
      <formula>"欠"</formula>
    </cfRule>
  </conditionalFormatting>
  <conditionalFormatting sqref="R26:R27 R29:R30">
    <cfRule type="cellIs" dxfId="0" priority="422" operator="equal">
      <formula>"欠"</formula>
    </cfRule>
  </conditionalFormatting>
  <conditionalFormatting sqref="S26:T27">
    <cfRule type="containsText" dxfId="1" priority="425" operator="between" text="欠">
      <formula>NOT(ISERROR(SEARCH("欠",S26)))</formula>
    </cfRule>
  </conditionalFormatting>
  <conditionalFormatting sqref="R41 R31">
    <cfRule type="cellIs" dxfId="0" priority="406" operator="equal">
      <formula>"欠"</formula>
    </cfRule>
    <cfRule type="containsText" dxfId="1" priority="405" operator="between" text="欠">
      <formula>NOT(ISERROR(SEARCH("欠",R31)))</formula>
    </cfRule>
  </conditionalFormatting>
  <conditionalFormatting sqref="T31 T69">
    <cfRule type="containsText" dxfId="1" priority="414" operator="between" text="欠">
      <formula>NOT(ISERROR(SEARCH("欠",T31)))</formula>
    </cfRule>
    <cfRule type="cellIs" dxfId="0" priority="413" operator="equal">
      <formula>"欠"</formula>
    </cfRule>
  </conditionalFormatting>
  <conditionalFormatting sqref="R54 R69">
    <cfRule type="cellIs" dxfId="0" priority="412" operator="equal">
      <formula>"欠"</formula>
    </cfRule>
    <cfRule type="containsText" dxfId="1" priority="411" operator="between" text="欠">
      <formula>NOT(ISERROR(SEARCH("欠",R54)))</formula>
    </cfRule>
  </conditionalFormatting>
  <conditionalFormatting sqref="S54 S69">
    <cfRule type="containsText" dxfId="1" priority="385" operator="between" text="欠">
      <formula>NOT(ISERROR(SEARCH("欠",S54)))</formula>
    </cfRule>
    <cfRule type="cellIs" dxfId="0" priority="384" operator="equal">
      <formula>"欠"</formula>
    </cfRule>
  </conditionalFormatting>
  <conditionalFormatting sqref="R58:R61 R56">
    <cfRule type="cellIs" dxfId="0" priority="401" operator="equal">
      <formula>"欠"</formula>
    </cfRule>
    <cfRule type="containsText" dxfId="1" priority="400" operator="between" text="欠">
      <formula>NOT(ISERROR(SEARCH("欠",R56)))</formula>
    </cfRule>
  </conditionalFormatting>
  <conditionalFormatting sqref="S58:S61 S56">
    <cfRule type="containsText" dxfId="1" priority="399" operator="between" text="欠">
      <formula>NOT(ISERROR(SEARCH("欠",S56)))</formula>
    </cfRule>
    <cfRule type="cellIs" dxfId="0" priority="398" operator="equal">
      <formula>"欠"</formula>
    </cfRule>
  </conditionalFormatting>
  <conditionalFormatting sqref="T58:T61 T56">
    <cfRule type="containsText" dxfId="1" priority="397" operator="between" text="欠">
      <formula>NOT(ISERROR(SEARCH("欠",T56)))</formula>
    </cfRule>
    <cfRule type="cellIs" dxfId="0" priority="396" operator="equal">
      <formula>"欠"</formula>
    </cfRule>
  </conditionalFormatting>
  <conditionalFormatting sqref="T62:T65 T86">
    <cfRule type="containsText" dxfId="1" priority="410" operator="between" text="欠">
      <formula>NOT(ISERROR(SEARCH("欠",T62)))</formula>
    </cfRule>
    <cfRule type="cellIs" dxfId="0" priority="409" operator="equal">
      <formula>"欠"</formula>
    </cfRule>
  </conditionalFormatting>
  <conditionalFormatting sqref="R71 R86 R76">
    <cfRule type="cellIs" dxfId="0" priority="356" operator="equal">
      <formula>"欠"</formula>
    </cfRule>
  </conditionalFormatting>
  <conditionalFormatting sqref="S72 S77:S78">
    <cfRule type="containsText" dxfId="1" priority="348" operator="between" text="欠">
      <formula>NOT(ISERROR(SEARCH("欠",S72)))</formula>
    </cfRule>
    <cfRule type="cellIs" dxfId="0" priority="347" operator="equal">
      <formula>"欠"</formula>
    </cfRule>
  </conditionalFormatting>
  <conditionalFormatting sqref="R73 R103">
    <cfRule type="cellIs" dxfId="0" priority="335" operator="equal">
      <formula>"欠"</formula>
    </cfRule>
    <cfRule type="containsText" dxfId="1" priority="334" operator="between" text="欠">
      <formula>NOT(ISERROR(SEARCH("欠",R73)))</formula>
    </cfRule>
  </conditionalFormatting>
  <conditionalFormatting sqref="S73 S103">
    <cfRule type="containsText" dxfId="1" priority="333" operator="between" text="欠">
      <formula>NOT(ISERROR(SEARCH("欠",S73)))</formula>
    </cfRule>
    <cfRule type="cellIs" dxfId="0" priority="332" operator="equal">
      <formula>"欠"</formula>
    </cfRule>
  </conditionalFormatting>
  <conditionalFormatting sqref="R74 R79:R80">
    <cfRule type="cellIs" dxfId="0" priority="319" operator="equal">
      <formula>"欠"</formula>
    </cfRule>
  </conditionalFormatting>
  <conditionalFormatting sqref="S74 S79:S80">
    <cfRule type="containsText" dxfId="1" priority="325" operator="between" text="欠">
      <formula>NOT(ISERROR(SEARCH("欠",S74)))</formula>
    </cfRule>
    <cfRule type="cellIs" dxfId="0" priority="324" operator="equal">
      <formula>"欠"</formula>
    </cfRule>
  </conditionalFormatting>
  <conditionalFormatting sqref="T74 T79:T80">
    <cfRule type="containsText" dxfId="1" priority="327" operator="between" text="欠">
      <formula>NOT(ISERROR(SEARCH("欠",T74)))</formula>
    </cfRule>
    <cfRule type="cellIs" dxfId="0" priority="326" operator="equal">
      <formula>"欠"</formula>
    </cfRule>
  </conditionalFormatting>
  <conditionalFormatting sqref="S76 S86">
    <cfRule type="containsText" dxfId="1" priority="321" operator="between" text="欠">
      <formula>NOT(ISERROR(SEARCH("欠",S76)))</formula>
    </cfRule>
    <cfRule type="cellIs" dxfId="0" priority="320" operator="equal">
      <formula>"欠"</formula>
    </cfRule>
  </conditionalFormatting>
  <conditionalFormatting sqref="R91 R84 R97:R98 R298:R302">
    <cfRule type="cellIs" dxfId="0" priority="304" operator="equal">
      <formula>"欠"</formula>
    </cfRule>
  </conditionalFormatting>
  <conditionalFormatting sqref="S91 S84 S97:S98 S298:S302">
    <cfRule type="cellIs" dxfId="0" priority="299" operator="equal">
      <formula>"欠"</formula>
    </cfRule>
    <cfRule type="containsText" dxfId="1" priority="300" operator="between" text="欠">
      <formula>NOT(ISERROR(SEARCH("欠",S84)))</formula>
    </cfRule>
  </conditionalFormatting>
  <conditionalFormatting sqref="T97:T98 T84 T298:T302">
    <cfRule type="cellIs" dxfId="0" priority="301" operator="equal">
      <formula>"欠"</formula>
    </cfRule>
    <cfRule type="containsText" dxfId="1" priority="302" operator="between" text="欠">
      <formula>NOT(ISERROR(SEARCH("欠",T84)))</formula>
    </cfRule>
  </conditionalFormatting>
  <conditionalFormatting sqref="R89 R85">
    <cfRule type="cellIs" dxfId="0" priority="273" operator="equal">
      <formula>"欠"</formula>
    </cfRule>
  </conditionalFormatting>
  <conditionalFormatting sqref="S113 S89 S85">
    <cfRule type="cellIs" dxfId="0" priority="274" operator="equal">
      <formula>"欠"</formula>
    </cfRule>
  </conditionalFormatting>
  <conditionalFormatting sqref="T89 T85">
    <cfRule type="containsText" dxfId="1" priority="276" operator="between" text="欠">
      <formula>NOT(ISERROR(SEARCH("欠",T85)))</formula>
    </cfRule>
    <cfRule type="cellIs" dxfId="0" priority="275" operator="equal">
      <formula>"欠"</formula>
    </cfRule>
  </conditionalFormatting>
  <conditionalFormatting sqref="R105:R106 R118:R125 R141 R87:R88 R116 R153">
    <cfRule type="cellIs" dxfId="0" priority="293" operator="equal">
      <formula>"欠"</formula>
    </cfRule>
  </conditionalFormatting>
  <conditionalFormatting sqref="S125 T134:T140 S153 S183:S184 S178:S179 S141 S204 S175:S176 S116:S117 S128:S129 S87:S88 S105:S106 S156 S213 S218:S219 S233 S215:S216 S229:S231 S237:S238 S240:S241 S211 S221 S244">
    <cfRule type="containsText" dxfId="1" priority="297" operator="between" text="欠">
      <formula>NOT(ISERROR(SEARCH("欠",S87)))</formula>
    </cfRule>
    <cfRule type="cellIs" dxfId="0" priority="296" operator="equal">
      <formula>"欠"</formula>
    </cfRule>
  </conditionalFormatting>
  <conditionalFormatting sqref="T105:T106 T118:T125 T141 T87:T88 T116 T153">
    <cfRule type="containsText" dxfId="1" priority="295" operator="between" text="欠">
      <formula>NOT(ISERROR(SEARCH("欠",T87)))</formula>
    </cfRule>
    <cfRule type="cellIs" dxfId="0" priority="294" operator="equal">
      <formula>"欠"</formula>
    </cfRule>
  </conditionalFormatting>
  <conditionalFormatting sqref="S100:T100 T101:T102">
    <cfRule type="containsText" dxfId="1" priority="268" operator="between" text="欠">
      <formula>NOT(ISERROR(SEARCH("欠",S100)))</formula>
    </cfRule>
  </conditionalFormatting>
  <conditionalFormatting sqref="S101:S102 S107 S104">
    <cfRule type="containsText" dxfId="1" priority="263" operator="between" text="欠">
      <formula>NOT(ISERROR(SEARCH("欠",S101)))</formula>
    </cfRule>
    <cfRule type="cellIs" dxfId="0" priority="262" operator="equal">
      <formula>"欠"</formula>
    </cfRule>
  </conditionalFormatting>
  <conditionalFormatting sqref="R104 R107 R156 R176">
    <cfRule type="cellIs" dxfId="0" priority="261" operator="equal">
      <formula>"欠"</formula>
    </cfRule>
    <cfRule type="containsText" dxfId="1" priority="260" operator="between" text="欠">
      <formula>NOT(ISERROR(SEARCH("欠",R104)))</formula>
    </cfRule>
  </conditionalFormatting>
  <conditionalFormatting sqref="R113:R115 R111 R130">
    <cfRule type="cellIs" dxfId="0" priority="242" operator="equal">
      <formula>"欠"</formula>
    </cfRule>
    <cfRule type="containsText" dxfId="1" priority="241" operator="between" text="欠">
      <formula>NOT(ISERROR(SEARCH("欠",R111)))</formula>
    </cfRule>
  </conditionalFormatting>
  <conditionalFormatting sqref="S111 S114:S115 S130 S157">
    <cfRule type="containsText" dxfId="1" priority="244" operator="between" text="欠">
      <formula>NOT(ISERROR(SEARCH("欠",S111)))</formula>
    </cfRule>
    <cfRule type="cellIs" dxfId="0" priority="243" operator="equal">
      <formula>"欠"</formula>
    </cfRule>
  </conditionalFormatting>
  <conditionalFormatting sqref="T113:T115 T111 T130 T157">
    <cfRule type="containsText" dxfId="1" priority="240" operator="between" text="欠">
      <formula>NOT(ISERROR(SEARCH("欠",T111)))</formula>
    </cfRule>
    <cfRule type="cellIs" dxfId="0" priority="239" operator="equal">
      <formula>"欠"</formula>
    </cfRule>
  </conditionalFormatting>
  <conditionalFormatting sqref="S118:S124 S131">
    <cfRule type="containsText" dxfId="1" priority="229" operator="between" text="欠">
      <formula>NOT(ISERROR(SEARCH("欠",S118)))</formula>
    </cfRule>
    <cfRule type="cellIs" dxfId="0" priority="228" operator="equal">
      <formula>"欠"</formula>
    </cfRule>
  </conditionalFormatting>
  <conditionalFormatting sqref="R126:R127 R147 R132 R177">
    <cfRule type="cellIs" dxfId="0" priority="221" operator="equal">
      <formula>"欠"</formula>
    </cfRule>
    <cfRule type="containsText" dxfId="1" priority="220" operator="between" text="欠">
      <formula>NOT(ISERROR(SEARCH("欠",R126)))</formula>
    </cfRule>
  </conditionalFormatting>
  <conditionalFormatting sqref="S126:S127 S206 S142:S151 S132 S177 S158 S186">
    <cfRule type="containsText" dxfId="1" priority="223" operator="between" text="欠">
      <formula>NOT(ISERROR(SEARCH("欠",S126)))</formula>
    </cfRule>
    <cfRule type="cellIs" dxfId="0" priority="222" operator="equal">
      <formula>"欠"</formula>
    </cfRule>
  </conditionalFormatting>
  <conditionalFormatting sqref="T126:T127 T131:T132 T177">
    <cfRule type="containsText" dxfId="1" priority="219" operator="between" text="欠">
      <formula>NOT(ISERROR(SEARCH("欠",T126)))</formula>
    </cfRule>
    <cfRule type="cellIs" dxfId="0" priority="218" operator="equal">
      <formula>"欠"</formula>
    </cfRule>
  </conditionalFormatting>
  <conditionalFormatting sqref="R128:R129 S134:S140 R213 R218:R219 R241 R215:R216 R249:R250 R221:R222 R229:R238 R211 R244 R246">
    <cfRule type="cellIs" dxfId="0" priority="298" operator="equal">
      <formula>"欠"</formula>
    </cfRule>
  </conditionalFormatting>
  <conditionalFormatting sqref="T128:T129 T142:T150 T213:T216 T229:T231 T218:T219 T233 T240:T242 T211 T237:T238 T221 T244">
    <cfRule type="containsText" dxfId="1" priority="288" operator="between" text="欠">
      <formula>NOT(ISERROR(SEARCH("欠",T128)))</formula>
    </cfRule>
    <cfRule type="cellIs" dxfId="0" priority="287" operator="equal">
      <formula>"欠"</formula>
    </cfRule>
  </conditionalFormatting>
  <conditionalFormatting sqref="R131 R186">
    <cfRule type="cellIs" dxfId="0" priority="196" operator="equal">
      <formula>"欠"</formula>
    </cfRule>
    <cfRule type="containsText" dxfId="1" priority="195" operator="between" text="欠">
      <formula>NOT(ISERROR(SEARCH("欠",R131)))</formula>
    </cfRule>
  </conditionalFormatting>
  <conditionalFormatting sqref="T133 T186">
    <cfRule type="containsText" dxfId="1" priority="198" operator="between" text="欠">
      <formula>NOT(ISERROR(SEARCH("欠",T133)))</formula>
    </cfRule>
    <cfRule type="cellIs" dxfId="0" priority="197" operator="equal">
      <formula>"欠"</formula>
    </cfRule>
  </conditionalFormatting>
  <conditionalFormatting sqref="R142:R146 R148:R152 R158">
    <cfRule type="cellIs" dxfId="0" priority="164" operator="equal">
      <formula>"欠"</formula>
    </cfRule>
    <cfRule type="containsText" dxfId="1" priority="163" operator="between" text="欠">
      <formula>NOT(ISERROR(SEARCH("欠",R142)))</formula>
    </cfRule>
  </conditionalFormatting>
  <conditionalFormatting sqref="T151:T152 T158">
    <cfRule type="containsText" dxfId="1" priority="166" operator="between" text="欠">
      <formula>NOT(ISERROR(SEARCH("欠",T151)))</formula>
    </cfRule>
    <cfRule type="cellIs" dxfId="0" priority="165" operator="equal">
      <formula>"欠"</formula>
    </cfRule>
  </conditionalFormatting>
  <conditionalFormatting sqref="S159:S173 S180">
    <cfRule type="containsText" dxfId="1" priority="144" operator="between" text="欠">
      <formula>NOT(ISERROR(SEARCH("欠",S159)))</formula>
    </cfRule>
    <cfRule type="cellIs" dxfId="0" priority="143" operator="equal">
      <formula>"欠"</formula>
    </cfRule>
  </conditionalFormatting>
  <conditionalFormatting sqref="R178:R179 R175 R183">
    <cfRule type="cellIs" dxfId="0" priority="227" operator="equal">
      <formula>"欠"</formula>
    </cfRule>
    <cfRule type="containsText" dxfId="1" priority="226" operator="between" text="欠">
      <formula>NOT(ISERROR(SEARCH("欠",R175)))</formula>
    </cfRule>
  </conditionalFormatting>
  <conditionalFormatting sqref="T175 T178">
    <cfRule type="containsText" dxfId="1" priority="225" operator="between" text="欠">
      <formula>NOT(ISERROR(SEARCH("欠",T175)))</formula>
    </cfRule>
    <cfRule type="cellIs" dxfId="0" priority="224" operator="equal">
      <formula>"欠"</formula>
    </cfRule>
  </conditionalFormatting>
  <conditionalFormatting sqref="T179 T183">
    <cfRule type="containsText" dxfId="1" priority="154" operator="between" text="欠">
      <formula>NOT(ISERROR(SEARCH("欠",T179)))</formula>
    </cfRule>
    <cfRule type="cellIs" dxfId="0" priority="153" operator="equal">
      <formula>"欠"</formula>
    </cfRule>
  </conditionalFormatting>
  <conditionalFormatting sqref="R204 R206 R184">
    <cfRule type="cellIs" dxfId="0" priority="128" operator="equal">
      <formula>"欠"</formula>
    </cfRule>
    <cfRule type="containsText" dxfId="1" priority="127" operator="between" text="欠">
      <formula>NOT(ISERROR(SEARCH("欠",R184)))</formula>
    </cfRule>
  </conditionalFormatting>
  <conditionalFormatting sqref="T204 T206 T184">
    <cfRule type="containsText" dxfId="1" priority="152" operator="between" text="欠">
      <formula>NOT(ISERROR(SEARCH("欠",T184)))</formula>
    </cfRule>
    <cfRule type="cellIs" dxfId="0" priority="151" operator="equal">
      <formula>"欠"</formula>
    </cfRule>
  </conditionalFormatting>
  <conditionalFormatting sqref="R187:R198 R207">
    <cfRule type="cellIs" dxfId="0" priority="97" operator="equal">
      <formula>"欠"</formula>
    </cfRule>
    <cfRule type="containsText" dxfId="1" priority="96" operator="between" text="欠">
      <formula>NOT(ISERROR(SEARCH("欠",R187)))</formula>
    </cfRule>
  </conditionalFormatting>
  <conditionalFormatting sqref="S187:S198 S207">
    <cfRule type="cellIs" dxfId="0" priority="95" operator="equal">
      <formula>"欠"</formula>
    </cfRule>
    <cfRule type="containsText" dxfId="1" priority="94" operator="between" text="欠">
      <formula>NOT(ISERROR(SEARCH("欠",S187)))</formula>
    </cfRule>
  </conditionalFormatting>
  <conditionalFormatting sqref="T187:T198 T207">
    <cfRule type="containsText" dxfId="1" priority="93" operator="between" text="欠">
      <formula>NOT(ISERROR(SEARCH("欠",T187)))</formula>
    </cfRule>
    <cfRule type="cellIs" dxfId="0" priority="92" operator="equal">
      <formula>"欠"</formula>
    </cfRule>
  </conditionalFormatting>
  <conditionalFormatting sqref="R199:R203 R205">
    <cfRule type="cellIs" dxfId="0" priority="109" operator="equal">
      <formula>"欠"</formula>
    </cfRule>
    <cfRule type="containsText" dxfId="1" priority="108" operator="between" text="欠">
      <formula>NOT(ISERROR(SEARCH("欠",R199)))</formula>
    </cfRule>
  </conditionalFormatting>
  <conditionalFormatting sqref="S199:S203 S205 S262 S255">
    <cfRule type="cellIs" dxfId="0" priority="111" operator="equal">
      <formula>"欠"</formula>
    </cfRule>
    <cfRule type="containsText" dxfId="1" priority="110" operator="between" text="欠">
      <formula>NOT(ISERROR(SEARCH("欠",S199)))</formula>
    </cfRule>
  </conditionalFormatting>
  <conditionalFormatting sqref="T200:T203 T205 T255">
    <cfRule type="containsText" dxfId="1" priority="105" operator="between" text="欠">
      <formula>NOT(ISERROR(SEARCH("欠",T200)))</formula>
    </cfRule>
    <cfRule type="cellIs" dxfId="0" priority="104" operator="equal">
      <formula>"欠"</formula>
    </cfRule>
  </conditionalFormatting>
  <conditionalFormatting sqref="R208:R210 R212 R214">
    <cfRule type="cellIs" dxfId="0" priority="89" operator="equal">
      <formula>"欠"</formula>
    </cfRule>
    <cfRule type="containsText" dxfId="1" priority="88" operator="between" text="欠">
      <formula>NOT(ISERROR(SEARCH("欠",R208)))</formula>
    </cfRule>
  </conditionalFormatting>
  <conditionalFormatting sqref="S208:S210 S212 S214">
    <cfRule type="cellIs" dxfId="0" priority="91" operator="equal">
      <formula>"欠"</formula>
    </cfRule>
    <cfRule type="containsText" dxfId="1" priority="90" operator="between" text="欠">
      <formula>NOT(ISERROR(SEARCH("欠",S208)))</formula>
    </cfRule>
  </conditionalFormatting>
  <conditionalFormatting sqref="R217 R220">
    <cfRule type="cellIs" dxfId="0" priority="101" operator="equal">
      <formula>"欠"</formula>
    </cfRule>
    <cfRule type="containsText" dxfId="1" priority="100" operator="between" text="欠">
      <formula>NOT(ISERROR(SEARCH("欠",R217)))</formula>
    </cfRule>
  </conditionalFormatting>
  <conditionalFormatting sqref="S234:S236 S217 S249:S250 S232 S222 S220 S245:S246">
    <cfRule type="cellIs" dxfId="0" priority="103" operator="equal">
      <formula>"欠"</formula>
    </cfRule>
    <cfRule type="containsText" dxfId="1" priority="102" operator="between" text="欠">
      <formula>NOT(ISERROR(SEARCH("欠",S217)))</formula>
    </cfRule>
  </conditionalFormatting>
  <conditionalFormatting sqref="T234 T217 T222 T220 T232">
    <cfRule type="containsText" dxfId="1" priority="99" operator="between" text="欠">
      <formula>NOT(ISERROR(SEARCH("欠",T217)))</formula>
    </cfRule>
    <cfRule type="cellIs" dxfId="0" priority="98" operator="equal">
      <formula>"欠"</formula>
    </cfRule>
  </conditionalFormatting>
  <conditionalFormatting sqref="T235:T236 T249:T250 T246">
    <cfRule type="containsText" dxfId="1" priority="71" operator="between" text="欠">
      <formula>NOT(ISERROR(SEARCH("欠",T235)))</formula>
    </cfRule>
    <cfRule type="cellIs" dxfId="0" priority="70" operator="equal">
      <formula>"欠"</formula>
    </cfRule>
  </conditionalFormatting>
  <conditionalFormatting sqref="R239 R247:R248 R252 R257 R255 R279:R282">
    <cfRule type="containsText" dxfId="1" priority="79" operator="between" text="欠">
      <formula>NOT(ISERROR(SEARCH("欠",R239)))</formula>
    </cfRule>
    <cfRule type="cellIs" dxfId="0" priority="80" operator="equal">
      <formula>"欠"</formula>
    </cfRule>
  </conditionalFormatting>
  <conditionalFormatting sqref="S239:T239 S247:T248 S252:T252 S257:T257 S279:T282">
    <cfRule type="containsText" dxfId="1" priority="78" operator="between" text="欠">
      <formula>NOT(ISERROR(SEARCH("欠",S239)))</formula>
    </cfRule>
  </conditionalFormatting>
  <conditionalFormatting sqref="S239 S247:S248 S252 S257 S279:S282">
    <cfRule type="cellIs" dxfId="0" priority="77" operator="equal">
      <formula>"欠"</formula>
    </cfRule>
  </conditionalFormatting>
  <conditionalFormatting sqref="T239 T247:T248 T252 T257 T279:T282">
    <cfRule type="cellIs" dxfId="0" priority="76" operator="equal">
      <formula>"欠"</formula>
    </cfRule>
  </conditionalFormatting>
  <conditionalFormatting sqref="R243 R245">
    <cfRule type="cellIs" dxfId="0" priority="67" operator="equal">
      <formula>"欠"</formula>
    </cfRule>
  </conditionalFormatting>
  <conditionalFormatting sqref="R253:R254 R256">
    <cfRule type="cellIs" dxfId="0" priority="48" operator="equal">
      <formula>"欠"</formula>
    </cfRule>
  </conditionalFormatting>
  <conditionalFormatting sqref="S253 S256">
    <cfRule type="cellIs" dxfId="0" priority="47" operator="equal">
      <formula>"欠"</formula>
    </cfRule>
    <cfRule type="containsText" dxfId="1" priority="46" operator="between" text="欠">
      <formula>NOT(ISERROR(SEARCH("欠",S253)))</formula>
    </cfRule>
  </conditionalFormatting>
  <conditionalFormatting sqref="T253:T254 T256">
    <cfRule type="containsText" dxfId="1" priority="45" operator="between" text="欠">
      <formula>NOT(ISERROR(SEARCH("欠",T253)))</formula>
    </cfRule>
    <cfRule type="cellIs" dxfId="0" priority="44" operator="equal">
      <formula>"欠"</formula>
    </cfRule>
  </conditionalFormatting>
  <conditionalFormatting sqref="R259:R260 R263:R264">
    <cfRule type="cellIs" dxfId="0" priority="31" operator="equal">
      <formula>"欠"</formula>
    </cfRule>
    <cfRule type="containsText" dxfId="1" priority="30" operator="between" text="欠">
      <formula>NOT(ISERROR(SEARCH("欠",R259)))</formula>
    </cfRule>
  </conditionalFormatting>
  <conditionalFormatting sqref="S259:S260 S263:S264">
    <cfRule type="containsText" dxfId="1" priority="33" operator="between" text="欠">
      <formula>NOT(ISERROR(SEARCH("欠",S259)))</formula>
    </cfRule>
    <cfRule type="cellIs" dxfId="0" priority="32" operator="equal">
      <formula>"欠"</formula>
    </cfRule>
  </conditionalFormatting>
  <conditionalFormatting sqref="T259:T260 T263:T264">
    <cfRule type="containsText" dxfId="1" priority="29" operator="between" text="欠">
      <formula>NOT(ISERROR(SEARCH("欠",T259)))</formula>
    </cfRule>
    <cfRule type="cellIs" dxfId="0" priority="28" operator="equal">
      <formula>"欠"</formula>
    </cfRule>
  </conditionalFormatting>
  <conditionalFormatting sqref="R265:R266 R277:R278 R268:R269">
    <cfRule type="containsText" dxfId="1" priority="22" operator="between" text="欠">
      <formula>NOT(ISERROR(SEARCH("欠",R265)))</formula>
    </cfRule>
    <cfRule type="cellIs" dxfId="0" priority="23" operator="equal">
      <formula>"欠"</formula>
    </cfRule>
  </conditionalFormatting>
  <conditionalFormatting sqref="S266 S268:S269">
    <cfRule type="cellIs" dxfId="0" priority="16" operator="equal">
      <formula>"欠"</formula>
    </cfRule>
    <cfRule type="containsText" dxfId="1" priority="17" operator="between" text="欠">
      <formula>NOT(ISERROR(SEARCH("欠",S266)))</formula>
    </cfRule>
  </conditionalFormatting>
  <dataValidations count="1">
    <dataValidation type="list" allowBlank="1" showInputMessage="1" showErrorMessage="1" sqref="S141 S66:S67 S71:S111 S113:S115 S118:S127 S130:S133 S263:S269 S277:S278 S298:S302">
      <formula1>"有,无"</formula1>
    </dataValidation>
  </dataValidations>
  <pageMargins left="0" right="0.0791666666666667" top="0.388888888888889" bottom="0.509027777777778" header="0.5" footer="0.5"/>
  <pageSetup paperSize="9" scale="10" orientation="portrait" horizontalDpi="600"/>
  <headerFooter alignWithMargins="0" scaleWithDoc="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CF64953"/>
  <sheetViews>
    <sheetView zoomScale="80" zoomScaleNormal="80" workbookViewId="0">
      <pane xSplit="14" ySplit="2" topLeftCell="T37" activePane="bottomRight" state="frozen"/>
      <selection/>
      <selection pane="topRight"/>
      <selection pane="bottomLeft"/>
      <selection pane="bottomRight" activeCell="N43" sqref="N43"/>
    </sheetView>
  </sheetViews>
  <sheetFormatPr defaultColWidth="9" defaultRowHeight="15"/>
  <cols>
    <col min="1" max="1" width="10.275" style="1017" customWidth="1"/>
    <col min="2" max="2" width="12.2416666666667" style="1008" customWidth="1"/>
    <col min="3" max="3" width="10.7416666666667" style="1008" customWidth="1"/>
    <col min="4" max="4" width="13.3833333333333" style="649" customWidth="1"/>
    <col min="5" max="5" width="10.8166666666667" style="1008" customWidth="1"/>
    <col min="6" max="6" width="12.875" style="1008" customWidth="1"/>
    <col min="7" max="7" width="16.0666666666667" style="649" customWidth="1"/>
    <col min="8" max="8" width="15.35" style="1008" customWidth="1"/>
    <col min="9" max="9" width="9.6" style="649" customWidth="1"/>
    <col min="10" max="10" width="7" style="649" customWidth="1"/>
    <col min="11" max="11" width="6.875" style="649" customWidth="1"/>
    <col min="12" max="12" width="9.20833333333333" style="649" customWidth="1"/>
    <col min="13" max="13" width="13.1333333333333" style="649" customWidth="1"/>
    <col min="14" max="14" width="13.2416666666667" style="649" customWidth="1"/>
    <col min="15" max="15" width="9.2" style="1018" customWidth="1"/>
    <col min="16" max="16" width="9.275" style="1008" customWidth="1"/>
    <col min="17" max="17" width="11.0333333333333" style="1008" customWidth="1"/>
    <col min="18" max="19" width="10" style="649" customWidth="1"/>
    <col min="20" max="20" width="11.0916666666667" style="1018" customWidth="1"/>
    <col min="21" max="21" width="30.2083333333333" style="1019" customWidth="1"/>
    <col min="22" max="22" width="10.7166666666667" style="649" customWidth="1"/>
    <col min="23" max="23" width="8.75" style="649" customWidth="1"/>
    <col min="24" max="24" width="14.5083333333333" style="1020" customWidth="1"/>
    <col min="25" max="25" width="20.5666666666667" style="1021" customWidth="1"/>
    <col min="26" max="26" width="16.425" style="1021" customWidth="1"/>
    <col min="27" max="28" width="11.25" style="1021" customWidth="1"/>
    <col min="29" max="29" width="9.64166666666667" style="1021" customWidth="1"/>
    <col min="30" max="31" width="7.675" style="1021" customWidth="1"/>
    <col min="32" max="33" width="8.56666666666667" style="1008" customWidth="1"/>
    <col min="34" max="39" width="10.35" style="1021" customWidth="1"/>
    <col min="40" max="40" width="9.25" style="1008" customWidth="1"/>
    <col min="41" max="41" width="7.75" style="1022" customWidth="1"/>
    <col min="42" max="43" width="7.75" style="1008" customWidth="1"/>
    <col min="44" max="44" width="9" style="1008" customWidth="1"/>
    <col min="45" max="45" width="11.075" style="1008" customWidth="1"/>
    <col min="46" max="54" width="9" style="1008" customWidth="1"/>
    <col min="55" max="69" width="9.375" style="1023" customWidth="1"/>
    <col min="70" max="73" width="9.83333333333333" style="1023" customWidth="1"/>
    <col min="74" max="77" width="9.375" style="1023" customWidth="1"/>
    <col min="78" max="78" width="10.75" style="1023" customWidth="1"/>
    <col min="79" max="79" width="9" style="649"/>
    <col min="80" max="81" width="9" style="1024"/>
    <col min="82" max="84" width="12.625" style="649"/>
    <col min="85" max="85" width="9" style="649"/>
    <col min="86" max="86" width="20.8416666666667" style="649" customWidth="1"/>
    <col min="87" max="16384" width="9" style="649"/>
  </cols>
  <sheetData>
    <row r="1" s="1007" customFormat="1" ht="43" customHeight="1" spans="1:84">
      <c r="A1" s="1025" t="s">
        <v>3402</v>
      </c>
      <c r="B1" s="1026"/>
      <c r="C1" s="1027"/>
      <c r="D1" s="1028"/>
      <c r="E1" s="1029"/>
      <c r="F1" s="1030"/>
      <c r="G1" s="1031" t="s">
        <v>2</v>
      </c>
      <c r="J1" s="1073"/>
      <c r="K1" s="1073"/>
      <c r="M1" s="1073"/>
      <c r="N1" s="1074" t="s">
        <v>3403</v>
      </c>
      <c r="O1" s="1075"/>
      <c r="P1" s="1027"/>
      <c r="Q1" s="1027"/>
      <c r="R1" s="1073"/>
      <c r="S1" s="1073"/>
      <c r="T1" s="1105"/>
      <c r="U1" s="1106" t="s">
        <v>1</v>
      </c>
      <c r="V1" s="1107"/>
      <c r="W1" s="1073"/>
      <c r="X1" s="1108"/>
      <c r="Y1" s="1145"/>
      <c r="Z1" s="1145"/>
      <c r="AA1" s="1145"/>
      <c r="AB1" s="1145"/>
      <c r="AC1" s="1145"/>
      <c r="AD1" s="1145"/>
      <c r="AE1" s="1145"/>
      <c r="AF1" s="1027"/>
      <c r="AG1" s="1027"/>
      <c r="AH1" s="1145">
        <v>77515</v>
      </c>
      <c r="AI1" s="1145"/>
      <c r="AJ1" s="1145"/>
      <c r="AK1" s="1145"/>
      <c r="AL1" s="1172"/>
      <c r="AM1" s="1172"/>
      <c r="AN1" s="1173" t="s">
        <v>3</v>
      </c>
      <c r="AO1" s="1188"/>
      <c r="AP1" s="1188"/>
      <c r="AQ1" s="1188"/>
      <c r="AR1" s="1188"/>
      <c r="AS1" s="1188"/>
      <c r="AT1" s="1189"/>
      <c r="AU1" s="1190" t="s">
        <v>4</v>
      </c>
      <c r="AV1" s="1191"/>
      <c r="AW1" s="1191"/>
      <c r="AX1" s="1191"/>
      <c r="AY1" s="1196"/>
      <c r="AZ1" s="1196"/>
      <c r="BA1" s="1196"/>
      <c r="BB1" s="1197" t="s">
        <v>5</v>
      </c>
      <c r="BC1" s="1197"/>
      <c r="BD1" s="1197"/>
      <c r="BE1" s="1197"/>
      <c r="BF1" s="1197"/>
      <c r="BG1" s="1197"/>
      <c r="BH1" s="1206"/>
      <c r="BI1" s="1206"/>
      <c r="BJ1" s="1206"/>
      <c r="BK1" s="1197" t="s">
        <v>3404</v>
      </c>
      <c r="BL1" s="1197"/>
      <c r="BM1" s="1206"/>
      <c r="BN1" s="1206"/>
      <c r="BO1" s="1206"/>
      <c r="BP1" s="1206"/>
      <c r="BQ1" s="1210"/>
      <c r="BR1" s="1211"/>
      <c r="BS1" s="1211"/>
      <c r="BT1" s="1211"/>
      <c r="BU1" s="1211"/>
      <c r="BV1" s="1211"/>
      <c r="BW1" s="1197">
        <v>77516</v>
      </c>
      <c r="BX1" s="1197"/>
      <c r="BY1" s="1197"/>
      <c r="BZ1" s="1197"/>
      <c r="CB1" s="1215" t="s">
        <v>3405</v>
      </c>
      <c r="CC1" s="649">
        <f>'生产MA Summary'!O4</f>
        <v>4670000</v>
      </c>
      <c r="CD1" s="1234"/>
      <c r="CE1" s="1234"/>
      <c r="CF1" s="1008"/>
    </row>
    <row r="2" s="1008" customFormat="1" ht="81" customHeight="1" spans="1:83">
      <c r="A2" s="1032" t="s">
        <v>6</v>
      </c>
      <c r="B2" s="1033" t="s">
        <v>7</v>
      </c>
      <c r="C2" s="1033" t="s">
        <v>8</v>
      </c>
      <c r="D2" s="1033" t="s">
        <v>9</v>
      </c>
      <c r="E2" s="1034" t="s">
        <v>10</v>
      </c>
      <c r="F2" s="1033" t="s">
        <v>11</v>
      </c>
      <c r="G2" s="1033" t="s">
        <v>12</v>
      </c>
      <c r="H2" s="1035" t="s">
        <v>13</v>
      </c>
      <c r="I2" s="1035" t="s">
        <v>14</v>
      </c>
      <c r="J2" s="1035" t="s">
        <v>15</v>
      </c>
      <c r="K2" s="1033" t="s">
        <v>16</v>
      </c>
      <c r="L2" s="1033" t="s">
        <v>17</v>
      </c>
      <c r="M2" s="1076" t="s">
        <v>18</v>
      </c>
      <c r="N2" s="1076" t="s">
        <v>19</v>
      </c>
      <c r="O2" s="1077" t="s">
        <v>20</v>
      </c>
      <c r="P2" s="1033" t="s">
        <v>21</v>
      </c>
      <c r="Q2" s="1033" t="s">
        <v>22</v>
      </c>
      <c r="R2" s="1033" t="s">
        <v>23</v>
      </c>
      <c r="S2" s="1034" t="s">
        <v>24</v>
      </c>
      <c r="T2" s="1077" t="s">
        <v>25</v>
      </c>
      <c r="U2" s="1109" t="s">
        <v>26</v>
      </c>
      <c r="V2" s="1033" t="s">
        <v>27</v>
      </c>
      <c r="W2" s="1033" t="s">
        <v>28</v>
      </c>
      <c r="X2" s="1110" t="s">
        <v>29</v>
      </c>
      <c r="Y2" s="1146" t="s">
        <v>30</v>
      </c>
      <c r="Z2" s="1147" t="s">
        <v>31</v>
      </c>
      <c r="AA2" s="466" t="s">
        <v>32</v>
      </c>
      <c r="AB2" s="466" t="s">
        <v>3406</v>
      </c>
      <c r="AC2" s="466" t="s">
        <v>33</v>
      </c>
      <c r="AD2" s="466" t="s">
        <v>34</v>
      </c>
      <c r="AE2" s="466" t="s">
        <v>35</v>
      </c>
      <c r="AF2" s="1034" t="s">
        <v>36</v>
      </c>
      <c r="AG2" s="1034"/>
      <c r="AH2" s="1174" t="s">
        <v>37</v>
      </c>
      <c r="AI2" s="1174" t="s">
        <v>38</v>
      </c>
      <c r="AJ2" s="1174" t="s">
        <v>39</v>
      </c>
      <c r="AK2" s="1033" t="s">
        <v>40</v>
      </c>
      <c r="AL2" s="1034" t="s">
        <v>3407</v>
      </c>
      <c r="AM2" s="1175" t="s">
        <v>3408</v>
      </c>
      <c r="AN2" s="1033" t="s">
        <v>41</v>
      </c>
      <c r="AO2" s="1192" t="s">
        <v>42</v>
      </c>
      <c r="AP2" s="1033" t="s">
        <v>3409</v>
      </c>
      <c r="AQ2" s="1192" t="s">
        <v>3410</v>
      </c>
      <c r="AR2" s="1175" t="s">
        <v>43</v>
      </c>
      <c r="AS2" s="1175" t="s">
        <v>3411</v>
      </c>
      <c r="AT2" s="1175" t="s">
        <v>44</v>
      </c>
      <c r="AU2" s="1033" t="s">
        <v>45</v>
      </c>
      <c r="AV2" s="1033" t="s">
        <v>3412</v>
      </c>
      <c r="AW2" s="1198" t="s">
        <v>46</v>
      </c>
      <c r="AX2" s="1198" t="s">
        <v>47</v>
      </c>
      <c r="AY2" s="1198" t="s">
        <v>48</v>
      </c>
      <c r="AZ2" s="1033" t="s">
        <v>3413</v>
      </c>
      <c r="BA2" s="1033" t="s">
        <v>3414</v>
      </c>
      <c r="BB2" s="779" t="s">
        <v>49</v>
      </c>
      <c r="BC2" s="1199" t="s">
        <v>50</v>
      </c>
      <c r="BD2" s="1199" t="s">
        <v>3415</v>
      </c>
      <c r="BE2" s="1207" t="s">
        <v>51</v>
      </c>
      <c r="BF2" s="1207" t="s">
        <v>52</v>
      </c>
      <c r="BG2" s="779" t="s">
        <v>53</v>
      </c>
      <c r="BH2" s="1199" t="s">
        <v>54</v>
      </c>
      <c r="BI2" s="779" t="s">
        <v>55</v>
      </c>
      <c r="BJ2" s="1208" t="s">
        <v>56</v>
      </c>
      <c r="BK2" s="779" t="s">
        <v>3416</v>
      </c>
      <c r="BL2" s="1199" t="s">
        <v>3417</v>
      </c>
      <c r="BM2" s="1212" t="s">
        <v>57</v>
      </c>
      <c r="BN2" s="1199" t="s">
        <v>58</v>
      </c>
      <c r="BO2" s="779" t="s">
        <v>59</v>
      </c>
      <c r="BP2" s="779" t="s">
        <v>60</v>
      </c>
      <c r="BQ2" s="1199" t="s">
        <v>61</v>
      </c>
      <c r="BR2" s="1213" t="s">
        <v>62</v>
      </c>
      <c r="BS2" s="225" t="s">
        <v>63</v>
      </c>
      <c r="BT2" s="1214" t="s">
        <v>64</v>
      </c>
      <c r="BU2" s="225" t="s">
        <v>65</v>
      </c>
      <c r="BV2" s="779" t="s">
        <v>66</v>
      </c>
      <c r="BW2" s="1216" t="s">
        <v>67</v>
      </c>
      <c r="BX2" s="1216" t="s">
        <v>68</v>
      </c>
      <c r="BY2" s="1216" t="s">
        <v>3418</v>
      </c>
      <c r="BZ2" s="1216" t="s">
        <v>69</v>
      </c>
      <c r="CA2" s="1217"/>
      <c r="CB2" s="1218" t="s">
        <v>3419</v>
      </c>
      <c r="CC2" s="238">
        <f>AH57+AH58+AI57+AJ57+AI58+AJ58</f>
        <v>3966263</v>
      </c>
      <c r="CD2" s="1234" t="s">
        <v>3420</v>
      </c>
      <c r="CE2" s="649">
        <f>CC1-CC2</f>
        <v>703737</v>
      </c>
    </row>
    <row r="3" s="1009" customFormat="1" ht="36" customHeight="1" spans="1:83">
      <c r="A3" s="540">
        <v>45719</v>
      </c>
      <c r="B3" s="1036"/>
      <c r="C3" s="1037"/>
      <c r="D3" s="1038" t="s">
        <v>3578</v>
      </c>
      <c r="E3" s="1039"/>
      <c r="F3" s="1038"/>
      <c r="G3" s="1040" t="s">
        <v>73</v>
      </c>
      <c r="H3" s="1041" t="s">
        <v>3579</v>
      </c>
      <c r="I3" s="1078">
        <v>3000</v>
      </c>
      <c r="J3" s="1078">
        <v>0</v>
      </c>
      <c r="K3" s="1078">
        <v>24</v>
      </c>
      <c r="L3" s="1012">
        <f t="shared" ref="L3:L11" si="0">I3/K3</f>
        <v>125</v>
      </c>
      <c r="M3" s="1079">
        <v>45727</v>
      </c>
      <c r="N3" s="1079">
        <v>45723</v>
      </c>
      <c r="O3" s="579"/>
      <c r="P3" s="579" t="s">
        <v>1262</v>
      </c>
      <c r="Q3" s="579"/>
      <c r="R3" s="579" t="s">
        <v>3580</v>
      </c>
      <c r="S3" s="578" t="s">
        <v>77</v>
      </c>
      <c r="T3" s="695" t="s">
        <v>77</v>
      </c>
      <c r="U3" s="1111" t="s">
        <v>3581</v>
      </c>
      <c r="V3" s="1112" t="s">
        <v>2968</v>
      </c>
      <c r="W3" s="1113"/>
      <c r="X3" s="1114"/>
      <c r="Y3" s="1148"/>
      <c r="Z3" s="1149" t="s">
        <v>3421</v>
      </c>
      <c r="AA3" s="1150" t="s">
        <v>128</v>
      </c>
      <c r="AB3" s="1150"/>
      <c r="AC3" s="1151">
        <v>3000</v>
      </c>
      <c r="AD3" s="1151">
        <v>0</v>
      </c>
      <c r="AE3" s="1151"/>
      <c r="AF3" s="579"/>
      <c r="AG3" s="579"/>
      <c r="AH3" s="1176"/>
      <c r="AI3" s="1151"/>
      <c r="AJ3" s="1151"/>
      <c r="AK3" s="1151"/>
      <c r="AL3" s="1151"/>
      <c r="AM3" s="1151"/>
      <c r="AN3" s="1012"/>
      <c r="AO3" s="543"/>
      <c r="AP3" s="543"/>
      <c r="AQ3" s="543"/>
      <c r="AR3" s="543"/>
      <c r="AS3" s="543"/>
      <c r="AT3" s="543"/>
      <c r="AU3" s="543"/>
      <c r="AV3" s="543"/>
      <c r="AW3" s="543"/>
      <c r="AX3" s="543"/>
      <c r="AY3" s="543"/>
      <c r="AZ3" s="543"/>
      <c r="BA3" s="543"/>
      <c r="BB3" s="543"/>
      <c r="BC3" s="1200"/>
      <c r="BD3" s="1200"/>
      <c r="BE3" s="1200"/>
      <c r="BF3" s="1200"/>
      <c r="BG3" s="1200"/>
      <c r="BH3" s="1200"/>
      <c r="BI3" s="1200"/>
      <c r="BJ3" s="1200"/>
      <c r="BK3" s="1200"/>
      <c r="BL3" s="1200"/>
      <c r="BM3" s="1200"/>
      <c r="BN3" s="1200"/>
      <c r="BO3" s="1200"/>
      <c r="BP3" s="1200"/>
      <c r="BQ3" s="1200"/>
      <c r="BR3" s="1200"/>
      <c r="BS3" s="1200"/>
      <c r="BT3" s="1200"/>
      <c r="BU3" s="1200"/>
      <c r="BV3" s="1200"/>
      <c r="BW3" s="1200"/>
      <c r="BX3" s="1200"/>
      <c r="BY3" s="1200"/>
      <c r="BZ3" s="1012"/>
      <c r="CB3" s="1219"/>
      <c r="CC3" s="1219"/>
      <c r="CE3" s="1009">
        <f>CE2-AH3-AI3-AJ3</f>
        <v>703737</v>
      </c>
    </row>
    <row r="4" s="1010" customFormat="1" ht="36" customHeight="1" spans="1:83">
      <c r="A4" s="1042">
        <v>45975</v>
      </c>
      <c r="B4" s="550" t="s">
        <v>4326</v>
      </c>
      <c r="C4" s="552" t="s">
        <v>689</v>
      </c>
      <c r="D4" s="1043">
        <v>4500185718</v>
      </c>
      <c r="E4" s="1044">
        <v>32727064</v>
      </c>
      <c r="F4" s="1043" t="s">
        <v>4327</v>
      </c>
      <c r="G4" s="1045" t="s">
        <v>1435</v>
      </c>
      <c r="H4" s="1046" t="s">
        <v>74</v>
      </c>
      <c r="I4" s="1080">
        <v>1300</v>
      </c>
      <c r="J4" s="1081">
        <v>0</v>
      </c>
      <c r="K4" s="1082">
        <v>13</v>
      </c>
      <c r="L4" s="1080">
        <f t="shared" si="0"/>
        <v>100</v>
      </c>
      <c r="M4" s="1083">
        <v>46017</v>
      </c>
      <c r="N4" s="1083">
        <v>46013</v>
      </c>
      <c r="O4" s="449" t="s">
        <v>863</v>
      </c>
      <c r="P4" s="449" t="s">
        <v>92</v>
      </c>
      <c r="Q4" s="449" t="s">
        <v>4328</v>
      </c>
      <c r="R4" s="449">
        <v>45975</v>
      </c>
      <c r="S4" s="1115" t="s">
        <v>77</v>
      </c>
      <c r="T4" s="586" t="s">
        <v>4263</v>
      </c>
      <c r="U4" s="1044" t="s">
        <v>4329</v>
      </c>
      <c r="V4" s="1116" t="s">
        <v>695</v>
      </c>
      <c r="W4" s="1117">
        <v>1.3618</v>
      </c>
      <c r="X4" s="1118">
        <f>I4*W4</f>
        <v>1770.34</v>
      </c>
      <c r="Y4" s="1152"/>
      <c r="Z4" s="1153" t="s">
        <v>4100</v>
      </c>
      <c r="AA4" s="1154" t="s">
        <v>128</v>
      </c>
      <c r="AB4" s="1154" t="s">
        <v>4278</v>
      </c>
      <c r="AC4" s="1155">
        <v>1300</v>
      </c>
      <c r="AD4" s="1155"/>
      <c r="AE4" s="1155"/>
      <c r="AF4" s="449"/>
      <c r="AG4" s="449"/>
      <c r="AH4" s="1155"/>
      <c r="AI4" s="1177">
        <f>I4</f>
        <v>1300</v>
      </c>
      <c r="AJ4" s="1155"/>
      <c r="AK4" s="1155"/>
      <c r="AL4" s="1155"/>
      <c r="AM4" s="1155"/>
      <c r="AN4" s="1178"/>
      <c r="AO4" s="1178"/>
      <c r="AP4" s="1178"/>
      <c r="AQ4" s="520">
        <f>I4</f>
        <v>1300</v>
      </c>
      <c r="AR4" s="1178"/>
      <c r="AS4" s="1178"/>
      <c r="AT4" s="1178"/>
      <c r="AU4" s="520">
        <f>I4</f>
        <v>1300</v>
      </c>
      <c r="AW4" s="520"/>
      <c r="AX4" s="520"/>
      <c r="AY4" s="520"/>
      <c r="AZ4" s="520">
        <f>I4</f>
        <v>1300</v>
      </c>
      <c r="BA4" s="520">
        <f>I4</f>
        <v>1300</v>
      </c>
      <c r="BB4" s="1178"/>
      <c r="BC4" s="1201"/>
      <c r="BD4" s="1201"/>
      <c r="BE4" s="1201"/>
      <c r="BF4" s="1201"/>
      <c r="BG4" s="1201"/>
      <c r="BH4" s="1201"/>
      <c r="BI4" s="1201"/>
      <c r="BJ4" s="1201"/>
      <c r="BK4" s="1201"/>
      <c r="BL4" s="1209">
        <f>I4/13</f>
        <v>100</v>
      </c>
      <c r="BM4" s="1201"/>
      <c r="BN4" s="1201"/>
      <c r="BO4" s="1201"/>
      <c r="BP4" s="1201"/>
      <c r="BQ4" s="1201"/>
      <c r="BR4" s="1201"/>
      <c r="BS4" s="1201"/>
      <c r="BT4" s="1201"/>
      <c r="BU4" s="1201"/>
      <c r="BV4" s="1201"/>
      <c r="BW4" s="1220"/>
      <c r="BX4" s="1201"/>
      <c r="BY4" s="1201"/>
      <c r="BZ4" s="1080">
        <f>AH4+AI4+AJ4</f>
        <v>1300</v>
      </c>
      <c r="CB4" s="1221"/>
      <c r="CC4" s="1221"/>
      <c r="CE4" s="1235">
        <f>CE3-AH4-AI4-AJ4</f>
        <v>702437</v>
      </c>
    </row>
    <row r="5" s="1010" customFormat="1" ht="36" customHeight="1" spans="1:83">
      <c r="A5" s="1042">
        <v>45960</v>
      </c>
      <c r="B5" s="550" t="s">
        <v>4330</v>
      </c>
      <c r="C5" s="552" t="s">
        <v>117</v>
      </c>
      <c r="D5" s="1043">
        <v>4500183805</v>
      </c>
      <c r="E5" s="1044" t="s">
        <v>4331</v>
      </c>
      <c r="F5" s="1043" t="s">
        <v>4332</v>
      </c>
      <c r="G5" s="1045" t="s">
        <v>628</v>
      </c>
      <c r="H5" s="693" t="s">
        <v>623</v>
      </c>
      <c r="I5" s="1010">
        <v>996</v>
      </c>
      <c r="J5" s="1084">
        <v>0</v>
      </c>
      <c r="K5" s="1045">
        <v>12</v>
      </c>
      <c r="L5" s="1010">
        <f t="shared" si="0"/>
        <v>83</v>
      </c>
      <c r="M5" s="1083">
        <v>46022</v>
      </c>
      <c r="N5" s="1083">
        <v>46018</v>
      </c>
      <c r="O5" s="449" t="s">
        <v>4317</v>
      </c>
      <c r="P5" s="449" t="s">
        <v>1262</v>
      </c>
      <c r="Q5" s="449" t="s">
        <v>3217</v>
      </c>
      <c r="R5" s="449">
        <v>45965</v>
      </c>
      <c r="S5" s="448" t="s">
        <v>77</v>
      </c>
      <c r="T5" s="586" t="s">
        <v>4333</v>
      </c>
      <c r="U5" s="1044" t="s">
        <v>4334</v>
      </c>
      <c r="V5" s="1116" t="s">
        <v>3618</v>
      </c>
      <c r="W5" s="1119">
        <v>1.8222</v>
      </c>
      <c r="X5" s="1120">
        <f>W5*I5</f>
        <v>1814.9112</v>
      </c>
      <c r="Y5" s="1152"/>
      <c r="Z5" s="1153" t="s">
        <v>628</v>
      </c>
      <c r="AA5" s="1154" t="s">
        <v>128</v>
      </c>
      <c r="AB5" s="1154">
        <v>1</v>
      </c>
      <c r="AC5" s="1155"/>
      <c r="AD5" s="1155"/>
      <c r="AE5" s="1155" t="s">
        <v>4335</v>
      </c>
      <c r="AF5" s="449"/>
      <c r="AG5" s="449"/>
      <c r="AH5" s="1155">
        <f>I5*2</f>
        <v>1992</v>
      </c>
      <c r="AI5" s="1155"/>
      <c r="AJ5" s="1155"/>
      <c r="AK5" s="1155">
        <f>I5*2</f>
        <v>1992</v>
      </c>
      <c r="AL5" s="1155"/>
      <c r="AM5" s="1155"/>
      <c r="AN5" s="1178"/>
      <c r="AO5" s="1178"/>
      <c r="AP5" s="1178"/>
      <c r="AQ5" s="1178"/>
      <c r="AR5" s="1178"/>
      <c r="AS5" s="1178"/>
      <c r="AT5" s="1178"/>
      <c r="AU5" s="1178">
        <f>I5*2</f>
        <v>1992</v>
      </c>
      <c r="AV5" s="1178"/>
      <c r="AW5" s="1178"/>
      <c r="AX5" s="1178"/>
      <c r="AY5" s="1178"/>
      <c r="AZ5" s="1178"/>
      <c r="BA5" s="1178"/>
      <c r="BB5" s="1178"/>
      <c r="BC5" s="1201"/>
      <c r="BD5" s="1201"/>
      <c r="BE5" s="1201"/>
      <c r="BF5" s="1201"/>
      <c r="BG5" s="1201"/>
      <c r="BH5" s="1201"/>
      <c r="BI5" s="1201"/>
      <c r="BJ5" s="1201"/>
      <c r="BK5" s="1201"/>
      <c r="BL5" s="1201"/>
      <c r="BM5" s="1201"/>
      <c r="BN5" s="1201"/>
      <c r="BO5" s="1201"/>
      <c r="BP5" s="1201"/>
      <c r="BQ5" s="1201"/>
      <c r="BR5" s="1201"/>
      <c r="BS5" s="1201"/>
      <c r="BT5" s="1201"/>
      <c r="BU5" s="1201"/>
      <c r="BV5" s="1201"/>
      <c r="BW5" s="1220">
        <f>I5</f>
        <v>996</v>
      </c>
      <c r="BX5" s="1201">
        <f>I5</f>
        <v>996</v>
      </c>
      <c r="BY5" s="1201"/>
      <c r="BZ5" s="1010">
        <f>I5</f>
        <v>996</v>
      </c>
      <c r="CB5" s="1221"/>
      <c r="CC5" s="1221"/>
      <c r="CE5" s="1235">
        <f t="shared" ref="CE5:CE14" si="1">CE4-AH5-AI5-AJ5</f>
        <v>700445</v>
      </c>
    </row>
    <row r="6" s="1010" customFormat="1" ht="36" customHeight="1" spans="1:83">
      <c r="A6" s="1042">
        <v>45960</v>
      </c>
      <c r="B6" s="550" t="s">
        <v>1794</v>
      </c>
      <c r="C6" s="552" t="s">
        <v>117</v>
      </c>
      <c r="D6" s="1043">
        <v>4500183809</v>
      </c>
      <c r="E6" s="1044" t="s">
        <v>4336</v>
      </c>
      <c r="F6" s="1043" t="s">
        <v>4337</v>
      </c>
      <c r="G6" s="1045" t="s">
        <v>628</v>
      </c>
      <c r="H6" s="693" t="s">
        <v>623</v>
      </c>
      <c r="I6" s="1010">
        <v>1200</v>
      </c>
      <c r="J6" s="1084">
        <v>0</v>
      </c>
      <c r="K6" s="1045">
        <v>12</v>
      </c>
      <c r="L6" s="1010">
        <f t="shared" si="0"/>
        <v>100</v>
      </c>
      <c r="M6" s="1083">
        <v>46022</v>
      </c>
      <c r="N6" s="1083">
        <v>46018</v>
      </c>
      <c r="O6" s="449" t="s">
        <v>4317</v>
      </c>
      <c r="P6" s="449" t="s">
        <v>1262</v>
      </c>
      <c r="Q6" s="449" t="s">
        <v>4338</v>
      </c>
      <c r="R6" s="449">
        <v>45965</v>
      </c>
      <c r="S6" s="448" t="s">
        <v>77</v>
      </c>
      <c r="T6" s="586" t="s">
        <v>4333</v>
      </c>
      <c r="U6" s="1044" t="s">
        <v>4319</v>
      </c>
      <c r="V6" s="1116" t="s">
        <v>1341</v>
      </c>
      <c r="W6" s="1119">
        <v>1.8004</v>
      </c>
      <c r="X6" s="1120">
        <f>W6*I6</f>
        <v>2160.48</v>
      </c>
      <c r="Y6" s="1152"/>
      <c r="Z6" s="1153" t="s">
        <v>628</v>
      </c>
      <c r="AA6" s="1154" t="s">
        <v>128</v>
      </c>
      <c r="AB6" s="1154">
        <v>1</v>
      </c>
      <c r="AC6" s="1155"/>
      <c r="AD6" s="1155"/>
      <c r="AE6" s="1155" t="s">
        <v>4335</v>
      </c>
      <c r="AF6" s="449"/>
      <c r="AG6" s="449"/>
      <c r="AH6" s="1155">
        <f>I6*2</f>
        <v>2400</v>
      </c>
      <c r="AI6" s="1155"/>
      <c r="AJ6" s="1155"/>
      <c r="AK6" s="1155">
        <f>I6*2</f>
        <v>2400</v>
      </c>
      <c r="AL6" s="1155"/>
      <c r="AM6" s="1155"/>
      <c r="AN6" s="1178"/>
      <c r="AO6" s="1178"/>
      <c r="AP6" s="1178"/>
      <c r="AQ6" s="1178"/>
      <c r="AR6" s="1178"/>
      <c r="AS6" s="1178"/>
      <c r="AT6" s="1178"/>
      <c r="AU6" s="1178">
        <f>I6*2</f>
        <v>2400</v>
      </c>
      <c r="AV6" s="1178"/>
      <c r="AW6" s="1178"/>
      <c r="AX6" s="1178"/>
      <c r="AY6" s="1178"/>
      <c r="AZ6" s="1178"/>
      <c r="BA6" s="1178"/>
      <c r="BB6" s="1178"/>
      <c r="BC6" s="1201"/>
      <c r="BD6" s="1201"/>
      <c r="BE6" s="1201"/>
      <c r="BF6" s="1201"/>
      <c r="BG6" s="1201"/>
      <c r="BH6" s="1201"/>
      <c r="BI6" s="1201"/>
      <c r="BJ6" s="1201"/>
      <c r="BK6" s="1201"/>
      <c r="BL6" s="1201"/>
      <c r="BM6" s="1201"/>
      <c r="BN6" s="1201"/>
      <c r="BO6" s="1201"/>
      <c r="BP6" s="1201"/>
      <c r="BQ6" s="1201"/>
      <c r="BR6" s="1201"/>
      <c r="BS6" s="1201"/>
      <c r="BT6" s="1201"/>
      <c r="BU6" s="1201"/>
      <c r="BV6" s="1201"/>
      <c r="BW6" s="1220">
        <f>I6</f>
        <v>1200</v>
      </c>
      <c r="BX6" s="1201">
        <f>I6</f>
        <v>1200</v>
      </c>
      <c r="BY6" s="1201"/>
      <c r="BZ6" s="1010">
        <f>I6</f>
        <v>1200</v>
      </c>
      <c r="CB6" s="1221"/>
      <c r="CC6" s="1221"/>
      <c r="CE6" s="1235">
        <f t="shared" si="1"/>
        <v>698045</v>
      </c>
    </row>
    <row r="7" s="1010" customFormat="1" ht="36" customHeight="1" spans="1:83">
      <c r="A7" s="1042">
        <v>45988</v>
      </c>
      <c r="B7" s="550" t="s">
        <v>1794</v>
      </c>
      <c r="C7" s="552" t="s">
        <v>117</v>
      </c>
      <c r="D7" s="1043">
        <v>4500187232</v>
      </c>
      <c r="E7" s="1044">
        <v>765820</v>
      </c>
      <c r="F7" s="1043" t="s">
        <v>4339</v>
      </c>
      <c r="G7" s="1045" t="s">
        <v>628</v>
      </c>
      <c r="H7" s="693" t="s">
        <v>623</v>
      </c>
      <c r="I7" s="1010">
        <v>1200</v>
      </c>
      <c r="J7" s="1084">
        <v>0</v>
      </c>
      <c r="K7" s="1045">
        <v>12</v>
      </c>
      <c r="L7" s="1010">
        <f t="shared" si="0"/>
        <v>100</v>
      </c>
      <c r="M7" s="1083">
        <v>46029</v>
      </c>
      <c r="N7" s="1083">
        <v>46027</v>
      </c>
      <c r="O7" s="449"/>
      <c r="P7" s="449" t="s">
        <v>1262</v>
      </c>
      <c r="Q7" s="449" t="s">
        <v>4340</v>
      </c>
      <c r="R7" s="449">
        <v>45973</v>
      </c>
      <c r="S7" s="448" t="s">
        <v>77</v>
      </c>
      <c r="T7" s="586" t="s">
        <v>4333</v>
      </c>
      <c r="U7" s="1044" t="s">
        <v>4341</v>
      </c>
      <c r="V7" s="1116" t="s">
        <v>1341</v>
      </c>
      <c r="W7" s="1119">
        <v>1.8004</v>
      </c>
      <c r="X7" s="1120">
        <f>W7*I7</f>
        <v>2160.48</v>
      </c>
      <c r="Y7" s="1152"/>
      <c r="Z7" s="1153" t="s">
        <v>628</v>
      </c>
      <c r="AA7" s="1154" t="s">
        <v>128</v>
      </c>
      <c r="AB7" s="1154">
        <v>1</v>
      </c>
      <c r="AC7" s="1155">
        <v>1200</v>
      </c>
      <c r="AD7" s="1155"/>
      <c r="AE7" s="1155" t="s">
        <v>4335</v>
      </c>
      <c r="AF7" s="449"/>
      <c r="AG7" s="449"/>
      <c r="AH7" s="1155">
        <f>I7*2</f>
        <v>2400</v>
      </c>
      <c r="AI7" s="1155"/>
      <c r="AJ7" s="1155"/>
      <c r="AL7" s="1155"/>
      <c r="AM7" s="1155">
        <f>I7*2</f>
        <v>2400</v>
      </c>
      <c r="AN7" s="1178"/>
      <c r="AO7" s="1178"/>
      <c r="AP7" s="1178"/>
      <c r="AQ7" s="1178"/>
      <c r="AR7" s="1178"/>
      <c r="AS7" s="1178"/>
      <c r="AT7" s="1178"/>
      <c r="AU7" s="1178">
        <f>I7*2</f>
        <v>2400</v>
      </c>
      <c r="AV7" s="1178"/>
      <c r="AW7" s="1178"/>
      <c r="AX7" s="1178"/>
      <c r="AY7" s="1178"/>
      <c r="AZ7" s="1178"/>
      <c r="BA7" s="1178"/>
      <c r="BB7" s="1178"/>
      <c r="BC7" s="1201"/>
      <c r="BD7" s="1201"/>
      <c r="BE7" s="1201"/>
      <c r="BF7" s="1201"/>
      <c r="BG7" s="1201"/>
      <c r="BH7" s="1201"/>
      <c r="BI7" s="1201"/>
      <c r="BJ7" s="1201"/>
      <c r="BK7" s="1201"/>
      <c r="BL7" s="1201"/>
      <c r="BM7" s="1201"/>
      <c r="BN7" s="1201"/>
      <c r="BO7" s="1201"/>
      <c r="BP7" s="1201"/>
      <c r="BQ7" s="1201"/>
      <c r="BR7" s="1201"/>
      <c r="BS7" s="1201"/>
      <c r="BT7" s="1201"/>
      <c r="BU7" s="1201"/>
      <c r="BV7" s="1201"/>
      <c r="BW7" s="1201">
        <f>I7</f>
        <v>1200</v>
      </c>
      <c r="BX7" s="1201"/>
      <c r="BY7" s="1201">
        <f>BW7</f>
        <v>1200</v>
      </c>
      <c r="BZ7" s="1010">
        <f>AH7+AI7+AJ7</f>
        <v>2400</v>
      </c>
      <c r="CB7" s="1221"/>
      <c r="CC7" s="1221"/>
      <c r="CE7" s="1235">
        <f t="shared" si="1"/>
        <v>695645</v>
      </c>
    </row>
    <row r="8" s="1010" customFormat="1" ht="36" customHeight="1" spans="1:83">
      <c r="A8" s="1042">
        <v>45988</v>
      </c>
      <c r="B8" s="550" t="s">
        <v>1794</v>
      </c>
      <c r="C8" s="552" t="s">
        <v>117</v>
      </c>
      <c r="D8" s="1043">
        <v>4500187228</v>
      </c>
      <c r="E8" s="1044">
        <v>765819</v>
      </c>
      <c r="F8" s="1043" t="s">
        <v>4342</v>
      </c>
      <c r="G8" s="1045" t="s">
        <v>628</v>
      </c>
      <c r="H8" s="693" t="s">
        <v>623</v>
      </c>
      <c r="I8" s="1010">
        <v>996</v>
      </c>
      <c r="J8" s="1084">
        <v>0</v>
      </c>
      <c r="K8" s="1045">
        <v>12</v>
      </c>
      <c r="L8" s="1010">
        <f t="shared" si="0"/>
        <v>83</v>
      </c>
      <c r="M8" s="1083">
        <v>46029</v>
      </c>
      <c r="N8" s="1083">
        <v>46027</v>
      </c>
      <c r="O8" s="449"/>
      <c r="P8" s="449" t="s">
        <v>1262</v>
      </c>
      <c r="Q8" s="449" t="s">
        <v>4340</v>
      </c>
      <c r="R8" s="449">
        <v>45973</v>
      </c>
      <c r="S8" s="448" t="s">
        <v>77</v>
      </c>
      <c r="T8" s="586" t="s">
        <v>4333</v>
      </c>
      <c r="U8" s="1044" t="s">
        <v>4343</v>
      </c>
      <c r="V8" s="1116" t="s">
        <v>1341</v>
      </c>
      <c r="W8" s="1119">
        <v>1.8004</v>
      </c>
      <c r="X8" s="1120">
        <f>W8*I8</f>
        <v>1793.1984</v>
      </c>
      <c r="Y8" s="1152"/>
      <c r="Z8" s="1153" t="s">
        <v>628</v>
      </c>
      <c r="AA8" s="1154" t="s">
        <v>128</v>
      </c>
      <c r="AB8" s="1154">
        <v>1</v>
      </c>
      <c r="AC8" s="1155">
        <v>996</v>
      </c>
      <c r="AD8" s="1155"/>
      <c r="AE8" s="1155" t="s">
        <v>4335</v>
      </c>
      <c r="AF8" s="449"/>
      <c r="AG8" s="449"/>
      <c r="AH8" s="1155">
        <f>I8*2</f>
        <v>1992</v>
      </c>
      <c r="AI8" s="1155"/>
      <c r="AJ8" s="1155"/>
      <c r="AL8" s="1155"/>
      <c r="AM8" s="1155">
        <f>I8*2</f>
        <v>1992</v>
      </c>
      <c r="AN8" s="1178"/>
      <c r="AO8" s="1178"/>
      <c r="AP8" s="1178"/>
      <c r="AQ8" s="1178"/>
      <c r="AR8" s="1178"/>
      <c r="AS8" s="1178"/>
      <c r="AT8" s="1178"/>
      <c r="AU8" s="1178">
        <f>I8*2</f>
        <v>1992</v>
      </c>
      <c r="AV8" s="1178"/>
      <c r="AW8" s="1178"/>
      <c r="AX8" s="1178"/>
      <c r="AY8" s="1178"/>
      <c r="AZ8" s="1178"/>
      <c r="BA8" s="1178"/>
      <c r="BB8" s="1178"/>
      <c r="BC8" s="1201"/>
      <c r="BD8" s="1201"/>
      <c r="BE8" s="1201"/>
      <c r="BF8" s="1201"/>
      <c r="BG8" s="1201"/>
      <c r="BH8" s="1201"/>
      <c r="BI8" s="1201"/>
      <c r="BJ8" s="1201"/>
      <c r="BK8" s="1201"/>
      <c r="BL8" s="1201"/>
      <c r="BM8" s="1201"/>
      <c r="BN8" s="1201"/>
      <c r="BO8" s="1201"/>
      <c r="BP8" s="1201"/>
      <c r="BQ8" s="1201"/>
      <c r="BR8" s="1201"/>
      <c r="BS8" s="1201"/>
      <c r="BT8" s="1201"/>
      <c r="BU8" s="1201"/>
      <c r="BV8" s="1201"/>
      <c r="BW8" s="1201">
        <f>I8</f>
        <v>996</v>
      </c>
      <c r="BX8" s="1201"/>
      <c r="BY8" s="1201">
        <f>BW8</f>
        <v>996</v>
      </c>
      <c r="BZ8" s="1010">
        <f>AH8+AI8+AJ8</f>
        <v>1992</v>
      </c>
      <c r="CB8" s="1221"/>
      <c r="CC8" s="1221"/>
      <c r="CE8" s="1235">
        <f t="shared" si="1"/>
        <v>693653</v>
      </c>
    </row>
    <row r="9" s="1011" customFormat="1" ht="36" customHeight="1" spans="1:83">
      <c r="A9" s="1047">
        <v>46027</v>
      </c>
      <c r="B9" s="1048" t="s">
        <v>4344</v>
      </c>
      <c r="C9" s="1049" t="s">
        <v>4345</v>
      </c>
      <c r="D9" s="1050">
        <v>4500190681</v>
      </c>
      <c r="E9" s="1051"/>
      <c r="F9" s="1050" t="s">
        <v>4346</v>
      </c>
      <c r="G9" s="1052" t="s">
        <v>215</v>
      </c>
      <c r="H9" s="1053" t="s">
        <v>74</v>
      </c>
      <c r="I9" s="1011">
        <v>294</v>
      </c>
      <c r="J9" s="1085">
        <v>0</v>
      </c>
      <c r="K9" s="1052">
        <v>42</v>
      </c>
      <c r="L9" s="1011">
        <f t="shared" si="0"/>
        <v>7</v>
      </c>
      <c r="M9" s="1086">
        <v>46057</v>
      </c>
      <c r="N9" s="1079">
        <f>M9-4</f>
        <v>46053</v>
      </c>
      <c r="O9" s="707"/>
      <c r="P9" s="707" t="s">
        <v>1262</v>
      </c>
      <c r="Q9" s="1121" t="s">
        <v>4400</v>
      </c>
      <c r="R9" s="707">
        <v>46028</v>
      </c>
      <c r="S9" s="1122" t="s">
        <v>77</v>
      </c>
      <c r="T9" s="1123" t="s">
        <v>77</v>
      </c>
      <c r="U9" s="1051" t="s">
        <v>4347</v>
      </c>
      <c r="V9" s="1124" t="s">
        <v>4348</v>
      </c>
      <c r="W9" s="1125">
        <v>1.4091</v>
      </c>
      <c r="X9" s="1126">
        <f>I9*W9</f>
        <v>414.2754</v>
      </c>
      <c r="Z9" s="1156" t="s">
        <v>215</v>
      </c>
      <c r="AA9" s="1157" t="s">
        <v>128</v>
      </c>
      <c r="AB9" s="1011">
        <v>1</v>
      </c>
      <c r="AC9" s="1158">
        <v>294</v>
      </c>
      <c r="AD9" s="1158"/>
      <c r="AE9" s="1158"/>
      <c r="AF9" s="707"/>
      <c r="AG9" s="707"/>
      <c r="AH9" s="1158">
        <f>I9</f>
        <v>294</v>
      </c>
      <c r="AI9" s="1158"/>
      <c r="AJ9" s="1158"/>
      <c r="AK9" s="1158"/>
      <c r="AL9" s="1158"/>
      <c r="AM9" s="1158"/>
      <c r="AO9" s="1193"/>
      <c r="AP9" s="1194">
        <f>I9</f>
        <v>294</v>
      </c>
      <c r="AQ9" s="1194"/>
      <c r="AR9" s="1194"/>
      <c r="AS9" s="1194"/>
      <c r="AT9" s="1194"/>
      <c r="AU9" s="1194"/>
      <c r="AV9" s="543">
        <f>I9</f>
        <v>294</v>
      </c>
      <c r="AW9" s="1193"/>
      <c r="AX9" s="1193"/>
      <c r="AY9" s="1193"/>
      <c r="AZ9" s="1193"/>
      <c r="BA9" s="1193"/>
      <c r="BB9" s="543">
        <f>I9/21</f>
        <v>14</v>
      </c>
      <c r="BC9" s="1202"/>
      <c r="BD9" s="1202"/>
      <c r="BE9" s="1202"/>
      <c r="BF9" s="1202"/>
      <c r="BG9" s="1202"/>
      <c r="BH9" s="1202"/>
      <c r="BI9" s="1202"/>
      <c r="BJ9" s="1202"/>
      <c r="BK9" s="1202"/>
      <c r="BL9" s="1202"/>
      <c r="BM9" s="1202"/>
      <c r="BN9" s="1202"/>
      <c r="BO9" s="1202"/>
      <c r="BP9" s="1202"/>
      <c r="BQ9" s="1202"/>
      <c r="BR9" s="1202"/>
      <c r="BS9" s="1202"/>
      <c r="BT9" s="1202"/>
      <c r="BU9" s="1202"/>
      <c r="BV9" s="1222"/>
      <c r="BW9" s="1222"/>
      <c r="BX9" s="1222"/>
      <c r="BY9" s="1222"/>
      <c r="BZ9" s="1011">
        <f>AH9+AI9+AJ9</f>
        <v>294</v>
      </c>
      <c r="CB9" s="1223"/>
      <c r="CC9" s="1223"/>
      <c r="CE9" s="1009">
        <f t="shared" si="1"/>
        <v>693359</v>
      </c>
    </row>
    <row r="10" s="1012" customFormat="1" ht="36" customHeight="1" spans="1:83">
      <c r="A10" s="540">
        <v>46015</v>
      </c>
      <c r="B10" s="1036" t="s">
        <v>1794</v>
      </c>
      <c r="C10" s="1037" t="s">
        <v>117</v>
      </c>
      <c r="D10" s="1038">
        <v>4500189850</v>
      </c>
      <c r="E10" s="1039">
        <v>951854</v>
      </c>
      <c r="F10" s="1038" t="s">
        <v>4349</v>
      </c>
      <c r="G10" s="1040" t="s">
        <v>628</v>
      </c>
      <c r="H10" s="1041" t="s">
        <v>623</v>
      </c>
      <c r="I10" s="1012">
        <v>996</v>
      </c>
      <c r="J10" s="1087">
        <v>0</v>
      </c>
      <c r="K10" s="1040">
        <v>12</v>
      </c>
      <c r="L10" s="1012">
        <f t="shared" si="0"/>
        <v>83</v>
      </c>
      <c r="M10" s="1079">
        <v>46058</v>
      </c>
      <c r="N10" s="1079">
        <v>46055</v>
      </c>
      <c r="O10" s="579"/>
      <c r="P10" s="579" t="s">
        <v>92</v>
      </c>
      <c r="Q10" s="579" t="s">
        <v>4401</v>
      </c>
      <c r="R10" s="579">
        <v>46015</v>
      </c>
      <c r="S10" s="578" t="s">
        <v>77</v>
      </c>
      <c r="T10" s="1127" t="s">
        <v>4402</v>
      </c>
      <c r="U10" s="1039" t="s">
        <v>4351</v>
      </c>
      <c r="V10" s="1112" t="s">
        <v>1341</v>
      </c>
      <c r="W10" s="1113">
        <v>1.8222</v>
      </c>
      <c r="X10" s="1114">
        <f>W10*I10</f>
        <v>1814.9112</v>
      </c>
      <c r="Y10" s="1148"/>
      <c r="Z10" s="1159" t="s">
        <v>628</v>
      </c>
      <c r="AA10" s="1150" t="s">
        <v>128</v>
      </c>
      <c r="AB10" s="1157">
        <v>1</v>
      </c>
      <c r="AC10" s="1151">
        <v>996</v>
      </c>
      <c r="AD10" s="1151"/>
      <c r="AE10" s="1151" t="s">
        <v>4335</v>
      </c>
      <c r="AF10" s="579"/>
      <c r="AG10" s="579"/>
      <c r="AH10" s="1151">
        <f>I10*2</f>
        <v>1992</v>
      </c>
      <c r="AI10" s="1151"/>
      <c r="AJ10" s="1151"/>
      <c r="AK10" s="1151"/>
      <c r="AL10" s="1151"/>
      <c r="AM10" s="1151">
        <f>I10*2</f>
        <v>1992</v>
      </c>
      <c r="AN10" s="543"/>
      <c r="AO10" s="543"/>
      <c r="AP10" s="543"/>
      <c r="AQ10" s="543"/>
      <c r="AR10" s="543"/>
      <c r="AS10" s="543"/>
      <c r="AT10" s="543"/>
      <c r="AU10" s="543">
        <f>I10*2</f>
        <v>1992</v>
      </c>
      <c r="AV10" s="543"/>
      <c r="AW10" s="543"/>
      <c r="AX10" s="543"/>
      <c r="AY10" s="543"/>
      <c r="AZ10" s="543"/>
      <c r="BA10" s="543"/>
      <c r="BB10" s="543"/>
      <c r="BC10" s="1200"/>
      <c r="BD10" s="1200"/>
      <c r="BE10" s="1200"/>
      <c r="BF10" s="1200"/>
      <c r="BG10" s="1200"/>
      <c r="BH10" s="1200"/>
      <c r="BI10" s="1200"/>
      <c r="BJ10" s="1200"/>
      <c r="BK10" s="1200"/>
      <c r="BL10" s="1200"/>
      <c r="BM10" s="1200"/>
      <c r="BN10" s="1200"/>
      <c r="BO10" s="1200"/>
      <c r="BP10" s="1200"/>
      <c r="BQ10" s="1200"/>
      <c r="BR10" s="1200"/>
      <c r="BS10" s="1200"/>
      <c r="BT10" s="1200"/>
      <c r="BU10" s="1200"/>
      <c r="BV10" s="1200"/>
      <c r="BW10" s="1200">
        <f>I10</f>
        <v>996</v>
      </c>
      <c r="BX10" s="1200"/>
      <c r="BY10" s="1200">
        <f>BW10</f>
        <v>996</v>
      </c>
      <c r="BZ10" s="1012">
        <f>AH10+AI10+AJ10</f>
        <v>1992</v>
      </c>
      <c r="CB10" s="1224"/>
      <c r="CC10" s="1224"/>
      <c r="CE10" s="1009">
        <f t="shared" si="1"/>
        <v>691367</v>
      </c>
    </row>
    <row r="11" s="1012" customFormat="1" ht="36" customHeight="1" spans="1:83">
      <c r="A11" s="540">
        <v>46015</v>
      </c>
      <c r="B11" s="1036" t="s">
        <v>1794</v>
      </c>
      <c r="C11" s="1037" t="s">
        <v>117</v>
      </c>
      <c r="D11" s="1038">
        <v>4500189851</v>
      </c>
      <c r="E11" s="1039">
        <v>951857</v>
      </c>
      <c r="F11" s="1038" t="s">
        <v>4352</v>
      </c>
      <c r="G11" s="1040" t="s">
        <v>628</v>
      </c>
      <c r="H11" s="1041" t="s">
        <v>623</v>
      </c>
      <c r="I11" s="1012">
        <v>1200</v>
      </c>
      <c r="J11" s="1087">
        <v>0</v>
      </c>
      <c r="K11" s="1040">
        <v>12</v>
      </c>
      <c r="L11" s="1012">
        <f t="shared" si="0"/>
        <v>100</v>
      </c>
      <c r="M11" s="1079">
        <v>46058</v>
      </c>
      <c r="N11" s="1079">
        <v>46055</v>
      </c>
      <c r="O11" s="579"/>
      <c r="P11" s="579" t="s">
        <v>92</v>
      </c>
      <c r="Q11" s="579" t="s">
        <v>4403</v>
      </c>
      <c r="R11" s="579">
        <v>46015</v>
      </c>
      <c r="S11" s="578" t="s">
        <v>77</v>
      </c>
      <c r="T11" s="1127" t="s">
        <v>4402</v>
      </c>
      <c r="U11" s="1039" t="s">
        <v>4353</v>
      </c>
      <c r="V11" s="1112" t="s">
        <v>1341</v>
      </c>
      <c r="W11" s="1113">
        <v>1.8004</v>
      </c>
      <c r="X11" s="1114">
        <f>W11*I11</f>
        <v>2160.48</v>
      </c>
      <c r="Y11" s="1148"/>
      <c r="Z11" s="1159" t="s">
        <v>628</v>
      </c>
      <c r="AA11" s="1150" t="s">
        <v>128</v>
      </c>
      <c r="AB11" s="1150">
        <v>1</v>
      </c>
      <c r="AC11" s="1151">
        <v>1200</v>
      </c>
      <c r="AD11" s="1151"/>
      <c r="AE11" s="1151" t="s">
        <v>4335</v>
      </c>
      <c r="AF11" s="579"/>
      <c r="AG11" s="579"/>
      <c r="AH11" s="1151">
        <f>I11*2</f>
        <v>2400</v>
      </c>
      <c r="AI11" s="1151"/>
      <c r="AJ11" s="1151"/>
      <c r="AK11" s="1151"/>
      <c r="AL11" s="1151"/>
      <c r="AM11" s="1151">
        <f>I11*2</f>
        <v>2400</v>
      </c>
      <c r="AN11" s="543"/>
      <c r="AO11" s="543"/>
      <c r="AP11" s="543"/>
      <c r="AQ11" s="543"/>
      <c r="AR11" s="543"/>
      <c r="AS11" s="543"/>
      <c r="AT11" s="543"/>
      <c r="AU11" s="543">
        <f>I11*2</f>
        <v>2400</v>
      </c>
      <c r="AV11" s="543"/>
      <c r="AW11" s="543"/>
      <c r="AX11" s="543"/>
      <c r="AY11" s="543"/>
      <c r="AZ11" s="543"/>
      <c r="BA11" s="543"/>
      <c r="BB11" s="543"/>
      <c r="BC11" s="1200"/>
      <c r="BD11" s="1200"/>
      <c r="BE11" s="1200"/>
      <c r="BF11" s="1200"/>
      <c r="BG11" s="1200"/>
      <c r="BH11" s="1200"/>
      <c r="BI11" s="1200"/>
      <c r="BJ11" s="1200"/>
      <c r="BK11" s="1200"/>
      <c r="BL11" s="1200"/>
      <c r="BM11" s="1200"/>
      <c r="BN11" s="1200"/>
      <c r="BO11" s="1200"/>
      <c r="BP11" s="1200"/>
      <c r="BQ11" s="1200"/>
      <c r="BR11" s="1200"/>
      <c r="BS11" s="1200"/>
      <c r="BT11" s="1200"/>
      <c r="BU11" s="1200"/>
      <c r="BV11" s="1200"/>
      <c r="BW11" s="1200">
        <f>I11</f>
        <v>1200</v>
      </c>
      <c r="BX11" s="1200"/>
      <c r="BY11" s="1200">
        <f>BW11</f>
        <v>1200</v>
      </c>
      <c r="BZ11" s="1012">
        <f>AH11+AI11+AJ11</f>
        <v>2400</v>
      </c>
      <c r="CB11" s="1224"/>
      <c r="CC11" s="1224"/>
      <c r="CE11" s="1009">
        <f t="shared" si="1"/>
        <v>688967</v>
      </c>
    </row>
    <row r="12" s="1010" customFormat="1" ht="36" customHeight="1" spans="1:83">
      <c r="A12" s="1042">
        <v>46016</v>
      </c>
      <c r="B12" s="550" t="s">
        <v>3926</v>
      </c>
      <c r="C12" s="552" t="s">
        <v>351</v>
      </c>
      <c r="D12" s="1043">
        <v>4500190061</v>
      </c>
      <c r="E12" s="1044" t="s">
        <v>4354</v>
      </c>
      <c r="F12" s="1043" t="s">
        <v>4355</v>
      </c>
      <c r="G12" s="1045" t="s">
        <v>73</v>
      </c>
      <c r="H12" s="693" t="s">
        <v>74</v>
      </c>
      <c r="I12" s="1080">
        <v>96</v>
      </c>
      <c r="J12" s="1081">
        <v>0</v>
      </c>
      <c r="K12" s="1082">
        <v>24</v>
      </c>
      <c r="L12" s="1010">
        <f t="shared" ref="L12:L20" si="2">I12/K12</f>
        <v>4</v>
      </c>
      <c r="M12" s="1083">
        <v>46059</v>
      </c>
      <c r="N12" s="1083">
        <v>46055</v>
      </c>
      <c r="O12" s="449"/>
      <c r="P12" s="707" t="s">
        <v>1262</v>
      </c>
      <c r="Q12" s="449" t="s">
        <v>4404</v>
      </c>
      <c r="R12" s="585">
        <v>46016</v>
      </c>
      <c r="S12" s="441" t="s">
        <v>123</v>
      </c>
      <c r="T12" s="586" t="s">
        <v>4405</v>
      </c>
      <c r="U12" s="1044" t="s">
        <v>4357</v>
      </c>
      <c r="V12" s="1116" t="s">
        <v>396</v>
      </c>
      <c r="W12" s="1119">
        <v>1.3228</v>
      </c>
      <c r="X12" s="1120">
        <f>I12*W12</f>
        <v>126.9888</v>
      </c>
      <c r="Y12" s="1152"/>
      <c r="Z12" s="1153" t="s">
        <v>188</v>
      </c>
      <c r="AA12" s="1154" t="s">
        <v>128</v>
      </c>
      <c r="AB12" s="1154">
        <v>1</v>
      </c>
      <c r="AC12" s="1155">
        <v>96</v>
      </c>
      <c r="AD12" s="1155"/>
      <c r="AE12" s="1155" t="s">
        <v>4335</v>
      </c>
      <c r="AF12" s="449"/>
      <c r="AG12" s="449"/>
      <c r="AH12" s="1177">
        <f t="shared" ref="AH12:AH18" si="3">I12</f>
        <v>96</v>
      </c>
      <c r="AI12" s="1155"/>
      <c r="AJ12" s="1155"/>
      <c r="AK12" s="1155"/>
      <c r="AL12" s="1155"/>
      <c r="AM12" s="1155"/>
      <c r="AN12" s="1178"/>
      <c r="AO12" s="1178"/>
      <c r="AP12" s="1178"/>
      <c r="AQ12" s="1178">
        <f t="shared" ref="AQ12:AQ18" si="4">AH12</f>
        <v>96</v>
      </c>
      <c r="AR12" s="1178"/>
      <c r="AS12" s="1178"/>
      <c r="AT12" s="1178"/>
      <c r="AV12" s="1178">
        <f t="shared" ref="AV12:AV18" si="5">I12</f>
        <v>96</v>
      </c>
      <c r="AW12" s="1178"/>
      <c r="AX12" s="1178"/>
      <c r="AY12" s="1178"/>
      <c r="AZ12" s="1178"/>
      <c r="BA12" s="1178"/>
      <c r="BB12" s="1178"/>
      <c r="BC12" s="1201"/>
      <c r="BD12" s="1201"/>
      <c r="BE12" s="1201"/>
      <c r="BF12" s="1201"/>
      <c r="BG12" s="1201"/>
      <c r="BH12" s="1201"/>
      <c r="BI12" s="1201"/>
      <c r="BJ12" s="1201"/>
      <c r="BK12" s="1201"/>
      <c r="BL12" s="1201"/>
      <c r="BM12" s="1201"/>
      <c r="BN12" s="1201"/>
      <c r="BO12" s="1201"/>
      <c r="BP12" s="1201"/>
      <c r="BQ12" s="1201"/>
      <c r="BR12" s="1201"/>
      <c r="BS12" s="1201"/>
      <c r="BT12" s="1201"/>
      <c r="BU12" s="1201"/>
      <c r="BV12" s="1201"/>
      <c r="BW12" s="1201"/>
      <c r="BX12" s="1201"/>
      <c r="BY12" s="1201"/>
      <c r="BZ12" s="1010">
        <f t="shared" ref="BZ12:BZ20" si="6">AH12+AI12+AJ12</f>
        <v>96</v>
      </c>
      <c r="CB12" s="1221"/>
      <c r="CC12" s="1221"/>
      <c r="CE12" s="1235">
        <f t="shared" si="1"/>
        <v>688871</v>
      </c>
    </row>
    <row r="13" s="1010" customFormat="1" ht="36" customHeight="1" spans="1:83">
      <c r="A13" s="1042">
        <v>46016</v>
      </c>
      <c r="B13" s="550" t="s">
        <v>3926</v>
      </c>
      <c r="C13" s="552" t="s">
        <v>351</v>
      </c>
      <c r="D13" s="1043">
        <v>4500190061</v>
      </c>
      <c r="E13" s="1044" t="s">
        <v>4358</v>
      </c>
      <c r="F13" s="1043" t="s">
        <v>4359</v>
      </c>
      <c r="G13" s="1045" t="s">
        <v>73</v>
      </c>
      <c r="H13" s="693" t="s">
        <v>74</v>
      </c>
      <c r="I13" s="1080">
        <v>48</v>
      </c>
      <c r="J13" s="1081">
        <v>0</v>
      </c>
      <c r="K13" s="1082">
        <v>24</v>
      </c>
      <c r="L13" s="1010">
        <f t="shared" si="2"/>
        <v>2</v>
      </c>
      <c r="M13" s="1083">
        <v>46059</v>
      </c>
      <c r="N13" s="1083">
        <v>46055</v>
      </c>
      <c r="O13" s="449"/>
      <c r="P13" s="707" t="s">
        <v>1262</v>
      </c>
      <c r="Q13" s="449" t="s">
        <v>4404</v>
      </c>
      <c r="R13" s="585">
        <v>46016</v>
      </c>
      <c r="S13" s="441" t="s">
        <v>123</v>
      </c>
      <c r="T13" s="586" t="s">
        <v>4405</v>
      </c>
      <c r="U13" s="1044" t="s">
        <v>4357</v>
      </c>
      <c r="V13" s="1116" t="s">
        <v>396</v>
      </c>
      <c r="W13" s="1119">
        <v>1.3228</v>
      </c>
      <c r="X13" s="1120">
        <f t="shared" ref="X13:X18" si="7">I13*W13</f>
        <v>63.4944</v>
      </c>
      <c r="Y13" s="1152"/>
      <c r="Z13" s="1153" t="s">
        <v>188</v>
      </c>
      <c r="AA13" s="1154" t="s">
        <v>128</v>
      </c>
      <c r="AB13" s="1154">
        <v>1</v>
      </c>
      <c r="AC13" s="1155">
        <v>48</v>
      </c>
      <c r="AD13" s="1155"/>
      <c r="AE13" s="1155" t="s">
        <v>4335</v>
      </c>
      <c r="AF13" s="449"/>
      <c r="AG13" s="449"/>
      <c r="AH13" s="1177">
        <f t="shared" si="3"/>
        <v>48</v>
      </c>
      <c r="AI13" s="1155"/>
      <c r="AJ13" s="1155"/>
      <c r="AK13" s="1155"/>
      <c r="AL13" s="1155"/>
      <c r="AM13" s="1155"/>
      <c r="AN13" s="1178"/>
      <c r="AO13" s="1178"/>
      <c r="AP13" s="1178"/>
      <c r="AQ13" s="1178">
        <f t="shared" si="4"/>
        <v>48</v>
      </c>
      <c r="AR13" s="1178"/>
      <c r="AS13" s="1178"/>
      <c r="AT13" s="1178"/>
      <c r="AV13" s="1178">
        <f t="shared" si="5"/>
        <v>48</v>
      </c>
      <c r="AW13" s="1178"/>
      <c r="AX13" s="1178"/>
      <c r="AY13" s="1178"/>
      <c r="AZ13" s="1178"/>
      <c r="BA13" s="1178"/>
      <c r="BB13" s="1178"/>
      <c r="BC13" s="1201"/>
      <c r="BD13" s="1201"/>
      <c r="BE13" s="1201"/>
      <c r="BF13" s="1201"/>
      <c r="BG13" s="1201"/>
      <c r="BH13" s="1201"/>
      <c r="BI13" s="1201"/>
      <c r="BJ13" s="1201"/>
      <c r="BK13" s="1201"/>
      <c r="BL13" s="1201"/>
      <c r="BM13" s="1201"/>
      <c r="BN13" s="1201"/>
      <c r="BO13" s="1201"/>
      <c r="BP13" s="1201"/>
      <c r="BQ13" s="1201"/>
      <c r="BR13" s="1201"/>
      <c r="BS13" s="1201"/>
      <c r="BT13" s="1201"/>
      <c r="BU13" s="1201"/>
      <c r="BV13" s="1201"/>
      <c r="BW13" s="1201"/>
      <c r="BX13" s="1201"/>
      <c r="BY13" s="1201"/>
      <c r="BZ13" s="1010">
        <f t="shared" si="6"/>
        <v>48</v>
      </c>
      <c r="CB13" s="1221"/>
      <c r="CC13" s="1221"/>
      <c r="CE13" s="1235">
        <f t="shared" si="1"/>
        <v>688823</v>
      </c>
    </row>
    <row r="14" s="1010" customFormat="1" ht="36" customHeight="1" spans="1:83">
      <c r="A14" s="1042">
        <v>46016</v>
      </c>
      <c r="B14" s="550" t="s">
        <v>3926</v>
      </c>
      <c r="C14" s="552" t="s">
        <v>351</v>
      </c>
      <c r="D14" s="1043">
        <v>4500190061</v>
      </c>
      <c r="E14" s="1044" t="s">
        <v>4360</v>
      </c>
      <c r="F14" s="1043" t="s">
        <v>4361</v>
      </c>
      <c r="G14" s="1045" t="s">
        <v>73</v>
      </c>
      <c r="H14" s="693" t="s">
        <v>74</v>
      </c>
      <c r="I14" s="1080">
        <v>24</v>
      </c>
      <c r="J14" s="1081">
        <v>0</v>
      </c>
      <c r="K14" s="1082">
        <v>24</v>
      </c>
      <c r="L14" s="1010">
        <f t="shared" si="2"/>
        <v>1</v>
      </c>
      <c r="M14" s="1083">
        <v>46059</v>
      </c>
      <c r="N14" s="1083">
        <v>46055</v>
      </c>
      <c r="O14" s="449"/>
      <c r="P14" s="707" t="s">
        <v>1262</v>
      </c>
      <c r="Q14" s="449" t="s">
        <v>4404</v>
      </c>
      <c r="R14" s="585">
        <v>46016</v>
      </c>
      <c r="S14" s="441" t="s">
        <v>123</v>
      </c>
      <c r="T14" s="586" t="s">
        <v>4405</v>
      </c>
      <c r="U14" s="1044" t="s">
        <v>4357</v>
      </c>
      <c r="V14" s="1116" t="s">
        <v>396</v>
      </c>
      <c r="W14" s="1119">
        <v>1.3228</v>
      </c>
      <c r="X14" s="1120">
        <f t="shared" si="7"/>
        <v>31.7472</v>
      </c>
      <c r="Y14" s="1152"/>
      <c r="Z14" s="1153" t="s">
        <v>188</v>
      </c>
      <c r="AA14" s="1154" t="s">
        <v>128</v>
      </c>
      <c r="AB14" s="1154">
        <v>1</v>
      </c>
      <c r="AC14" s="1155">
        <v>24</v>
      </c>
      <c r="AD14" s="1155"/>
      <c r="AE14" s="1155" t="s">
        <v>4335</v>
      </c>
      <c r="AF14" s="449"/>
      <c r="AG14" s="449"/>
      <c r="AH14" s="1177">
        <f t="shared" si="3"/>
        <v>24</v>
      </c>
      <c r="AI14" s="1155"/>
      <c r="AJ14" s="1155"/>
      <c r="AK14" s="1155"/>
      <c r="AL14" s="1155"/>
      <c r="AM14" s="1155"/>
      <c r="AN14" s="1178"/>
      <c r="AO14" s="1178"/>
      <c r="AP14" s="1178"/>
      <c r="AQ14" s="1178">
        <f t="shared" si="4"/>
        <v>24</v>
      </c>
      <c r="AR14" s="1178"/>
      <c r="AS14" s="1178"/>
      <c r="AT14" s="1178"/>
      <c r="AV14" s="1178">
        <f t="shared" si="5"/>
        <v>24</v>
      </c>
      <c r="AW14" s="1178"/>
      <c r="AX14" s="1178"/>
      <c r="AY14" s="1178"/>
      <c r="AZ14" s="1178"/>
      <c r="BA14" s="1178"/>
      <c r="BB14" s="1178"/>
      <c r="BC14" s="1201"/>
      <c r="BD14" s="1201"/>
      <c r="BE14" s="1201"/>
      <c r="BF14" s="1201"/>
      <c r="BG14" s="1201"/>
      <c r="BH14" s="1201"/>
      <c r="BI14" s="1201"/>
      <c r="BJ14" s="1201"/>
      <c r="BK14" s="1201"/>
      <c r="BL14" s="1201"/>
      <c r="BM14" s="1201"/>
      <c r="BN14" s="1201"/>
      <c r="BO14" s="1201"/>
      <c r="BP14" s="1201"/>
      <c r="BQ14" s="1201"/>
      <c r="BR14" s="1201"/>
      <c r="BS14" s="1201"/>
      <c r="BT14" s="1201"/>
      <c r="BU14" s="1201"/>
      <c r="BV14" s="1201"/>
      <c r="BW14" s="1201"/>
      <c r="BX14" s="1201"/>
      <c r="BY14" s="1201"/>
      <c r="BZ14" s="1010">
        <f t="shared" si="6"/>
        <v>24</v>
      </c>
      <c r="CB14" s="1221"/>
      <c r="CC14" s="1221"/>
      <c r="CE14" s="1235">
        <f t="shared" si="1"/>
        <v>688799</v>
      </c>
    </row>
    <row r="15" s="1010" customFormat="1" ht="36" customHeight="1" spans="1:83">
      <c r="A15" s="1042">
        <v>46016</v>
      </c>
      <c r="B15" s="550" t="s">
        <v>3926</v>
      </c>
      <c r="C15" s="552" t="s">
        <v>351</v>
      </c>
      <c r="D15" s="1043">
        <v>4500190061</v>
      </c>
      <c r="E15" s="1044" t="s">
        <v>4362</v>
      </c>
      <c r="F15" s="1043" t="s">
        <v>4363</v>
      </c>
      <c r="G15" s="1045" t="s">
        <v>73</v>
      </c>
      <c r="H15" s="693" t="s">
        <v>74</v>
      </c>
      <c r="I15" s="1080">
        <v>48</v>
      </c>
      <c r="J15" s="1081">
        <v>0</v>
      </c>
      <c r="K15" s="1082">
        <v>24</v>
      </c>
      <c r="L15" s="1010">
        <f t="shared" si="2"/>
        <v>2</v>
      </c>
      <c r="M15" s="1083">
        <v>46059</v>
      </c>
      <c r="N15" s="1083">
        <v>46055</v>
      </c>
      <c r="O15" s="449"/>
      <c r="P15" s="707" t="s">
        <v>1262</v>
      </c>
      <c r="Q15" s="449" t="s">
        <v>4404</v>
      </c>
      <c r="R15" s="585">
        <v>46016</v>
      </c>
      <c r="S15" s="441" t="s">
        <v>123</v>
      </c>
      <c r="T15" s="586" t="s">
        <v>4405</v>
      </c>
      <c r="U15" s="1044" t="s">
        <v>4357</v>
      </c>
      <c r="V15" s="1116" t="s">
        <v>396</v>
      </c>
      <c r="W15" s="1119">
        <v>1.3228</v>
      </c>
      <c r="X15" s="1120">
        <f t="shared" si="7"/>
        <v>63.4944</v>
      </c>
      <c r="Y15" s="1152"/>
      <c r="Z15" s="1153" t="s">
        <v>188</v>
      </c>
      <c r="AA15" s="1154" t="s">
        <v>128</v>
      </c>
      <c r="AB15" s="1154">
        <v>1</v>
      </c>
      <c r="AC15" s="1155">
        <v>48</v>
      </c>
      <c r="AD15" s="1155"/>
      <c r="AE15" s="1155" t="s">
        <v>4335</v>
      </c>
      <c r="AF15" s="449"/>
      <c r="AG15" s="449"/>
      <c r="AH15" s="1177">
        <f t="shared" si="3"/>
        <v>48</v>
      </c>
      <c r="AI15" s="1155"/>
      <c r="AJ15" s="1155"/>
      <c r="AK15" s="1155"/>
      <c r="AL15" s="1155"/>
      <c r="AM15" s="1155"/>
      <c r="AN15" s="1178"/>
      <c r="AO15" s="1178"/>
      <c r="AP15" s="1178"/>
      <c r="AQ15" s="1178">
        <f t="shared" si="4"/>
        <v>48</v>
      </c>
      <c r="AR15" s="1178"/>
      <c r="AS15" s="1178"/>
      <c r="AT15" s="1178"/>
      <c r="AV15" s="1178">
        <f t="shared" si="5"/>
        <v>48</v>
      </c>
      <c r="AW15" s="1178"/>
      <c r="AX15" s="1178"/>
      <c r="AY15" s="1178"/>
      <c r="AZ15" s="1178"/>
      <c r="BA15" s="1178"/>
      <c r="BB15" s="1178"/>
      <c r="BC15" s="1201"/>
      <c r="BD15" s="1201"/>
      <c r="BE15" s="1201"/>
      <c r="BF15" s="1201"/>
      <c r="BG15" s="1201"/>
      <c r="BH15" s="1201"/>
      <c r="BI15" s="1201"/>
      <c r="BJ15" s="1201"/>
      <c r="BK15" s="1201"/>
      <c r="BL15" s="1201"/>
      <c r="BM15" s="1201"/>
      <c r="BN15" s="1201"/>
      <c r="BO15" s="1201"/>
      <c r="BP15" s="1201"/>
      <c r="BQ15" s="1201"/>
      <c r="BR15" s="1201"/>
      <c r="BS15" s="1201"/>
      <c r="BT15" s="1201"/>
      <c r="BU15" s="1201"/>
      <c r="BV15" s="1201"/>
      <c r="BW15" s="1201"/>
      <c r="BX15" s="1201"/>
      <c r="BY15" s="1201"/>
      <c r="BZ15" s="1010">
        <f t="shared" si="6"/>
        <v>48</v>
      </c>
      <c r="CB15" s="1221"/>
      <c r="CC15" s="1221"/>
      <c r="CE15" s="1235">
        <f t="shared" ref="CE9:CE32" si="8">CE14-AH15-AI15-AJ15</f>
        <v>688751</v>
      </c>
    </row>
    <row r="16" s="1010" customFormat="1" ht="36" customHeight="1" spans="1:83">
      <c r="A16" s="1042">
        <v>46016</v>
      </c>
      <c r="B16" s="550" t="s">
        <v>3926</v>
      </c>
      <c r="C16" s="552" t="s">
        <v>351</v>
      </c>
      <c r="D16" s="1043">
        <v>4500190061</v>
      </c>
      <c r="E16" s="1044" t="s">
        <v>4364</v>
      </c>
      <c r="F16" s="1043" t="s">
        <v>4365</v>
      </c>
      <c r="G16" s="1045" t="s">
        <v>73</v>
      </c>
      <c r="H16" s="693" t="s">
        <v>74</v>
      </c>
      <c r="I16" s="1080">
        <v>24</v>
      </c>
      <c r="J16" s="1081">
        <v>0</v>
      </c>
      <c r="K16" s="1082">
        <v>24</v>
      </c>
      <c r="L16" s="1010">
        <f t="shared" si="2"/>
        <v>1</v>
      </c>
      <c r="M16" s="1083">
        <v>46059</v>
      </c>
      <c r="N16" s="1083">
        <v>46055</v>
      </c>
      <c r="O16" s="449"/>
      <c r="P16" s="707" t="s">
        <v>1262</v>
      </c>
      <c r="Q16" s="449" t="s">
        <v>4404</v>
      </c>
      <c r="R16" s="585">
        <v>46016</v>
      </c>
      <c r="S16" s="441" t="s">
        <v>123</v>
      </c>
      <c r="T16" s="586" t="s">
        <v>4405</v>
      </c>
      <c r="U16" s="1044" t="s">
        <v>4357</v>
      </c>
      <c r="V16" s="1116" t="s">
        <v>396</v>
      </c>
      <c r="W16" s="1119">
        <v>1.3228</v>
      </c>
      <c r="X16" s="1120">
        <f t="shared" si="7"/>
        <v>31.7472</v>
      </c>
      <c r="Y16" s="1152"/>
      <c r="Z16" s="1153" t="s">
        <v>188</v>
      </c>
      <c r="AA16" s="1154" t="s">
        <v>128</v>
      </c>
      <c r="AB16" s="1154">
        <v>1</v>
      </c>
      <c r="AC16" s="1155">
        <v>24</v>
      </c>
      <c r="AD16" s="1155"/>
      <c r="AE16" s="1155" t="s">
        <v>4335</v>
      </c>
      <c r="AF16" s="449"/>
      <c r="AG16" s="449"/>
      <c r="AH16" s="1177">
        <f t="shared" si="3"/>
        <v>24</v>
      </c>
      <c r="AI16" s="1155"/>
      <c r="AJ16" s="1155"/>
      <c r="AK16" s="1155"/>
      <c r="AL16" s="1155"/>
      <c r="AM16" s="1155"/>
      <c r="AN16" s="1178"/>
      <c r="AO16" s="1178"/>
      <c r="AP16" s="1178"/>
      <c r="AQ16" s="1178">
        <f t="shared" si="4"/>
        <v>24</v>
      </c>
      <c r="AR16" s="1178"/>
      <c r="AS16" s="1178"/>
      <c r="AT16" s="1178"/>
      <c r="AV16" s="1178">
        <f t="shared" si="5"/>
        <v>24</v>
      </c>
      <c r="AW16" s="1178"/>
      <c r="AX16" s="1178"/>
      <c r="AY16" s="1178"/>
      <c r="AZ16" s="1178"/>
      <c r="BA16" s="1178"/>
      <c r="BB16" s="1178"/>
      <c r="BC16" s="1201"/>
      <c r="BD16" s="1201"/>
      <c r="BE16" s="1201"/>
      <c r="BF16" s="1201"/>
      <c r="BG16" s="1201"/>
      <c r="BH16" s="1201"/>
      <c r="BI16" s="1201"/>
      <c r="BJ16" s="1201"/>
      <c r="BK16" s="1201"/>
      <c r="BL16" s="1201"/>
      <c r="BM16" s="1201"/>
      <c r="BN16" s="1201"/>
      <c r="BO16" s="1201"/>
      <c r="BP16" s="1201"/>
      <c r="BQ16" s="1201"/>
      <c r="BR16" s="1201"/>
      <c r="BS16" s="1201"/>
      <c r="BT16" s="1201"/>
      <c r="BU16" s="1201"/>
      <c r="BV16" s="1201"/>
      <c r="BW16" s="1201"/>
      <c r="BX16" s="1201"/>
      <c r="BY16" s="1201"/>
      <c r="BZ16" s="1010">
        <f t="shared" si="6"/>
        <v>24</v>
      </c>
      <c r="CB16" s="1221"/>
      <c r="CC16" s="1221"/>
      <c r="CE16" s="1235">
        <f t="shared" si="8"/>
        <v>688727</v>
      </c>
    </row>
    <row r="17" s="1010" customFormat="1" ht="36" customHeight="1" spans="1:83">
      <c r="A17" s="1042">
        <v>46016</v>
      </c>
      <c r="B17" s="550" t="s">
        <v>3926</v>
      </c>
      <c r="C17" s="552" t="s">
        <v>351</v>
      </c>
      <c r="D17" s="1043">
        <v>4500190061</v>
      </c>
      <c r="E17" s="1044" t="s">
        <v>4366</v>
      </c>
      <c r="F17" s="1043" t="s">
        <v>4367</v>
      </c>
      <c r="G17" s="1045" t="s">
        <v>73</v>
      </c>
      <c r="H17" s="693" t="s">
        <v>74</v>
      </c>
      <c r="I17" s="1080">
        <v>72</v>
      </c>
      <c r="J17" s="1081">
        <v>0</v>
      </c>
      <c r="K17" s="1082">
        <v>24</v>
      </c>
      <c r="L17" s="1010">
        <f t="shared" si="2"/>
        <v>3</v>
      </c>
      <c r="M17" s="1083">
        <v>46059</v>
      </c>
      <c r="N17" s="1083">
        <v>46055</v>
      </c>
      <c r="O17" s="449"/>
      <c r="P17" s="707" t="s">
        <v>1262</v>
      </c>
      <c r="Q17" s="449" t="s">
        <v>4404</v>
      </c>
      <c r="R17" s="585">
        <v>46016</v>
      </c>
      <c r="S17" s="441" t="s">
        <v>123</v>
      </c>
      <c r="T17" s="586" t="s">
        <v>4405</v>
      </c>
      <c r="U17" s="1044" t="s">
        <v>4357</v>
      </c>
      <c r="V17" s="1116" t="s">
        <v>396</v>
      </c>
      <c r="W17" s="1119">
        <v>1.3228</v>
      </c>
      <c r="X17" s="1120">
        <f t="shared" si="7"/>
        <v>95.2416</v>
      </c>
      <c r="Y17" s="1152"/>
      <c r="Z17" s="1153" t="s">
        <v>188</v>
      </c>
      <c r="AA17" s="1154" t="s">
        <v>128</v>
      </c>
      <c r="AB17" s="1154">
        <v>1</v>
      </c>
      <c r="AC17" s="1155">
        <v>72</v>
      </c>
      <c r="AD17" s="1155"/>
      <c r="AE17" s="1155" t="s">
        <v>4335</v>
      </c>
      <c r="AF17" s="449"/>
      <c r="AG17" s="449"/>
      <c r="AH17" s="1177">
        <f t="shared" si="3"/>
        <v>72</v>
      </c>
      <c r="AI17" s="1155"/>
      <c r="AJ17" s="1155"/>
      <c r="AK17" s="1155"/>
      <c r="AL17" s="1155"/>
      <c r="AM17" s="1155"/>
      <c r="AN17" s="1178"/>
      <c r="AO17" s="1178"/>
      <c r="AP17" s="1178"/>
      <c r="AQ17" s="1178">
        <f t="shared" si="4"/>
        <v>72</v>
      </c>
      <c r="AR17" s="1178"/>
      <c r="AS17" s="1178"/>
      <c r="AT17" s="1178"/>
      <c r="AV17" s="1178">
        <f t="shared" si="5"/>
        <v>72</v>
      </c>
      <c r="AW17" s="1178"/>
      <c r="AX17" s="1178"/>
      <c r="AY17" s="1178"/>
      <c r="AZ17" s="1178"/>
      <c r="BA17" s="1178"/>
      <c r="BB17" s="1178"/>
      <c r="BC17" s="1201"/>
      <c r="BD17" s="1201"/>
      <c r="BE17" s="1201"/>
      <c r="BF17" s="1201"/>
      <c r="BG17" s="1201"/>
      <c r="BH17" s="1201"/>
      <c r="BI17" s="1201"/>
      <c r="BJ17" s="1201"/>
      <c r="BK17" s="1201"/>
      <c r="BL17" s="1201"/>
      <c r="BM17" s="1201"/>
      <c r="BN17" s="1201"/>
      <c r="BO17" s="1201"/>
      <c r="BP17" s="1201"/>
      <c r="BQ17" s="1201"/>
      <c r="BR17" s="1201"/>
      <c r="BS17" s="1201"/>
      <c r="BT17" s="1201"/>
      <c r="BU17" s="1201"/>
      <c r="BV17" s="1201"/>
      <c r="BW17" s="1201"/>
      <c r="BX17" s="1201"/>
      <c r="BY17" s="1201"/>
      <c r="BZ17" s="1010">
        <f t="shared" si="6"/>
        <v>72</v>
      </c>
      <c r="CB17" s="1221"/>
      <c r="CC17" s="1221"/>
      <c r="CE17" s="1235">
        <f t="shared" si="8"/>
        <v>688655</v>
      </c>
    </row>
    <row r="18" s="1010" customFormat="1" ht="36" customHeight="1" spans="1:83">
      <c r="A18" s="1042">
        <v>46016</v>
      </c>
      <c r="B18" s="550" t="s">
        <v>3926</v>
      </c>
      <c r="C18" s="552" t="s">
        <v>351</v>
      </c>
      <c r="D18" s="1043">
        <v>4500190061</v>
      </c>
      <c r="E18" s="1044" t="s">
        <v>4368</v>
      </c>
      <c r="F18" s="1043" t="s">
        <v>4369</v>
      </c>
      <c r="G18" s="1045" t="s">
        <v>73</v>
      </c>
      <c r="H18" s="693" t="s">
        <v>74</v>
      </c>
      <c r="I18" s="1080">
        <v>24</v>
      </c>
      <c r="J18" s="1081">
        <v>0</v>
      </c>
      <c r="K18" s="1082">
        <v>24</v>
      </c>
      <c r="L18" s="1010">
        <f t="shared" si="2"/>
        <v>1</v>
      </c>
      <c r="M18" s="1083">
        <v>46059</v>
      </c>
      <c r="N18" s="1083">
        <v>46055</v>
      </c>
      <c r="O18" s="449"/>
      <c r="P18" s="707" t="s">
        <v>1262</v>
      </c>
      <c r="Q18" s="449" t="s">
        <v>4404</v>
      </c>
      <c r="R18" s="585">
        <v>46016</v>
      </c>
      <c r="S18" s="441" t="s">
        <v>123</v>
      </c>
      <c r="T18" s="586" t="s">
        <v>4405</v>
      </c>
      <c r="U18" s="1044" t="s">
        <v>4357</v>
      </c>
      <c r="V18" s="1116" t="s">
        <v>396</v>
      </c>
      <c r="W18" s="1119">
        <v>1.3228</v>
      </c>
      <c r="X18" s="1120">
        <f t="shared" si="7"/>
        <v>31.7472</v>
      </c>
      <c r="Y18" s="1152"/>
      <c r="Z18" s="1153" t="s">
        <v>188</v>
      </c>
      <c r="AA18" s="1154" t="s">
        <v>128</v>
      </c>
      <c r="AB18" s="1154">
        <v>1</v>
      </c>
      <c r="AC18" s="1155">
        <v>24</v>
      </c>
      <c r="AD18" s="1155"/>
      <c r="AE18" s="1155" t="s">
        <v>4335</v>
      </c>
      <c r="AF18" s="449"/>
      <c r="AG18" s="449"/>
      <c r="AH18" s="1177">
        <f t="shared" si="3"/>
        <v>24</v>
      </c>
      <c r="AI18" s="1155"/>
      <c r="AJ18" s="1155"/>
      <c r="AK18" s="1155"/>
      <c r="AL18" s="1155"/>
      <c r="AM18" s="1155"/>
      <c r="AN18" s="1178"/>
      <c r="AO18" s="1178"/>
      <c r="AP18" s="1178"/>
      <c r="AQ18" s="1178">
        <f t="shared" si="4"/>
        <v>24</v>
      </c>
      <c r="AR18" s="1178"/>
      <c r="AS18" s="1178"/>
      <c r="AT18" s="1178"/>
      <c r="AV18" s="1178">
        <f t="shared" si="5"/>
        <v>24</v>
      </c>
      <c r="AW18" s="1178"/>
      <c r="AX18" s="1178"/>
      <c r="AY18" s="1178"/>
      <c r="AZ18" s="1178"/>
      <c r="BA18" s="1178"/>
      <c r="BB18" s="1178"/>
      <c r="BC18" s="1201"/>
      <c r="BD18" s="1201"/>
      <c r="BE18" s="1201"/>
      <c r="BF18" s="1201"/>
      <c r="BG18" s="1201"/>
      <c r="BH18" s="1201"/>
      <c r="BI18" s="1201"/>
      <c r="BJ18" s="1201"/>
      <c r="BK18" s="1201"/>
      <c r="BL18" s="1201"/>
      <c r="BM18" s="1201"/>
      <c r="BN18" s="1201"/>
      <c r="BO18" s="1201"/>
      <c r="BP18" s="1201"/>
      <c r="BQ18" s="1201"/>
      <c r="BR18" s="1201"/>
      <c r="BS18" s="1201"/>
      <c r="BT18" s="1201"/>
      <c r="BU18" s="1201"/>
      <c r="BV18" s="1201"/>
      <c r="BW18" s="1201"/>
      <c r="BX18" s="1201"/>
      <c r="BY18" s="1201"/>
      <c r="BZ18" s="1010">
        <f t="shared" si="6"/>
        <v>24</v>
      </c>
      <c r="CB18" s="1221"/>
      <c r="CC18" s="1221"/>
      <c r="CE18" s="1235">
        <f t="shared" si="8"/>
        <v>688631</v>
      </c>
    </row>
    <row r="19" s="1010" customFormat="1" ht="36" customHeight="1" spans="1:83">
      <c r="A19" s="1042">
        <v>45971</v>
      </c>
      <c r="B19" s="550" t="s">
        <v>3991</v>
      </c>
      <c r="C19" s="552" t="s">
        <v>117</v>
      </c>
      <c r="D19" s="1043">
        <v>4500184784</v>
      </c>
      <c r="E19" s="1044" t="s">
        <v>4370</v>
      </c>
      <c r="F19" s="1043" t="s">
        <v>4371</v>
      </c>
      <c r="G19" s="1045" t="s">
        <v>628</v>
      </c>
      <c r="H19" s="693" t="s">
        <v>623</v>
      </c>
      <c r="I19" s="1010">
        <v>216</v>
      </c>
      <c r="J19" s="1084">
        <v>0</v>
      </c>
      <c r="K19" s="1045">
        <v>12</v>
      </c>
      <c r="L19" s="1010">
        <f t="shared" si="2"/>
        <v>18</v>
      </c>
      <c r="M19" s="1083">
        <v>46077</v>
      </c>
      <c r="N19" s="1083">
        <v>46062</v>
      </c>
      <c r="O19" s="449"/>
      <c r="P19" s="707" t="s">
        <v>1262</v>
      </c>
      <c r="Q19" s="449" t="s">
        <v>4406</v>
      </c>
      <c r="R19" s="449">
        <v>45971</v>
      </c>
      <c r="S19" s="448" t="s">
        <v>123</v>
      </c>
      <c r="T19" s="586" t="s">
        <v>4407</v>
      </c>
      <c r="U19" s="1128" t="s">
        <v>4408</v>
      </c>
      <c r="V19" s="1116" t="s">
        <v>3759</v>
      </c>
      <c r="W19" s="1119">
        <v>1.8222</v>
      </c>
      <c r="X19" s="1120">
        <f>W19*I19</f>
        <v>393.5952</v>
      </c>
      <c r="Y19" s="1152"/>
      <c r="Z19" s="1153" t="s">
        <v>628</v>
      </c>
      <c r="AA19" s="1154" t="s">
        <v>128</v>
      </c>
      <c r="AB19" s="1154">
        <v>1</v>
      </c>
      <c r="AC19" s="1155">
        <v>216</v>
      </c>
      <c r="AD19" s="1155"/>
      <c r="AE19" s="1155" t="s">
        <v>4335</v>
      </c>
      <c r="AF19" s="449"/>
      <c r="AG19" s="449"/>
      <c r="AH19" s="1155">
        <f>I19*2</f>
        <v>432</v>
      </c>
      <c r="AI19" s="1155"/>
      <c r="AJ19" s="1155"/>
      <c r="AK19" s="1155">
        <f>I19*2</f>
        <v>432</v>
      </c>
      <c r="AL19" s="1155"/>
      <c r="AM19" s="1155"/>
      <c r="AN19" s="1178"/>
      <c r="AO19" s="1178"/>
      <c r="AP19" s="1178"/>
      <c r="AQ19" s="1178"/>
      <c r="AR19" s="1178"/>
      <c r="AS19" s="1178"/>
      <c r="AT19" s="1178"/>
      <c r="AU19" s="1178">
        <f>I19*2</f>
        <v>432</v>
      </c>
      <c r="AV19" s="1178"/>
      <c r="AW19" s="1178"/>
      <c r="AX19" s="1178"/>
      <c r="AY19" s="1178"/>
      <c r="AZ19" s="1178"/>
      <c r="BA19" s="1178"/>
      <c r="BB19" s="1178"/>
      <c r="BC19" s="1201"/>
      <c r="BD19" s="1201"/>
      <c r="BE19" s="1201"/>
      <c r="BF19" s="1201"/>
      <c r="BG19" s="1201"/>
      <c r="BH19" s="1201"/>
      <c r="BI19" s="1201"/>
      <c r="BJ19" s="1201"/>
      <c r="BK19" s="1201"/>
      <c r="BL19" s="1201"/>
      <c r="BM19" s="1201"/>
      <c r="BN19" s="1201"/>
      <c r="BO19" s="1201"/>
      <c r="BP19" s="1201"/>
      <c r="BQ19" s="1201"/>
      <c r="BR19" s="1201"/>
      <c r="BS19" s="1201"/>
      <c r="BT19" s="1201"/>
      <c r="BU19" s="1201"/>
      <c r="BV19" s="1201"/>
      <c r="BW19" s="1225">
        <f>I19</f>
        <v>216</v>
      </c>
      <c r="BX19" s="1225"/>
      <c r="BY19" s="1225">
        <f>BW19</f>
        <v>216</v>
      </c>
      <c r="BZ19" s="1226">
        <f t="shared" si="6"/>
        <v>432</v>
      </c>
      <c r="CB19" s="1221"/>
      <c r="CC19" s="1221"/>
      <c r="CE19" s="1235">
        <f t="shared" si="8"/>
        <v>688199</v>
      </c>
    </row>
    <row r="20" s="1010" customFormat="1" ht="36" customHeight="1" spans="1:83">
      <c r="A20" s="1042">
        <v>45971</v>
      </c>
      <c r="B20" s="550" t="s">
        <v>3991</v>
      </c>
      <c r="C20" s="552" t="s">
        <v>117</v>
      </c>
      <c r="D20" s="1043">
        <v>4500184901</v>
      </c>
      <c r="E20" s="1044" t="s">
        <v>4374</v>
      </c>
      <c r="F20" s="1043" t="s">
        <v>4375</v>
      </c>
      <c r="G20" s="1045" t="s">
        <v>628</v>
      </c>
      <c r="H20" s="693" t="s">
        <v>623</v>
      </c>
      <c r="I20" s="1010">
        <v>216</v>
      </c>
      <c r="J20" s="1084">
        <v>0</v>
      </c>
      <c r="K20" s="1045">
        <v>12</v>
      </c>
      <c r="L20" s="1010">
        <f t="shared" si="2"/>
        <v>18</v>
      </c>
      <c r="M20" s="1083">
        <v>46087</v>
      </c>
      <c r="N20" s="1083">
        <v>46083</v>
      </c>
      <c r="O20" s="449"/>
      <c r="P20" s="707" t="s">
        <v>1262</v>
      </c>
      <c r="Q20" s="449"/>
      <c r="R20" s="449">
        <v>45971</v>
      </c>
      <c r="S20" s="448" t="s">
        <v>123</v>
      </c>
      <c r="T20" s="586" t="s">
        <v>4409</v>
      </c>
      <c r="U20" s="1128" t="s">
        <v>4410</v>
      </c>
      <c r="V20" s="1116" t="s">
        <v>3759</v>
      </c>
      <c r="W20" s="1119">
        <v>1.8222</v>
      </c>
      <c r="X20" s="1120">
        <f>W20*I20</f>
        <v>393.5952</v>
      </c>
      <c r="Y20" s="1152"/>
      <c r="Z20" s="1153" t="s">
        <v>628</v>
      </c>
      <c r="AA20" s="1154" t="s">
        <v>128</v>
      </c>
      <c r="AB20" s="1154">
        <v>1</v>
      </c>
      <c r="AC20" s="1155">
        <v>216</v>
      </c>
      <c r="AD20" s="1155"/>
      <c r="AE20" s="1155"/>
      <c r="AF20" s="449"/>
      <c r="AG20" s="449"/>
      <c r="AH20" s="1155">
        <f>I20*2</f>
        <v>432</v>
      </c>
      <c r="AI20" s="1155"/>
      <c r="AJ20" s="1155"/>
      <c r="AK20" s="1155">
        <f>I20*2</f>
        <v>432</v>
      </c>
      <c r="AL20" s="1155"/>
      <c r="AM20" s="1155"/>
      <c r="AN20" s="1178"/>
      <c r="AO20" s="1178"/>
      <c r="AP20" s="1178"/>
      <c r="AQ20" s="1178"/>
      <c r="AR20" s="1178"/>
      <c r="AS20" s="1178"/>
      <c r="AT20" s="1178"/>
      <c r="AU20" s="1178">
        <f>I20*2</f>
        <v>432</v>
      </c>
      <c r="AV20" s="1178"/>
      <c r="AW20" s="1178"/>
      <c r="AX20" s="1178"/>
      <c r="AY20" s="1178"/>
      <c r="AZ20" s="1178"/>
      <c r="BA20" s="1178"/>
      <c r="BB20" s="1178"/>
      <c r="BC20" s="1201"/>
      <c r="BD20" s="1201"/>
      <c r="BE20" s="1201"/>
      <c r="BF20" s="1201"/>
      <c r="BG20" s="1201"/>
      <c r="BH20" s="1201"/>
      <c r="BI20" s="1201"/>
      <c r="BJ20" s="1201"/>
      <c r="BK20" s="1201"/>
      <c r="BL20" s="1201"/>
      <c r="BM20" s="1201"/>
      <c r="BN20" s="1201"/>
      <c r="BO20" s="1201"/>
      <c r="BP20" s="1201"/>
      <c r="BQ20" s="1201"/>
      <c r="BR20" s="1201"/>
      <c r="BS20" s="1201"/>
      <c r="BT20" s="1201"/>
      <c r="BU20" s="1201"/>
      <c r="BV20" s="1201"/>
      <c r="BW20" s="1225">
        <f>I20</f>
        <v>216</v>
      </c>
      <c r="BX20" s="1225"/>
      <c r="BY20" s="1225">
        <f>BW20</f>
        <v>216</v>
      </c>
      <c r="BZ20" s="1226">
        <f t="shared" si="6"/>
        <v>432</v>
      </c>
      <c r="CB20" s="1221"/>
      <c r="CC20" s="1221"/>
      <c r="CE20" s="1235">
        <f t="shared" si="8"/>
        <v>687767</v>
      </c>
    </row>
    <row r="21" s="1013" customFormat="1" ht="36" customHeight="1" spans="1:83">
      <c r="A21" s="778">
        <v>46035</v>
      </c>
      <c r="B21" s="636" t="s">
        <v>3926</v>
      </c>
      <c r="C21" s="637" t="s">
        <v>351</v>
      </c>
      <c r="D21" s="1054">
        <v>4500191202</v>
      </c>
      <c r="E21" s="1055" t="s">
        <v>4411</v>
      </c>
      <c r="F21" s="1054" t="s">
        <v>4412</v>
      </c>
      <c r="G21" s="1056" t="s">
        <v>73</v>
      </c>
      <c r="H21" s="1057" t="s">
        <v>74</v>
      </c>
      <c r="I21" s="1088">
        <v>24</v>
      </c>
      <c r="J21" s="1089">
        <v>0</v>
      </c>
      <c r="K21" s="1090">
        <v>24</v>
      </c>
      <c r="L21" s="1013">
        <f t="shared" ref="L21:L29" si="9">I21/K21</f>
        <v>1</v>
      </c>
      <c r="M21" s="1091">
        <v>46092</v>
      </c>
      <c r="N21" s="1091">
        <v>46088</v>
      </c>
      <c r="O21" s="452"/>
      <c r="P21" s="452"/>
      <c r="Q21" s="452"/>
      <c r="R21" s="587">
        <v>46035</v>
      </c>
      <c r="S21" s="453" t="s">
        <v>123</v>
      </c>
      <c r="T21" s="454" t="s">
        <v>4413</v>
      </c>
      <c r="U21" s="1055" t="s">
        <v>4414</v>
      </c>
      <c r="V21" s="1129" t="s">
        <v>396</v>
      </c>
      <c r="W21" s="1130">
        <v>1.365</v>
      </c>
      <c r="X21" s="1131">
        <f t="shared" ref="X21:X27" si="10">I21*W21</f>
        <v>32.76</v>
      </c>
      <c r="Y21" s="1160"/>
      <c r="Z21" s="1149" t="s">
        <v>188</v>
      </c>
      <c r="AA21" s="1161" t="s">
        <v>128</v>
      </c>
      <c r="AB21" s="1161"/>
      <c r="AC21" s="1162"/>
      <c r="AD21" s="1162"/>
      <c r="AE21" s="1162" t="s">
        <v>4335</v>
      </c>
      <c r="AF21" s="452"/>
      <c r="AG21" s="452"/>
      <c r="AH21" s="1179">
        <f t="shared" ref="AH21:AH28" si="11">I21</f>
        <v>24</v>
      </c>
      <c r="AI21" s="1162"/>
      <c r="AJ21" s="1162"/>
      <c r="AK21" s="1162"/>
      <c r="AL21" s="1162"/>
      <c r="AM21" s="1162"/>
      <c r="AN21" s="781"/>
      <c r="AO21" s="781"/>
      <c r="AP21" s="781"/>
      <c r="AQ21" s="781">
        <f t="shared" ref="AQ21:AQ27" si="12">AH21</f>
        <v>24</v>
      </c>
      <c r="AR21" s="781"/>
      <c r="AS21" s="781"/>
      <c r="AT21" s="781"/>
      <c r="AV21" s="781">
        <f t="shared" ref="AV21:AV27" si="13">I21</f>
        <v>24</v>
      </c>
      <c r="AW21" s="781"/>
      <c r="AX21" s="781"/>
      <c r="AY21" s="781"/>
      <c r="AZ21" s="781"/>
      <c r="BA21" s="781"/>
      <c r="BB21" s="781"/>
      <c r="BC21" s="1203"/>
      <c r="BD21" s="1203"/>
      <c r="BE21" s="1203"/>
      <c r="BF21" s="1203"/>
      <c r="BG21" s="1203"/>
      <c r="BH21" s="1203"/>
      <c r="BI21" s="1203"/>
      <c r="BJ21" s="1203"/>
      <c r="BK21" s="1203"/>
      <c r="BL21" s="1203"/>
      <c r="BM21" s="1203"/>
      <c r="BN21" s="1203"/>
      <c r="BO21" s="1203"/>
      <c r="BP21" s="1203"/>
      <c r="BQ21" s="1203"/>
      <c r="BR21" s="1203"/>
      <c r="BS21" s="1203"/>
      <c r="BT21" s="1203"/>
      <c r="BU21" s="1203"/>
      <c r="BV21" s="1203"/>
      <c r="BW21" s="1203"/>
      <c r="BX21" s="1203"/>
      <c r="BY21" s="1203"/>
      <c r="BZ21" s="1013">
        <f t="shared" ref="BZ21:BZ27" si="14">AH21+AI21+AJ21</f>
        <v>24</v>
      </c>
      <c r="CB21" s="1227"/>
      <c r="CC21" s="1227"/>
      <c r="CE21" s="1235">
        <f t="shared" si="8"/>
        <v>687743</v>
      </c>
    </row>
    <row r="22" s="1013" customFormat="1" ht="36" customHeight="1" spans="1:83">
      <c r="A22" s="778">
        <v>46035</v>
      </c>
      <c r="B22" s="636" t="s">
        <v>3926</v>
      </c>
      <c r="C22" s="637" t="s">
        <v>351</v>
      </c>
      <c r="D22" s="1054">
        <v>4500191202</v>
      </c>
      <c r="E22" s="1055" t="s">
        <v>4415</v>
      </c>
      <c r="F22" s="1054" t="s">
        <v>4416</v>
      </c>
      <c r="G22" s="1056" t="s">
        <v>73</v>
      </c>
      <c r="H22" s="1057" t="s">
        <v>74</v>
      </c>
      <c r="I22" s="1088">
        <v>24</v>
      </c>
      <c r="J22" s="1089">
        <v>0</v>
      </c>
      <c r="K22" s="1090">
        <v>24</v>
      </c>
      <c r="L22" s="1013">
        <f t="shared" si="9"/>
        <v>1</v>
      </c>
      <c r="M22" s="1091">
        <v>46092</v>
      </c>
      <c r="N22" s="1091">
        <v>46088</v>
      </c>
      <c r="O22" s="452"/>
      <c r="P22" s="452"/>
      <c r="Q22" s="452"/>
      <c r="R22" s="587">
        <v>46035</v>
      </c>
      <c r="S22" s="453" t="s">
        <v>123</v>
      </c>
      <c r="T22" s="454" t="s">
        <v>4413</v>
      </c>
      <c r="U22" s="1055" t="s">
        <v>4414</v>
      </c>
      <c r="V22" s="1129" t="s">
        <v>396</v>
      </c>
      <c r="W22" s="1130">
        <v>1.365</v>
      </c>
      <c r="X22" s="1131">
        <f t="shared" si="10"/>
        <v>32.76</v>
      </c>
      <c r="Y22" s="1160"/>
      <c r="Z22" s="1149" t="s">
        <v>188</v>
      </c>
      <c r="AA22" s="1161" t="s">
        <v>128</v>
      </c>
      <c r="AB22" s="1161"/>
      <c r="AC22" s="1162"/>
      <c r="AD22" s="1162"/>
      <c r="AE22" s="1162" t="s">
        <v>4335</v>
      </c>
      <c r="AF22" s="452"/>
      <c r="AG22" s="452"/>
      <c r="AH22" s="1179">
        <f t="shared" si="11"/>
        <v>24</v>
      </c>
      <c r="AI22" s="1162"/>
      <c r="AJ22" s="1162"/>
      <c r="AK22" s="1162"/>
      <c r="AL22" s="1162"/>
      <c r="AM22" s="1162"/>
      <c r="AN22" s="781"/>
      <c r="AO22" s="781"/>
      <c r="AP22" s="781"/>
      <c r="AQ22" s="781">
        <f t="shared" si="12"/>
        <v>24</v>
      </c>
      <c r="AR22" s="781"/>
      <c r="AS22" s="781"/>
      <c r="AT22" s="781"/>
      <c r="AV22" s="781">
        <f t="shared" si="13"/>
        <v>24</v>
      </c>
      <c r="AW22" s="781"/>
      <c r="AX22" s="781"/>
      <c r="AY22" s="781"/>
      <c r="AZ22" s="781"/>
      <c r="BA22" s="781"/>
      <c r="BB22" s="781"/>
      <c r="BC22" s="1203"/>
      <c r="BD22" s="1203"/>
      <c r="BE22" s="1203"/>
      <c r="BF22" s="1203"/>
      <c r="BG22" s="1203"/>
      <c r="BH22" s="1203"/>
      <c r="BI22" s="1203"/>
      <c r="BJ22" s="1203"/>
      <c r="BK22" s="1203"/>
      <c r="BL22" s="1203"/>
      <c r="BM22" s="1203"/>
      <c r="BN22" s="1203"/>
      <c r="BO22" s="1203"/>
      <c r="BP22" s="1203"/>
      <c r="BQ22" s="1203"/>
      <c r="BR22" s="1203"/>
      <c r="BS22" s="1203"/>
      <c r="BT22" s="1203"/>
      <c r="BU22" s="1203"/>
      <c r="BV22" s="1203"/>
      <c r="BW22" s="1203"/>
      <c r="BX22" s="1203"/>
      <c r="BY22" s="1203"/>
      <c r="BZ22" s="1013">
        <f t="shared" si="14"/>
        <v>24</v>
      </c>
      <c r="CB22" s="1227"/>
      <c r="CC22" s="1227"/>
      <c r="CE22" s="1235">
        <f t="shared" si="8"/>
        <v>687719</v>
      </c>
    </row>
    <row r="23" s="1013" customFormat="1" ht="36" customHeight="1" spans="1:83">
      <c r="A23" s="778">
        <v>46035</v>
      </c>
      <c r="B23" s="636" t="s">
        <v>3926</v>
      </c>
      <c r="C23" s="637" t="s">
        <v>351</v>
      </c>
      <c r="D23" s="1054">
        <v>4500191202</v>
      </c>
      <c r="E23" s="1055" t="s">
        <v>4417</v>
      </c>
      <c r="F23" s="1054" t="s">
        <v>4418</v>
      </c>
      <c r="G23" s="1056" t="s">
        <v>73</v>
      </c>
      <c r="H23" s="1057" t="s">
        <v>74</v>
      </c>
      <c r="I23" s="1088">
        <v>72</v>
      </c>
      <c r="J23" s="1089">
        <v>0</v>
      </c>
      <c r="K23" s="1090">
        <v>24</v>
      </c>
      <c r="L23" s="1013">
        <f t="shared" si="9"/>
        <v>3</v>
      </c>
      <c r="M23" s="1091">
        <v>46092</v>
      </c>
      <c r="N23" s="1091">
        <v>46088</v>
      </c>
      <c r="O23" s="452"/>
      <c r="P23" s="452"/>
      <c r="Q23" s="452"/>
      <c r="R23" s="587">
        <v>46035</v>
      </c>
      <c r="S23" s="453" t="s">
        <v>123</v>
      </c>
      <c r="T23" s="454" t="s">
        <v>4413</v>
      </c>
      <c r="U23" s="1055" t="s">
        <v>4414</v>
      </c>
      <c r="V23" s="1129" t="s">
        <v>396</v>
      </c>
      <c r="W23" s="1130">
        <v>1.365</v>
      </c>
      <c r="X23" s="1131">
        <f t="shared" si="10"/>
        <v>98.28</v>
      </c>
      <c r="Y23" s="1160"/>
      <c r="Z23" s="1149" t="s">
        <v>188</v>
      </c>
      <c r="AA23" s="1161" t="s">
        <v>128</v>
      </c>
      <c r="AB23" s="1161"/>
      <c r="AC23" s="1162"/>
      <c r="AD23" s="1162"/>
      <c r="AE23" s="1162" t="s">
        <v>4335</v>
      </c>
      <c r="AF23" s="452"/>
      <c r="AG23" s="452"/>
      <c r="AH23" s="1179">
        <f t="shared" si="11"/>
        <v>72</v>
      </c>
      <c r="AI23" s="1162"/>
      <c r="AJ23" s="1162"/>
      <c r="AK23" s="1162"/>
      <c r="AL23" s="1162"/>
      <c r="AM23" s="1162"/>
      <c r="AN23" s="781"/>
      <c r="AO23" s="781"/>
      <c r="AP23" s="781"/>
      <c r="AQ23" s="781">
        <f t="shared" si="12"/>
        <v>72</v>
      </c>
      <c r="AR23" s="781"/>
      <c r="AS23" s="781"/>
      <c r="AT23" s="781"/>
      <c r="AV23" s="781">
        <f t="shared" si="13"/>
        <v>72</v>
      </c>
      <c r="AW23" s="781"/>
      <c r="AX23" s="781"/>
      <c r="AY23" s="781"/>
      <c r="AZ23" s="781"/>
      <c r="BA23" s="781"/>
      <c r="BB23" s="781"/>
      <c r="BC23" s="1203"/>
      <c r="BD23" s="1203"/>
      <c r="BE23" s="1203"/>
      <c r="BF23" s="1203"/>
      <c r="BG23" s="1203"/>
      <c r="BH23" s="1203"/>
      <c r="BI23" s="1203"/>
      <c r="BJ23" s="1203"/>
      <c r="BK23" s="1203"/>
      <c r="BL23" s="1203"/>
      <c r="BM23" s="1203"/>
      <c r="BN23" s="1203"/>
      <c r="BO23" s="1203"/>
      <c r="BP23" s="1203"/>
      <c r="BQ23" s="1203"/>
      <c r="BR23" s="1203"/>
      <c r="BS23" s="1203"/>
      <c r="BT23" s="1203"/>
      <c r="BU23" s="1203"/>
      <c r="BV23" s="1203"/>
      <c r="BW23" s="1203"/>
      <c r="BX23" s="1203"/>
      <c r="BY23" s="1203"/>
      <c r="BZ23" s="1013">
        <f t="shared" si="14"/>
        <v>72</v>
      </c>
      <c r="CB23" s="1227"/>
      <c r="CC23" s="1227"/>
      <c r="CE23" s="1235">
        <f t="shared" si="8"/>
        <v>687647</v>
      </c>
    </row>
    <row r="24" s="1013" customFormat="1" ht="36" customHeight="1" spans="1:83">
      <c r="A24" s="778">
        <v>46035</v>
      </c>
      <c r="B24" s="636" t="s">
        <v>3926</v>
      </c>
      <c r="C24" s="637" t="s">
        <v>351</v>
      </c>
      <c r="D24" s="1054">
        <v>4500191202</v>
      </c>
      <c r="E24" s="1055" t="s">
        <v>4419</v>
      </c>
      <c r="F24" s="1054" t="s">
        <v>4420</v>
      </c>
      <c r="G24" s="1056" t="s">
        <v>73</v>
      </c>
      <c r="H24" s="1057" t="s">
        <v>74</v>
      </c>
      <c r="I24" s="1088">
        <v>24</v>
      </c>
      <c r="J24" s="1089">
        <v>0</v>
      </c>
      <c r="K24" s="1090">
        <v>24</v>
      </c>
      <c r="L24" s="1013">
        <f t="shared" si="9"/>
        <v>1</v>
      </c>
      <c r="M24" s="1091">
        <v>46092</v>
      </c>
      <c r="N24" s="1091">
        <v>46088</v>
      </c>
      <c r="O24" s="452"/>
      <c r="P24" s="452"/>
      <c r="Q24" s="452"/>
      <c r="R24" s="587">
        <v>46035</v>
      </c>
      <c r="S24" s="453" t="s">
        <v>123</v>
      </c>
      <c r="T24" s="454" t="s">
        <v>4413</v>
      </c>
      <c r="U24" s="1055" t="s">
        <v>4414</v>
      </c>
      <c r="V24" s="1129" t="s">
        <v>396</v>
      </c>
      <c r="W24" s="1130">
        <v>1.365</v>
      </c>
      <c r="X24" s="1131">
        <f t="shared" si="10"/>
        <v>32.76</v>
      </c>
      <c r="Y24" s="1160"/>
      <c r="Z24" s="1149" t="s">
        <v>188</v>
      </c>
      <c r="AA24" s="1161" t="s">
        <v>128</v>
      </c>
      <c r="AB24" s="1161"/>
      <c r="AC24" s="1162"/>
      <c r="AD24" s="1162"/>
      <c r="AE24" s="1162" t="s">
        <v>4335</v>
      </c>
      <c r="AF24" s="452"/>
      <c r="AG24" s="452"/>
      <c r="AH24" s="1179">
        <f t="shared" si="11"/>
        <v>24</v>
      </c>
      <c r="AI24" s="1162"/>
      <c r="AJ24" s="1162"/>
      <c r="AK24" s="1162"/>
      <c r="AL24" s="1162"/>
      <c r="AM24" s="1162"/>
      <c r="AN24" s="781"/>
      <c r="AO24" s="781"/>
      <c r="AP24" s="781"/>
      <c r="AQ24" s="781">
        <f t="shared" si="12"/>
        <v>24</v>
      </c>
      <c r="AR24" s="781"/>
      <c r="AS24" s="781"/>
      <c r="AT24" s="781"/>
      <c r="AV24" s="781">
        <f t="shared" si="13"/>
        <v>24</v>
      </c>
      <c r="AW24" s="781"/>
      <c r="AX24" s="781"/>
      <c r="AY24" s="781"/>
      <c r="AZ24" s="781"/>
      <c r="BA24" s="781"/>
      <c r="BB24" s="781"/>
      <c r="BC24" s="1203"/>
      <c r="BD24" s="1203"/>
      <c r="BE24" s="1203"/>
      <c r="BF24" s="1203"/>
      <c r="BG24" s="1203"/>
      <c r="BH24" s="1203"/>
      <c r="BI24" s="1203"/>
      <c r="BJ24" s="1203"/>
      <c r="BK24" s="1203"/>
      <c r="BL24" s="1203"/>
      <c r="BM24" s="1203"/>
      <c r="BN24" s="1203"/>
      <c r="BO24" s="1203"/>
      <c r="BP24" s="1203"/>
      <c r="BQ24" s="1203"/>
      <c r="BR24" s="1203"/>
      <c r="BS24" s="1203"/>
      <c r="BT24" s="1203"/>
      <c r="BU24" s="1203"/>
      <c r="BV24" s="1203"/>
      <c r="BW24" s="1203"/>
      <c r="BX24" s="1203"/>
      <c r="BY24" s="1203"/>
      <c r="BZ24" s="1013">
        <f t="shared" si="14"/>
        <v>24</v>
      </c>
      <c r="CB24" s="1227"/>
      <c r="CC24" s="1227"/>
      <c r="CE24" s="1235">
        <f t="shared" si="8"/>
        <v>687623</v>
      </c>
    </row>
    <row r="25" s="1013" customFormat="1" ht="36" customHeight="1" spans="1:83">
      <c r="A25" s="778">
        <v>46035</v>
      </c>
      <c r="B25" s="636" t="s">
        <v>3926</v>
      </c>
      <c r="C25" s="637" t="s">
        <v>351</v>
      </c>
      <c r="D25" s="1054">
        <v>4500191202</v>
      </c>
      <c r="E25" s="1055" t="s">
        <v>4421</v>
      </c>
      <c r="F25" s="1054" t="s">
        <v>4422</v>
      </c>
      <c r="G25" s="1056" t="s">
        <v>73</v>
      </c>
      <c r="H25" s="1057" t="s">
        <v>74</v>
      </c>
      <c r="I25" s="1088">
        <v>24</v>
      </c>
      <c r="J25" s="1089">
        <v>0</v>
      </c>
      <c r="K25" s="1090">
        <v>24</v>
      </c>
      <c r="L25" s="1013">
        <f t="shared" si="9"/>
        <v>1</v>
      </c>
      <c r="M25" s="1091">
        <v>46092</v>
      </c>
      <c r="N25" s="1091">
        <v>46088</v>
      </c>
      <c r="O25" s="452"/>
      <c r="P25" s="452"/>
      <c r="Q25" s="452"/>
      <c r="R25" s="587">
        <v>46035</v>
      </c>
      <c r="S25" s="453" t="s">
        <v>123</v>
      </c>
      <c r="T25" s="454" t="s">
        <v>4413</v>
      </c>
      <c r="U25" s="1055" t="s">
        <v>4414</v>
      </c>
      <c r="V25" s="1129" t="s">
        <v>396</v>
      </c>
      <c r="W25" s="1130">
        <v>1.365</v>
      </c>
      <c r="X25" s="1131">
        <f t="shared" si="10"/>
        <v>32.76</v>
      </c>
      <c r="Y25" s="1160"/>
      <c r="Z25" s="1149" t="s">
        <v>188</v>
      </c>
      <c r="AA25" s="1161" t="s">
        <v>128</v>
      </c>
      <c r="AB25" s="1161"/>
      <c r="AC25" s="1162"/>
      <c r="AD25" s="1162"/>
      <c r="AE25" s="1162" t="s">
        <v>4335</v>
      </c>
      <c r="AF25" s="452"/>
      <c r="AG25" s="452"/>
      <c r="AH25" s="1179">
        <f t="shared" si="11"/>
        <v>24</v>
      </c>
      <c r="AI25" s="1162"/>
      <c r="AJ25" s="1162"/>
      <c r="AK25" s="1162"/>
      <c r="AL25" s="1162"/>
      <c r="AM25" s="1162"/>
      <c r="AN25" s="781"/>
      <c r="AO25" s="781"/>
      <c r="AP25" s="781"/>
      <c r="AQ25" s="781">
        <f t="shared" si="12"/>
        <v>24</v>
      </c>
      <c r="AR25" s="781"/>
      <c r="AS25" s="781"/>
      <c r="AT25" s="781"/>
      <c r="AV25" s="781">
        <f t="shared" si="13"/>
        <v>24</v>
      </c>
      <c r="AW25" s="781"/>
      <c r="AX25" s="781"/>
      <c r="AY25" s="781"/>
      <c r="AZ25" s="781"/>
      <c r="BA25" s="781"/>
      <c r="BB25" s="781"/>
      <c r="BC25" s="1203"/>
      <c r="BD25" s="1203"/>
      <c r="BE25" s="1203"/>
      <c r="BF25" s="1203"/>
      <c r="BG25" s="1203"/>
      <c r="BH25" s="1203"/>
      <c r="BI25" s="1203"/>
      <c r="BJ25" s="1203"/>
      <c r="BK25" s="1203"/>
      <c r="BL25" s="1203"/>
      <c r="BM25" s="1203"/>
      <c r="BN25" s="1203"/>
      <c r="BO25" s="1203"/>
      <c r="BP25" s="1203"/>
      <c r="BQ25" s="1203"/>
      <c r="BR25" s="1203"/>
      <c r="BS25" s="1203"/>
      <c r="BT25" s="1203"/>
      <c r="BU25" s="1203"/>
      <c r="BV25" s="1203"/>
      <c r="BW25" s="1203"/>
      <c r="BX25" s="1203"/>
      <c r="BY25" s="1203"/>
      <c r="BZ25" s="1013">
        <f t="shared" si="14"/>
        <v>24</v>
      </c>
      <c r="CB25" s="1227"/>
      <c r="CC25" s="1227"/>
      <c r="CE25" s="1235">
        <f t="shared" si="8"/>
        <v>687599</v>
      </c>
    </row>
    <row r="26" s="1013" customFormat="1" ht="36" customHeight="1" spans="1:83">
      <c r="A26" s="778">
        <v>46035</v>
      </c>
      <c r="B26" s="636" t="s">
        <v>3926</v>
      </c>
      <c r="C26" s="637" t="s">
        <v>351</v>
      </c>
      <c r="D26" s="1054">
        <v>4500191202</v>
      </c>
      <c r="E26" s="1055" t="s">
        <v>4423</v>
      </c>
      <c r="F26" s="1054" t="s">
        <v>4424</v>
      </c>
      <c r="G26" s="1056" t="s">
        <v>73</v>
      </c>
      <c r="H26" s="1057" t="s">
        <v>74</v>
      </c>
      <c r="I26" s="1088">
        <v>24</v>
      </c>
      <c r="J26" s="1089">
        <v>0</v>
      </c>
      <c r="K26" s="1090">
        <v>24</v>
      </c>
      <c r="L26" s="1013">
        <f t="shared" si="9"/>
        <v>1</v>
      </c>
      <c r="M26" s="1091">
        <v>46092</v>
      </c>
      <c r="N26" s="1091">
        <v>46088</v>
      </c>
      <c r="O26" s="452"/>
      <c r="P26" s="452"/>
      <c r="Q26" s="452"/>
      <c r="R26" s="587">
        <v>46035</v>
      </c>
      <c r="S26" s="453" t="s">
        <v>123</v>
      </c>
      <c r="T26" s="454" t="s">
        <v>4413</v>
      </c>
      <c r="U26" s="1055" t="s">
        <v>4414</v>
      </c>
      <c r="V26" s="1129" t="s">
        <v>396</v>
      </c>
      <c r="W26" s="1130">
        <v>1.365</v>
      </c>
      <c r="X26" s="1131">
        <f t="shared" si="10"/>
        <v>32.76</v>
      </c>
      <c r="Y26" s="1160"/>
      <c r="Z26" s="1149" t="s">
        <v>188</v>
      </c>
      <c r="AA26" s="1161" t="s">
        <v>128</v>
      </c>
      <c r="AB26" s="1161"/>
      <c r="AC26" s="1162"/>
      <c r="AD26" s="1162"/>
      <c r="AE26" s="1162" t="s">
        <v>4335</v>
      </c>
      <c r="AF26" s="452"/>
      <c r="AG26" s="452"/>
      <c r="AH26" s="1179">
        <f t="shared" si="11"/>
        <v>24</v>
      </c>
      <c r="AI26" s="1162"/>
      <c r="AJ26" s="1162"/>
      <c r="AK26" s="1162"/>
      <c r="AL26" s="1162"/>
      <c r="AM26" s="1162"/>
      <c r="AN26" s="781"/>
      <c r="AO26" s="781"/>
      <c r="AP26" s="781"/>
      <c r="AQ26" s="781">
        <f t="shared" si="12"/>
        <v>24</v>
      </c>
      <c r="AR26" s="781"/>
      <c r="AS26" s="781"/>
      <c r="AT26" s="781"/>
      <c r="AV26" s="781">
        <f t="shared" si="13"/>
        <v>24</v>
      </c>
      <c r="AW26" s="781"/>
      <c r="AX26" s="781"/>
      <c r="AY26" s="781"/>
      <c r="AZ26" s="781"/>
      <c r="BA26" s="781"/>
      <c r="BB26" s="781"/>
      <c r="BC26" s="1203"/>
      <c r="BD26" s="1203"/>
      <c r="BE26" s="1203"/>
      <c r="BF26" s="1203"/>
      <c r="BG26" s="1203"/>
      <c r="BH26" s="1203"/>
      <c r="BI26" s="1203"/>
      <c r="BJ26" s="1203"/>
      <c r="BK26" s="1203"/>
      <c r="BL26" s="1203"/>
      <c r="BM26" s="1203"/>
      <c r="BN26" s="1203"/>
      <c r="BO26" s="1203"/>
      <c r="BP26" s="1203"/>
      <c r="BQ26" s="1203"/>
      <c r="BR26" s="1203"/>
      <c r="BS26" s="1203"/>
      <c r="BT26" s="1203"/>
      <c r="BU26" s="1203"/>
      <c r="BV26" s="1203"/>
      <c r="BW26" s="1203"/>
      <c r="BX26" s="1203"/>
      <c r="BY26" s="1203"/>
      <c r="BZ26" s="1013">
        <f t="shared" si="14"/>
        <v>24</v>
      </c>
      <c r="CB26" s="1227"/>
      <c r="CC26" s="1227"/>
      <c r="CE26" s="1235">
        <f t="shared" si="8"/>
        <v>687575</v>
      </c>
    </row>
    <row r="27" s="1013" customFormat="1" ht="36" customHeight="1" spans="1:83">
      <c r="A27" s="778">
        <v>46035</v>
      </c>
      <c r="B27" s="636" t="s">
        <v>3926</v>
      </c>
      <c r="C27" s="637" t="s">
        <v>351</v>
      </c>
      <c r="D27" s="1054">
        <v>4500191202</v>
      </c>
      <c r="E27" s="1055" t="s">
        <v>4425</v>
      </c>
      <c r="F27" s="1054" t="s">
        <v>4426</v>
      </c>
      <c r="G27" s="1056" t="s">
        <v>73</v>
      </c>
      <c r="H27" s="1057" t="s">
        <v>74</v>
      </c>
      <c r="I27" s="1088">
        <v>24</v>
      </c>
      <c r="J27" s="1089">
        <v>0</v>
      </c>
      <c r="K27" s="1090">
        <v>24</v>
      </c>
      <c r="L27" s="1013">
        <f t="shared" si="9"/>
        <v>1</v>
      </c>
      <c r="M27" s="1091">
        <v>46092</v>
      </c>
      <c r="N27" s="1091">
        <v>46088</v>
      </c>
      <c r="O27" s="452"/>
      <c r="P27" s="452"/>
      <c r="Q27" s="452"/>
      <c r="R27" s="587">
        <v>46035</v>
      </c>
      <c r="S27" s="453" t="s">
        <v>123</v>
      </c>
      <c r="T27" s="454" t="s">
        <v>4413</v>
      </c>
      <c r="U27" s="1055" t="s">
        <v>4414</v>
      </c>
      <c r="V27" s="1129" t="s">
        <v>396</v>
      </c>
      <c r="W27" s="1130">
        <v>1.365</v>
      </c>
      <c r="X27" s="1131">
        <f t="shared" si="10"/>
        <v>32.76</v>
      </c>
      <c r="Y27" s="1160"/>
      <c r="Z27" s="1149" t="s">
        <v>188</v>
      </c>
      <c r="AA27" s="1161" t="s">
        <v>128</v>
      </c>
      <c r="AB27" s="1161"/>
      <c r="AC27" s="1162"/>
      <c r="AD27" s="1162"/>
      <c r="AE27" s="1162" t="s">
        <v>4335</v>
      </c>
      <c r="AF27" s="452"/>
      <c r="AG27" s="452"/>
      <c r="AH27" s="1179">
        <f t="shared" si="11"/>
        <v>24</v>
      </c>
      <c r="AI27" s="1162"/>
      <c r="AJ27" s="1162"/>
      <c r="AK27" s="1162"/>
      <c r="AL27" s="1162"/>
      <c r="AM27" s="1162"/>
      <c r="AN27" s="781"/>
      <c r="AO27" s="781"/>
      <c r="AP27" s="781"/>
      <c r="AQ27" s="781">
        <f t="shared" si="12"/>
        <v>24</v>
      </c>
      <c r="AR27" s="781"/>
      <c r="AS27" s="781"/>
      <c r="AT27" s="781"/>
      <c r="AV27" s="781">
        <f t="shared" si="13"/>
        <v>24</v>
      </c>
      <c r="AW27" s="781"/>
      <c r="AX27" s="781"/>
      <c r="AY27" s="781"/>
      <c r="AZ27" s="781"/>
      <c r="BA27" s="781"/>
      <c r="BB27" s="781"/>
      <c r="BC27" s="1203"/>
      <c r="BD27" s="1203"/>
      <c r="BE27" s="1203"/>
      <c r="BF27" s="1203"/>
      <c r="BG27" s="1203"/>
      <c r="BH27" s="1203"/>
      <c r="BI27" s="1203"/>
      <c r="BJ27" s="1203"/>
      <c r="BK27" s="1203"/>
      <c r="BL27" s="1203"/>
      <c r="BM27" s="1203"/>
      <c r="BN27" s="1203"/>
      <c r="BO27" s="1203"/>
      <c r="BP27" s="1203"/>
      <c r="BQ27" s="1203"/>
      <c r="BR27" s="1203"/>
      <c r="BS27" s="1203"/>
      <c r="BT27" s="1203"/>
      <c r="BU27" s="1203"/>
      <c r="BV27" s="1203"/>
      <c r="BW27" s="1203"/>
      <c r="BX27" s="1203"/>
      <c r="BY27" s="1203"/>
      <c r="BZ27" s="1013">
        <f t="shared" si="14"/>
        <v>24</v>
      </c>
      <c r="CB27" s="1227"/>
      <c r="CC27" s="1227"/>
      <c r="CE27" s="1009">
        <f t="shared" si="8"/>
        <v>687551</v>
      </c>
    </row>
    <row r="28" s="1013" customFormat="1" ht="36" customHeight="1" spans="1:83">
      <c r="A28" s="778">
        <v>46046</v>
      </c>
      <c r="B28" s="636"/>
      <c r="C28" s="637"/>
      <c r="D28" s="1054" t="s">
        <v>4427</v>
      </c>
      <c r="E28" s="1055"/>
      <c r="F28" s="1054" t="s">
        <v>4428</v>
      </c>
      <c r="G28" s="1056" t="s">
        <v>73</v>
      </c>
      <c r="H28" s="1057" t="s">
        <v>3579</v>
      </c>
      <c r="I28" s="1088">
        <v>3000</v>
      </c>
      <c r="J28" s="1089">
        <v>0</v>
      </c>
      <c r="K28" s="1090">
        <v>24</v>
      </c>
      <c r="L28" s="1013">
        <f t="shared" si="9"/>
        <v>125</v>
      </c>
      <c r="M28" s="1091">
        <v>46093</v>
      </c>
      <c r="N28" s="1091">
        <v>46090</v>
      </c>
      <c r="O28" s="452"/>
      <c r="P28" s="452"/>
      <c r="Q28" s="452"/>
      <c r="R28" s="587" t="s">
        <v>3580</v>
      </c>
      <c r="S28" s="453" t="s">
        <v>77</v>
      </c>
      <c r="T28" s="454" t="s">
        <v>77</v>
      </c>
      <c r="U28" s="1055" t="s">
        <v>4429</v>
      </c>
      <c r="V28" s="1129" t="s">
        <v>4430</v>
      </c>
      <c r="W28" s="1130"/>
      <c r="X28" s="1131"/>
      <c r="Y28" s="1160"/>
      <c r="Z28" s="1149" t="s">
        <v>3421</v>
      </c>
      <c r="AA28" s="1161" t="s">
        <v>128</v>
      </c>
      <c r="AB28" s="1161"/>
      <c r="AC28" s="1162"/>
      <c r="AD28" s="1162"/>
      <c r="AE28" s="1162"/>
      <c r="AF28" s="452"/>
      <c r="AG28" s="452"/>
      <c r="AH28" s="1179"/>
      <c r="AI28" s="1162"/>
      <c r="AJ28" s="1162"/>
      <c r="AK28" s="1162"/>
      <c r="AL28" s="1162"/>
      <c r="AM28" s="1162"/>
      <c r="AN28" s="781"/>
      <c r="AO28" s="781"/>
      <c r="AP28" s="781"/>
      <c r="AQ28" s="781"/>
      <c r="AR28" s="781"/>
      <c r="AS28" s="781"/>
      <c r="AT28" s="781"/>
      <c r="AV28" s="781"/>
      <c r="AW28" s="781"/>
      <c r="AX28" s="781"/>
      <c r="AY28" s="781"/>
      <c r="AZ28" s="781"/>
      <c r="BA28" s="781"/>
      <c r="BB28" s="781"/>
      <c r="BC28" s="1203"/>
      <c r="BD28" s="1203"/>
      <c r="BE28" s="1203"/>
      <c r="BF28" s="1203"/>
      <c r="BG28" s="1203"/>
      <c r="BH28" s="1203"/>
      <c r="BI28" s="1203"/>
      <c r="BJ28" s="1203"/>
      <c r="BK28" s="1203"/>
      <c r="BL28" s="1203"/>
      <c r="BM28" s="1203"/>
      <c r="BN28" s="1203"/>
      <c r="BO28" s="1203"/>
      <c r="BP28" s="1203"/>
      <c r="BQ28" s="1203"/>
      <c r="BR28" s="1203"/>
      <c r="BS28" s="1203"/>
      <c r="BT28" s="1203"/>
      <c r="BU28" s="1203"/>
      <c r="BV28" s="1203"/>
      <c r="BW28" s="1203"/>
      <c r="BX28" s="1203"/>
      <c r="BY28" s="1203"/>
      <c r="CB28" s="1227"/>
      <c r="CC28" s="1227"/>
      <c r="CE28" s="1009"/>
    </row>
    <row r="29" s="1014" customFormat="1" ht="36" customHeight="1" spans="1:83">
      <c r="A29" s="1058">
        <v>46059</v>
      </c>
      <c r="B29" s="1059" t="s">
        <v>4299</v>
      </c>
      <c r="C29" s="1060" t="s">
        <v>213</v>
      </c>
      <c r="D29" s="1061">
        <v>4500193318</v>
      </c>
      <c r="E29" s="1062" t="s">
        <v>4431</v>
      </c>
      <c r="F29" s="1061" t="s">
        <v>4432</v>
      </c>
      <c r="G29" s="1063" t="s">
        <v>4207</v>
      </c>
      <c r="H29" s="1064" t="s">
        <v>4208</v>
      </c>
      <c r="I29" s="1092">
        <v>480</v>
      </c>
      <c r="J29" s="1093">
        <v>0</v>
      </c>
      <c r="K29" s="1094">
        <v>24</v>
      </c>
      <c r="L29" s="1014">
        <f t="shared" si="9"/>
        <v>20</v>
      </c>
      <c r="M29" s="1095">
        <v>46118</v>
      </c>
      <c r="N29" s="1095">
        <v>46114</v>
      </c>
      <c r="O29" s="1096"/>
      <c r="P29" s="1096"/>
      <c r="Q29" s="1096"/>
      <c r="R29" s="1132" t="s">
        <v>4210</v>
      </c>
      <c r="S29" s="1133" t="s">
        <v>123</v>
      </c>
      <c r="T29" s="1134" t="s">
        <v>4433</v>
      </c>
      <c r="U29" s="1062" t="s">
        <v>4434</v>
      </c>
      <c r="V29" s="1135" t="s">
        <v>3630</v>
      </c>
      <c r="W29" s="1136">
        <v>1.4579</v>
      </c>
      <c r="X29" s="1137">
        <f>I29*W29</f>
        <v>699.792</v>
      </c>
      <c r="Y29" s="1163"/>
      <c r="Z29" s="1063" t="s">
        <v>4207</v>
      </c>
      <c r="AA29" s="1164"/>
      <c r="AB29" s="1164"/>
      <c r="AC29" s="1165"/>
      <c r="AD29" s="1165"/>
      <c r="AE29" s="1165"/>
      <c r="AF29" s="1096"/>
      <c r="AG29" s="1096"/>
      <c r="AH29" s="1180">
        <f>I29</f>
        <v>480</v>
      </c>
      <c r="AI29" s="1165"/>
      <c r="AJ29" s="1165"/>
      <c r="AK29" s="1165"/>
      <c r="AL29" s="1165"/>
      <c r="AM29" s="1165"/>
      <c r="AN29" s="1181"/>
      <c r="AO29" s="1181"/>
      <c r="AP29" s="1181"/>
      <c r="AQ29" s="1181">
        <f>AH29</f>
        <v>480</v>
      </c>
      <c r="AR29" s="1181"/>
      <c r="AS29" s="1181"/>
      <c r="AT29" s="1181"/>
      <c r="AV29" s="1181">
        <f>I29</f>
        <v>480</v>
      </c>
      <c r="AW29" s="1181"/>
      <c r="AX29" s="1181"/>
      <c r="AY29" s="1181"/>
      <c r="AZ29" s="1181"/>
      <c r="BA29" s="1181"/>
      <c r="BB29" s="1181"/>
      <c r="BC29" s="1204"/>
      <c r="BD29" s="1204"/>
      <c r="BE29" s="1204"/>
      <c r="BF29" s="1204"/>
      <c r="BG29" s="1204"/>
      <c r="BH29" s="1204"/>
      <c r="BI29" s="1204"/>
      <c r="BJ29" s="1204"/>
      <c r="BK29" s="1204"/>
      <c r="BL29" s="1204"/>
      <c r="BM29" s="1204"/>
      <c r="BN29" s="1204"/>
      <c r="BO29" s="1204"/>
      <c r="BP29" s="1204"/>
      <c r="BQ29" s="1204"/>
      <c r="BR29" s="1204"/>
      <c r="BS29" s="1204"/>
      <c r="BT29" s="1204"/>
      <c r="BU29" s="1204"/>
      <c r="BV29" s="1204"/>
      <c r="BW29" s="1204"/>
      <c r="BX29" s="1204"/>
      <c r="BY29" s="1204"/>
      <c r="CB29" s="1228"/>
      <c r="CC29" s="1228"/>
      <c r="CE29" s="1236"/>
    </row>
    <row r="30" s="1014" customFormat="1" ht="36" customHeight="1" spans="1:83">
      <c r="A30" s="778">
        <v>46058</v>
      </c>
      <c r="B30" s="636" t="s">
        <v>3926</v>
      </c>
      <c r="C30" s="637" t="s">
        <v>351</v>
      </c>
      <c r="D30" s="1054">
        <v>4500193215</v>
      </c>
      <c r="E30" s="1055" t="s">
        <v>4435</v>
      </c>
      <c r="F30" s="1054" t="s">
        <v>4436</v>
      </c>
      <c r="G30" s="1056" t="s">
        <v>628</v>
      </c>
      <c r="H30" s="1057" t="s">
        <v>623</v>
      </c>
      <c r="I30" s="1013">
        <v>24</v>
      </c>
      <c r="J30" s="1097">
        <v>0</v>
      </c>
      <c r="K30" s="1056">
        <v>12</v>
      </c>
      <c r="L30" s="1013">
        <f t="shared" ref="L30:L36" si="15">I30/K30</f>
        <v>2</v>
      </c>
      <c r="M30" s="1091">
        <v>46127</v>
      </c>
      <c r="N30" s="1091">
        <v>46123</v>
      </c>
      <c r="O30" s="452"/>
      <c r="P30" s="452"/>
      <c r="Q30" s="452"/>
      <c r="R30" s="452">
        <v>46058</v>
      </c>
      <c r="S30" s="453" t="s">
        <v>123</v>
      </c>
      <c r="T30" s="454" t="s">
        <v>4437</v>
      </c>
      <c r="U30" s="1055" t="s">
        <v>4438</v>
      </c>
      <c r="V30" s="1129" t="s">
        <v>396</v>
      </c>
      <c r="W30" s="1130">
        <v>3.037</v>
      </c>
      <c r="X30" s="1131">
        <f t="shared" ref="X30:X36" si="16">W30*I30</f>
        <v>72.888</v>
      </c>
      <c r="Y30" s="1160"/>
      <c r="Z30" s="1149" t="s">
        <v>729</v>
      </c>
      <c r="AA30" s="1161" t="s">
        <v>128</v>
      </c>
      <c r="AB30" s="1166"/>
      <c r="AC30" s="1162"/>
      <c r="AD30" s="1162"/>
      <c r="AE30" s="1162"/>
      <c r="AF30" s="452"/>
      <c r="AG30" s="1096"/>
      <c r="AH30" s="1165">
        <f>I30*2</f>
        <v>48</v>
      </c>
      <c r="AI30" s="1165"/>
      <c r="AJ30" s="1165"/>
      <c r="AK30" s="1165">
        <f t="shared" ref="AK30:AK36" si="17">I30*2</f>
        <v>48</v>
      </c>
      <c r="AL30" s="1165"/>
      <c r="AM30" s="1165"/>
      <c r="AN30" s="1181"/>
      <c r="AO30" s="1181"/>
      <c r="AP30" s="1181"/>
      <c r="AQ30" s="1181"/>
      <c r="AR30" s="1181"/>
      <c r="AS30" s="1181"/>
      <c r="AT30" s="1181"/>
      <c r="AU30" s="1181"/>
      <c r="AV30" s="1181">
        <f>I30*2</f>
        <v>48</v>
      </c>
      <c r="AW30" s="1181"/>
      <c r="AX30" s="1181"/>
      <c r="AY30" s="1181"/>
      <c r="AZ30" s="1181"/>
      <c r="BA30" s="1181"/>
      <c r="BB30" s="1181"/>
      <c r="BC30" s="1204"/>
      <c r="BD30" s="1204"/>
      <c r="BE30" s="1204"/>
      <c r="BF30" s="1204"/>
      <c r="BG30" s="1204"/>
      <c r="BH30" s="1204"/>
      <c r="BI30" s="1204"/>
      <c r="BJ30" s="1204"/>
      <c r="BK30" s="1204"/>
      <c r="BL30" s="1204"/>
      <c r="BM30" s="1204"/>
      <c r="BN30" s="1204"/>
      <c r="BO30" s="1204"/>
      <c r="BP30" s="1204"/>
      <c r="BQ30" s="1204"/>
      <c r="BR30" s="1204"/>
      <c r="BS30" s="1204"/>
      <c r="BT30" s="1204"/>
      <c r="BU30" s="1204"/>
      <c r="BV30" s="1204"/>
      <c r="BW30" s="1229">
        <f t="shared" ref="BW30:BW36" si="18">I30</f>
        <v>24</v>
      </c>
      <c r="BX30" s="1229"/>
      <c r="BY30" s="1229">
        <f t="shared" ref="BY30:BY36" si="19">BW30</f>
        <v>24</v>
      </c>
      <c r="BZ30" s="1230">
        <f t="shared" ref="BZ30:BZ36" si="20">AH30+AI30+AJ30</f>
        <v>48</v>
      </c>
      <c r="CB30" s="1228"/>
      <c r="CC30" s="1228"/>
      <c r="CE30" s="1237"/>
    </row>
    <row r="31" s="1014" customFormat="1" ht="36" customHeight="1" spans="1:83">
      <c r="A31" s="778">
        <v>46058</v>
      </c>
      <c r="B31" s="636" t="s">
        <v>3926</v>
      </c>
      <c r="C31" s="637" t="s">
        <v>351</v>
      </c>
      <c r="D31" s="1054">
        <v>4500193215</v>
      </c>
      <c r="E31" s="1055" t="s">
        <v>4439</v>
      </c>
      <c r="F31" s="1054" t="s">
        <v>4440</v>
      </c>
      <c r="G31" s="1056" t="s">
        <v>628</v>
      </c>
      <c r="H31" s="1057" t="s">
        <v>623</v>
      </c>
      <c r="I31" s="1013">
        <v>36</v>
      </c>
      <c r="J31" s="1097">
        <v>0</v>
      </c>
      <c r="K31" s="1056">
        <v>12</v>
      </c>
      <c r="L31" s="1013">
        <f t="shared" si="15"/>
        <v>3</v>
      </c>
      <c r="M31" s="1091">
        <v>46127</v>
      </c>
      <c r="N31" s="1091">
        <v>46123</v>
      </c>
      <c r="O31" s="452"/>
      <c r="P31" s="452"/>
      <c r="Q31" s="452"/>
      <c r="R31" s="452">
        <v>46058</v>
      </c>
      <c r="S31" s="453" t="s">
        <v>123</v>
      </c>
      <c r="T31" s="454" t="s">
        <v>4437</v>
      </c>
      <c r="U31" s="1055" t="s">
        <v>4438</v>
      </c>
      <c r="V31" s="1129" t="s">
        <v>396</v>
      </c>
      <c r="W31" s="1130">
        <v>3.037</v>
      </c>
      <c r="X31" s="1131">
        <f t="shared" si="16"/>
        <v>109.332</v>
      </c>
      <c r="Y31" s="1160"/>
      <c r="Z31" s="1149" t="s">
        <v>729</v>
      </c>
      <c r="AA31" s="1161" t="s">
        <v>128</v>
      </c>
      <c r="AB31" s="1166"/>
      <c r="AC31" s="1162"/>
      <c r="AD31" s="1162"/>
      <c r="AE31" s="1162"/>
      <c r="AF31" s="452"/>
      <c r="AG31" s="1096"/>
      <c r="AH31" s="1165">
        <f t="shared" ref="AH30:AH36" si="21">I31*2</f>
        <v>72</v>
      </c>
      <c r="AI31" s="1165"/>
      <c r="AJ31" s="1165"/>
      <c r="AK31" s="1165">
        <f t="shared" si="17"/>
        <v>72</v>
      </c>
      <c r="AL31" s="1165"/>
      <c r="AM31" s="1165"/>
      <c r="AN31" s="1181"/>
      <c r="AO31" s="1181"/>
      <c r="AP31" s="1181"/>
      <c r="AQ31" s="1181"/>
      <c r="AR31" s="1181"/>
      <c r="AS31" s="1181"/>
      <c r="AT31" s="1181"/>
      <c r="AU31" s="1181"/>
      <c r="AV31" s="1181">
        <f t="shared" ref="AV31:AV36" si="22">I31*2</f>
        <v>72</v>
      </c>
      <c r="AW31" s="1181"/>
      <c r="AX31" s="1181"/>
      <c r="AY31" s="1181"/>
      <c r="AZ31" s="1181"/>
      <c r="BA31" s="1181"/>
      <c r="BB31" s="1181"/>
      <c r="BC31" s="1204"/>
      <c r="BD31" s="1204"/>
      <c r="BE31" s="1204"/>
      <c r="BF31" s="1204"/>
      <c r="BG31" s="1204"/>
      <c r="BH31" s="1204"/>
      <c r="BI31" s="1204"/>
      <c r="BJ31" s="1204"/>
      <c r="BK31" s="1204"/>
      <c r="BL31" s="1204"/>
      <c r="BM31" s="1204"/>
      <c r="BN31" s="1204"/>
      <c r="BO31" s="1204"/>
      <c r="BP31" s="1204"/>
      <c r="BQ31" s="1204"/>
      <c r="BR31" s="1204"/>
      <c r="BS31" s="1204"/>
      <c r="BT31" s="1204"/>
      <c r="BU31" s="1204"/>
      <c r="BV31" s="1204"/>
      <c r="BW31" s="1229">
        <f t="shared" si="18"/>
        <v>36</v>
      </c>
      <c r="BX31" s="1229"/>
      <c r="BY31" s="1229">
        <f t="shared" si="19"/>
        <v>36</v>
      </c>
      <c r="BZ31" s="1230">
        <f t="shared" si="20"/>
        <v>72</v>
      </c>
      <c r="CB31" s="1228"/>
      <c r="CC31" s="1228"/>
      <c r="CE31" s="1237"/>
    </row>
    <row r="32" s="1014" customFormat="1" ht="36" customHeight="1" spans="1:83">
      <c r="A32" s="778">
        <v>46058</v>
      </c>
      <c r="B32" s="636" t="s">
        <v>3926</v>
      </c>
      <c r="C32" s="637" t="s">
        <v>351</v>
      </c>
      <c r="D32" s="1054">
        <v>4500193215</v>
      </c>
      <c r="E32" s="1055" t="s">
        <v>4441</v>
      </c>
      <c r="F32" s="1054" t="s">
        <v>4442</v>
      </c>
      <c r="G32" s="1056" t="s">
        <v>628</v>
      </c>
      <c r="H32" s="1057" t="s">
        <v>623</v>
      </c>
      <c r="I32" s="1013">
        <v>24</v>
      </c>
      <c r="J32" s="1097">
        <v>0</v>
      </c>
      <c r="K32" s="1056">
        <v>12</v>
      </c>
      <c r="L32" s="1013">
        <f t="shared" si="15"/>
        <v>2</v>
      </c>
      <c r="M32" s="1091">
        <v>46127</v>
      </c>
      <c r="N32" s="1091">
        <v>46123</v>
      </c>
      <c r="O32" s="452"/>
      <c r="P32" s="452"/>
      <c r="Q32" s="452"/>
      <c r="R32" s="452">
        <v>46058</v>
      </c>
      <c r="S32" s="453" t="s">
        <v>123</v>
      </c>
      <c r="T32" s="454" t="s">
        <v>4437</v>
      </c>
      <c r="U32" s="1055" t="s">
        <v>4438</v>
      </c>
      <c r="V32" s="1129" t="s">
        <v>396</v>
      </c>
      <c r="W32" s="1130">
        <v>3.037</v>
      </c>
      <c r="X32" s="1131">
        <f t="shared" si="16"/>
        <v>72.888</v>
      </c>
      <c r="Y32" s="1160"/>
      <c r="Z32" s="1149" t="s">
        <v>729</v>
      </c>
      <c r="AA32" s="1161" t="s">
        <v>128</v>
      </c>
      <c r="AB32" s="1166"/>
      <c r="AC32" s="1162"/>
      <c r="AD32" s="1162"/>
      <c r="AE32" s="1162"/>
      <c r="AF32" s="452"/>
      <c r="AG32" s="1096"/>
      <c r="AH32" s="1165">
        <f t="shared" si="21"/>
        <v>48</v>
      </c>
      <c r="AI32" s="1165"/>
      <c r="AJ32" s="1165"/>
      <c r="AK32" s="1165">
        <f t="shared" si="17"/>
        <v>48</v>
      </c>
      <c r="AL32" s="1165"/>
      <c r="AM32" s="1165"/>
      <c r="AN32" s="1181"/>
      <c r="AO32" s="1181"/>
      <c r="AP32" s="1181"/>
      <c r="AQ32" s="1181"/>
      <c r="AR32" s="1181"/>
      <c r="AS32" s="1181"/>
      <c r="AT32" s="1181"/>
      <c r="AU32" s="1181"/>
      <c r="AV32" s="1181">
        <f t="shared" si="22"/>
        <v>48</v>
      </c>
      <c r="AW32" s="1181"/>
      <c r="AX32" s="1181"/>
      <c r="AY32" s="1181"/>
      <c r="AZ32" s="1181"/>
      <c r="BA32" s="1181"/>
      <c r="BB32" s="1181"/>
      <c r="BC32" s="1204"/>
      <c r="BD32" s="1204"/>
      <c r="BE32" s="1204"/>
      <c r="BF32" s="1204"/>
      <c r="BG32" s="1204"/>
      <c r="BH32" s="1204"/>
      <c r="BI32" s="1204"/>
      <c r="BJ32" s="1204"/>
      <c r="BK32" s="1204"/>
      <c r="BL32" s="1204"/>
      <c r="BM32" s="1204"/>
      <c r="BN32" s="1204"/>
      <c r="BO32" s="1204"/>
      <c r="BP32" s="1204"/>
      <c r="BQ32" s="1204"/>
      <c r="BR32" s="1204"/>
      <c r="BS32" s="1204"/>
      <c r="BT32" s="1204"/>
      <c r="BU32" s="1204"/>
      <c r="BV32" s="1204"/>
      <c r="BW32" s="1229">
        <f t="shared" si="18"/>
        <v>24</v>
      </c>
      <c r="BX32" s="1229"/>
      <c r="BY32" s="1229">
        <f t="shared" si="19"/>
        <v>24</v>
      </c>
      <c r="BZ32" s="1230">
        <f t="shared" si="20"/>
        <v>48</v>
      </c>
      <c r="CB32" s="1228"/>
      <c r="CC32" s="1228"/>
      <c r="CE32" s="1237"/>
    </row>
    <row r="33" s="1014" customFormat="1" ht="36" customHeight="1" spans="1:83">
      <c r="A33" s="778">
        <v>46058</v>
      </c>
      <c r="B33" s="636" t="s">
        <v>3926</v>
      </c>
      <c r="C33" s="637" t="s">
        <v>351</v>
      </c>
      <c r="D33" s="1054">
        <v>4500193215</v>
      </c>
      <c r="E33" s="1055" t="s">
        <v>4443</v>
      </c>
      <c r="F33" s="1054" t="s">
        <v>4444</v>
      </c>
      <c r="G33" s="1056" t="s">
        <v>628</v>
      </c>
      <c r="H33" s="1057" t="s">
        <v>623</v>
      </c>
      <c r="I33" s="1013">
        <v>24</v>
      </c>
      <c r="J33" s="1097">
        <v>0</v>
      </c>
      <c r="K33" s="1056">
        <v>12</v>
      </c>
      <c r="L33" s="1013">
        <f t="shared" si="15"/>
        <v>2</v>
      </c>
      <c r="M33" s="1091">
        <v>46127</v>
      </c>
      <c r="N33" s="1091">
        <v>46123</v>
      </c>
      <c r="O33" s="452"/>
      <c r="P33" s="452"/>
      <c r="Q33" s="452"/>
      <c r="R33" s="452">
        <v>46058</v>
      </c>
      <c r="S33" s="453" t="s">
        <v>123</v>
      </c>
      <c r="T33" s="454" t="s">
        <v>4437</v>
      </c>
      <c r="U33" s="1055" t="s">
        <v>4438</v>
      </c>
      <c r="V33" s="1129" t="s">
        <v>396</v>
      </c>
      <c r="W33" s="1130">
        <v>3.037</v>
      </c>
      <c r="X33" s="1131">
        <f t="shared" si="16"/>
        <v>72.888</v>
      </c>
      <c r="Y33" s="1160"/>
      <c r="Z33" s="1149" t="s">
        <v>729</v>
      </c>
      <c r="AA33" s="1161" t="s">
        <v>128</v>
      </c>
      <c r="AB33" s="1166"/>
      <c r="AC33" s="1162"/>
      <c r="AD33" s="1162"/>
      <c r="AE33" s="1162"/>
      <c r="AF33" s="452"/>
      <c r="AG33" s="1096"/>
      <c r="AH33" s="1165">
        <f t="shared" si="21"/>
        <v>48</v>
      </c>
      <c r="AI33" s="1165"/>
      <c r="AJ33" s="1165"/>
      <c r="AK33" s="1165">
        <f t="shared" si="17"/>
        <v>48</v>
      </c>
      <c r="AL33" s="1165"/>
      <c r="AM33" s="1165"/>
      <c r="AN33" s="1181"/>
      <c r="AO33" s="1181"/>
      <c r="AP33" s="1181"/>
      <c r="AQ33" s="1181"/>
      <c r="AR33" s="1181"/>
      <c r="AS33" s="1181"/>
      <c r="AT33" s="1181"/>
      <c r="AU33" s="1181"/>
      <c r="AV33" s="1181">
        <f t="shared" si="22"/>
        <v>48</v>
      </c>
      <c r="AW33" s="1181"/>
      <c r="AX33" s="1181"/>
      <c r="AY33" s="1181"/>
      <c r="AZ33" s="1181"/>
      <c r="BA33" s="1181"/>
      <c r="BB33" s="1181"/>
      <c r="BC33" s="1204"/>
      <c r="BD33" s="1204"/>
      <c r="BE33" s="1204"/>
      <c r="BF33" s="1204"/>
      <c r="BG33" s="1204"/>
      <c r="BH33" s="1204"/>
      <c r="BI33" s="1204"/>
      <c r="BJ33" s="1204"/>
      <c r="BK33" s="1204"/>
      <c r="BL33" s="1204"/>
      <c r="BM33" s="1204"/>
      <c r="BN33" s="1204"/>
      <c r="BO33" s="1204"/>
      <c r="BP33" s="1204"/>
      <c r="BQ33" s="1204"/>
      <c r="BR33" s="1204"/>
      <c r="BS33" s="1204"/>
      <c r="BT33" s="1204"/>
      <c r="BU33" s="1204"/>
      <c r="BV33" s="1204"/>
      <c r="BW33" s="1229">
        <f t="shared" si="18"/>
        <v>24</v>
      </c>
      <c r="BX33" s="1229"/>
      <c r="BY33" s="1229">
        <f t="shared" si="19"/>
        <v>24</v>
      </c>
      <c r="BZ33" s="1230">
        <f t="shared" si="20"/>
        <v>48</v>
      </c>
      <c r="CB33" s="1228"/>
      <c r="CC33" s="1228"/>
      <c r="CE33" s="1237"/>
    </row>
    <row r="34" s="1014" customFormat="1" ht="36" customHeight="1" spans="1:83">
      <c r="A34" s="778">
        <v>46058</v>
      </c>
      <c r="B34" s="636" t="s">
        <v>3926</v>
      </c>
      <c r="C34" s="637" t="s">
        <v>351</v>
      </c>
      <c r="D34" s="1054">
        <v>4500193215</v>
      </c>
      <c r="E34" s="1055" t="s">
        <v>4445</v>
      </c>
      <c r="F34" s="1054" t="s">
        <v>4446</v>
      </c>
      <c r="G34" s="1056" t="s">
        <v>628</v>
      </c>
      <c r="H34" s="1057" t="s">
        <v>623</v>
      </c>
      <c r="I34" s="1013">
        <v>12</v>
      </c>
      <c r="J34" s="1097">
        <v>0</v>
      </c>
      <c r="K34" s="1056">
        <v>12</v>
      </c>
      <c r="L34" s="1013">
        <f t="shared" si="15"/>
        <v>1</v>
      </c>
      <c r="M34" s="1091">
        <v>46127</v>
      </c>
      <c r="N34" s="1091">
        <v>46123</v>
      </c>
      <c r="O34" s="452"/>
      <c r="P34" s="452"/>
      <c r="Q34" s="452"/>
      <c r="R34" s="452">
        <v>46058</v>
      </c>
      <c r="S34" s="453" t="s">
        <v>123</v>
      </c>
      <c r="T34" s="454" t="s">
        <v>4437</v>
      </c>
      <c r="U34" s="1055" t="s">
        <v>4438</v>
      </c>
      <c r="V34" s="1129" t="s">
        <v>396</v>
      </c>
      <c r="W34" s="1130">
        <v>3.037</v>
      </c>
      <c r="X34" s="1131">
        <f t="shared" si="16"/>
        <v>36.444</v>
      </c>
      <c r="Y34" s="1160"/>
      <c r="Z34" s="1149" t="s">
        <v>729</v>
      </c>
      <c r="AA34" s="1161" t="s">
        <v>128</v>
      </c>
      <c r="AB34" s="1166"/>
      <c r="AC34" s="1162"/>
      <c r="AD34" s="1162"/>
      <c r="AE34" s="1162"/>
      <c r="AF34" s="452"/>
      <c r="AG34" s="1096"/>
      <c r="AH34" s="1165">
        <f t="shared" si="21"/>
        <v>24</v>
      </c>
      <c r="AI34" s="1165"/>
      <c r="AJ34" s="1165"/>
      <c r="AK34" s="1165">
        <f t="shared" si="17"/>
        <v>24</v>
      </c>
      <c r="AL34" s="1165"/>
      <c r="AM34" s="1165"/>
      <c r="AN34" s="1181"/>
      <c r="AO34" s="1181"/>
      <c r="AP34" s="1181"/>
      <c r="AQ34" s="1181"/>
      <c r="AR34" s="1181"/>
      <c r="AS34" s="1181"/>
      <c r="AT34" s="1181"/>
      <c r="AU34" s="1181"/>
      <c r="AV34" s="1181">
        <f t="shared" si="22"/>
        <v>24</v>
      </c>
      <c r="AW34" s="1181"/>
      <c r="AX34" s="1181"/>
      <c r="AY34" s="1181"/>
      <c r="AZ34" s="1181"/>
      <c r="BA34" s="1181"/>
      <c r="BB34" s="1181"/>
      <c r="BC34" s="1204"/>
      <c r="BD34" s="1204"/>
      <c r="BE34" s="1204"/>
      <c r="BF34" s="1204"/>
      <c r="BG34" s="1204"/>
      <c r="BH34" s="1204"/>
      <c r="BI34" s="1204"/>
      <c r="BJ34" s="1204"/>
      <c r="BK34" s="1204"/>
      <c r="BL34" s="1204"/>
      <c r="BM34" s="1204"/>
      <c r="BN34" s="1204"/>
      <c r="BO34" s="1204"/>
      <c r="BP34" s="1204"/>
      <c r="BQ34" s="1204"/>
      <c r="BR34" s="1204"/>
      <c r="BS34" s="1204"/>
      <c r="BT34" s="1204"/>
      <c r="BU34" s="1204"/>
      <c r="BV34" s="1204"/>
      <c r="BW34" s="1229">
        <f t="shared" si="18"/>
        <v>12</v>
      </c>
      <c r="BX34" s="1229"/>
      <c r="BY34" s="1229">
        <f t="shared" si="19"/>
        <v>12</v>
      </c>
      <c r="BZ34" s="1230">
        <f t="shared" si="20"/>
        <v>24</v>
      </c>
      <c r="CB34" s="1228"/>
      <c r="CC34" s="1228"/>
      <c r="CE34" s="1237"/>
    </row>
    <row r="35" s="1014" customFormat="1" ht="36" customHeight="1" spans="1:83">
      <c r="A35" s="778">
        <v>46058</v>
      </c>
      <c r="B35" s="636" t="s">
        <v>3926</v>
      </c>
      <c r="C35" s="637" t="s">
        <v>351</v>
      </c>
      <c r="D35" s="1054">
        <v>4500193215</v>
      </c>
      <c r="E35" s="1055" t="s">
        <v>4447</v>
      </c>
      <c r="F35" s="1054" t="s">
        <v>4448</v>
      </c>
      <c r="G35" s="1056" t="s">
        <v>628</v>
      </c>
      <c r="H35" s="1057" t="s">
        <v>623</v>
      </c>
      <c r="I35" s="1013">
        <v>24</v>
      </c>
      <c r="J35" s="1097">
        <v>0</v>
      </c>
      <c r="K35" s="1056">
        <v>12</v>
      </c>
      <c r="L35" s="1013">
        <f t="shared" si="15"/>
        <v>2</v>
      </c>
      <c r="M35" s="1091">
        <v>46127</v>
      </c>
      <c r="N35" s="1091">
        <v>46123</v>
      </c>
      <c r="O35" s="452"/>
      <c r="P35" s="452"/>
      <c r="Q35" s="452"/>
      <c r="R35" s="452">
        <v>46058</v>
      </c>
      <c r="S35" s="453" t="s">
        <v>123</v>
      </c>
      <c r="T35" s="454" t="s">
        <v>4437</v>
      </c>
      <c r="U35" s="1055" t="s">
        <v>4438</v>
      </c>
      <c r="V35" s="1129" t="s">
        <v>396</v>
      </c>
      <c r="W35" s="1130">
        <v>3.037</v>
      </c>
      <c r="X35" s="1131">
        <f t="shared" si="16"/>
        <v>72.888</v>
      </c>
      <c r="Y35" s="1160"/>
      <c r="Z35" s="1149" t="s">
        <v>729</v>
      </c>
      <c r="AA35" s="1161" t="s">
        <v>128</v>
      </c>
      <c r="AB35" s="1166"/>
      <c r="AC35" s="1162"/>
      <c r="AD35" s="1162"/>
      <c r="AE35" s="1162"/>
      <c r="AF35" s="452"/>
      <c r="AG35" s="1096"/>
      <c r="AH35" s="1165">
        <f t="shared" si="21"/>
        <v>48</v>
      </c>
      <c r="AI35" s="1165"/>
      <c r="AJ35" s="1165"/>
      <c r="AK35" s="1165">
        <f t="shared" si="17"/>
        <v>48</v>
      </c>
      <c r="AL35" s="1165"/>
      <c r="AM35" s="1165"/>
      <c r="AN35" s="1181"/>
      <c r="AO35" s="1181"/>
      <c r="AP35" s="1181"/>
      <c r="AQ35" s="1181"/>
      <c r="AR35" s="1181"/>
      <c r="AS35" s="1181"/>
      <c r="AT35" s="1181"/>
      <c r="AU35" s="1181"/>
      <c r="AV35" s="1181">
        <f t="shared" si="22"/>
        <v>48</v>
      </c>
      <c r="AW35" s="1181"/>
      <c r="AX35" s="1181"/>
      <c r="AY35" s="1181"/>
      <c r="AZ35" s="1181"/>
      <c r="BA35" s="1181"/>
      <c r="BB35" s="1181"/>
      <c r="BC35" s="1204"/>
      <c r="BD35" s="1204"/>
      <c r="BE35" s="1204"/>
      <c r="BF35" s="1204"/>
      <c r="BG35" s="1204"/>
      <c r="BH35" s="1204"/>
      <c r="BI35" s="1204"/>
      <c r="BJ35" s="1204"/>
      <c r="BK35" s="1204"/>
      <c r="BL35" s="1204"/>
      <c r="BM35" s="1204"/>
      <c r="BN35" s="1204"/>
      <c r="BO35" s="1204"/>
      <c r="BP35" s="1204"/>
      <c r="BQ35" s="1204"/>
      <c r="BR35" s="1204"/>
      <c r="BS35" s="1204"/>
      <c r="BT35" s="1204"/>
      <c r="BU35" s="1204"/>
      <c r="BV35" s="1204"/>
      <c r="BW35" s="1229">
        <f t="shared" si="18"/>
        <v>24</v>
      </c>
      <c r="BX35" s="1229"/>
      <c r="BY35" s="1229">
        <f t="shared" si="19"/>
        <v>24</v>
      </c>
      <c r="BZ35" s="1230">
        <f t="shared" si="20"/>
        <v>48</v>
      </c>
      <c r="CB35" s="1228"/>
      <c r="CC35" s="1228"/>
      <c r="CE35" s="1237"/>
    </row>
    <row r="36" s="1014" customFormat="1" ht="36" customHeight="1" spans="1:83">
      <c r="A36" s="778">
        <v>46058</v>
      </c>
      <c r="B36" s="636" t="s">
        <v>3926</v>
      </c>
      <c r="C36" s="637" t="s">
        <v>351</v>
      </c>
      <c r="D36" s="1054">
        <v>4500193215</v>
      </c>
      <c r="E36" s="1055" t="s">
        <v>4449</v>
      </c>
      <c r="F36" s="1054" t="s">
        <v>4450</v>
      </c>
      <c r="G36" s="1056" t="s">
        <v>628</v>
      </c>
      <c r="H36" s="1057" t="s">
        <v>623</v>
      </c>
      <c r="I36" s="1013">
        <v>12</v>
      </c>
      <c r="J36" s="1097">
        <v>0</v>
      </c>
      <c r="K36" s="1056">
        <v>12</v>
      </c>
      <c r="L36" s="1013">
        <f t="shared" si="15"/>
        <v>1</v>
      </c>
      <c r="M36" s="1091">
        <v>46127</v>
      </c>
      <c r="N36" s="1091">
        <v>46123</v>
      </c>
      <c r="O36" s="452"/>
      <c r="P36" s="452"/>
      <c r="Q36" s="452"/>
      <c r="R36" s="452">
        <v>46058</v>
      </c>
      <c r="S36" s="453" t="s">
        <v>123</v>
      </c>
      <c r="T36" s="454" t="s">
        <v>4437</v>
      </c>
      <c r="U36" s="1055" t="s">
        <v>4438</v>
      </c>
      <c r="V36" s="1129" t="s">
        <v>396</v>
      </c>
      <c r="W36" s="1130">
        <v>3.037</v>
      </c>
      <c r="X36" s="1131">
        <f t="shared" si="16"/>
        <v>36.444</v>
      </c>
      <c r="Y36" s="1160"/>
      <c r="Z36" s="1149" t="s">
        <v>729</v>
      </c>
      <c r="AA36" s="1161" t="s">
        <v>128</v>
      </c>
      <c r="AB36" s="1166"/>
      <c r="AC36" s="1162"/>
      <c r="AD36" s="1162"/>
      <c r="AE36" s="1162"/>
      <c r="AF36" s="452"/>
      <c r="AG36" s="1096"/>
      <c r="AH36" s="1165">
        <f t="shared" si="21"/>
        <v>24</v>
      </c>
      <c r="AI36" s="1165"/>
      <c r="AJ36" s="1165"/>
      <c r="AK36" s="1165">
        <f t="shared" si="17"/>
        <v>24</v>
      </c>
      <c r="AL36" s="1165"/>
      <c r="AM36" s="1165"/>
      <c r="AN36" s="1181"/>
      <c r="AO36" s="1181"/>
      <c r="AP36" s="1181"/>
      <c r="AQ36" s="1181"/>
      <c r="AR36" s="1181"/>
      <c r="AS36" s="1181"/>
      <c r="AT36" s="1181"/>
      <c r="AU36" s="1181"/>
      <c r="AV36" s="1181">
        <f t="shared" si="22"/>
        <v>24</v>
      </c>
      <c r="AW36" s="1181"/>
      <c r="AX36" s="1181"/>
      <c r="AY36" s="1181"/>
      <c r="AZ36" s="1181"/>
      <c r="BA36" s="1181"/>
      <c r="BB36" s="1181"/>
      <c r="BC36" s="1204"/>
      <c r="BD36" s="1204"/>
      <c r="BE36" s="1204"/>
      <c r="BF36" s="1204"/>
      <c r="BG36" s="1204"/>
      <c r="BH36" s="1204"/>
      <c r="BI36" s="1204"/>
      <c r="BJ36" s="1204"/>
      <c r="BK36" s="1204"/>
      <c r="BL36" s="1204"/>
      <c r="BM36" s="1204"/>
      <c r="BN36" s="1204"/>
      <c r="BO36" s="1204"/>
      <c r="BP36" s="1204"/>
      <c r="BQ36" s="1204"/>
      <c r="BR36" s="1204"/>
      <c r="BS36" s="1204"/>
      <c r="BT36" s="1204"/>
      <c r="BU36" s="1204"/>
      <c r="BV36" s="1204"/>
      <c r="BW36" s="1229">
        <f t="shared" si="18"/>
        <v>12</v>
      </c>
      <c r="BX36" s="1229"/>
      <c r="BY36" s="1229">
        <f t="shared" si="19"/>
        <v>12</v>
      </c>
      <c r="BZ36" s="1230">
        <f t="shared" si="20"/>
        <v>24</v>
      </c>
      <c r="CB36" s="1228"/>
      <c r="CC36" s="1228"/>
      <c r="CE36" s="1237"/>
    </row>
    <row r="37" s="1015" customFormat="1" ht="36" customHeight="1" spans="1:83">
      <c r="A37" s="1065">
        <v>46063</v>
      </c>
      <c r="B37" s="1066" t="s">
        <v>4121</v>
      </c>
      <c r="C37" s="1067" t="s">
        <v>435</v>
      </c>
      <c r="D37" s="1068">
        <v>4500193583</v>
      </c>
      <c r="E37" s="1069">
        <v>4401059059</v>
      </c>
      <c r="F37" s="1068" t="s">
        <v>4451</v>
      </c>
      <c r="G37" s="1070" t="s">
        <v>4452</v>
      </c>
      <c r="H37" s="1071"/>
      <c r="I37" s="1098">
        <v>51072</v>
      </c>
      <c r="J37" s="1099">
        <v>0</v>
      </c>
      <c r="K37" s="1100">
        <v>16</v>
      </c>
      <c r="L37" s="1098">
        <f>I37/K37</f>
        <v>3192</v>
      </c>
      <c r="M37" s="1101">
        <v>46128</v>
      </c>
      <c r="N37" s="1101">
        <f>M37-3</f>
        <v>46125</v>
      </c>
      <c r="O37" s="744"/>
      <c r="P37" s="744"/>
      <c r="Q37" s="744"/>
      <c r="R37" s="744"/>
      <c r="S37" s="660"/>
      <c r="T37" s="661"/>
      <c r="U37" s="1069" t="s">
        <v>4453</v>
      </c>
      <c r="V37" s="1138" t="s">
        <v>2800</v>
      </c>
      <c r="W37" s="1139">
        <v>21.3756</v>
      </c>
      <c r="X37" s="1140">
        <f>W37*L37</f>
        <v>68230.9152</v>
      </c>
      <c r="Y37" s="1167"/>
      <c r="Z37" s="1168"/>
      <c r="AA37" s="1169"/>
      <c r="AB37" s="1170"/>
      <c r="AC37" s="1171"/>
      <c r="AD37" s="1171"/>
      <c r="AE37" s="1171"/>
      <c r="AF37" s="744"/>
      <c r="AG37" s="744"/>
      <c r="AH37" s="1182"/>
      <c r="AI37" s="1171"/>
      <c r="AJ37" s="1171"/>
      <c r="AK37" s="1171"/>
      <c r="AL37" s="1171"/>
      <c r="AM37" s="1171"/>
      <c r="AN37" s="1183"/>
      <c r="AO37" s="1183"/>
      <c r="AP37" s="1183"/>
      <c r="AQ37" s="1183"/>
      <c r="AR37" s="1183"/>
      <c r="AS37" s="1183"/>
      <c r="AT37" s="1183"/>
      <c r="AU37" s="1183"/>
      <c r="AV37" s="1183"/>
      <c r="AW37" s="1183"/>
      <c r="AX37" s="1183"/>
      <c r="AY37" s="1183"/>
      <c r="AZ37" s="1183"/>
      <c r="BA37" s="1183"/>
      <c r="BB37" s="1183"/>
      <c r="BC37" s="1205"/>
      <c r="BD37" s="1205"/>
      <c r="BE37" s="1205"/>
      <c r="BF37" s="1205"/>
      <c r="BG37" s="1205"/>
      <c r="BH37" s="1205"/>
      <c r="BI37" s="1205"/>
      <c r="BJ37" s="1205"/>
      <c r="BK37" s="1205"/>
      <c r="BL37" s="1205"/>
      <c r="BM37" s="1205"/>
      <c r="BN37" s="1205"/>
      <c r="BO37" s="1205"/>
      <c r="BP37" s="1205"/>
      <c r="BQ37" s="1205"/>
      <c r="BR37" s="1205"/>
      <c r="BS37" s="1205"/>
      <c r="BT37" s="1205"/>
      <c r="BU37" s="1205"/>
      <c r="BV37" s="1205"/>
      <c r="BW37" s="1231"/>
      <c r="BX37" s="1231"/>
      <c r="BY37" s="1231"/>
      <c r="BZ37" s="1232"/>
      <c r="CB37" s="1233"/>
      <c r="CC37" s="1233"/>
      <c r="CE37" s="1238"/>
    </row>
    <row r="38" s="1015" customFormat="1" ht="36" customHeight="1" spans="1:83">
      <c r="A38" s="1065">
        <v>46063</v>
      </c>
      <c r="B38" s="1066" t="s">
        <v>4121</v>
      </c>
      <c r="C38" s="1067" t="s">
        <v>435</v>
      </c>
      <c r="D38" s="1068">
        <v>4500193583</v>
      </c>
      <c r="E38" s="1069">
        <v>4401059062</v>
      </c>
      <c r="F38" s="1068" t="s">
        <v>4454</v>
      </c>
      <c r="G38" s="1070" t="s">
        <v>4452</v>
      </c>
      <c r="H38" s="1071"/>
      <c r="I38" s="1098">
        <v>51072</v>
      </c>
      <c r="J38" s="1099">
        <v>0</v>
      </c>
      <c r="K38" s="1100">
        <v>16</v>
      </c>
      <c r="L38" s="1098">
        <f>I38/K38</f>
        <v>3192</v>
      </c>
      <c r="M38" s="1101">
        <v>46128</v>
      </c>
      <c r="N38" s="1101">
        <f>M38-3</f>
        <v>46125</v>
      </c>
      <c r="O38" s="744"/>
      <c r="P38" s="744"/>
      <c r="Q38" s="744"/>
      <c r="R38" s="744"/>
      <c r="S38" s="660"/>
      <c r="T38" s="661"/>
      <c r="U38" s="1069" t="s">
        <v>4453</v>
      </c>
      <c r="V38" s="1138" t="s">
        <v>2800</v>
      </c>
      <c r="W38" s="1139">
        <v>21.3756</v>
      </c>
      <c r="X38" s="1140">
        <f>W38*L38</f>
        <v>68230.9152</v>
      </c>
      <c r="Y38" s="1167"/>
      <c r="Z38" s="1168"/>
      <c r="AA38" s="1169"/>
      <c r="AB38" s="1170"/>
      <c r="AC38" s="1171"/>
      <c r="AD38" s="1171"/>
      <c r="AE38" s="1171"/>
      <c r="AF38" s="744"/>
      <c r="AG38" s="744"/>
      <c r="AH38" s="1182"/>
      <c r="AI38" s="1171"/>
      <c r="AJ38" s="1171"/>
      <c r="AK38" s="1171"/>
      <c r="AL38" s="1171"/>
      <c r="AM38" s="1171"/>
      <c r="AN38" s="1183"/>
      <c r="AO38" s="1183"/>
      <c r="AP38" s="1183"/>
      <c r="AQ38" s="1183"/>
      <c r="AR38" s="1183"/>
      <c r="AS38" s="1183"/>
      <c r="AT38" s="1183"/>
      <c r="AU38" s="1183"/>
      <c r="AV38" s="1183"/>
      <c r="AW38" s="1183"/>
      <c r="AX38" s="1183"/>
      <c r="AY38" s="1183"/>
      <c r="AZ38" s="1183"/>
      <c r="BA38" s="1183"/>
      <c r="BB38" s="1183"/>
      <c r="BC38" s="1205"/>
      <c r="BD38" s="1205"/>
      <c r="BE38" s="1205"/>
      <c r="BF38" s="1205"/>
      <c r="BG38" s="1205"/>
      <c r="BH38" s="1205"/>
      <c r="BI38" s="1205"/>
      <c r="BJ38" s="1205"/>
      <c r="BK38" s="1205"/>
      <c r="BL38" s="1205"/>
      <c r="BM38" s="1205"/>
      <c r="BN38" s="1205"/>
      <c r="BO38" s="1205"/>
      <c r="BP38" s="1205"/>
      <c r="BQ38" s="1205"/>
      <c r="BR38" s="1205"/>
      <c r="BS38" s="1205"/>
      <c r="BT38" s="1205"/>
      <c r="BU38" s="1205"/>
      <c r="BV38" s="1205"/>
      <c r="BW38" s="1231"/>
      <c r="BX38" s="1231"/>
      <c r="BY38" s="1231"/>
      <c r="BZ38" s="1232"/>
      <c r="CB38" s="1233"/>
      <c r="CC38" s="1233"/>
      <c r="CE38" s="1238"/>
    </row>
    <row r="39" s="1015" customFormat="1" ht="36" customHeight="1" spans="1:83">
      <c r="A39" s="1065">
        <v>46063</v>
      </c>
      <c r="B39" s="1066" t="s">
        <v>4121</v>
      </c>
      <c r="C39" s="1067" t="s">
        <v>435</v>
      </c>
      <c r="D39" s="1068">
        <v>4500193583</v>
      </c>
      <c r="E39" s="1069">
        <v>4401059058</v>
      </c>
      <c r="F39" s="1068" t="s">
        <v>4455</v>
      </c>
      <c r="G39" s="1070" t="s">
        <v>4452</v>
      </c>
      <c r="H39" s="1071"/>
      <c r="I39" s="1098">
        <v>51072</v>
      </c>
      <c r="J39" s="1099">
        <v>0</v>
      </c>
      <c r="K39" s="1100">
        <v>16</v>
      </c>
      <c r="L39" s="1098">
        <f>I39/K39</f>
        <v>3192</v>
      </c>
      <c r="M39" s="1101">
        <v>46135</v>
      </c>
      <c r="N39" s="1101">
        <f>M39-3</f>
        <v>46132</v>
      </c>
      <c r="O39" s="744"/>
      <c r="P39" s="744"/>
      <c r="Q39" s="744"/>
      <c r="R39" s="744"/>
      <c r="S39" s="660"/>
      <c r="T39" s="661"/>
      <c r="U39" s="1069" t="s">
        <v>4453</v>
      </c>
      <c r="V39" s="1138" t="s">
        <v>2800</v>
      </c>
      <c r="W39" s="1139">
        <v>21.3756</v>
      </c>
      <c r="X39" s="1140">
        <f>W39*L39</f>
        <v>68230.9152</v>
      </c>
      <c r="Y39" s="1167"/>
      <c r="Z39" s="1168"/>
      <c r="AA39" s="1169"/>
      <c r="AB39" s="1170"/>
      <c r="AC39" s="1171"/>
      <c r="AD39" s="1171"/>
      <c r="AE39" s="1171"/>
      <c r="AF39" s="744"/>
      <c r="AG39" s="744"/>
      <c r="AH39" s="1182"/>
      <c r="AI39" s="1171"/>
      <c r="AJ39" s="1171"/>
      <c r="AK39" s="1171"/>
      <c r="AL39" s="1171"/>
      <c r="AM39" s="1171"/>
      <c r="AN39" s="1183"/>
      <c r="AO39" s="1183"/>
      <c r="AP39" s="1183"/>
      <c r="AQ39" s="1183"/>
      <c r="AR39" s="1183"/>
      <c r="AS39" s="1183"/>
      <c r="AT39" s="1183"/>
      <c r="AU39" s="1183"/>
      <c r="AV39" s="1183"/>
      <c r="AW39" s="1183"/>
      <c r="AX39" s="1183"/>
      <c r="AY39" s="1183"/>
      <c r="AZ39" s="1183"/>
      <c r="BA39" s="1183"/>
      <c r="BB39" s="1183"/>
      <c r="BC39" s="1205"/>
      <c r="BD39" s="1205"/>
      <c r="BE39" s="1205"/>
      <c r="BF39" s="1205"/>
      <c r="BG39" s="1205"/>
      <c r="BH39" s="1205"/>
      <c r="BI39" s="1205"/>
      <c r="BJ39" s="1205"/>
      <c r="BK39" s="1205"/>
      <c r="BL39" s="1205"/>
      <c r="BM39" s="1205"/>
      <c r="BN39" s="1205"/>
      <c r="BO39" s="1205"/>
      <c r="BP39" s="1205"/>
      <c r="BQ39" s="1205"/>
      <c r="BR39" s="1205"/>
      <c r="BS39" s="1205"/>
      <c r="BT39" s="1205"/>
      <c r="BU39" s="1205"/>
      <c r="BV39" s="1205"/>
      <c r="BW39" s="1231"/>
      <c r="BX39" s="1231"/>
      <c r="BY39" s="1231"/>
      <c r="BZ39" s="1232"/>
      <c r="CB39" s="1233"/>
      <c r="CC39" s="1233"/>
      <c r="CE39" s="1238"/>
    </row>
    <row r="40" s="1015" customFormat="1" ht="36" customHeight="1" spans="1:83">
      <c r="A40" s="1065">
        <v>46063</v>
      </c>
      <c r="B40" s="1066" t="s">
        <v>4121</v>
      </c>
      <c r="C40" s="1067" t="s">
        <v>435</v>
      </c>
      <c r="D40" s="1068">
        <v>4500193583</v>
      </c>
      <c r="E40" s="1069">
        <v>4401059053</v>
      </c>
      <c r="F40" s="1068" t="s">
        <v>4456</v>
      </c>
      <c r="G40" s="1070" t="s">
        <v>4452</v>
      </c>
      <c r="H40" s="1071"/>
      <c r="I40" s="1098">
        <v>51072</v>
      </c>
      <c r="J40" s="1099">
        <v>0</v>
      </c>
      <c r="K40" s="1100">
        <v>16</v>
      </c>
      <c r="L40" s="1098">
        <f>I40/K40</f>
        <v>3192</v>
      </c>
      <c r="M40" s="1101">
        <v>46135</v>
      </c>
      <c r="N40" s="1101">
        <f>M40-3</f>
        <v>46132</v>
      </c>
      <c r="O40" s="744"/>
      <c r="P40" s="744"/>
      <c r="Q40" s="744"/>
      <c r="R40" s="744"/>
      <c r="S40" s="660"/>
      <c r="T40" s="661"/>
      <c r="U40" s="1069" t="s">
        <v>4453</v>
      </c>
      <c r="V40" s="1138" t="s">
        <v>2800</v>
      </c>
      <c r="W40" s="1139">
        <v>21.3756</v>
      </c>
      <c r="X40" s="1140">
        <f>W40*L40</f>
        <v>68230.9152</v>
      </c>
      <c r="Y40" s="1167"/>
      <c r="Z40" s="1168"/>
      <c r="AA40" s="1169"/>
      <c r="AB40" s="1170"/>
      <c r="AC40" s="1171"/>
      <c r="AD40" s="1171"/>
      <c r="AE40" s="1171"/>
      <c r="AF40" s="744"/>
      <c r="AG40" s="744"/>
      <c r="AH40" s="1182"/>
      <c r="AI40" s="1171"/>
      <c r="AJ40" s="1171"/>
      <c r="AK40" s="1171"/>
      <c r="AL40" s="1171"/>
      <c r="AM40" s="1171"/>
      <c r="AN40" s="1183"/>
      <c r="AO40" s="1183"/>
      <c r="AP40" s="1183"/>
      <c r="AQ40" s="1183"/>
      <c r="AR40" s="1183"/>
      <c r="AS40" s="1183"/>
      <c r="AT40" s="1183"/>
      <c r="AU40" s="1183"/>
      <c r="AV40" s="1183"/>
      <c r="AW40" s="1183"/>
      <c r="AX40" s="1183"/>
      <c r="AY40" s="1183"/>
      <c r="AZ40" s="1183"/>
      <c r="BA40" s="1183"/>
      <c r="BB40" s="1183"/>
      <c r="BC40" s="1205"/>
      <c r="BD40" s="1205"/>
      <c r="BE40" s="1205"/>
      <c r="BF40" s="1205"/>
      <c r="BG40" s="1205"/>
      <c r="BH40" s="1205"/>
      <c r="BI40" s="1205"/>
      <c r="BJ40" s="1205"/>
      <c r="BK40" s="1205"/>
      <c r="BL40" s="1205"/>
      <c r="BM40" s="1205"/>
      <c r="BN40" s="1205"/>
      <c r="BO40" s="1205"/>
      <c r="BP40" s="1205"/>
      <c r="BQ40" s="1205"/>
      <c r="BR40" s="1205"/>
      <c r="BS40" s="1205"/>
      <c r="BT40" s="1205"/>
      <c r="BU40" s="1205"/>
      <c r="BV40" s="1205"/>
      <c r="BW40" s="1231"/>
      <c r="BX40" s="1231"/>
      <c r="BY40" s="1231"/>
      <c r="BZ40" s="1232"/>
      <c r="CB40" s="1233"/>
      <c r="CC40" s="1233"/>
      <c r="CE40" s="1238"/>
    </row>
    <row r="41" s="1015" customFormat="1" ht="36" customHeight="1" spans="1:83">
      <c r="A41" s="1065">
        <v>46063</v>
      </c>
      <c r="B41" s="1066" t="s">
        <v>4121</v>
      </c>
      <c r="C41" s="1067" t="s">
        <v>435</v>
      </c>
      <c r="D41" s="1068">
        <v>4500193583</v>
      </c>
      <c r="E41" s="1069">
        <v>4401059063</v>
      </c>
      <c r="F41" s="1068" t="s">
        <v>4457</v>
      </c>
      <c r="G41" s="1070" t="s">
        <v>4452</v>
      </c>
      <c r="H41" s="1071"/>
      <c r="I41" s="1098">
        <v>51072</v>
      </c>
      <c r="J41" s="1099">
        <v>0</v>
      </c>
      <c r="K41" s="1100">
        <v>16</v>
      </c>
      <c r="L41" s="1098">
        <f>I41/K41</f>
        <v>3192</v>
      </c>
      <c r="M41" s="1101">
        <v>46136</v>
      </c>
      <c r="N41" s="1101">
        <f>M41-4</f>
        <v>46132</v>
      </c>
      <c r="O41" s="744"/>
      <c r="P41" s="744"/>
      <c r="Q41" s="744"/>
      <c r="R41" s="744"/>
      <c r="S41" s="660"/>
      <c r="T41" s="661"/>
      <c r="U41" s="1069" t="s">
        <v>4453</v>
      </c>
      <c r="V41" s="1138" t="s">
        <v>2800</v>
      </c>
      <c r="W41" s="1139">
        <v>21.3756</v>
      </c>
      <c r="X41" s="1140">
        <f>W41*L41</f>
        <v>68230.9152</v>
      </c>
      <c r="Y41" s="1167"/>
      <c r="Z41" s="1168"/>
      <c r="AA41" s="1169"/>
      <c r="AB41" s="1170"/>
      <c r="AC41" s="1171"/>
      <c r="AD41" s="1171"/>
      <c r="AE41" s="1171"/>
      <c r="AF41" s="744"/>
      <c r="AG41" s="744"/>
      <c r="AH41" s="1182"/>
      <c r="AI41" s="1171"/>
      <c r="AJ41" s="1171"/>
      <c r="AK41" s="1171"/>
      <c r="AL41" s="1171"/>
      <c r="AM41" s="1171"/>
      <c r="AN41" s="1183"/>
      <c r="AO41" s="1183"/>
      <c r="AP41" s="1183"/>
      <c r="AQ41" s="1183"/>
      <c r="AR41" s="1183"/>
      <c r="AS41" s="1183"/>
      <c r="AT41" s="1183"/>
      <c r="AU41" s="1183"/>
      <c r="AV41" s="1183"/>
      <c r="AW41" s="1183"/>
      <c r="AX41" s="1183"/>
      <c r="AY41" s="1183"/>
      <c r="AZ41" s="1183"/>
      <c r="BA41" s="1183"/>
      <c r="BB41" s="1183"/>
      <c r="BC41" s="1205"/>
      <c r="BD41" s="1205"/>
      <c r="BE41" s="1205"/>
      <c r="BF41" s="1205"/>
      <c r="BG41" s="1205"/>
      <c r="BH41" s="1205"/>
      <c r="BI41" s="1205"/>
      <c r="BJ41" s="1205"/>
      <c r="BK41" s="1205"/>
      <c r="BL41" s="1205"/>
      <c r="BM41" s="1205"/>
      <c r="BN41" s="1205"/>
      <c r="BO41" s="1205"/>
      <c r="BP41" s="1205"/>
      <c r="BQ41" s="1205"/>
      <c r="BR41" s="1205"/>
      <c r="BS41" s="1205"/>
      <c r="BT41" s="1205"/>
      <c r="BU41" s="1205"/>
      <c r="BV41" s="1205"/>
      <c r="BW41" s="1231"/>
      <c r="BX41" s="1231"/>
      <c r="BY41" s="1231"/>
      <c r="BZ41" s="1232"/>
      <c r="CB41" s="1233"/>
      <c r="CC41" s="1233"/>
      <c r="CE41" s="1238"/>
    </row>
    <row r="42" s="1015" customFormat="1" ht="36" customHeight="1" spans="1:83">
      <c r="A42" s="1065">
        <v>46063</v>
      </c>
      <c r="B42" s="1066" t="s">
        <v>4121</v>
      </c>
      <c r="C42" s="1067" t="s">
        <v>435</v>
      </c>
      <c r="D42" s="1068">
        <v>4500193583</v>
      </c>
      <c r="E42" s="1069">
        <v>4401059079</v>
      </c>
      <c r="F42" s="1068" t="s">
        <v>4458</v>
      </c>
      <c r="G42" s="1070" t="s">
        <v>4452</v>
      </c>
      <c r="H42" s="1071"/>
      <c r="I42" s="1098">
        <v>51072</v>
      </c>
      <c r="J42" s="1099">
        <v>0</v>
      </c>
      <c r="K42" s="1100">
        <v>16</v>
      </c>
      <c r="L42" s="1098">
        <f>I42/K42</f>
        <v>3192</v>
      </c>
      <c r="M42" s="1101">
        <v>46136</v>
      </c>
      <c r="N42" s="1101">
        <f>M42-4</f>
        <v>46132</v>
      </c>
      <c r="O42" s="744"/>
      <c r="P42" s="744"/>
      <c r="Q42" s="744"/>
      <c r="R42" s="744"/>
      <c r="S42" s="660"/>
      <c r="T42" s="661"/>
      <c r="U42" s="1069" t="s">
        <v>4453</v>
      </c>
      <c r="V42" s="1138" t="s">
        <v>2800</v>
      </c>
      <c r="W42" s="1139">
        <v>21.3756</v>
      </c>
      <c r="X42" s="1140">
        <f>W42*L42</f>
        <v>68230.9152</v>
      </c>
      <c r="Y42" s="1167"/>
      <c r="Z42" s="1168"/>
      <c r="AA42" s="1169"/>
      <c r="AB42" s="1170"/>
      <c r="AC42" s="1171"/>
      <c r="AD42" s="1171"/>
      <c r="AE42" s="1171"/>
      <c r="AF42" s="744"/>
      <c r="AG42" s="744"/>
      <c r="AH42" s="1182"/>
      <c r="AI42" s="1171"/>
      <c r="AJ42" s="1171"/>
      <c r="AK42" s="1171"/>
      <c r="AL42" s="1171"/>
      <c r="AM42" s="1171"/>
      <c r="AN42" s="1183"/>
      <c r="AO42" s="1183"/>
      <c r="AP42" s="1183"/>
      <c r="AQ42" s="1183"/>
      <c r="AR42" s="1183"/>
      <c r="AS42" s="1183"/>
      <c r="AT42" s="1183"/>
      <c r="AU42" s="1183"/>
      <c r="AV42" s="1183"/>
      <c r="AW42" s="1183"/>
      <c r="AX42" s="1183"/>
      <c r="AY42" s="1183"/>
      <c r="AZ42" s="1183"/>
      <c r="BA42" s="1183"/>
      <c r="BB42" s="1183"/>
      <c r="BC42" s="1205"/>
      <c r="BD42" s="1205"/>
      <c r="BE42" s="1205"/>
      <c r="BF42" s="1205"/>
      <c r="BG42" s="1205"/>
      <c r="BH42" s="1205"/>
      <c r="BI42" s="1205"/>
      <c r="BJ42" s="1205"/>
      <c r="BK42" s="1205"/>
      <c r="BL42" s="1205"/>
      <c r="BM42" s="1205"/>
      <c r="BN42" s="1205"/>
      <c r="BO42" s="1205"/>
      <c r="BP42" s="1205"/>
      <c r="BQ42" s="1205"/>
      <c r="BR42" s="1205"/>
      <c r="BS42" s="1205"/>
      <c r="BT42" s="1205"/>
      <c r="BU42" s="1205"/>
      <c r="BV42" s="1205"/>
      <c r="BW42" s="1231"/>
      <c r="BX42" s="1231"/>
      <c r="BY42" s="1231"/>
      <c r="BZ42" s="1232"/>
      <c r="CB42" s="1233"/>
      <c r="CC42" s="1233"/>
      <c r="CE42" s="1238"/>
    </row>
    <row r="43" s="1015" customFormat="1" ht="36" customHeight="1" spans="1:83">
      <c r="A43" s="1065">
        <v>46063</v>
      </c>
      <c r="B43" s="1066" t="s">
        <v>4121</v>
      </c>
      <c r="C43" s="1067" t="s">
        <v>435</v>
      </c>
      <c r="D43" s="1068">
        <v>4500193583</v>
      </c>
      <c r="E43" s="1069">
        <v>4401059043</v>
      </c>
      <c r="F43" s="1068" t="s">
        <v>4459</v>
      </c>
      <c r="G43" s="1070" t="s">
        <v>4452</v>
      </c>
      <c r="H43" s="1071"/>
      <c r="I43" s="1098">
        <v>51072</v>
      </c>
      <c r="J43" s="1099">
        <v>0</v>
      </c>
      <c r="K43" s="1100">
        <v>16</v>
      </c>
      <c r="L43" s="1098">
        <f>I43/K43</f>
        <v>3192</v>
      </c>
      <c r="M43" s="1101">
        <v>46142</v>
      </c>
      <c r="N43" s="1101">
        <f>M43-3</f>
        <v>46139</v>
      </c>
      <c r="O43" s="744"/>
      <c r="P43" s="744"/>
      <c r="Q43" s="744"/>
      <c r="R43" s="744"/>
      <c r="S43" s="660"/>
      <c r="T43" s="661"/>
      <c r="U43" s="1069" t="s">
        <v>4453</v>
      </c>
      <c r="V43" s="1138" t="s">
        <v>2800</v>
      </c>
      <c r="W43" s="1139">
        <v>21.3756</v>
      </c>
      <c r="X43" s="1140">
        <f>W43*L43</f>
        <v>68230.9152</v>
      </c>
      <c r="Y43" s="1167"/>
      <c r="Z43" s="1168"/>
      <c r="AA43" s="1169"/>
      <c r="AB43" s="1170"/>
      <c r="AC43" s="1171"/>
      <c r="AD43" s="1171"/>
      <c r="AE43" s="1171"/>
      <c r="AF43" s="744"/>
      <c r="AG43" s="744"/>
      <c r="AH43" s="1182"/>
      <c r="AI43" s="1171"/>
      <c r="AJ43" s="1171"/>
      <c r="AK43" s="1171"/>
      <c r="AL43" s="1171"/>
      <c r="AM43" s="1171"/>
      <c r="AN43" s="1183"/>
      <c r="AO43" s="1183"/>
      <c r="AP43" s="1183"/>
      <c r="AQ43" s="1183"/>
      <c r="AR43" s="1183"/>
      <c r="AS43" s="1183"/>
      <c r="AT43" s="1183"/>
      <c r="AU43" s="1183"/>
      <c r="AV43" s="1183"/>
      <c r="AW43" s="1183"/>
      <c r="AX43" s="1183"/>
      <c r="AY43" s="1183"/>
      <c r="AZ43" s="1183"/>
      <c r="BA43" s="1183"/>
      <c r="BB43" s="1183"/>
      <c r="BC43" s="1205"/>
      <c r="BD43" s="1205"/>
      <c r="BE43" s="1205"/>
      <c r="BF43" s="1205"/>
      <c r="BG43" s="1205"/>
      <c r="BH43" s="1205"/>
      <c r="BI43" s="1205"/>
      <c r="BJ43" s="1205"/>
      <c r="BK43" s="1205"/>
      <c r="BL43" s="1205"/>
      <c r="BM43" s="1205"/>
      <c r="BN43" s="1205"/>
      <c r="BO43" s="1205"/>
      <c r="BP43" s="1205"/>
      <c r="BQ43" s="1205"/>
      <c r="BR43" s="1205"/>
      <c r="BS43" s="1205"/>
      <c r="BT43" s="1205"/>
      <c r="BU43" s="1205"/>
      <c r="BV43" s="1205"/>
      <c r="BW43" s="1231"/>
      <c r="BX43" s="1231"/>
      <c r="BY43" s="1231"/>
      <c r="BZ43" s="1232"/>
      <c r="CB43" s="1233"/>
      <c r="CC43" s="1233"/>
      <c r="CE43" s="1238"/>
    </row>
    <row r="44" s="1015" customFormat="1" ht="36" customHeight="1" spans="1:83">
      <c r="A44" s="1065">
        <v>46063</v>
      </c>
      <c r="B44" s="1066" t="s">
        <v>4121</v>
      </c>
      <c r="C44" s="1067" t="s">
        <v>435</v>
      </c>
      <c r="D44" s="1068">
        <v>4500193583</v>
      </c>
      <c r="E44" s="1069">
        <v>4401059065</v>
      </c>
      <c r="F44" s="1068" t="s">
        <v>4460</v>
      </c>
      <c r="G44" s="1070" t="s">
        <v>4452</v>
      </c>
      <c r="H44" s="1071"/>
      <c r="I44" s="1098">
        <v>51072</v>
      </c>
      <c r="J44" s="1099">
        <v>0</v>
      </c>
      <c r="K44" s="1100">
        <v>16</v>
      </c>
      <c r="L44" s="1098">
        <f>I44/K44</f>
        <v>3192</v>
      </c>
      <c r="M44" s="1101">
        <v>46142</v>
      </c>
      <c r="N44" s="1101">
        <f>M44-3</f>
        <v>46139</v>
      </c>
      <c r="O44" s="744"/>
      <c r="P44" s="744"/>
      <c r="Q44" s="744"/>
      <c r="R44" s="744"/>
      <c r="S44" s="660"/>
      <c r="T44" s="661"/>
      <c r="U44" s="1069" t="s">
        <v>4453</v>
      </c>
      <c r="V44" s="1138" t="s">
        <v>2800</v>
      </c>
      <c r="W44" s="1139">
        <v>21.3756</v>
      </c>
      <c r="X44" s="1140">
        <f>W44*L44</f>
        <v>68230.9152</v>
      </c>
      <c r="Y44" s="1167"/>
      <c r="Z44" s="1168"/>
      <c r="AA44" s="1169"/>
      <c r="AB44" s="1170"/>
      <c r="AC44" s="1171"/>
      <c r="AD44" s="1171"/>
      <c r="AE44" s="1171"/>
      <c r="AF44" s="744"/>
      <c r="AG44" s="744"/>
      <c r="AH44" s="1182"/>
      <c r="AI44" s="1171"/>
      <c r="AJ44" s="1171"/>
      <c r="AK44" s="1171"/>
      <c r="AL44" s="1171"/>
      <c r="AM44" s="1171"/>
      <c r="AN44" s="1183"/>
      <c r="AO44" s="1183"/>
      <c r="AP44" s="1183"/>
      <c r="AQ44" s="1183"/>
      <c r="AR44" s="1183"/>
      <c r="AS44" s="1183"/>
      <c r="AT44" s="1183"/>
      <c r="AU44" s="1183"/>
      <c r="AV44" s="1183"/>
      <c r="AW44" s="1183"/>
      <c r="AX44" s="1183"/>
      <c r="AY44" s="1183"/>
      <c r="AZ44" s="1183"/>
      <c r="BA44" s="1183"/>
      <c r="BB44" s="1183"/>
      <c r="BC44" s="1205"/>
      <c r="BD44" s="1205"/>
      <c r="BE44" s="1205"/>
      <c r="BF44" s="1205"/>
      <c r="BG44" s="1205"/>
      <c r="BH44" s="1205"/>
      <c r="BI44" s="1205"/>
      <c r="BJ44" s="1205"/>
      <c r="BK44" s="1205"/>
      <c r="BL44" s="1205"/>
      <c r="BM44" s="1205"/>
      <c r="BN44" s="1205"/>
      <c r="BO44" s="1205"/>
      <c r="BP44" s="1205"/>
      <c r="BQ44" s="1205"/>
      <c r="BR44" s="1205"/>
      <c r="BS44" s="1205"/>
      <c r="BT44" s="1205"/>
      <c r="BU44" s="1205"/>
      <c r="BV44" s="1205"/>
      <c r="BW44" s="1231"/>
      <c r="BX44" s="1231"/>
      <c r="BY44" s="1231"/>
      <c r="BZ44" s="1232"/>
      <c r="CB44" s="1233"/>
      <c r="CC44" s="1233"/>
      <c r="CE44" s="1238"/>
    </row>
    <row r="45" s="1015" customFormat="1" ht="36" customHeight="1" spans="1:83">
      <c r="A45" s="1065">
        <v>46063</v>
      </c>
      <c r="B45" s="1066" t="s">
        <v>4121</v>
      </c>
      <c r="C45" s="1067" t="s">
        <v>435</v>
      </c>
      <c r="D45" s="1068">
        <v>4500193583</v>
      </c>
      <c r="E45" s="1069">
        <v>4401059068</v>
      </c>
      <c r="F45" s="1068" t="s">
        <v>4461</v>
      </c>
      <c r="G45" s="1070" t="s">
        <v>4452</v>
      </c>
      <c r="H45" s="1071"/>
      <c r="I45" s="1098">
        <v>51072</v>
      </c>
      <c r="J45" s="1099">
        <v>0</v>
      </c>
      <c r="K45" s="1100">
        <v>16</v>
      </c>
      <c r="L45" s="1098">
        <f>I45/K45</f>
        <v>3192</v>
      </c>
      <c r="M45" s="1101">
        <v>46142</v>
      </c>
      <c r="N45" s="1101">
        <f>M45-3</f>
        <v>46139</v>
      </c>
      <c r="O45" s="744"/>
      <c r="P45" s="744"/>
      <c r="Q45" s="744"/>
      <c r="R45" s="744"/>
      <c r="S45" s="660"/>
      <c r="T45" s="661"/>
      <c r="U45" s="1069" t="s">
        <v>4453</v>
      </c>
      <c r="V45" s="1138" t="s">
        <v>2800</v>
      </c>
      <c r="W45" s="1139">
        <v>21.3756</v>
      </c>
      <c r="X45" s="1140">
        <f>W45*L45</f>
        <v>68230.9152</v>
      </c>
      <c r="Y45" s="1167"/>
      <c r="Z45" s="1168"/>
      <c r="AA45" s="1169"/>
      <c r="AB45" s="1170"/>
      <c r="AC45" s="1171"/>
      <c r="AD45" s="1171"/>
      <c r="AE45" s="1171"/>
      <c r="AF45" s="744"/>
      <c r="AG45" s="744"/>
      <c r="AH45" s="1182"/>
      <c r="AI45" s="1171"/>
      <c r="AJ45" s="1171"/>
      <c r="AK45" s="1171"/>
      <c r="AL45" s="1171"/>
      <c r="AM45" s="1171"/>
      <c r="AN45" s="1183"/>
      <c r="AO45" s="1183"/>
      <c r="AP45" s="1183"/>
      <c r="AQ45" s="1183"/>
      <c r="AR45" s="1183"/>
      <c r="AS45" s="1183"/>
      <c r="AT45" s="1183"/>
      <c r="AU45" s="1183"/>
      <c r="AV45" s="1183"/>
      <c r="AW45" s="1183"/>
      <c r="AX45" s="1183"/>
      <c r="AY45" s="1183"/>
      <c r="AZ45" s="1183"/>
      <c r="BA45" s="1183"/>
      <c r="BB45" s="1183"/>
      <c r="BC45" s="1205"/>
      <c r="BD45" s="1205"/>
      <c r="BE45" s="1205"/>
      <c r="BF45" s="1205"/>
      <c r="BG45" s="1205"/>
      <c r="BH45" s="1205"/>
      <c r="BI45" s="1205"/>
      <c r="BJ45" s="1205"/>
      <c r="BK45" s="1205"/>
      <c r="BL45" s="1205"/>
      <c r="BM45" s="1205"/>
      <c r="BN45" s="1205"/>
      <c r="BO45" s="1205"/>
      <c r="BP45" s="1205"/>
      <c r="BQ45" s="1205"/>
      <c r="BR45" s="1205"/>
      <c r="BS45" s="1205"/>
      <c r="BT45" s="1205"/>
      <c r="BU45" s="1205"/>
      <c r="BV45" s="1205"/>
      <c r="BW45" s="1231"/>
      <c r="BX45" s="1231"/>
      <c r="BY45" s="1231"/>
      <c r="BZ45" s="1232"/>
      <c r="CB45" s="1233"/>
      <c r="CC45" s="1233"/>
      <c r="CE45" s="1238"/>
    </row>
    <row r="46" s="1015" customFormat="1" ht="36" customHeight="1" spans="1:83">
      <c r="A46" s="1065">
        <v>46063</v>
      </c>
      <c r="B46" s="1066" t="s">
        <v>4121</v>
      </c>
      <c r="C46" s="1067" t="s">
        <v>435</v>
      </c>
      <c r="D46" s="1068">
        <v>4500193583</v>
      </c>
      <c r="E46" s="1069">
        <v>4401059056</v>
      </c>
      <c r="F46" s="1068" t="s">
        <v>4462</v>
      </c>
      <c r="G46" s="1070" t="s">
        <v>4452</v>
      </c>
      <c r="H46" s="1071"/>
      <c r="I46" s="1098">
        <v>21776</v>
      </c>
      <c r="J46" s="1099">
        <v>0</v>
      </c>
      <c r="K46" s="1100">
        <v>16</v>
      </c>
      <c r="L46" s="1098">
        <f>I46/K46</f>
        <v>1361</v>
      </c>
      <c r="M46" s="1101">
        <v>46150</v>
      </c>
      <c r="N46" s="1101">
        <f>M46-4</f>
        <v>46146</v>
      </c>
      <c r="O46" s="744"/>
      <c r="P46" s="744"/>
      <c r="Q46" s="744"/>
      <c r="R46" s="744"/>
      <c r="S46" s="660"/>
      <c r="T46" s="661"/>
      <c r="U46" s="1069" t="s">
        <v>4453</v>
      </c>
      <c r="V46" s="1138" t="s">
        <v>2800</v>
      </c>
      <c r="W46" s="1139">
        <v>21.3756</v>
      </c>
      <c r="X46" s="1140">
        <f>W46*L46</f>
        <v>29092.1916</v>
      </c>
      <c r="Y46" s="1167"/>
      <c r="Z46" s="1168"/>
      <c r="AA46" s="1169"/>
      <c r="AB46" s="1170"/>
      <c r="AC46" s="1171"/>
      <c r="AD46" s="1171"/>
      <c r="AE46" s="1171"/>
      <c r="AF46" s="744"/>
      <c r="AG46" s="744"/>
      <c r="AH46" s="1182"/>
      <c r="AI46" s="1171"/>
      <c r="AJ46" s="1171"/>
      <c r="AK46" s="1171"/>
      <c r="AL46" s="1171"/>
      <c r="AM46" s="1171"/>
      <c r="AN46" s="1183"/>
      <c r="AO46" s="1183"/>
      <c r="AP46" s="1183"/>
      <c r="AQ46" s="1183"/>
      <c r="AR46" s="1183"/>
      <c r="AS46" s="1183"/>
      <c r="AT46" s="1183"/>
      <c r="AU46" s="1183"/>
      <c r="AV46" s="1183"/>
      <c r="AW46" s="1183"/>
      <c r="AX46" s="1183"/>
      <c r="AY46" s="1183"/>
      <c r="AZ46" s="1183"/>
      <c r="BA46" s="1183"/>
      <c r="BB46" s="1183"/>
      <c r="BC46" s="1205"/>
      <c r="BD46" s="1205"/>
      <c r="BE46" s="1205"/>
      <c r="BF46" s="1205"/>
      <c r="BG46" s="1205"/>
      <c r="BH46" s="1205"/>
      <c r="BI46" s="1205"/>
      <c r="BJ46" s="1205"/>
      <c r="BK46" s="1205"/>
      <c r="BL46" s="1205"/>
      <c r="BM46" s="1205"/>
      <c r="BN46" s="1205"/>
      <c r="BO46" s="1205"/>
      <c r="BP46" s="1205"/>
      <c r="BQ46" s="1205"/>
      <c r="BR46" s="1205"/>
      <c r="BS46" s="1205"/>
      <c r="BT46" s="1205"/>
      <c r="BU46" s="1205"/>
      <c r="BV46" s="1205"/>
      <c r="BW46" s="1231"/>
      <c r="BX46" s="1231"/>
      <c r="BY46" s="1231"/>
      <c r="BZ46" s="1232"/>
      <c r="CB46" s="1233"/>
      <c r="CC46" s="1233"/>
      <c r="CE46" s="1238"/>
    </row>
    <row r="47" s="1015" customFormat="1" ht="36" customHeight="1" spans="1:83">
      <c r="A47" s="1065">
        <v>46063</v>
      </c>
      <c r="B47" s="1066" t="s">
        <v>4121</v>
      </c>
      <c r="C47" s="1067" t="s">
        <v>435</v>
      </c>
      <c r="D47" s="1068">
        <v>4500193583</v>
      </c>
      <c r="E47" s="1069">
        <v>4401059052</v>
      </c>
      <c r="F47" s="1068" t="s">
        <v>4463</v>
      </c>
      <c r="G47" s="1070" t="s">
        <v>4452</v>
      </c>
      <c r="H47" s="1071"/>
      <c r="I47" s="1098">
        <v>44320</v>
      </c>
      <c r="J47" s="1099">
        <v>0</v>
      </c>
      <c r="K47" s="1100">
        <v>16</v>
      </c>
      <c r="L47" s="1098">
        <f>I47/K47</f>
        <v>2770</v>
      </c>
      <c r="M47" s="1101">
        <v>46184</v>
      </c>
      <c r="N47" s="1101">
        <f>M47-3</f>
        <v>46181</v>
      </c>
      <c r="O47" s="744"/>
      <c r="P47" s="744"/>
      <c r="Q47" s="744"/>
      <c r="R47" s="744"/>
      <c r="S47" s="660"/>
      <c r="T47" s="661"/>
      <c r="U47" s="1069" t="s">
        <v>4453</v>
      </c>
      <c r="V47" s="1138" t="s">
        <v>2800</v>
      </c>
      <c r="W47" s="1139">
        <v>21.3756</v>
      </c>
      <c r="X47" s="1140">
        <f>W47*L47</f>
        <v>59210.412</v>
      </c>
      <c r="Y47" s="1167"/>
      <c r="Z47" s="1168"/>
      <c r="AA47" s="1169"/>
      <c r="AB47" s="1170"/>
      <c r="AC47" s="1171"/>
      <c r="AD47" s="1171"/>
      <c r="AE47" s="1171"/>
      <c r="AF47" s="744"/>
      <c r="AG47" s="744"/>
      <c r="AH47" s="1182"/>
      <c r="AI47" s="1171"/>
      <c r="AJ47" s="1171"/>
      <c r="AK47" s="1171"/>
      <c r="AL47" s="1171"/>
      <c r="AM47" s="1171"/>
      <c r="AN47" s="1183"/>
      <c r="AO47" s="1183"/>
      <c r="AP47" s="1183"/>
      <c r="AQ47" s="1183"/>
      <c r="AR47" s="1183"/>
      <c r="AS47" s="1183"/>
      <c r="AT47" s="1183"/>
      <c r="AU47" s="1183"/>
      <c r="AV47" s="1183"/>
      <c r="AW47" s="1183"/>
      <c r="AX47" s="1183"/>
      <c r="AY47" s="1183"/>
      <c r="AZ47" s="1183"/>
      <c r="BA47" s="1183"/>
      <c r="BB47" s="1183"/>
      <c r="BC47" s="1205"/>
      <c r="BD47" s="1205"/>
      <c r="BE47" s="1205"/>
      <c r="BF47" s="1205"/>
      <c r="BG47" s="1205"/>
      <c r="BH47" s="1205"/>
      <c r="BI47" s="1205"/>
      <c r="BJ47" s="1205"/>
      <c r="BK47" s="1205"/>
      <c r="BL47" s="1205"/>
      <c r="BM47" s="1205"/>
      <c r="BN47" s="1205"/>
      <c r="BO47" s="1205"/>
      <c r="BP47" s="1205"/>
      <c r="BQ47" s="1205"/>
      <c r="BR47" s="1205"/>
      <c r="BS47" s="1205"/>
      <c r="BT47" s="1205"/>
      <c r="BU47" s="1205"/>
      <c r="BV47" s="1205"/>
      <c r="BW47" s="1231"/>
      <c r="BX47" s="1231"/>
      <c r="BY47" s="1231"/>
      <c r="BZ47" s="1232"/>
      <c r="CB47" s="1233"/>
      <c r="CC47" s="1233"/>
      <c r="CE47" s="1238"/>
    </row>
    <row r="48" s="1015" customFormat="1" ht="36" customHeight="1" spans="1:83">
      <c r="A48" s="1065">
        <v>46063</v>
      </c>
      <c r="B48" s="1066" t="s">
        <v>4121</v>
      </c>
      <c r="C48" s="1067" t="s">
        <v>435</v>
      </c>
      <c r="D48" s="1068">
        <v>4500193583</v>
      </c>
      <c r="E48" s="1069">
        <v>4401059057</v>
      </c>
      <c r="F48" s="1068" t="s">
        <v>4464</v>
      </c>
      <c r="G48" s="1070" t="s">
        <v>4452</v>
      </c>
      <c r="H48" s="1071"/>
      <c r="I48" s="1098">
        <v>44320</v>
      </c>
      <c r="J48" s="1099">
        <v>0</v>
      </c>
      <c r="K48" s="1100">
        <v>16</v>
      </c>
      <c r="L48" s="1098">
        <f>I48/K48</f>
        <v>2770</v>
      </c>
      <c r="M48" s="1101">
        <v>46184</v>
      </c>
      <c r="N48" s="1101">
        <f>M48-3</f>
        <v>46181</v>
      </c>
      <c r="O48" s="744"/>
      <c r="P48" s="744"/>
      <c r="Q48" s="744"/>
      <c r="R48" s="744"/>
      <c r="S48" s="660"/>
      <c r="T48" s="661"/>
      <c r="U48" s="1069" t="s">
        <v>4453</v>
      </c>
      <c r="V48" s="1138" t="s">
        <v>2800</v>
      </c>
      <c r="W48" s="1139">
        <v>21.3756</v>
      </c>
      <c r="X48" s="1140">
        <f>W48*L48</f>
        <v>59210.412</v>
      </c>
      <c r="Y48" s="1167"/>
      <c r="Z48" s="1168"/>
      <c r="AA48" s="1169"/>
      <c r="AB48" s="1170"/>
      <c r="AC48" s="1171"/>
      <c r="AD48" s="1171"/>
      <c r="AE48" s="1171"/>
      <c r="AF48" s="744"/>
      <c r="AG48" s="744"/>
      <c r="AH48" s="1182"/>
      <c r="AI48" s="1171"/>
      <c r="AJ48" s="1171"/>
      <c r="AK48" s="1171"/>
      <c r="AL48" s="1171"/>
      <c r="AM48" s="1171"/>
      <c r="AN48" s="1183"/>
      <c r="AO48" s="1183"/>
      <c r="AP48" s="1183"/>
      <c r="AQ48" s="1183"/>
      <c r="AR48" s="1183"/>
      <c r="AS48" s="1183"/>
      <c r="AT48" s="1183"/>
      <c r="AU48" s="1183"/>
      <c r="AV48" s="1183"/>
      <c r="AW48" s="1183"/>
      <c r="AX48" s="1183"/>
      <c r="AY48" s="1183"/>
      <c r="AZ48" s="1183"/>
      <c r="BA48" s="1183"/>
      <c r="BB48" s="1183"/>
      <c r="BC48" s="1205"/>
      <c r="BD48" s="1205"/>
      <c r="BE48" s="1205"/>
      <c r="BF48" s="1205"/>
      <c r="BG48" s="1205"/>
      <c r="BH48" s="1205"/>
      <c r="BI48" s="1205"/>
      <c r="BJ48" s="1205"/>
      <c r="BK48" s="1205"/>
      <c r="BL48" s="1205"/>
      <c r="BM48" s="1205"/>
      <c r="BN48" s="1205"/>
      <c r="BO48" s="1205"/>
      <c r="BP48" s="1205"/>
      <c r="BQ48" s="1205"/>
      <c r="BR48" s="1205"/>
      <c r="BS48" s="1205"/>
      <c r="BT48" s="1205"/>
      <c r="BU48" s="1205"/>
      <c r="BV48" s="1205"/>
      <c r="BW48" s="1231"/>
      <c r="BX48" s="1231"/>
      <c r="BY48" s="1231"/>
      <c r="BZ48" s="1232"/>
      <c r="CB48" s="1233"/>
      <c r="CC48" s="1233"/>
      <c r="CE48" s="1238"/>
    </row>
    <row r="49" s="1015" customFormat="1" ht="36" customHeight="1" spans="1:83">
      <c r="A49" s="1065">
        <v>46063</v>
      </c>
      <c r="B49" s="1066" t="s">
        <v>4121</v>
      </c>
      <c r="C49" s="1067" t="s">
        <v>435</v>
      </c>
      <c r="D49" s="1068">
        <v>4500193583</v>
      </c>
      <c r="E49" s="1069">
        <v>4401059076</v>
      </c>
      <c r="F49" s="1068" t="s">
        <v>4465</v>
      </c>
      <c r="G49" s="1070" t="s">
        <v>4452</v>
      </c>
      <c r="H49" s="1071"/>
      <c r="I49" s="1098">
        <v>51072</v>
      </c>
      <c r="J49" s="1099">
        <v>0</v>
      </c>
      <c r="K49" s="1100">
        <v>16</v>
      </c>
      <c r="L49" s="1098">
        <f>I49/K49</f>
        <v>3192</v>
      </c>
      <c r="M49" s="1101">
        <v>46192</v>
      </c>
      <c r="N49" s="1101">
        <f>M49-4</f>
        <v>46188</v>
      </c>
      <c r="O49" s="744"/>
      <c r="P49" s="744"/>
      <c r="Q49" s="744"/>
      <c r="R49" s="744"/>
      <c r="S49" s="660"/>
      <c r="T49" s="661"/>
      <c r="U49" s="1069" t="s">
        <v>4453</v>
      </c>
      <c r="V49" s="1138" t="s">
        <v>2800</v>
      </c>
      <c r="W49" s="1139">
        <v>21.3756</v>
      </c>
      <c r="X49" s="1140">
        <f>W49*L49</f>
        <v>68230.9152</v>
      </c>
      <c r="Y49" s="1167"/>
      <c r="Z49" s="1168"/>
      <c r="AA49" s="1169"/>
      <c r="AB49" s="1170"/>
      <c r="AC49" s="1171"/>
      <c r="AD49" s="1171"/>
      <c r="AE49" s="1171"/>
      <c r="AF49" s="744"/>
      <c r="AG49" s="744"/>
      <c r="AH49" s="1182"/>
      <c r="AI49" s="1171"/>
      <c r="AJ49" s="1171"/>
      <c r="AK49" s="1171"/>
      <c r="AL49" s="1171"/>
      <c r="AM49" s="1171"/>
      <c r="AN49" s="1183"/>
      <c r="AO49" s="1183"/>
      <c r="AP49" s="1183"/>
      <c r="AQ49" s="1183"/>
      <c r="AR49" s="1183"/>
      <c r="AS49" s="1183"/>
      <c r="AT49" s="1183"/>
      <c r="AU49" s="1183"/>
      <c r="AV49" s="1183"/>
      <c r="AW49" s="1183"/>
      <c r="AX49" s="1183"/>
      <c r="AY49" s="1183"/>
      <c r="AZ49" s="1183"/>
      <c r="BA49" s="1183"/>
      <c r="BB49" s="1183"/>
      <c r="BC49" s="1205"/>
      <c r="BD49" s="1205"/>
      <c r="BE49" s="1205"/>
      <c r="BF49" s="1205"/>
      <c r="BG49" s="1205"/>
      <c r="BH49" s="1205"/>
      <c r="BI49" s="1205"/>
      <c r="BJ49" s="1205"/>
      <c r="BK49" s="1205"/>
      <c r="BL49" s="1205"/>
      <c r="BM49" s="1205"/>
      <c r="BN49" s="1205"/>
      <c r="BO49" s="1205"/>
      <c r="BP49" s="1205"/>
      <c r="BQ49" s="1205"/>
      <c r="BR49" s="1205"/>
      <c r="BS49" s="1205"/>
      <c r="BT49" s="1205"/>
      <c r="BU49" s="1205"/>
      <c r="BV49" s="1205"/>
      <c r="BW49" s="1231"/>
      <c r="BX49" s="1231"/>
      <c r="BY49" s="1231"/>
      <c r="BZ49" s="1232"/>
      <c r="CB49" s="1233"/>
      <c r="CC49" s="1233"/>
      <c r="CE49" s="1238"/>
    </row>
    <row r="50" s="1015" customFormat="1" ht="36" customHeight="1" spans="1:83">
      <c r="A50" s="1065">
        <v>46063</v>
      </c>
      <c r="B50" s="1066" t="s">
        <v>4121</v>
      </c>
      <c r="C50" s="1067" t="s">
        <v>435</v>
      </c>
      <c r="D50" s="1068">
        <v>4500193583</v>
      </c>
      <c r="E50" s="1069">
        <v>4401059051</v>
      </c>
      <c r="F50" s="1068" t="s">
        <v>4466</v>
      </c>
      <c r="G50" s="1070" t="s">
        <v>4452</v>
      </c>
      <c r="H50" s="1071"/>
      <c r="I50" s="1098">
        <v>44320</v>
      </c>
      <c r="J50" s="1099">
        <v>0</v>
      </c>
      <c r="K50" s="1100">
        <v>16</v>
      </c>
      <c r="L50" s="1098">
        <f>I50/K50</f>
        <v>2770</v>
      </c>
      <c r="M50" s="1101">
        <v>46192</v>
      </c>
      <c r="N50" s="1101">
        <f>M50-4</f>
        <v>46188</v>
      </c>
      <c r="O50" s="744"/>
      <c r="P50" s="744"/>
      <c r="Q50" s="744"/>
      <c r="R50" s="744"/>
      <c r="S50" s="660"/>
      <c r="T50" s="661"/>
      <c r="U50" s="1069" t="s">
        <v>4453</v>
      </c>
      <c r="V50" s="1138" t="s">
        <v>2800</v>
      </c>
      <c r="W50" s="1139">
        <v>21.3756</v>
      </c>
      <c r="X50" s="1140">
        <f>W50*L50</f>
        <v>59210.412</v>
      </c>
      <c r="Y50" s="1167"/>
      <c r="Z50" s="1168"/>
      <c r="AA50" s="1169"/>
      <c r="AB50" s="1170"/>
      <c r="AC50" s="1171"/>
      <c r="AD50" s="1171"/>
      <c r="AE50" s="1171"/>
      <c r="AF50" s="744"/>
      <c r="AG50" s="744"/>
      <c r="AH50" s="1182"/>
      <c r="AI50" s="1171"/>
      <c r="AJ50" s="1171"/>
      <c r="AK50" s="1171"/>
      <c r="AL50" s="1171"/>
      <c r="AM50" s="1171"/>
      <c r="AN50" s="1183"/>
      <c r="AO50" s="1183"/>
      <c r="AP50" s="1183"/>
      <c r="AQ50" s="1183"/>
      <c r="AR50" s="1183"/>
      <c r="AS50" s="1183"/>
      <c r="AT50" s="1183"/>
      <c r="AU50" s="1183"/>
      <c r="AV50" s="1183"/>
      <c r="AW50" s="1183"/>
      <c r="AX50" s="1183"/>
      <c r="AY50" s="1183"/>
      <c r="AZ50" s="1183"/>
      <c r="BA50" s="1183"/>
      <c r="BB50" s="1183"/>
      <c r="BC50" s="1205"/>
      <c r="BD50" s="1205"/>
      <c r="BE50" s="1205"/>
      <c r="BF50" s="1205"/>
      <c r="BG50" s="1205"/>
      <c r="BH50" s="1205"/>
      <c r="BI50" s="1205"/>
      <c r="BJ50" s="1205"/>
      <c r="BK50" s="1205"/>
      <c r="BL50" s="1205"/>
      <c r="BM50" s="1205"/>
      <c r="BN50" s="1205"/>
      <c r="BO50" s="1205"/>
      <c r="BP50" s="1205"/>
      <c r="BQ50" s="1205"/>
      <c r="BR50" s="1205"/>
      <c r="BS50" s="1205"/>
      <c r="BT50" s="1205"/>
      <c r="BU50" s="1205"/>
      <c r="BV50" s="1205"/>
      <c r="BW50" s="1231"/>
      <c r="BX50" s="1231"/>
      <c r="BY50" s="1231"/>
      <c r="BZ50" s="1232"/>
      <c r="CB50" s="1233"/>
      <c r="CC50" s="1233"/>
      <c r="CE50" s="1238"/>
    </row>
    <row r="51" s="1013" customFormat="1" ht="36" customHeight="1" spans="1:83">
      <c r="A51" s="778"/>
      <c r="B51" s="636"/>
      <c r="C51" s="637"/>
      <c r="D51" s="1054"/>
      <c r="E51" s="1055"/>
      <c r="F51" s="1054"/>
      <c r="G51" s="1056"/>
      <c r="H51" s="1057"/>
      <c r="J51" s="1097"/>
      <c r="K51" s="1056"/>
      <c r="M51" s="1091"/>
      <c r="N51" s="1091" t="s">
        <v>4467</v>
      </c>
      <c r="O51" s="216"/>
      <c r="P51" s="452"/>
      <c r="Q51" s="452"/>
      <c r="R51" s="452"/>
      <c r="S51" s="453"/>
      <c r="T51" s="453"/>
      <c r="U51" s="1055"/>
      <c r="V51" s="1129"/>
      <c r="W51" s="1130"/>
      <c r="X51" s="1131"/>
      <c r="Z51" s="1149"/>
      <c r="AA51" s="1161"/>
      <c r="AB51" s="1161"/>
      <c r="AC51" s="1162"/>
      <c r="AD51" s="1151"/>
      <c r="AE51" s="1162"/>
      <c r="AF51" s="452"/>
      <c r="AG51" s="452"/>
      <c r="AH51" s="1177">
        <f>I51</f>
        <v>0</v>
      </c>
      <c r="AI51" s="1162"/>
      <c r="AJ51" s="1162"/>
      <c r="AK51" s="1162"/>
      <c r="AL51" s="1162"/>
      <c r="AM51" s="1162"/>
      <c r="AN51" s="781"/>
      <c r="AO51" s="781"/>
      <c r="AP51" s="781"/>
      <c r="AQ51" s="781"/>
      <c r="AR51" s="781"/>
      <c r="AS51" s="781"/>
      <c r="AT51" s="781"/>
      <c r="AU51" s="781"/>
      <c r="AV51" s="781"/>
      <c r="AW51" s="781"/>
      <c r="AX51" s="781"/>
      <c r="AY51" s="781"/>
      <c r="AZ51" s="781"/>
      <c r="BA51" s="781"/>
      <c r="BB51" s="781"/>
      <c r="BC51" s="1203"/>
      <c r="BD51" s="1203"/>
      <c r="BE51" s="1203"/>
      <c r="BF51" s="1203"/>
      <c r="BG51" s="1203"/>
      <c r="BH51" s="1203"/>
      <c r="BI51" s="1203"/>
      <c r="BJ51" s="1203"/>
      <c r="BK51" s="1203"/>
      <c r="BL51" s="1203"/>
      <c r="BM51" s="1203"/>
      <c r="BN51" s="1203"/>
      <c r="BO51" s="1203"/>
      <c r="BP51" s="1203"/>
      <c r="BQ51" s="1203"/>
      <c r="BR51" s="1203"/>
      <c r="BS51" s="1203"/>
      <c r="BT51" s="1203"/>
      <c r="BU51" s="1203"/>
      <c r="BV51" s="1203"/>
      <c r="BW51" s="1203"/>
      <c r="BX51" s="1203"/>
      <c r="BY51" s="1203"/>
      <c r="CB51" s="1227"/>
      <c r="CC51" s="1227"/>
      <c r="CE51" s="1009">
        <f>CE27-AH51-AI51-AJ51</f>
        <v>687551</v>
      </c>
    </row>
    <row r="52" s="1013" customFormat="1" ht="36" customHeight="1" spans="1:83">
      <c r="A52" s="778"/>
      <c r="B52" s="636"/>
      <c r="C52" s="637"/>
      <c r="D52" s="1054"/>
      <c r="E52" s="1055"/>
      <c r="F52" s="1054"/>
      <c r="G52" s="1056"/>
      <c r="H52" s="1057"/>
      <c r="J52" s="1097"/>
      <c r="K52" s="1056"/>
      <c r="M52" s="1091"/>
      <c r="N52" s="1091"/>
      <c r="O52" s="216"/>
      <c r="P52" s="452"/>
      <c r="Q52" s="452"/>
      <c r="R52" s="452"/>
      <c r="S52" s="453"/>
      <c r="T52" s="453"/>
      <c r="U52" s="1055"/>
      <c r="V52" s="1129"/>
      <c r="W52" s="1130"/>
      <c r="X52" s="1131"/>
      <c r="Z52" s="1149"/>
      <c r="AA52" s="1161"/>
      <c r="AB52" s="1161"/>
      <c r="AC52" s="1162"/>
      <c r="AD52" s="1151"/>
      <c r="AE52" s="1162"/>
      <c r="AF52" s="452"/>
      <c r="AG52" s="452"/>
      <c r="AH52" s="1162"/>
      <c r="AI52" s="1162"/>
      <c r="AJ52" s="1162"/>
      <c r="AK52" s="1162"/>
      <c r="AL52" s="1162"/>
      <c r="AM52" s="1162"/>
      <c r="AN52" s="781"/>
      <c r="AO52" s="781"/>
      <c r="AP52" s="781"/>
      <c r="AQ52" s="781"/>
      <c r="AR52" s="781"/>
      <c r="AS52" s="781"/>
      <c r="AT52" s="781"/>
      <c r="AU52" s="781"/>
      <c r="AV52" s="781"/>
      <c r="AW52" s="781"/>
      <c r="AX52" s="781"/>
      <c r="AY52" s="781"/>
      <c r="AZ52" s="781"/>
      <c r="BA52" s="781"/>
      <c r="BB52" s="781"/>
      <c r="BC52" s="1203"/>
      <c r="BD52" s="1203"/>
      <c r="BE52" s="1203"/>
      <c r="BF52" s="1203"/>
      <c r="BG52" s="1203"/>
      <c r="BH52" s="1203"/>
      <c r="BI52" s="1203"/>
      <c r="BJ52" s="1203"/>
      <c r="BK52" s="1203"/>
      <c r="BL52" s="1203"/>
      <c r="BM52" s="1203"/>
      <c r="BN52" s="1203"/>
      <c r="BO52" s="1203"/>
      <c r="BP52" s="1203"/>
      <c r="BQ52" s="1203"/>
      <c r="BR52" s="1203"/>
      <c r="BS52" s="1203"/>
      <c r="BT52" s="1203"/>
      <c r="BU52" s="1203"/>
      <c r="BV52" s="1203"/>
      <c r="BW52" s="1203"/>
      <c r="BX52" s="1203"/>
      <c r="BY52" s="1203"/>
      <c r="CB52" s="1227"/>
      <c r="CC52" s="1227"/>
      <c r="CE52" s="1009">
        <f>CE51-AH52-AI52-AJ52</f>
        <v>687551</v>
      </c>
    </row>
    <row r="53" s="1013" customFormat="1" ht="36" customHeight="1" spans="1:83">
      <c r="A53" s="778"/>
      <c r="B53" s="636"/>
      <c r="C53" s="637"/>
      <c r="D53" s="1054"/>
      <c r="E53" s="1055"/>
      <c r="F53" s="1054"/>
      <c r="G53" s="1056"/>
      <c r="H53" s="1057"/>
      <c r="J53" s="1097"/>
      <c r="K53" s="1056"/>
      <c r="M53" s="1091"/>
      <c r="N53" s="1091"/>
      <c r="O53" s="216"/>
      <c r="P53" s="452"/>
      <c r="Q53" s="452"/>
      <c r="R53" s="452"/>
      <c r="S53" s="453"/>
      <c r="T53" s="453"/>
      <c r="U53" s="1055"/>
      <c r="V53" s="1129"/>
      <c r="W53" s="1130"/>
      <c r="X53" s="1131"/>
      <c r="Z53" s="1149"/>
      <c r="AA53" s="1161"/>
      <c r="AB53" s="1161"/>
      <c r="AC53" s="1162"/>
      <c r="AD53" s="1151"/>
      <c r="AE53" s="1162"/>
      <c r="AF53" s="452"/>
      <c r="AG53" s="452"/>
      <c r="AH53" s="1162"/>
      <c r="AI53" s="1162"/>
      <c r="AJ53" s="1162"/>
      <c r="AK53" s="1162"/>
      <c r="AL53" s="1162"/>
      <c r="AM53" s="1162"/>
      <c r="AN53" s="781"/>
      <c r="AO53" s="781"/>
      <c r="AP53" s="781"/>
      <c r="AQ53" s="781"/>
      <c r="AR53" s="781"/>
      <c r="AS53" s="781"/>
      <c r="AT53" s="781"/>
      <c r="AU53" s="781"/>
      <c r="AV53" s="781"/>
      <c r="AW53" s="781"/>
      <c r="AX53" s="781"/>
      <c r="AY53" s="781"/>
      <c r="AZ53" s="781"/>
      <c r="BA53" s="781"/>
      <c r="BB53" s="781"/>
      <c r="BC53" s="1203"/>
      <c r="BD53" s="1203"/>
      <c r="BE53" s="1203"/>
      <c r="BF53" s="1203"/>
      <c r="BG53" s="1203"/>
      <c r="BH53" s="1203"/>
      <c r="BI53" s="1203"/>
      <c r="BJ53" s="1203"/>
      <c r="BK53" s="1203"/>
      <c r="BL53" s="1203"/>
      <c r="BM53" s="1203"/>
      <c r="BN53" s="1203"/>
      <c r="BO53" s="1203"/>
      <c r="BP53" s="1203"/>
      <c r="BQ53" s="1203"/>
      <c r="BR53" s="1203"/>
      <c r="BS53" s="1203"/>
      <c r="BT53" s="1203"/>
      <c r="BU53" s="1203"/>
      <c r="BV53" s="1203"/>
      <c r="BW53" s="1203"/>
      <c r="BX53" s="1203"/>
      <c r="BY53" s="1203"/>
      <c r="CB53" s="1227"/>
      <c r="CC53" s="1227"/>
      <c r="CE53" s="1009">
        <f>CE52-AH53-AI53-AJ53</f>
        <v>687551</v>
      </c>
    </row>
    <row r="54" s="1013" customFormat="1" ht="36" customHeight="1" spans="1:83">
      <c r="A54" s="778"/>
      <c r="B54" s="636"/>
      <c r="C54" s="637"/>
      <c r="D54" s="1054"/>
      <c r="E54" s="1055"/>
      <c r="F54" s="1054"/>
      <c r="G54" s="1056"/>
      <c r="H54" s="1057"/>
      <c r="J54" s="1097"/>
      <c r="K54" s="1056"/>
      <c r="M54" s="1091"/>
      <c r="N54" s="1091"/>
      <c r="O54" s="216"/>
      <c r="P54" s="452"/>
      <c r="Q54" s="452"/>
      <c r="R54" s="452"/>
      <c r="S54" s="453"/>
      <c r="T54" s="453"/>
      <c r="U54" s="1055"/>
      <c r="V54" s="1129"/>
      <c r="W54" s="1130"/>
      <c r="X54" s="1131"/>
      <c r="Z54" s="1149"/>
      <c r="AA54" s="1161"/>
      <c r="AB54" s="1161"/>
      <c r="AC54" s="1162"/>
      <c r="AD54" s="1151"/>
      <c r="AE54" s="1162"/>
      <c r="AF54" s="452"/>
      <c r="AG54" s="452"/>
      <c r="AH54" s="1162"/>
      <c r="AI54" s="1162"/>
      <c r="AJ54" s="1162"/>
      <c r="AK54" s="1162"/>
      <c r="AL54" s="1162"/>
      <c r="AM54" s="1162"/>
      <c r="AN54" s="781"/>
      <c r="AO54" s="781"/>
      <c r="AP54" s="781"/>
      <c r="AQ54" s="781"/>
      <c r="AR54" s="781"/>
      <c r="AS54" s="781"/>
      <c r="AT54" s="781"/>
      <c r="AU54" s="781"/>
      <c r="AV54" s="781"/>
      <c r="AW54" s="781"/>
      <c r="AX54" s="781"/>
      <c r="AY54" s="781"/>
      <c r="AZ54" s="781"/>
      <c r="BA54" s="781"/>
      <c r="BB54" s="781"/>
      <c r="BC54" s="1203"/>
      <c r="BD54" s="1203"/>
      <c r="BE54" s="1203"/>
      <c r="BF54" s="1203"/>
      <c r="BG54" s="1203"/>
      <c r="BH54" s="1203"/>
      <c r="BI54" s="1203"/>
      <c r="BJ54" s="1203"/>
      <c r="BK54" s="1203"/>
      <c r="BL54" s="1203"/>
      <c r="BM54" s="1203"/>
      <c r="BN54" s="1203"/>
      <c r="BO54" s="1203"/>
      <c r="BP54" s="1203"/>
      <c r="BQ54" s="1203"/>
      <c r="BR54" s="1203"/>
      <c r="BS54" s="1203"/>
      <c r="BT54" s="1203"/>
      <c r="BU54" s="1203"/>
      <c r="BV54" s="1203"/>
      <c r="BW54" s="1203"/>
      <c r="BX54" s="1203"/>
      <c r="BY54" s="1203"/>
      <c r="CB54" s="1227"/>
      <c r="CC54" s="1227"/>
      <c r="CE54" s="1009">
        <f>CE53-AH54-AI54-AJ54</f>
        <v>687551</v>
      </c>
    </row>
    <row r="55" s="649" customFormat="1" ht="26.25" customHeight="1" spans="1:83">
      <c r="A55" s="1017"/>
      <c r="B55" s="1008"/>
      <c r="C55" s="1018"/>
      <c r="E55" s="1008"/>
      <c r="F55" s="1008"/>
      <c r="H55" s="1072"/>
      <c r="I55" s="1102"/>
      <c r="M55" s="1103"/>
      <c r="N55" s="1103"/>
      <c r="O55" s="1018"/>
      <c r="P55" s="1018"/>
      <c r="Q55" s="1018"/>
      <c r="R55" s="1103"/>
      <c r="S55" s="1103"/>
      <c r="T55" s="1018"/>
      <c r="U55" s="1141"/>
      <c r="W55" s="1142"/>
      <c r="X55" s="1143"/>
      <c r="Y55" s="1021"/>
      <c r="Z55" s="1021"/>
      <c r="AA55" s="1021"/>
      <c r="AB55" s="1021"/>
      <c r="AC55" s="1021"/>
      <c r="AD55" s="1021"/>
      <c r="AE55" s="1021"/>
      <c r="AF55" s="1018"/>
      <c r="AG55" s="1018"/>
      <c r="AH55" s="1102"/>
      <c r="AI55" s="1102"/>
      <c r="AJ55" s="1102"/>
      <c r="AK55" s="1102"/>
      <c r="AL55" s="1102"/>
      <c r="AM55" s="1102"/>
      <c r="AN55" s="1102"/>
      <c r="AO55" s="1102"/>
      <c r="AP55" s="1102"/>
      <c r="AQ55" s="1102"/>
      <c r="AR55" s="1102"/>
      <c r="AS55" s="1102"/>
      <c r="AT55" s="1102"/>
      <c r="AU55" s="1102"/>
      <c r="AV55" s="1102"/>
      <c r="AW55" s="1102"/>
      <c r="AX55" s="1102"/>
      <c r="AY55" s="1102"/>
      <c r="AZ55" s="1102"/>
      <c r="BA55" s="1102"/>
      <c r="BB55" s="1102"/>
      <c r="BC55" s="1102"/>
      <c r="BD55" s="1102"/>
      <c r="BE55" s="1102"/>
      <c r="BF55" s="1102"/>
      <c r="BG55" s="1102"/>
      <c r="BH55" s="1102"/>
      <c r="BI55" s="1102"/>
      <c r="BJ55" s="1102"/>
      <c r="BK55" s="1102"/>
      <c r="BL55" s="1102"/>
      <c r="BM55" s="1102"/>
      <c r="BN55" s="1102"/>
      <c r="BO55" s="1102"/>
      <c r="BP55" s="1102"/>
      <c r="BQ55" s="1102"/>
      <c r="BR55" s="1102"/>
      <c r="BS55" s="1102"/>
      <c r="BT55" s="1102"/>
      <c r="BU55" s="1102"/>
      <c r="BV55" s="1102"/>
      <c r="BW55" s="1102"/>
      <c r="BX55" s="1102"/>
      <c r="BY55" s="1102"/>
      <c r="BZ55" s="1102"/>
      <c r="CB55" s="1024"/>
      <c r="CC55" s="1024"/>
      <c r="CD55" s="1218"/>
      <c r="CE55" s="1009">
        <f>CE54-AH55-AI55-AJ55</f>
        <v>687551</v>
      </c>
    </row>
    <row r="56" s="649" customFormat="1" ht="26.25" customHeight="1" spans="1:83">
      <c r="A56" s="1017"/>
      <c r="B56" s="1008"/>
      <c r="C56" s="1018"/>
      <c r="E56" s="1008"/>
      <c r="F56" s="1008"/>
      <c r="H56" s="1072" t="s">
        <v>3401</v>
      </c>
      <c r="I56" s="1102">
        <f>SUM(I3:I54)</f>
        <v>681258</v>
      </c>
      <c r="M56" s="1103"/>
      <c r="N56" s="1103"/>
      <c r="O56" s="1018"/>
      <c r="P56" s="1018"/>
      <c r="Q56" s="1018"/>
      <c r="R56" s="1103"/>
      <c r="S56" s="1103"/>
      <c r="T56" s="1018"/>
      <c r="U56" s="1019"/>
      <c r="W56" s="1142"/>
      <c r="X56" s="1102">
        <f>SUM(X3:X54)*7.75</f>
        <v>7020118.26025</v>
      </c>
      <c r="Y56" s="1021"/>
      <c r="Z56" s="1021"/>
      <c r="AA56" s="1021"/>
      <c r="AB56" s="1021"/>
      <c r="AC56" s="1021"/>
      <c r="AD56" s="1021"/>
      <c r="AE56" s="1021"/>
      <c r="AF56" s="1018"/>
      <c r="AG56" s="1018"/>
      <c r="AH56" s="1102">
        <f>SUM(AH3:AH55)+AH57+AH58</f>
        <v>3905423</v>
      </c>
      <c r="AI56" s="1102">
        <f t="shared" ref="AI56:BZ56" si="23">SUM(AI3:AI55)+AI57+AI58</f>
        <v>69682</v>
      </c>
      <c r="AJ56" s="1102">
        <f t="shared" si="23"/>
        <v>8136</v>
      </c>
      <c r="AK56" s="1102">
        <f t="shared" si="23"/>
        <v>151824</v>
      </c>
      <c r="AL56" s="1102">
        <f t="shared" si="23"/>
        <v>0</v>
      </c>
      <c r="AM56" s="1102">
        <f t="shared" si="23"/>
        <v>69960</v>
      </c>
      <c r="AN56" s="1102">
        <f t="shared" si="23"/>
        <v>2237120</v>
      </c>
      <c r="AO56" s="1102">
        <f t="shared" si="23"/>
        <v>623203</v>
      </c>
      <c r="AP56" s="1102">
        <f t="shared" si="23"/>
        <v>5374</v>
      </c>
      <c r="AQ56" s="1102">
        <f t="shared" si="23"/>
        <v>58520</v>
      </c>
      <c r="AR56" s="1102">
        <f t="shared" si="23"/>
        <v>159952</v>
      </c>
      <c r="AS56" s="1102">
        <f t="shared" si="23"/>
        <v>617112</v>
      </c>
      <c r="AT56" s="1102">
        <f t="shared" si="23"/>
        <v>55216</v>
      </c>
      <c r="AU56" s="1102">
        <f t="shared" si="23"/>
        <v>3131388</v>
      </c>
      <c r="AV56" s="1102">
        <f t="shared" si="23"/>
        <v>498938</v>
      </c>
      <c r="AW56" s="1102">
        <f t="shared" si="23"/>
        <v>31074</v>
      </c>
      <c r="AX56" s="1102">
        <f t="shared" si="23"/>
        <v>297966</v>
      </c>
      <c r="AY56" s="1102">
        <f t="shared" si="23"/>
        <v>18915</v>
      </c>
      <c r="AZ56" s="1102">
        <f t="shared" si="23"/>
        <v>4435</v>
      </c>
      <c r="BA56" s="1102">
        <f t="shared" si="23"/>
        <v>6181</v>
      </c>
      <c r="BB56" s="1102">
        <f t="shared" si="23"/>
        <v>28801</v>
      </c>
      <c r="BC56" s="1102">
        <f t="shared" si="23"/>
        <v>4232</v>
      </c>
      <c r="BD56" s="1102">
        <f t="shared" si="23"/>
        <v>125</v>
      </c>
      <c r="BE56" s="1102">
        <f t="shared" si="23"/>
        <v>1270</v>
      </c>
      <c r="BF56" s="1102">
        <f t="shared" si="23"/>
        <v>18198</v>
      </c>
      <c r="BG56" s="1102">
        <f t="shared" si="23"/>
        <v>8657</v>
      </c>
      <c r="BH56" s="1102">
        <f t="shared" si="23"/>
        <v>2735</v>
      </c>
      <c r="BI56" s="1102">
        <f t="shared" si="23"/>
        <v>30054</v>
      </c>
      <c r="BJ56" s="1102">
        <f t="shared" si="23"/>
        <v>4729</v>
      </c>
      <c r="BK56" s="1102">
        <f t="shared" si="23"/>
        <v>56</v>
      </c>
      <c r="BL56" s="1102">
        <f t="shared" si="23"/>
        <v>265</v>
      </c>
      <c r="BM56" s="1102">
        <f t="shared" si="23"/>
        <v>9109</v>
      </c>
      <c r="BN56" s="1102">
        <f t="shared" si="23"/>
        <v>13030</v>
      </c>
      <c r="BO56" s="1102">
        <f t="shared" si="23"/>
        <v>1779</v>
      </c>
      <c r="BP56" s="1102">
        <f t="shared" si="23"/>
        <v>311</v>
      </c>
      <c r="BQ56" s="1102">
        <f t="shared" si="23"/>
        <v>1001</v>
      </c>
      <c r="BR56" s="1102">
        <f t="shared" si="23"/>
        <v>2775</v>
      </c>
      <c r="BS56" s="1102">
        <f t="shared" si="23"/>
        <v>801</v>
      </c>
      <c r="BT56" s="1102">
        <f t="shared" si="23"/>
        <v>1326</v>
      </c>
      <c r="BU56" s="1102">
        <f t="shared" si="23"/>
        <v>4280</v>
      </c>
      <c r="BV56" s="1102">
        <f t="shared" si="23"/>
        <v>19994</v>
      </c>
      <c r="BW56" s="1102">
        <f t="shared" si="23"/>
        <v>229476</v>
      </c>
      <c r="BX56" s="1102">
        <f t="shared" si="23"/>
        <v>180588</v>
      </c>
      <c r="BY56" s="1102">
        <f t="shared" si="23"/>
        <v>48888</v>
      </c>
      <c r="BZ56" s="1102">
        <f t="shared" si="23"/>
        <v>1115806</v>
      </c>
      <c r="CB56" s="1024"/>
      <c r="CC56" s="1024"/>
      <c r="CD56" s="1218" t="s">
        <v>4377</v>
      </c>
      <c r="CE56" s="238">
        <f>CE55-'生产MA Summary'!R4</f>
        <v>792</v>
      </c>
    </row>
    <row r="57" s="649" customFormat="1" ht="26.25" customHeight="1" spans="1:81">
      <c r="A57" s="1017"/>
      <c r="B57" s="1008"/>
      <c r="C57" s="1018"/>
      <c r="E57" s="1008"/>
      <c r="F57" s="1008"/>
      <c r="H57" s="1008"/>
      <c r="M57" s="1103"/>
      <c r="N57" s="1103"/>
      <c r="O57" s="1018"/>
      <c r="P57" s="1018"/>
      <c r="Q57" s="1018"/>
      <c r="R57" s="1103"/>
      <c r="S57" s="1103"/>
      <c r="T57" s="1018"/>
      <c r="U57" s="1019"/>
      <c r="W57" s="1142"/>
      <c r="X57" s="1143"/>
      <c r="Y57" s="1021"/>
      <c r="Z57" s="1021"/>
      <c r="AA57" s="1021"/>
      <c r="AB57" s="1021"/>
      <c r="AC57" s="1021"/>
      <c r="AD57" s="1021"/>
      <c r="AE57" s="1021"/>
      <c r="AF57" s="1018"/>
      <c r="AG57" s="1184" t="s">
        <v>4378</v>
      </c>
      <c r="AH57" s="1185">
        <v>2801870</v>
      </c>
      <c r="AI57" s="1185">
        <v>52557</v>
      </c>
      <c r="AJ57" s="1185">
        <v>8136</v>
      </c>
      <c r="AK57" s="1185">
        <v>129792</v>
      </c>
      <c r="AL57" s="1185"/>
      <c r="AM57" s="1185"/>
      <c r="AN57" s="1185">
        <f>2071417+150</f>
        <v>2071567</v>
      </c>
      <c r="AO57" s="1185">
        <v>444136</v>
      </c>
      <c r="AP57" s="1185"/>
      <c r="AQ57" s="1185"/>
      <c r="AR57" s="1185">
        <v>159952</v>
      </c>
      <c r="AS57" s="1185"/>
      <c r="AT57" s="1185">
        <v>55216</v>
      </c>
      <c r="AU57" s="1185">
        <f>2518012+150</f>
        <v>2518162</v>
      </c>
      <c r="AV57" s="1185"/>
      <c r="AW57" s="1185">
        <v>28770</v>
      </c>
      <c r="AX57" s="1185">
        <v>294816</v>
      </c>
      <c r="AY57" s="1185">
        <v>18915</v>
      </c>
      <c r="AZ57" s="1185"/>
      <c r="BA57" s="1185"/>
      <c r="BB57" s="1185">
        <v>27274</v>
      </c>
      <c r="BC57" s="1185">
        <v>3808</v>
      </c>
      <c r="BD57" s="1185"/>
      <c r="BE57" s="1185">
        <v>1120</v>
      </c>
      <c r="BF57" s="1185">
        <v>18198</v>
      </c>
      <c r="BG57" s="1185">
        <v>8409</v>
      </c>
      <c r="BH57" s="1185">
        <v>2196</v>
      </c>
      <c r="BI57" s="1185">
        <v>26101</v>
      </c>
      <c r="BJ57" s="1185">
        <v>2853</v>
      </c>
      <c r="BK57" s="1185"/>
      <c r="BL57" s="1185"/>
      <c r="BM57" s="1185">
        <v>8455</v>
      </c>
      <c r="BN57" s="1185">
        <v>9456</v>
      </c>
      <c r="BO57" s="1185">
        <v>1779</v>
      </c>
      <c r="BP57" s="1185">
        <v>311</v>
      </c>
      <c r="BQ57" s="1185">
        <v>871</v>
      </c>
      <c r="BR57" s="1185">
        <v>2775</v>
      </c>
      <c r="BS57" s="1185">
        <v>662</v>
      </c>
      <c r="BT57" s="1185">
        <v>1187</v>
      </c>
      <c r="BU57" s="1185">
        <v>4280</v>
      </c>
      <c r="BV57" s="1185">
        <v>19994</v>
      </c>
      <c r="BW57" s="1185">
        <v>144924</v>
      </c>
      <c r="BX57" s="1185">
        <v>144924</v>
      </c>
      <c r="BY57" s="1185"/>
      <c r="BZ57" s="1021"/>
      <c r="CB57" s="1024"/>
      <c r="CC57" s="1024"/>
    </row>
    <row r="58" s="649" customFormat="1" ht="26.25" customHeight="1" spans="1:81">
      <c r="A58" s="1017"/>
      <c r="B58" s="1008"/>
      <c r="C58" s="1018"/>
      <c r="E58" s="1008"/>
      <c r="F58" s="1008"/>
      <c r="H58" s="1008"/>
      <c r="M58" s="1103"/>
      <c r="N58" s="1103"/>
      <c r="O58" s="1018"/>
      <c r="P58" s="1018"/>
      <c r="Q58" s="1018"/>
      <c r="R58" s="1103"/>
      <c r="S58" s="1103"/>
      <c r="T58" s="1018"/>
      <c r="U58" s="1019"/>
      <c r="W58" s="1142"/>
      <c r="X58" s="1143"/>
      <c r="Y58" s="1021"/>
      <c r="Z58" s="1021"/>
      <c r="AA58" s="1021"/>
      <c r="AB58" s="1021"/>
      <c r="AC58" s="1021"/>
      <c r="AD58" s="1021"/>
      <c r="AE58" s="1021"/>
      <c r="AF58" s="1018"/>
      <c r="AG58" s="1184" t="s">
        <v>4468</v>
      </c>
      <c r="AH58" s="1185">
        <v>1087875</v>
      </c>
      <c r="AI58" s="1185">
        <v>15825</v>
      </c>
      <c r="AJ58" s="1185">
        <v>0</v>
      </c>
      <c r="AK58" s="1185">
        <v>16464</v>
      </c>
      <c r="AL58" s="1185">
        <v>0</v>
      </c>
      <c r="AM58" s="1185">
        <v>61176</v>
      </c>
      <c r="AN58" s="1185">
        <v>165553</v>
      </c>
      <c r="AO58" s="1185">
        <v>179067</v>
      </c>
      <c r="AP58" s="1185">
        <v>5080</v>
      </c>
      <c r="AQ58" s="1185">
        <v>56188</v>
      </c>
      <c r="AR58" s="1185">
        <v>0</v>
      </c>
      <c r="AS58" s="1185">
        <v>617112</v>
      </c>
      <c r="AT58" s="1185">
        <v>0</v>
      </c>
      <c r="AU58" s="1185">
        <v>597886</v>
      </c>
      <c r="AV58" s="1185">
        <v>497300</v>
      </c>
      <c r="AW58" s="1185">
        <v>2304</v>
      </c>
      <c r="AX58" s="1185">
        <v>3150</v>
      </c>
      <c r="AY58" s="1185">
        <v>0</v>
      </c>
      <c r="AZ58" s="1185">
        <v>3135</v>
      </c>
      <c r="BA58" s="1185">
        <v>4881</v>
      </c>
      <c r="BB58" s="1185">
        <v>1513</v>
      </c>
      <c r="BC58" s="1185">
        <v>424</v>
      </c>
      <c r="BD58" s="1185">
        <v>125</v>
      </c>
      <c r="BE58" s="1185">
        <v>150</v>
      </c>
      <c r="BF58" s="1185">
        <v>0</v>
      </c>
      <c r="BG58" s="1185">
        <v>248</v>
      </c>
      <c r="BH58" s="1185">
        <v>539</v>
      </c>
      <c r="BI58" s="1185">
        <v>3953</v>
      </c>
      <c r="BJ58" s="1185">
        <v>1876</v>
      </c>
      <c r="BK58" s="1185">
        <v>56</v>
      </c>
      <c r="BL58" s="1185">
        <v>165</v>
      </c>
      <c r="BM58" s="1185">
        <v>654</v>
      </c>
      <c r="BN58" s="1185">
        <v>3574</v>
      </c>
      <c r="BO58" s="1185">
        <v>0</v>
      </c>
      <c r="BP58" s="1185">
        <v>0</v>
      </c>
      <c r="BQ58" s="1185">
        <v>130</v>
      </c>
      <c r="BR58" s="1185">
        <v>0</v>
      </c>
      <c r="BS58" s="1185">
        <v>139</v>
      </c>
      <c r="BT58" s="1185">
        <v>139</v>
      </c>
      <c r="BU58" s="1185">
        <v>0</v>
      </c>
      <c r="BV58" s="1185">
        <v>0</v>
      </c>
      <c r="BW58" s="1185">
        <v>77376</v>
      </c>
      <c r="BX58" s="1185">
        <v>33468</v>
      </c>
      <c r="BY58" s="1185">
        <v>43908</v>
      </c>
      <c r="BZ58" s="1185">
        <v>1101504</v>
      </c>
      <c r="CB58" s="1024"/>
      <c r="CC58" s="1024"/>
    </row>
    <row r="59" s="649" customFormat="1" ht="26.25" customHeight="1" spans="1:81">
      <c r="A59" s="1017"/>
      <c r="B59" s="1008"/>
      <c r="C59" s="1018"/>
      <c r="E59" s="1008"/>
      <c r="F59" s="1008"/>
      <c r="H59" s="1008"/>
      <c r="M59" s="1103"/>
      <c r="N59" s="1103"/>
      <c r="O59" s="1104"/>
      <c r="P59" s="1018"/>
      <c r="Q59" s="1018"/>
      <c r="R59" s="1103"/>
      <c r="S59" s="1103"/>
      <c r="T59" s="1018"/>
      <c r="U59" s="1019"/>
      <c r="W59" s="1142"/>
      <c r="X59" s="1020"/>
      <c r="Y59" s="1021"/>
      <c r="Z59" s="1021"/>
      <c r="AA59" s="1021"/>
      <c r="AB59" s="1021"/>
      <c r="AC59" s="1021"/>
      <c r="AD59" s="1021"/>
      <c r="AE59" s="1021"/>
      <c r="AF59" s="1018"/>
      <c r="AG59" s="1018"/>
      <c r="AH59" s="781">
        <f>SUM(AH3:AH54)</f>
        <v>15678</v>
      </c>
      <c r="AI59" s="781">
        <f t="shared" ref="AI59:BZ59" si="24">SUM(AI3:AI54)</f>
        <v>1300</v>
      </c>
      <c r="AJ59" s="781">
        <f t="shared" si="24"/>
        <v>0</v>
      </c>
      <c r="AK59" s="781">
        <f t="shared" si="24"/>
        <v>5568</v>
      </c>
      <c r="AL59" s="781">
        <f t="shared" si="24"/>
        <v>0</v>
      </c>
      <c r="AM59" s="781">
        <f t="shared" si="24"/>
        <v>8784</v>
      </c>
      <c r="AN59" s="781">
        <f t="shared" si="24"/>
        <v>0</v>
      </c>
      <c r="AO59" s="781">
        <f t="shared" si="24"/>
        <v>0</v>
      </c>
      <c r="AP59" s="781">
        <f t="shared" si="24"/>
        <v>294</v>
      </c>
      <c r="AQ59" s="781">
        <f t="shared" si="24"/>
        <v>2332</v>
      </c>
      <c r="AR59" s="781">
        <f t="shared" si="24"/>
        <v>0</v>
      </c>
      <c r="AS59" s="781">
        <f t="shared" si="24"/>
        <v>0</v>
      </c>
      <c r="AT59" s="781">
        <f t="shared" si="24"/>
        <v>0</v>
      </c>
      <c r="AU59" s="781">
        <f t="shared" si="24"/>
        <v>15340</v>
      </c>
      <c r="AV59" s="781">
        <f t="shared" si="24"/>
        <v>1638</v>
      </c>
      <c r="AW59" s="781">
        <f t="shared" si="24"/>
        <v>0</v>
      </c>
      <c r="AX59" s="781">
        <f t="shared" si="24"/>
        <v>0</v>
      </c>
      <c r="AY59" s="781">
        <f t="shared" si="24"/>
        <v>0</v>
      </c>
      <c r="AZ59" s="781">
        <f t="shared" si="24"/>
        <v>1300</v>
      </c>
      <c r="BA59" s="781">
        <f t="shared" si="24"/>
        <v>1300</v>
      </c>
      <c r="BB59" s="781">
        <f t="shared" si="24"/>
        <v>14</v>
      </c>
      <c r="BC59" s="781">
        <f t="shared" si="24"/>
        <v>0</v>
      </c>
      <c r="BD59" s="781">
        <f t="shared" si="24"/>
        <v>0</v>
      </c>
      <c r="BE59" s="781">
        <f t="shared" si="24"/>
        <v>0</v>
      </c>
      <c r="BF59" s="781">
        <f t="shared" si="24"/>
        <v>0</v>
      </c>
      <c r="BG59" s="781">
        <f t="shared" si="24"/>
        <v>0</v>
      </c>
      <c r="BH59" s="781">
        <f t="shared" si="24"/>
        <v>0</v>
      </c>
      <c r="BI59" s="781">
        <f t="shared" si="24"/>
        <v>0</v>
      </c>
      <c r="BJ59" s="781">
        <f t="shared" si="24"/>
        <v>0</v>
      </c>
      <c r="BK59" s="781">
        <f t="shared" si="24"/>
        <v>0</v>
      </c>
      <c r="BL59" s="781">
        <f t="shared" si="24"/>
        <v>100</v>
      </c>
      <c r="BM59" s="781">
        <f t="shared" si="24"/>
        <v>0</v>
      </c>
      <c r="BN59" s="781">
        <f t="shared" si="24"/>
        <v>0</v>
      </c>
      <c r="BO59" s="781">
        <f t="shared" si="24"/>
        <v>0</v>
      </c>
      <c r="BP59" s="781">
        <f t="shared" si="24"/>
        <v>0</v>
      </c>
      <c r="BQ59" s="781">
        <f t="shared" si="24"/>
        <v>0</v>
      </c>
      <c r="BR59" s="781">
        <f t="shared" si="24"/>
        <v>0</v>
      </c>
      <c r="BS59" s="781">
        <f t="shared" si="24"/>
        <v>0</v>
      </c>
      <c r="BT59" s="781">
        <f t="shared" si="24"/>
        <v>0</v>
      </c>
      <c r="BU59" s="781">
        <f t="shared" si="24"/>
        <v>0</v>
      </c>
      <c r="BV59" s="781">
        <f t="shared" si="24"/>
        <v>0</v>
      </c>
      <c r="BW59" s="781">
        <f t="shared" si="24"/>
        <v>7176</v>
      </c>
      <c r="BX59" s="781">
        <f t="shared" si="24"/>
        <v>2196</v>
      </c>
      <c r="BY59" s="781">
        <f t="shared" si="24"/>
        <v>4980</v>
      </c>
      <c r="BZ59" s="781">
        <f t="shared" si="24"/>
        <v>14302</v>
      </c>
      <c r="CB59" s="1024"/>
      <c r="CC59" s="1024"/>
    </row>
    <row r="60" s="649" customFormat="1" ht="26.25" customHeight="1" spans="1:81">
      <c r="A60" s="1017"/>
      <c r="B60" s="1008"/>
      <c r="C60" s="1018"/>
      <c r="E60" s="1008"/>
      <c r="F60" s="1008"/>
      <c r="H60" s="1008"/>
      <c r="M60" s="1103"/>
      <c r="N60" s="1103"/>
      <c r="O60" s="1018"/>
      <c r="P60" s="1018"/>
      <c r="Q60" s="1018"/>
      <c r="R60" s="1103"/>
      <c r="S60" s="1103"/>
      <c r="T60" s="1018"/>
      <c r="U60" s="1144"/>
      <c r="W60" s="1142"/>
      <c r="X60" s="1020"/>
      <c r="Y60" s="1021" t="s">
        <v>81</v>
      </c>
      <c r="Z60" s="1021"/>
      <c r="AA60" s="1021"/>
      <c r="AB60" s="1021"/>
      <c r="AC60" s="1021"/>
      <c r="AD60" s="1021"/>
      <c r="AE60" s="1021"/>
      <c r="AF60" s="1018"/>
      <c r="AG60" s="1018"/>
      <c r="AH60" s="1021"/>
      <c r="AI60" s="1021"/>
      <c r="AJ60" s="1021"/>
      <c r="AK60" s="1021"/>
      <c r="AL60" s="1021"/>
      <c r="AM60" s="1021"/>
      <c r="AN60" s="1021"/>
      <c r="AO60" s="1021"/>
      <c r="AP60" s="1021"/>
      <c r="AQ60" s="1021"/>
      <c r="AR60" s="1021"/>
      <c r="AS60" s="1021"/>
      <c r="AT60" s="1021"/>
      <c r="AU60" s="1021"/>
      <c r="AV60" s="1021"/>
      <c r="AW60" s="1021"/>
      <c r="AX60" s="1021"/>
      <c r="AY60" s="1021"/>
      <c r="AZ60" s="1021"/>
      <c r="BA60" s="1021"/>
      <c r="BB60" s="1021"/>
      <c r="BC60" s="1021"/>
      <c r="BD60" s="1021"/>
      <c r="BE60" s="1021"/>
      <c r="BF60" s="1021"/>
      <c r="BG60" s="1021"/>
      <c r="BH60" s="1021"/>
      <c r="BI60" s="1021"/>
      <c r="BJ60" s="1021"/>
      <c r="BK60" s="1021"/>
      <c r="BL60" s="1021"/>
      <c r="BM60" s="1021"/>
      <c r="BN60" s="1021"/>
      <c r="BO60" s="1021"/>
      <c r="BP60" s="1021"/>
      <c r="BQ60" s="1021"/>
      <c r="BR60" s="1021"/>
      <c r="BS60" s="1021"/>
      <c r="BT60" s="1021"/>
      <c r="BU60" s="1021"/>
      <c r="BV60" s="1021"/>
      <c r="BW60" s="1021"/>
      <c r="BX60" s="1021"/>
      <c r="BY60" s="1021"/>
      <c r="BZ60" s="1021"/>
      <c r="CB60" s="1024"/>
      <c r="CC60" s="1024"/>
    </row>
    <row r="61" s="649" customFormat="1" ht="26.25" customHeight="1" spans="1:81">
      <c r="A61" s="1017"/>
      <c r="B61" s="1008"/>
      <c r="C61" s="1018"/>
      <c r="E61" s="1008"/>
      <c r="F61" s="1008"/>
      <c r="G61" s="649" t="s">
        <v>4469</v>
      </c>
      <c r="H61" s="1008"/>
      <c r="M61" s="1103"/>
      <c r="N61" s="1103"/>
      <c r="O61" s="1018"/>
      <c r="P61" s="1018"/>
      <c r="Q61" s="1018"/>
      <c r="R61" s="1103"/>
      <c r="S61" s="1103"/>
      <c r="T61" s="1018"/>
      <c r="U61" s="1144"/>
      <c r="W61" s="1142"/>
      <c r="X61" s="1020"/>
      <c r="Y61" s="1021"/>
      <c r="Z61" s="1021"/>
      <c r="AA61" s="1021"/>
      <c r="AB61" s="1021"/>
      <c r="AC61" s="1021"/>
      <c r="AD61" s="1021"/>
      <c r="AE61" s="1021"/>
      <c r="AF61" s="1018"/>
      <c r="AG61" s="1018"/>
      <c r="AH61" s="1023"/>
      <c r="AI61" s="1021">
        <f>AH59+AI59+AJ59</f>
        <v>16978</v>
      </c>
      <c r="AJ61" s="1023"/>
      <c r="AK61" s="1023"/>
      <c r="AL61" s="1023"/>
      <c r="AM61" s="1023"/>
      <c r="AN61" s="1023"/>
      <c r="AO61" s="1023"/>
      <c r="AP61" s="1023"/>
      <c r="AQ61" s="1023"/>
      <c r="AR61" s="1023"/>
      <c r="AS61" s="1023"/>
      <c r="AT61" s="1023"/>
      <c r="AU61" s="1023"/>
      <c r="AV61" s="1023"/>
      <c r="AW61" s="1023"/>
      <c r="AX61" s="1023"/>
      <c r="AY61" s="1023"/>
      <c r="AZ61" s="1023"/>
      <c r="BA61" s="1023"/>
      <c r="BB61" s="1023"/>
      <c r="BC61" s="1023"/>
      <c r="BD61" s="1023"/>
      <c r="BE61" s="1023"/>
      <c r="BF61" s="1023"/>
      <c r="BG61" s="1023"/>
      <c r="BH61" s="1023"/>
      <c r="BI61" s="1023"/>
      <c r="BJ61" s="1023"/>
      <c r="BK61" s="1023"/>
      <c r="BL61" s="1023"/>
      <c r="BM61" s="1023"/>
      <c r="BN61" s="1023"/>
      <c r="BO61" s="1023"/>
      <c r="BP61" s="1023"/>
      <c r="BQ61" s="1023"/>
      <c r="BR61" s="1023"/>
      <c r="BS61" s="1023"/>
      <c r="BT61" s="1023"/>
      <c r="BU61" s="1023"/>
      <c r="BV61" s="1023"/>
      <c r="BW61" s="1023"/>
      <c r="BX61" s="1023"/>
      <c r="BY61" s="1023"/>
      <c r="BZ61" s="1023"/>
      <c r="CB61" s="1024"/>
      <c r="CC61" s="1024"/>
    </row>
    <row r="62" s="649" customFormat="1" ht="26.25" customHeight="1" spans="1:81">
      <c r="A62" s="1017"/>
      <c r="B62" s="1008"/>
      <c r="C62" s="1018"/>
      <c r="E62" s="1008"/>
      <c r="F62" s="1008"/>
      <c r="G62" s="649">
        <f>AH59+AI59+AJ59</f>
        <v>16978</v>
      </c>
      <c r="H62" s="1008"/>
      <c r="M62" s="1103"/>
      <c r="N62" s="1103"/>
      <c r="O62" s="1018"/>
      <c r="P62" s="1018"/>
      <c r="Q62" s="1018"/>
      <c r="R62" s="1103"/>
      <c r="S62" s="1103"/>
      <c r="T62" s="1018"/>
      <c r="U62" s="1019"/>
      <c r="W62" s="1142"/>
      <c r="X62" s="1020"/>
      <c r="Y62" s="1021"/>
      <c r="Z62" s="1021"/>
      <c r="AA62" s="1021"/>
      <c r="AB62" s="1021"/>
      <c r="AC62" s="1021"/>
      <c r="AD62" s="1021"/>
      <c r="AE62" s="1021"/>
      <c r="AF62" s="1018"/>
      <c r="AG62" s="1186" t="s">
        <v>4380</v>
      </c>
      <c r="AH62" s="1187">
        <f>SUM(AH57,AH58,AH3:AJ20,AH73:AJ78)</f>
        <v>3910899</v>
      </c>
      <c r="AJ62" s="1021"/>
      <c r="AK62" s="1021"/>
      <c r="AL62" s="1021"/>
      <c r="AM62" s="1021"/>
      <c r="AN62" s="1018"/>
      <c r="AO62" s="1195"/>
      <c r="AP62" s="1018"/>
      <c r="AQ62" s="1018"/>
      <c r="AR62" s="1018"/>
      <c r="AS62" s="1018"/>
      <c r="AT62" s="1018"/>
      <c r="AU62" s="1018"/>
      <c r="AV62" s="1018"/>
      <c r="AW62" s="1018"/>
      <c r="AX62" s="1018"/>
      <c r="AY62" s="1018"/>
      <c r="AZ62" s="1018"/>
      <c r="BA62" s="1018"/>
      <c r="BB62" s="1018"/>
      <c r="BC62" s="1023"/>
      <c r="BD62" s="1023"/>
      <c r="BE62" s="1023"/>
      <c r="BF62" s="1023"/>
      <c r="BG62" s="1023"/>
      <c r="BH62" s="1023"/>
      <c r="BI62" s="1023"/>
      <c r="BJ62" s="1023"/>
      <c r="BK62" s="1023"/>
      <c r="BL62" s="1023"/>
      <c r="BM62" s="1023"/>
      <c r="BN62" s="1023"/>
      <c r="BO62" s="1023"/>
      <c r="BP62" s="1023"/>
      <c r="BQ62" s="1023"/>
      <c r="BR62" s="1023"/>
      <c r="BS62" s="1023"/>
      <c r="BT62" s="1023"/>
      <c r="BU62" s="1023"/>
      <c r="BV62" s="1023"/>
      <c r="BW62" s="1023"/>
      <c r="BX62" s="1023"/>
      <c r="BY62" s="1023"/>
      <c r="BZ62" s="1023"/>
      <c r="CB62" s="1024"/>
      <c r="CC62" s="1024"/>
    </row>
    <row r="63" ht="26.25" customHeight="1" spans="3:54">
      <c r="C63" s="1018"/>
      <c r="M63" s="1103"/>
      <c r="N63" s="1103"/>
      <c r="P63" s="1018"/>
      <c r="Q63" s="1018"/>
      <c r="R63" s="1103"/>
      <c r="S63" s="1103"/>
      <c r="U63" s="1144"/>
      <c r="W63" s="1142"/>
      <c r="AF63" s="1018"/>
      <c r="AG63" s="1018"/>
      <c r="AN63" s="1018"/>
      <c r="AO63" s="1195"/>
      <c r="AP63" s="1018"/>
      <c r="AQ63" s="1018"/>
      <c r="AR63" s="1018"/>
      <c r="AS63" s="1018"/>
      <c r="AT63" s="1018"/>
      <c r="AU63" s="1018"/>
      <c r="AV63" s="1018"/>
      <c r="AW63" s="1018"/>
      <c r="AX63" s="1018"/>
      <c r="AY63" s="1018"/>
      <c r="AZ63" s="1018"/>
      <c r="BA63" s="1018"/>
      <c r="BB63" s="1018"/>
    </row>
    <row r="64" ht="26.25" customHeight="1" spans="3:54">
      <c r="C64" s="1018"/>
      <c r="M64" s="1103"/>
      <c r="N64" s="1103"/>
      <c r="P64" s="1018"/>
      <c r="Q64" s="1018"/>
      <c r="R64" s="1103"/>
      <c r="S64" s="1103"/>
      <c r="W64" s="1142"/>
      <c r="AF64" s="1018"/>
      <c r="AG64" s="1018"/>
      <c r="AN64" s="1018"/>
      <c r="AO64" s="1195"/>
      <c r="AP64" s="1018"/>
      <c r="AQ64" s="1018"/>
      <c r="AR64" s="1018"/>
      <c r="AS64" s="1018"/>
      <c r="AT64" s="1018"/>
      <c r="AU64" s="1018"/>
      <c r="AV64" s="1018"/>
      <c r="AW64" s="1018"/>
      <c r="AX64" s="1018"/>
      <c r="AY64" s="1018"/>
      <c r="AZ64" s="1018"/>
      <c r="BA64" s="1018"/>
      <c r="BB64" s="1018"/>
    </row>
    <row r="65" ht="26.25" customHeight="1" spans="3:54">
      <c r="C65" s="1018"/>
      <c r="M65" s="1103"/>
      <c r="N65" s="1103"/>
      <c r="P65" s="1018"/>
      <c r="Q65" s="1018"/>
      <c r="R65" s="1103"/>
      <c r="S65" s="1103"/>
      <c r="W65" s="1142"/>
      <c r="AF65" s="1018"/>
      <c r="AG65" s="1018"/>
      <c r="AN65" s="1018"/>
      <c r="AO65" s="1195"/>
      <c r="AP65" s="1018"/>
      <c r="AQ65" s="1018"/>
      <c r="AR65" s="1018"/>
      <c r="AS65" s="1018"/>
      <c r="AT65" s="1018"/>
      <c r="AU65" s="1018"/>
      <c r="AV65" s="1018"/>
      <c r="AW65" s="1018"/>
      <c r="AX65" s="1018"/>
      <c r="AY65" s="1018"/>
      <c r="AZ65" s="1018"/>
      <c r="BA65" s="1018"/>
      <c r="BB65" s="1018"/>
    </row>
    <row r="66" ht="26.25" customHeight="1" spans="3:54">
      <c r="C66" s="1018"/>
      <c r="M66" s="1103"/>
      <c r="N66" s="1103"/>
      <c r="P66" s="1018"/>
      <c r="Q66" s="1018"/>
      <c r="R66" s="1103"/>
      <c r="S66" s="1103"/>
      <c r="W66" s="1142"/>
      <c r="AF66" s="1018"/>
      <c r="AG66" s="1018"/>
      <c r="AN66" s="1018"/>
      <c r="AO66" s="1195"/>
      <c r="AP66" s="1018"/>
      <c r="AQ66" s="1018"/>
      <c r="AR66" s="1018"/>
      <c r="AS66" s="1018"/>
      <c r="AT66" s="1018"/>
      <c r="AU66" s="1018"/>
      <c r="AV66" s="1018"/>
      <c r="AW66" s="1018"/>
      <c r="AX66" s="1018"/>
      <c r="AY66" s="1018"/>
      <c r="AZ66" s="1018"/>
      <c r="BA66" s="1018"/>
      <c r="BB66" s="1018"/>
    </row>
    <row r="67" s="1016" customFormat="1" ht="14.25" spans="1:1">
      <c r="A67" s="1239"/>
    </row>
    <row r="68" ht="26.25" customHeight="1" spans="3:54">
      <c r="C68" s="1018"/>
      <c r="M68" s="1103"/>
      <c r="N68" s="1103"/>
      <c r="P68" s="1018"/>
      <c r="Q68" s="1018"/>
      <c r="R68" s="1103"/>
      <c r="S68" s="1103"/>
      <c r="U68" s="1144"/>
      <c r="W68" s="1142"/>
      <c r="AF68" s="1018"/>
      <c r="AG68" s="1018"/>
      <c r="AN68" s="1018"/>
      <c r="AO68" s="1195"/>
      <c r="AP68" s="1018"/>
      <c r="AQ68" s="1018"/>
      <c r="AR68" s="1018"/>
      <c r="AS68" s="1018"/>
      <c r="AT68" s="1018"/>
      <c r="AU68" s="1018"/>
      <c r="AV68" s="1018"/>
      <c r="AW68" s="1018"/>
      <c r="AX68" s="1018"/>
      <c r="AY68" s="1018"/>
      <c r="AZ68" s="1018"/>
      <c r="BA68" s="1018"/>
      <c r="BB68" s="1018"/>
    </row>
    <row r="69" ht="26.25" customHeight="1" spans="3:54">
      <c r="C69" s="1018"/>
      <c r="M69" s="1103"/>
      <c r="N69" s="1103"/>
      <c r="P69" s="1018"/>
      <c r="Q69" s="1018"/>
      <c r="R69" s="1103"/>
      <c r="S69" s="1103"/>
      <c r="W69" s="1142"/>
      <c r="AF69" s="1018"/>
      <c r="AG69" s="1018"/>
      <c r="AN69" s="1018"/>
      <c r="AO69" s="1195"/>
      <c r="AP69" s="1018"/>
      <c r="AQ69" s="1018"/>
      <c r="AR69" s="1018"/>
      <c r="AS69" s="1018"/>
      <c r="AT69" s="1018"/>
      <c r="AU69" s="1018"/>
      <c r="AV69" s="1018"/>
      <c r="AW69" s="1018"/>
      <c r="AX69" s="1018"/>
      <c r="AY69" s="1018"/>
      <c r="AZ69" s="1018"/>
      <c r="BA69" s="1018"/>
      <c r="BB69" s="1018"/>
    </row>
    <row r="70" ht="26.25" customHeight="1" spans="3:54">
      <c r="C70" s="1018"/>
      <c r="M70" s="1103"/>
      <c r="N70" s="1103"/>
      <c r="P70" s="1018"/>
      <c r="Q70" s="1018"/>
      <c r="R70" s="1103"/>
      <c r="S70" s="1103"/>
      <c r="W70" s="1142"/>
      <c r="AF70" s="1018"/>
      <c r="AG70" s="1018"/>
      <c r="AN70" s="1018"/>
      <c r="AO70" s="1195"/>
      <c r="AP70" s="1018"/>
      <c r="AQ70" s="1018"/>
      <c r="AR70" s="1018"/>
      <c r="AS70" s="1018"/>
      <c r="AT70" s="1018"/>
      <c r="AU70" s="1018"/>
      <c r="AV70" s="1018"/>
      <c r="AW70" s="1018"/>
      <c r="AX70" s="1018"/>
      <c r="AY70" s="1018"/>
      <c r="AZ70" s="1018"/>
      <c r="BA70" s="1018"/>
      <c r="BB70" s="1018"/>
    </row>
    <row r="71" s="1016" customFormat="1" ht="14.25" spans="1:1">
      <c r="A71" s="1239"/>
    </row>
    <row r="72" s="1016" customFormat="1" ht="14.25" spans="1:1">
      <c r="A72" s="1239"/>
    </row>
    <row r="73" s="212" customFormat="1" ht="36" customHeight="1" spans="1:83">
      <c r="A73" s="1240">
        <v>45971</v>
      </c>
      <c r="B73" s="1241" t="s">
        <v>3991</v>
      </c>
      <c r="C73" s="1242" t="s">
        <v>117</v>
      </c>
      <c r="D73" s="1243">
        <v>4500184640</v>
      </c>
      <c r="E73" s="1244" t="s">
        <v>4470</v>
      </c>
      <c r="F73" s="1243" t="s">
        <v>4471</v>
      </c>
      <c r="G73" s="225" t="s">
        <v>628</v>
      </c>
      <c r="H73" s="1245" t="s">
        <v>623</v>
      </c>
      <c r="I73" s="212">
        <v>216</v>
      </c>
      <c r="J73" s="1246">
        <v>0</v>
      </c>
      <c r="K73" s="225">
        <v>12</v>
      </c>
      <c r="L73" s="212">
        <f t="shared" ref="L73:L78" si="25">I73/K73</f>
        <v>18</v>
      </c>
      <c r="M73" s="1247">
        <v>46036</v>
      </c>
      <c r="N73" s="1247">
        <v>46034</v>
      </c>
      <c r="O73" s="216" t="s">
        <v>4472</v>
      </c>
      <c r="P73" s="216" t="s">
        <v>1262</v>
      </c>
      <c r="Q73" s="216" t="s">
        <v>3477</v>
      </c>
      <c r="R73" s="216">
        <v>45971</v>
      </c>
      <c r="S73" s="222" t="s">
        <v>123</v>
      </c>
      <c r="T73" s="1249" t="s">
        <v>4473</v>
      </c>
      <c r="U73" s="1244" t="s">
        <v>4474</v>
      </c>
      <c r="V73" s="1250" t="s">
        <v>3759</v>
      </c>
      <c r="W73" s="1251">
        <v>1.8222</v>
      </c>
      <c r="X73" s="221">
        <f t="shared" ref="X73:X78" si="26">W73*I73</f>
        <v>393.5952</v>
      </c>
      <c r="Y73" s="1252"/>
      <c r="Z73" s="1253" t="s">
        <v>628</v>
      </c>
      <c r="AA73" s="226" t="s">
        <v>128</v>
      </c>
      <c r="AB73" s="226">
        <v>1</v>
      </c>
      <c r="AC73" s="228">
        <v>216</v>
      </c>
      <c r="AD73" s="228"/>
      <c r="AE73" s="228"/>
      <c r="AF73" s="216"/>
      <c r="AG73" s="216"/>
      <c r="AH73" s="228">
        <f t="shared" ref="AH73:AH78" si="27">I73*2</f>
        <v>432</v>
      </c>
      <c r="AI73" s="228"/>
      <c r="AJ73" s="228"/>
      <c r="AK73" s="228">
        <f>I73*2</f>
        <v>432</v>
      </c>
      <c r="AL73" s="228"/>
      <c r="AM73" s="228"/>
      <c r="AN73" s="230"/>
      <c r="AO73" s="230"/>
      <c r="AP73" s="230"/>
      <c r="AQ73" s="230"/>
      <c r="AR73" s="230"/>
      <c r="AS73" s="230"/>
      <c r="AT73" s="230"/>
      <c r="AU73" s="230">
        <f t="shared" ref="AU73:AU78" si="28">I73*2</f>
        <v>432</v>
      </c>
      <c r="AV73" s="230"/>
      <c r="AW73" s="230"/>
      <c r="AX73" s="230"/>
      <c r="AY73" s="230"/>
      <c r="AZ73" s="230"/>
      <c r="BA73" s="230"/>
      <c r="BB73" s="230"/>
      <c r="BC73" s="236"/>
      <c r="BD73" s="236"/>
      <c r="BE73" s="236"/>
      <c r="BF73" s="236"/>
      <c r="BG73" s="236"/>
      <c r="BH73" s="236"/>
      <c r="BI73" s="236"/>
      <c r="BJ73" s="236"/>
      <c r="BK73" s="236"/>
      <c r="BL73" s="236"/>
      <c r="BM73" s="236"/>
      <c r="BN73" s="236"/>
      <c r="BO73" s="236"/>
      <c r="BP73" s="236"/>
      <c r="BQ73" s="236"/>
      <c r="BR73" s="236"/>
      <c r="BS73" s="236"/>
      <c r="BT73" s="236"/>
      <c r="BU73" s="236"/>
      <c r="BV73" s="236"/>
      <c r="BW73" s="236">
        <f t="shared" ref="BW73:BW78" si="29">I73</f>
        <v>216</v>
      </c>
      <c r="BX73" s="236"/>
      <c r="BY73" s="236">
        <f t="shared" ref="BY73:BY78" si="30">BW73</f>
        <v>216</v>
      </c>
      <c r="BZ73" s="212">
        <f t="shared" ref="BZ73:BZ78" si="31">AH73+AI73+AJ73</f>
        <v>432</v>
      </c>
      <c r="CB73" s="1254"/>
      <c r="CC73" s="1254"/>
      <c r="CE73" s="1235">
        <f>CE8-AH73-AI73-AJ73</f>
        <v>693221</v>
      </c>
    </row>
    <row r="74" s="212" customFormat="1" ht="36" customHeight="1" spans="1:83">
      <c r="A74" s="1240">
        <v>45982</v>
      </c>
      <c r="B74" s="1241" t="s">
        <v>3991</v>
      </c>
      <c r="C74" s="1242" t="s">
        <v>117</v>
      </c>
      <c r="D74" s="1243">
        <v>4500186570</v>
      </c>
      <c r="E74" s="1244" t="s">
        <v>4475</v>
      </c>
      <c r="F74" s="1243" t="s">
        <v>4476</v>
      </c>
      <c r="G74" s="225" t="s">
        <v>628</v>
      </c>
      <c r="H74" s="1245" t="s">
        <v>623</v>
      </c>
      <c r="I74" s="212">
        <v>48</v>
      </c>
      <c r="J74" s="1246">
        <v>0</v>
      </c>
      <c r="K74" s="225">
        <v>12</v>
      </c>
      <c r="L74" s="212">
        <f t="shared" si="25"/>
        <v>4</v>
      </c>
      <c r="M74" s="1248">
        <v>46037</v>
      </c>
      <c r="N74" s="1248">
        <v>46034</v>
      </c>
      <c r="O74" s="216" t="s">
        <v>4472</v>
      </c>
      <c r="P74" s="216" t="s">
        <v>1262</v>
      </c>
      <c r="Q74" s="216"/>
      <c r="R74" s="216">
        <v>45982</v>
      </c>
      <c r="S74" s="222" t="s">
        <v>77</v>
      </c>
      <c r="T74" s="1249" t="s">
        <v>4473</v>
      </c>
      <c r="U74" s="1244" t="s">
        <v>4410</v>
      </c>
      <c r="V74" s="1250" t="s">
        <v>3759</v>
      </c>
      <c r="W74" s="1251">
        <v>1.8004</v>
      </c>
      <c r="X74" s="221">
        <f t="shared" si="26"/>
        <v>86.4192</v>
      </c>
      <c r="Y74" s="1252"/>
      <c r="Z74" s="1253" t="s">
        <v>628</v>
      </c>
      <c r="AA74" s="226" t="s">
        <v>128</v>
      </c>
      <c r="AB74" s="226">
        <v>1</v>
      </c>
      <c r="AC74" s="228">
        <v>48</v>
      </c>
      <c r="AD74" s="228"/>
      <c r="AE74" s="228"/>
      <c r="AF74" s="216"/>
      <c r="AG74" s="216"/>
      <c r="AH74" s="228">
        <f t="shared" si="27"/>
        <v>96</v>
      </c>
      <c r="AI74" s="228"/>
      <c r="AJ74" s="228"/>
      <c r="AK74" s="228">
        <f t="shared" ref="AK73:AK78" si="32">I74*2</f>
        <v>96</v>
      </c>
      <c r="AL74" s="228"/>
      <c r="AM74" s="228"/>
      <c r="AN74" s="230"/>
      <c r="AO74" s="230"/>
      <c r="AP74" s="230"/>
      <c r="AQ74" s="230"/>
      <c r="AR74" s="230"/>
      <c r="AS74" s="230"/>
      <c r="AT74" s="230"/>
      <c r="AU74" s="230">
        <f t="shared" si="28"/>
        <v>96</v>
      </c>
      <c r="AV74" s="230"/>
      <c r="AW74" s="230"/>
      <c r="AX74" s="230"/>
      <c r="AY74" s="230"/>
      <c r="AZ74" s="230"/>
      <c r="BA74" s="230"/>
      <c r="BB74" s="230"/>
      <c r="BC74" s="236"/>
      <c r="BD74" s="236"/>
      <c r="BE74" s="236"/>
      <c r="BF74" s="236"/>
      <c r="BG74" s="236"/>
      <c r="BH74" s="236"/>
      <c r="BI74" s="236"/>
      <c r="BJ74" s="236"/>
      <c r="BK74" s="236"/>
      <c r="BL74" s="236"/>
      <c r="BM74" s="236"/>
      <c r="BN74" s="236"/>
      <c r="BO74" s="236"/>
      <c r="BP74" s="236"/>
      <c r="BQ74" s="236"/>
      <c r="BR74" s="236"/>
      <c r="BS74" s="236"/>
      <c r="BT74" s="236"/>
      <c r="BU74" s="236"/>
      <c r="BV74" s="236"/>
      <c r="BW74" s="236">
        <f t="shared" si="29"/>
        <v>48</v>
      </c>
      <c r="BX74" s="236"/>
      <c r="BY74" s="236">
        <f t="shared" si="30"/>
        <v>48</v>
      </c>
      <c r="BZ74" s="212">
        <f t="shared" si="31"/>
        <v>96</v>
      </c>
      <c r="CB74" s="1254"/>
      <c r="CC74" s="1254"/>
      <c r="CE74" s="1235">
        <f>CE73-AH74-AI74-AJ74</f>
        <v>693125</v>
      </c>
    </row>
    <row r="75" s="212" customFormat="1" ht="36" customHeight="1" spans="1:83">
      <c r="A75" s="1240">
        <v>45982</v>
      </c>
      <c r="B75" s="1241" t="s">
        <v>3991</v>
      </c>
      <c r="C75" s="1242" t="s">
        <v>117</v>
      </c>
      <c r="D75" s="1243">
        <v>4500186572</v>
      </c>
      <c r="E75" s="1244" t="s">
        <v>4477</v>
      </c>
      <c r="F75" s="1243" t="s">
        <v>4478</v>
      </c>
      <c r="G75" s="225" t="s">
        <v>628</v>
      </c>
      <c r="H75" s="1245" t="s">
        <v>623</v>
      </c>
      <c r="I75" s="212">
        <v>312</v>
      </c>
      <c r="J75" s="1246">
        <v>0</v>
      </c>
      <c r="K75" s="225">
        <v>12</v>
      </c>
      <c r="L75" s="212">
        <f t="shared" si="25"/>
        <v>26</v>
      </c>
      <c r="M75" s="1248">
        <v>46037</v>
      </c>
      <c r="N75" s="1248">
        <v>46034</v>
      </c>
      <c r="O75" s="216" t="s">
        <v>4472</v>
      </c>
      <c r="P75" s="216" t="s">
        <v>1262</v>
      </c>
      <c r="Q75" s="216"/>
      <c r="R75" s="216">
        <v>45982</v>
      </c>
      <c r="S75" s="222" t="s">
        <v>77</v>
      </c>
      <c r="T75" s="1249" t="s">
        <v>4473</v>
      </c>
      <c r="U75" s="1244" t="s">
        <v>4479</v>
      </c>
      <c r="V75" s="1250" t="s">
        <v>3759</v>
      </c>
      <c r="W75" s="1251">
        <v>1.8004</v>
      </c>
      <c r="X75" s="221">
        <f t="shared" si="26"/>
        <v>561.7248</v>
      </c>
      <c r="Y75" s="1252"/>
      <c r="Z75" s="1253" t="s">
        <v>628</v>
      </c>
      <c r="AA75" s="226" t="s">
        <v>128</v>
      </c>
      <c r="AB75" s="226">
        <v>1</v>
      </c>
      <c r="AC75" s="228">
        <v>312</v>
      </c>
      <c r="AD75" s="228"/>
      <c r="AE75" s="228"/>
      <c r="AF75" s="216"/>
      <c r="AG75" s="216"/>
      <c r="AH75" s="228">
        <f t="shared" si="27"/>
        <v>624</v>
      </c>
      <c r="AI75" s="228"/>
      <c r="AJ75" s="228"/>
      <c r="AK75" s="228">
        <f t="shared" si="32"/>
        <v>624</v>
      </c>
      <c r="AL75" s="228"/>
      <c r="AM75" s="228"/>
      <c r="AN75" s="230"/>
      <c r="AO75" s="230"/>
      <c r="AP75" s="230"/>
      <c r="AQ75" s="230"/>
      <c r="AR75" s="230"/>
      <c r="AS75" s="230"/>
      <c r="AT75" s="230"/>
      <c r="AU75" s="230">
        <f t="shared" si="28"/>
        <v>624</v>
      </c>
      <c r="AV75" s="230"/>
      <c r="AW75" s="230"/>
      <c r="AX75" s="230"/>
      <c r="AY75" s="230"/>
      <c r="AZ75" s="230"/>
      <c r="BA75" s="230"/>
      <c r="BB75" s="230"/>
      <c r="BC75" s="236"/>
      <c r="BD75" s="236"/>
      <c r="BE75" s="236"/>
      <c r="BF75" s="236"/>
      <c r="BG75" s="236"/>
      <c r="BH75" s="236"/>
      <c r="BI75" s="236"/>
      <c r="BJ75" s="236"/>
      <c r="BK75" s="236"/>
      <c r="BL75" s="236"/>
      <c r="BM75" s="236"/>
      <c r="BN75" s="236"/>
      <c r="BO75" s="236"/>
      <c r="BP75" s="236"/>
      <c r="BQ75" s="236"/>
      <c r="BR75" s="236"/>
      <c r="BS75" s="236"/>
      <c r="BT75" s="236"/>
      <c r="BU75" s="236"/>
      <c r="BV75" s="236"/>
      <c r="BW75" s="236">
        <f t="shared" si="29"/>
        <v>312</v>
      </c>
      <c r="BX75" s="236"/>
      <c r="BY75" s="236">
        <f t="shared" si="30"/>
        <v>312</v>
      </c>
      <c r="BZ75" s="212">
        <f t="shared" si="31"/>
        <v>624</v>
      </c>
      <c r="CB75" s="1254"/>
      <c r="CC75" s="1254"/>
      <c r="CE75" s="1235">
        <f>CE74-AH75-AI75-AJ75</f>
        <v>692501</v>
      </c>
    </row>
    <row r="76" s="212" customFormat="1" ht="36" customHeight="1" spans="1:83">
      <c r="A76" s="1240">
        <v>45982</v>
      </c>
      <c r="B76" s="1241" t="s">
        <v>3991</v>
      </c>
      <c r="C76" s="1242" t="s">
        <v>117</v>
      </c>
      <c r="D76" s="1243">
        <v>4500186574</v>
      </c>
      <c r="E76" s="1244" t="s">
        <v>4480</v>
      </c>
      <c r="F76" s="1243" t="s">
        <v>4481</v>
      </c>
      <c r="G76" s="225" t="s">
        <v>628</v>
      </c>
      <c r="H76" s="1245" t="s">
        <v>623</v>
      </c>
      <c r="I76" s="212">
        <v>1128</v>
      </c>
      <c r="J76" s="1246">
        <v>0</v>
      </c>
      <c r="K76" s="225">
        <v>12</v>
      </c>
      <c r="L76" s="212">
        <f t="shared" si="25"/>
        <v>94</v>
      </c>
      <c r="M76" s="1248">
        <v>46037</v>
      </c>
      <c r="N76" s="1248">
        <v>46034</v>
      </c>
      <c r="O76" s="216" t="s">
        <v>4472</v>
      </c>
      <c r="P76" s="216" t="s">
        <v>1262</v>
      </c>
      <c r="Q76" s="216"/>
      <c r="R76" s="216">
        <v>45982</v>
      </c>
      <c r="S76" s="222" t="s">
        <v>77</v>
      </c>
      <c r="T76" s="1249" t="s">
        <v>4473</v>
      </c>
      <c r="U76" s="1244" t="s">
        <v>4410</v>
      </c>
      <c r="V76" s="1250" t="s">
        <v>3759</v>
      </c>
      <c r="W76" s="1251">
        <v>1.8004</v>
      </c>
      <c r="X76" s="221">
        <f t="shared" si="26"/>
        <v>2030.8512</v>
      </c>
      <c r="Y76" s="1252"/>
      <c r="Z76" s="1253" t="s">
        <v>628</v>
      </c>
      <c r="AA76" s="226" t="s">
        <v>128</v>
      </c>
      <c r="AB76" s="226">
        <v>1</v>
      </c>
      <c r="AC76" s="228">
        <v>1128</v>
      </c>
      <c r="AD76" s="228"/>
      <c r="AE76" s="228"/>
      <c r="AF76" s="216"/>
      <c r="AG76" s="216"/>
      <c r="AH76" s="228">
        <f t="shared" si="27"/>
        <v>2256</v>
      </c>
      <c r="AI76" s="228"/>
      <c r="AJ76" s="228"/>
      <c r="AK76" s="228">
        <f t="shared" si="32"/>
        <v>2256</v>
      </c>
      <c r="AL76" s="228"/>
      <c r="AM76" s="228"/>
      <c r="AN76" s="230"/>
      <c r="AO76" s="230"/>
      <c r="AP76" s="230"/>
      <c r="AQ76" s="230"/>
      <c r="AR76" s="230"/>
      <c r="AS76" s="230"/>
      <c r="AT76" s="230"/>
      <c r="AU76" s="230">
        <f t="shared" si="28"/>
        <v>2256</v>
      </c>
      <c r="AV76" s="230"/>
      <c r="AW76" s="230"/>
      <c r="AX76" s="230"/>
      <c r="AY76" s="230"/>
      <c r="AZ76" s="230"/>
      <c r="BA76" s="230"/>
      <c r="BB76" s="230"/>
      <c r="BC76" s="236"/>
      <c r="BD76" s="236"/>
      <c r="BE76" s="236"/>
      <c r="BF76" s="236"/>
      <c r="BG76" s="236"/>
      <c r="BH76" s="236"/>
      <c r="BI76" s="236"/>
      <c r="BJ76" s="236"/>
      <c r="BK76" s="236"/>
      <c r="BL76" s="236"/>
      <c r="BM76" s="236"/>
      <c r="BN76" s="236"/>
      <c r="BO76" s="236"/>
      <c r="BP76" s="236"/>
      <c r="BQ76" s="236"/>
      <c r="BR76" s="236"/>
      <c r="BS76" s="236"/>
      <c r="BT76" s="236"/>
      <c r="BU76" s="236"/>
      <c r="BV76" s="236"/>
      <c r="BW76" s="236">
        <f t="shared" si="29"/>
        <v>1128</v>
      </c>
      <c r="BX76" s="236"/>
      <c r="BY76" s="236">
        <f t="shared" si="30"/>
        <v>1128</v>
      </c>
      <c r="BZ76" s="212">
        <f t="shared" si="31"/>
        <v>2256</v>
      </c>
      <c r="CB76" s="1254"/>
      <c r="CC76" s="1254"/>
      <c r="CE76" s="1235">
        <f>CE75-AH76-AI76-AJ76</f>
        <v>690245</v>
      </c>
    </row>
    <row r="77" s="212" customFormat="1" ht="36" customHeight="1" spans="1:83">
      <c r="A77" s="1240">
        <v>45982</v>
      </c>
      <c r="B77" s="1241" t="s">
        <v>3991</v>
      </c>
      <c r="C77" s="1242" t="s">
        <v>117</v>
      </c>
      <c r="D77" s="1243">
        <v>4500186574</v>
      </c>
      <c r="E77" s="1244" t="s">
        <v>4482</v>
      </c>
      <c r="F77" s="1243" t="s">
        <v>4483</v>
      </c>
      <c r="G77" s="225" t="s">
        <v>628</v>
      </c>
      <c r="H77" s="1245" t="s">
        <v>623</v>
      </c>
      <c r="I77" s="212">
        <v>240</v>
      </c>
      <c r="J77" s="1246">
        <v>0</v>
      </c>
      <c r="K77" s="225">
        <v>12</v>
      </c>
      <c r="L77" s="212">
        <f t="shared" si="25"/>
        <v>20</v>
      </c>
      <c r="M77" s="1248">
        <v>46037</v>
      </c>
      <c r="N77" s="1248">
        <v>46034</v>
      </c>
      <c r="O77" s="216" t="s">
        <v>4472</v>
      </c>
      <c r="P77" s="216" t="s">
        <v>1262</v>
      </c>
      <c r="Q77" s="216"/>
      <c r="R77" s="216">
        <v>45982</v>
      </c>
      <c r="S77" s="222" t="s">
        <v>77</v>
      </c>
      <c r="T77" s="1249" t="s">
        <v>4473</v>
      </c>
      <c r="U77" s="1244" t="s">
        <v>4410</v>
      </c>
      <c r="V77" s="1250" t="s">
        <v>3759</v>
      </c>
      <c r="W77" s="1251">
        <v>1.8004</v>
      </c>
      <c r="X77" s="221">
        <f t="shared" si="26"/>
        <v>432.096</v>
      </c>
      <c r="Y77" s="1252"/>
      <c r="Z77" s="1253" t="s">
        <v>628</v>
      </c>
      <c r="AA77" s="226" t="s">
        <v>128</v>
      </c>
      <c r="AB77" s="226">
        <v>1</v>
      </c>
      <c r="AC77" s="228">
        <v>240</v>
      </c>
      <c r="AD77" s="228"/>
      <c r="AE77" s="228"/>
      <c r="AF77" s="216"/>
      <c r="AG77" s="216"/>
      <c r="AH77" s="228">
        <f t="shared" si="27"/>
        <v>480</v>
      </c>
      <c r="AI77" s="228"/>
      <c r="AJ77" s="228"/>
      <c r="AK77" s="228">
        <f t="shared" si="32"/>
        <v>480</v>
      </c>
      <c r="AL77" s="228"/>
      <c r="AM77" s="228"/>
      <c r="AN77" s="230"/>
      <c r="AO77" s="230"/>
      <c r="AP77" s="230"/>
      <c r="AQ77" s="230"/>
      <c r="AR77" s="230"/>
      <c r="AS77" s="230"/>
      <c r="AT77" s="230"/>
      <c r="AU77" s="230">
        <f t="shared" si="28"/>
        <v>480</v>
      </c>
      <c r="AV77" s="230"/>
      <c r="AW77" s="230"/>
      <c r="AX77" s="230"/>
      <c r="AY77" s="230"/>
      <c r="AZ77" s="230"/>
      <c r="BA77" s="230"/>
      <c r="BB77" s="230"/>
      <c r="BC77" s="236"/>
      <c r="BD77" s="236"/>
      <c r="BE77" s="236"/>
      <c r="BF77" s="236"/>
      <c r="BG77" s="236"/>
      <c r="BH77" s="236"/>
      <c r="BI77" s="236"/>
      <c r="BJ77" s="236"/>
      <c r="BK77" s="236"/>
      <c r="BL77" s="236"/>
      <c r="BM77" s="236"/>
      <c r="BN77" s="236"/>
      <c r="BO77" s="236"/>
      <c r="BP77" s="236"/>
      <c r="BQ77" s="236"/>
      <c r="BR77" s="236"/>
      <c r="BS77" s="236"/>
      <c r="BT77" s="236"/>
      <c r="BU77" s="236"/>
      <c r="BV77" s="236"/>
      <c r="BW77" s="236">
        <f t="shared" si="29"/>
        <v>240</v>
      </c>
      <c r="BX77" s="236"/>
      <c r="BY77" s="236">
        <f t="shared" si="30"/>
        <v>240</v>
      </c>
      <c r="BZ77" s="212">
        <f t="shared" si="31"/>
        <v>480</v>
      </c>
      <c r="CB77" s="1254"/>
      <c r="CC77" s="1254"/>
      <c r="CE77" s="1235">
        <f>CE76-AH77-AI77-AJ77</f>
        <v>689765</v>
      </c>
    </row>
    <row r="78" s="212" customFormat="1" ht="36" customHeight="1" spans="1:83">
      <c r="A78" s="1240">
        <v>45982</v>
      </c>
      <c r="B78" s="1241" t="s">
        <v>3991</v>
      </c>
      <c r="C78" s="1242" t="s">
        <v>117</v>
      </c>
      <c r="D78" s="1243">
        <v>4500186575</v>
      </c>
      <c r="E78" s="1244" t="s">
        <v>4484</v>
      </c>
      <c r="F78" s="1243" t="s">
        <v>4485</v>
      </c>
      <c r="G78" s="225" t="s">
        <v>628</v>
      </c>
      <c r="H78" s="1245" t="s">
        <v>623</v>
      </c>
      <c r="I78" s="212">
        <v>648</v>
      </c>
      <c r="J78" s="1246">
        <v>0</v>
      </c>
      <c r="K78" s="225">
        <v>12</v>
      </c>
      <c r="L78" s="212">
        <f t="shared" si="25"/>
        <v>54</v>
      </c>
      <c r="M78" s="1248">
        <v>46037</v>
      </c>
      <c r="N78" s="1248">
        <v>46034</v>
      </c>
      <c r="O78" s="216" t="s">
        <v>4472</v>
      </c>
      <c r="P78" s="216" t="s">
        <v>1262</v>
      </c>
      <c r="Q78" s="216"/>
      <c r="R78" s="216">
        <v>45982</v>
      </c>
      <c r="S78" s="222" t="s">
        <v>77</v>
      </c>
      <c r="T78" s="1249" t="s">
        <v>4473</v>
      </c>
      <c r="U78" s="1244" t="s">
        <v>4486</v>
      </c>
      <c r="V78" s="1250" t="s">
        <v>3759</v>
      </c>
      <c r="W78" s="1251">
        <v>1.8004</v>
      </c>
      <c r="X78" s="221">
        <f t="shared" si="26"/>
        <v>1166.6592</v>
      </c>
      <c r="Y78" s="1252"/>
      <c r="Z78" s="1253" t="s">
        <v>628</v>
      </c>
      <c r="AA78" s="226" t="s">
        <v>128</v>
      </c>
      <c r="AB78" s="226">
        <v>1</v>
      </c>
      <c r="AC78" s="228">
        <v>648</v>
      </c>
      <c r="AD78" s="228"/>
      <c r="AE78" s="228"/>
      <c r="AF78" s="216"/>
      <c r="AG78" s="216"/>
      <c r="AH78" s="228">
        <f t="shared" si="27"/>
        <v>1296</v>
      </c>
      <c r="AI78" s="228"/>
      <c r="AJ78" s="228"/>
      <c r="AK78" s="228">
        <f t="shared" si="32"/>
        <v>1296</v>
      </c>
      <c r="AL78" s="228"/>
      <c r="AM78" s="228"/>
      <c r="AN78" s="230"/>
      <c r="AO78" s="230"/>
      <c r="AP78" s="230"/>
      <c r="AQ78" s="230"/>
      <c r="AR78" s="230"/>
      <c r="AS78" s="230"/>
      <c r="AT78" s="230"/>
      <c r="AU78" s="230">
        <f t="shared" si="28"/>
        <v>1296</v>
      </c>
      <c r="AV78" s="230"/>
      <c r="AW78" s="230"/>
      <c r="AX78" s="230"/>
      <c r="AY78" s="230"/>
      <c r="AZ78" s="230"/>
      <c r="BA78" s="230"/>
      <c r="BB78" s="230"/>
      <c r="BC78" s="236"/>
      <c r="BD78" s="236"/>
      <c r="BE78" s="236"/>
      <c r="BF78" s="236"/>
      <c r="BG78" s="236"/>
      <c r="BH78" s="236"/>
      <c r="BI78" s="236"/>
      <c r="BJ78" s="236"/>
      <c r="BK78" s="236"/>
      <c r="BL78" s="236"/>
      <c r="BM78" s="236"/>
      <c r="BN78" s="236"/>
      <c r="BO78" s="236"/>
      <c r="BP78" s="236"/>
      <c r="BQ78" s="236"/>
      <c r="BR78" s="236"/>
      <c r="BS78" s="236"/>
      <c r="BT78" s="236"/>
      <c r="BU78" s="236"/>
      <c r="BV78" s="236"/>
      <c r="BW78" s="236">
        <f t="shared" si="29"/>
        <v>648</v>
      </c>
      <c r="BX78" s="236"/>
      <c r="BY78" s="236">
        <f t="shared" si="30"/>
        <v>648</v>
      </c>
      <c r="BZ78" s="212">
        <f t="shared" si="31"/>
        <v>1296</v>
      </c>
      <c r="CB78" s="1254"/>
      <c r="CC78" s="1254"/>
      <c r="CE78" s="1235">
        <f>CE77-AH78-AI78-AJ78</f>
        <v>688469</v>
      </c>
    </row>
    <row r="79" ht="26.25" customHeight="1" spans="3:54">
      <c r="C79" s="1018"/>
      <c r="M79" s="1103"/>
      <c r="N79" s="1103"/>
      <c r="P79" s="1018"/>
      <c r="Q79" s="1018"/>
      <c r="R79" s="1103"/>
      <c r="S79" s="1103"/>
      <c r="W79" s="1142"/>
      <c r="AF79" s="1018"/>
      <c r="AG79" s="1018"/>
      <c r="AN79" s="1018"/>
      <c r="AO79" s="1195"/>
      <c r="AP79" s="1018"/>
      <c r="AQ79" s="1018"/>
      <c r="AR79" s="1018"/>
      <c r="AS79" s="1018"/>
      <c r="AT79" s="1018"/>
      <c r="AU79" s="1018"/>
      <c r="AV79" s="1018"/>
      <c r="AW79" s="1018"/>
      <c r="AX79" s="1018"/>
      <c r="AY79" s="1018"/>
      <c r="AZ79" s="1018"/>
      <c r="BA79" s="1018"/>
      <c r="BB79" s="1018"/>
    </row>
    <row r="80" ht="26.25" customHeight="1" spans="3:54">
      <c r="C80" s="1018"/>
      <c r="M80" s="1103"/>
      <c r="N80" s="1103"/>
      <c r="P80" s="1018"/>
      <c r="Q80" s="1018"/>
      <c r="R80" s="1103"/>
      <c r="S80" s="1103"/>
      <c r="W80" s="1142"/>
      <c r="AF80" s="1018"/>
      <c r="AG80" s="1018"/>
      <c r="AN80" s="1018"/>
      <c r="AO80" s="1195"/>
      <c r="AP80" s="1018"/>
      <c r="AQ80" s="1018"/>
      <c r="AR80" s="1018"/>
      <c r="AS80" s="1018"/>
      <c r="AT80" s="1018"/>
      <c r="AU80" s="1018"/>
      <c r="AV80" s="1018"/>
      <c r="AW80" s="1018"/>
      <c r="AX80" s="1018"/>
      <c r="AY80" s="1018"/>
      <c r="AZ80" s="1018"/>
      <c r="BA80" s="1018"/>
      <c r="BB80" s="1018"/>
    </row>
    <row r="81" ht="26.25" customHeight="1" spans="3:54">
      <c r="C81" s="1018"/>
      <c r="M81" s="1103"/>
      <c r="N81" s="1103"/>
      <c r="P81" s="1018"/>
      <c r="Q81" s="1018"/>
      <c r="R81" s="1103"/>
      <c r="S81" s="1103"/>
      <c r="W81" s="1142"/>
      <c r="AF81" s="1018"/>
      <c r="AG81" s="1018"/>
      <c r="AN81" s="1018"/>
      <c r="AO81" s="1195"/>
      <c r="AP81" s="1018"/>
      <c r="AQ81" s="1018"/>
      <c r="AR81" s="1018"/>
      <c r="AS81" s="1018"/>
      <c r="AT81" s="1018"/>
      <c r="AU81" s="1018"/>
      <c r="AV81" s="1018"/>
      <c r="AW81" s="1018"/>
      <c r="AX81" s="1018"/>
      <c r="AY81" s="1018"/>
      <c r="AZ81" s="1018"/>
      <c r="BA81" s="1018"/>
      <c r="BB81" s="1018"/>
    </row>
    <row r="82" ht="26.25" customHeight="1" spans="3:54">
      <c r="C82" s="1018"/>
      <c r="M82" s="1103"/>
      <c r="N82" s="1103"/>
      <c r="P82" s="1018"/>
      <c r="Q82" s="1018"/>
      <c r="R82" s="1103"/>
      <c r="S82" s="1103"/>
      <c r="W82" s="1142"/>
      <c r="AF82" s="1018"/>
      <c r="AG82" s="1018"/>
      <c r="AN82" s="1018"/>
      <c r="AO82" s="1195"/>
      <c r="AP82" s="1018"/>
      <c r="AQ82" s="1018"/>
      <c r="AR82" s="1018"/>
      <c r="AS82" s="1018"/>
      <c r="AT82" s="1018"/>
      <c r="AU82" s="1018"/>
      <c r="AV82" s="1018"/>
      <c r="AW82" s="1018"/>
      <c r="AX82" s="1018"/>
      <c r="AY82" s="1018"/>
      <c r="AZ82" s="1018"/>
      <c r="BA82" s="1018"/>
      <c r="BB82" s="1018"/>
    </row>
    <row r="83" ht="26.25" customHeight="1" spans="3:54">
      <c r="C83" s="1018"/>
      <c r="M83" s="1103"/>
      <c r="N83" s="1103"/>
      <c r="P83" s="1018"/>
      <c r="Q83" s="1018"/>
      <c r="R83" s="1103"/>
      <c r="S83" s="1103"/>
      <c r="W83" s="1142"/>
      <c r="AF83" s="1018"/>
      <c r="AG83" s="1018"/>
      <c r="AN83" s="1018"/>
      <c r="AO83" s="1195"/>
      <c r="AP83" s="1018"/>
      <c r="AQ83" s="1018"/>
      <c r="AR83" s="1018"/>
      <c r="AS83" s="1018"/>
      <c r="AT83" s="1018"/>
      <c r="AU83" s="1018"/>
      <c r="AV83" s="1018"/>
      <c r="AW83" s="1018"/>
      <c r="AX83" s="1018"/>
      <c r="AY83" s="1018"/>
      <c r="AZ83" s="1018"/>
      <c r="BA83" s="1018"/>
      <c r="BB83" s="1018"/>
    </row>
    <row r="84" ht="26.25" customHeight="1" spans="3:54">
      <c r="C84" s="1018"/>
      <c r="M84" s="1103"/>
      <c r="N84" s="1103"/>
      <c r="P84" s="1018"/>
      <c r="Q84" s="1018"/>
      <c r="R84" s="1103"/>
      <c r="S84" s="1103"/>
      <c r="W84" s="1142"/>
      <c r="AF84" s="1018"/>
      <c r="AG84" s="1018"/>
      <c r="AN84" s="1018"/>
      <c r="AO84" s="1195"/>
      <c r="AP84" s="1018"/>
      <c r="AQ84" s="1018"/>
      <c r="AR84" s="1018"/>
      <c r="AS84" s="1018"/>
      <c r="AT84" s="1018"/>
      <c r="AU84" s="1018"/>
      <c r="AV84" s="1018"/>
      <c r="AW84" s="1018"/>
      <c r="AX84" s="1018"/>
      <c r="AY84" s="1018"/>
      <c r="AZ84" s="1018"/>
      <c r="BA84" s="1018"/>
      <c r="BB84" s="1018"/>
    </row>
    <row r="85" ht="26.25" customHeight="1" spans="3:54">
      <c r="C85" s="1018"/>
      <c r="M85" s="1103"/>
      <c r="N85" s="1103"/>
      <c r="P85" s="1018"/>
      <c r="Q85" s="1018"/>
      <c r="R85" s="1103"/>
      <c r="S85" s="1103"/>
      <c r="W85" s="1142"/>
      <c r="AF85" s="1018"/>
      <c r="AG85" s="1018"/>
      <c r="AN85" s="1018"/>
      <c r="AO85" s="1195"/>
      <c r="AP85" s="1018"/>
      <c r="AQ85" s="1018"/>
      <c r="AR85" s="1018"/>
      <c r="AS85" s="1018"/>
      <c r="AT85" s="1018"/>
      <c r="AU85" s="1018"/>
      <c r="AV85" s="1018"/>
      <c r="AW85" s="1018"/>
      <c r="AX85" s="1018"/>
      <c r="AY85" s="1018"/>
      <c r="AZ85" s="1018"/>
      <c r="BA85" s="1018"/>
      <c r="BB85" s="1018"/>
    </row>
    <row r="86" ht="26.25" customHeight="1" spans="3:54">
      <c r="C86" s="1018"/>
      <c r="M86" s="1103"/>
      <c r="N86" s="1103"/>
      <c r="P86" s="1018"/>
      <c r="Q86" s="1018"/>
      <c r="R86" s="1103"/>
      <c r="S86" s="1103"/>
      <c r="W86" s="1142"/>
      <c r="AF86" s="1018"/>
      <c r="AG86" s="1018"/>
      <c r="AN86" s="1018"/>
      <c r="AO86" s="1195"/>
      <c r="AP86" s="1018"/>
      <c r="AQ86" s="1018"/>
      <c r="AR86" s="1018"/>
      <c r="AS86" s="1018"/>
      <c r="AT86" s="1018"/>
      <c r="AU86" s="1018"/>
      <c r="AV86" s="1018"/>
      <c r="AW86" s="1018"/>
      <c r="AX86" s="1018"/>
      <c r="AY86" s="1018"/>
      <c r="AZ86" s="1018"/>
      <c r="BA86" s="1018"/>
      <c r="BB86" s="1018"/>
    </row>
    <row r="87" ht="26.25" customHeight="1" spans="3:54">
      <c r="C87" s="1018"/>
      <c r="M87" s="1103"/>
      <c r="N87" s="1103"/>
      <c r="P87" s="1018"/>
      <c r="Q87" s="1018"/>
      <c r="R87" s="1103"/>
      <c r="S87" s="1103"/>
      <c r="W87" s="1142"/>
      <c r="AF87" s="1018"/>
      <c r="AG87" s="1018"/>
      <c r="AN87" s="1018"/>
      <c r="AO87" s="1195"/>
      <c r="AP87" s="1018"/>
      <c r="AQ87" s="1018"/>
      <c r="AR87" s="1018"/>
      <c r="AS87" s="1018"/>
      <c r="AT87" s="1018"/>
      <c r="AU87" s="1018"/>
      <c r="AV87" s="1018"/>
      <c r="AW87" s="1018"/>
      <c r="AX87" s="1018"/>
      <c r="AY87" s="1018"/>
      <c r="AZ87" s="1018"/>
      <c r="BA87" s="1018"/>
      <c r="BB87" s="1018"/>
    </row>
    <row r="88" ht="26.25" customHeight="1" spans="3:54">
      <c r="C88" s="1018"/>
      <c r="M88" s="1103"/>
      <c r="N88" s="1103"/>
      <c r="P88" s="1018"/>
      <c r="Q88" s="1018"/>
      <c r="R88" s="1103"/>
      <c r="S88" s="1103"/>
      <c r="W88" s="1142"/>
      <c r="AF88" s="1018"/>
      <c r="AG88" s="1018"/>
      <c r="AN88" s="1018"/>
      <c r="AO88" s="1195"/>
      <c r="AP88" s="1018"/>
      <c r="AQ88" s="1018"/>
      <c r="AR88" s="1018"/>
      <c r="AS88" s="1018"/>
      <c r="AT88" s="1018"/>
      <c r="AU88" s="1018"/>
      <c r="AV88" s="1018"/>
      <c r="AW88" s="1018"/>
      <c r="AX88" s="1018"/>
      <c r="AY88" s="1018"/>
      <c r="AZ88" s="1018"/>
      <c r="BA88" s="1018"/>
      <c r="BB88" s="1018"/>
    </row>
    <row r="89" ht="26.25" customHeight="1" spans="3:54">
      <c r="C89" s="1018"/>
      <c r="M89" s="1103"/>
      <c r="N89" s="1103"/>
      <c r="P89" s="1018"/>
      <c r="Q89" s="1018"/>
      <c r="R89" s="1103"/>
      <c r="S89" s="1103"/>
      <c r="W89" s="1142"/>
      <c r="AF89" s="1018"/>
      <c r="AG89" s="1018"/>
      <c r="AN89" s="1018"/>
      <c r="AO89" s="1195"/>
      <c r="AP89" s="1018"/>
      <c r="AQ89" s="1018"/>
      <c r="AR89" s="1018"/>
      <c r="AS89" s="1018"/>
      <c r="AT89" s="1018"/>
      <c r="AU89" s="1018"/>
      <c r="AV89" s="1018"/>
      <c r="AW89" s="1018"/>
      <c r="AX89" s="1018"/>
      <c r="AY89" s="1018"/>
      <c r="AZ89" s="1018"/>
      <c r="BA89" s="1018"/>
      <c r="BB89" s="1018"/>
    </row>
    <row r="90" ht="26.25" customHeight="1" spans="3:54">
      <c r="C90" s="1018"/>
      <c r="M90" s="1103"/>
      <c r="N90" s="1103"/>
      <c r="P90" s="1018"/>
      <c r="Q90" s="1018"/>
      <c r="R90" s="1103"/>
      <c r="S90" s="1103"/>
      <c r="W90" s="1142"/>
      <c r="AF90" s="1018"/>
      <c r="AG90" s="1018"/>
      <c r="AN90" s="1018"/>
      <c r="AO90" s="1195"/>
      <c r="AP90" s="1018"/>
      <c r="AQ90" s="1018"/>
      <c r="AR90" s="1018"/>
      <c r="AS90" s="1018"/>
      <c r="AT90" s="1018"/>
      <c r="AU90" s="1018"/>
      <c r="AV90" s="1018"/>
      <c r="AW90" s="1018"/>
      <c r="AX90" s="1018"/>
      <c r="AY90" s="1018"/>
      <c r="AZ90" s="1018"/>
      <c r="BA90" s="1018"/>
      <c r="BB90" s="1018"/>
    </row>
    <row r="91" ht="26.25" customHeight="1" spans="3:54">
      <c r="C91" s="1018"/>
      <c r="M91" s="1103"/>
      <c r="N91" s="1103"/>
      <c r="P91" s="1018"/>
      <c r="Q91" s="1018"/>
      <c r="R91" s="1103"/>
      <c r="S91" s="1103"/>
      <c r="W91" s="1142"/>
      <c r="AF91" s="1018"/>
      <c r="AG91" s="1018"/>
      <c r="AN91" s="1018"/>
      <c r="AO91" s="1195"/>
      <c r="AP91" s="1018"/>
      <c r="AQ91" s="1018"/>
      <c r="AR91" s="1018"/>
      <c r="AS91" s="1018"/>
      <c r="AT91" s="1018"/>
      <c r="AU91" s="1018"/>
      <c r="AV91" s="1018"/>
      <c r="AW91" s="1018"/>
      <c r="AX91" s="1018"/>
      <c r="AY91" s="1018"/>
      <c r="AZ91" s="1018"/>
      <c r="BA91" s="1018"/>
      <c r="BB91" s="1018"/>
    </row>
    <row r="92" ht="26.25" customHeight="1" spans="3:54">
      <c r="C92" s="1018"/>
      <c r="M92" s="1103"/>
      <c r="N92" s="1103"/>
      <c r="P92" s="1018"/>
      <c r="Q92" s="1018"/>
      <c r="R92" s="1103"/>
      <c r="S92" s="1103"/>
      <c r="W92" s="1142"/>
      <c r="AF92" s="1018"/>
      <c r="AG92" s="1018"/>
      <c r="AN92" s="1018"/>
      <c r="AO92" s="1195"/>
      <c r="AP92" s="1018"/>
      <c r="AQ92" s="1018"/>
      <c r="AR92" s="1018"/>
      <c r="AS92" s="1018"/>
      <c r="AT92" s="1018"/>
      <c r="AU92" s="1018"/>
      <c r="AV92" s="1018"/>
      <c r="AW92" s="1018"/>
      <c r="AX92" s="1018"/>
      <c r="AY92" s="1018"/>
      <c r="AZ92" s="1018"/>
      <c r="BA92" s="1018"/>
      <c r="BB92" s="1018"/>
    </row>
    <row r="93" ht="26.25" customHeight="1" spans="3:54">
      <c r="C93" s="1018"/>
      <c r="M93" s="1103"/>
      <c r="N93" s="1103"/>
      <c r="P93" s="1018"/>
      <c r="Q93" s="1018"/>
      <c r="R93" s="1103"/>
      <c r="S93" s="1103"/>
      <c r="W93" s="1142"/>
      <c r="AF93" s="1018"/>
      <c r="AG93" s="1018"/>
      <c r="AN93" s="1018"/>
      <c r="AO93" s="1195"/>
      <c r="AP93" s="1018"/>
      <c r="AQ93" s="1018"/>
      <c r="AR93" s="1018"/>
      <c r="AS93" s="1018"/>
      <c r="AT93" s="1018"/>
      <c r="AU93" s="1018"/>
      <c r="AV93" s="1018"/>
      <c r="AW93" s="1018"/>
      <c r="AX93" s="1018"/>
      <c r="AY93" s="1018"/>
      <c r="AZ93" s="1018"/>
      <c r="BA93" s="1018"/>
      <c r="BB93" s="1018"/>
    </row>
    <row r="94" ht="26.25" customHeight="1" spans="3:54">
      <c r="C94" s="1018"/>
      <c r="M94" s="1103"/>
      <c r="N94" s="1103"/>
      <c r="P94" s="1018"/>
      <c r="Q94" s="1018"/>
      <c r="R94" s="1103"/>
      <c r="S94" s="1103"/>
      <c r="W94" s="1142"/>
      <c r="AF94" s="1018"/>
      <c r="AG94" s="1018"/>
      <c r="AN94" s="1018"/>
      <c r="AO94" s="1195"/>
      <c r="AP94" s="1018"/>
      <c r="AQ94" s="1018"/>
      <c r="AR94" s="1018"/>
      <c r="AS94" s="1018"/>
      <c r="AT94" s="1018"/>
      <c r="AU94" s="1018"/>
      <c r="AV94" s="1018"/>
      <c r="AW94" s="1018"/>
      <c r="AX94" s="1018"/>
      <c r="AY94" s="1018"/>
      <c r="AZ94" s="1018"/>
      <c r="BA94" s="1018"/>
      <c r="BB94" s="1018"/>
    </row>
    <row r="95" ht="26.25" customHeight="1" spans="3:54">
      <c r="C95" s="1018"/>
      <c r="M95" s="1103"/>
      <c r="N95" s="1103"/>
      <c r="P95" s="1018"/>
      <c r="Q95" s="1018"/>
      <c r="R95" s="1103"/>
      <c r="S95" s="1103"/>
      <c r="W95" s="1142"/>
      <c r="AF95" s="1018"/>
      <c r="AG95" s="1018"/>
      <c r="AN95" s="1018"/>
      <c r="AO95" s="1195"/>
      <c r="AP95" s="1018"/>
      <c r="AQ95" s="1018"/>
      <c r="AR95" s="1018"/>
      <c r="AS95" s="1018"/>
      <c r="AT95" s="1018"/>
      <c r="AU95" s="1018"/>
      <c r="AV95" s="1018"/>
      <c r="AW95" s="1018"/>
      <c r="AX95" s="1018"/>
      <c r="AY95" s="1018"/>
      <c r="AZ95" s="1018"/>
      <c r="BA95" s="1018"/>
      <c r="BB95" s="1018"/>
    </row>
    <row r="96" ht="26.25" customHeight="1" spans="3:54">
      <c r="C96" s="1018"/>
      <c r="M96" s="1103"/>
      <c r="N96" s="1103"/>
      <c r="P96" s="1018"/>
      <c r="Q96" s="1018"/>
      <c r="R96" s="1103"/>
      <c r="S96" s="1103"/>
      <c r="W96" s="1142"/>
      <c r="AF96" s="1018"/>
      <c r="AG96" s="1018"/>
      <c r="AN96" s="1018"/>
      <c r="AO96" s="1195"/>
      <c r="AP96" s="1018"/>
      <c r="AQ96" s="1018"/>
      <c r="AR96" s="1018"/>
      <c r="AS96" s="1018"/>
      <c r="AT96" s="1018"/>
      <c r="AU96" s="1018"/>
      <c r="AV96" s="1018"/>
      <c r="AW96" s="1018"/>
      <c r="AX96" s="1018"/>
      <c r="AY96" s="1018"/>
      <c r="AZ96" s="1018"/>
      <c r="BA96" s="1018"/>
      <c r="BB96" s="1018"/>
    </row>
    <row r="97" ht="26.25" customHeight="1" spans="3:54">
      <c r="C97" s="1018"/>
      <c r="M97" s="1103"/>
      <c r="N97" s="1103"/>
      <c r="P97" s="1018"/>
      <c r="Q97" s="1018"/>
      <c r="R97" s="1103"/>
      <c r="S97" s="1103"/>
      <c r="W97" s="1142"/>
      <c r="AF97" s="1018"/>
      <c r="AG97" s="1018"/>
      <c r="AN97" s="1018"/>
      <c r="AO97" s="1195"/>
      <c r="AP97" s="1018"/>
      <c r="AQ97" s="1018"/>
      <c r="AR97" s="1018"/>
      <c r="AS97" s="1018"/>
      <c r="AT97" s="1018"/>
      <c r="AU97" s="1018"/>
      <c r="AV97" s="1018"/>
      <c r="AW97" s="1018"/>
      <c r="AX97" s="1018"/>
      <c r="AY97" s="1018"/>
      <c r="AZ97" s="1018"/>
      <c r="BA97" s="1018"/>
      <c r="BB97" s="1018"/>
    </row>
    <row r="98" ht="26.25" customHeight="1" spans="3:54">
      <c r="C98" s="1018"/>
      <c r="M98" s="1103"/>
      <c r="N98" s="1103"/>
      <c r="P98" s="1018"/>
      <c r="Q98" s="1018"/>
      <c r="R98" s="1103"/>
      <c r="S98" s="1103"/>
      <c r="W98" s="1142"/>
      <c r="AF98" s="1018"/>
      <c r="AG98" s="1018"/>
      <c r="AN98" s="1018"/>
      <c r="AO98" s="1195"/>
      <c r="AP98" s="1018"/>
      <c r="AQ98" s="1018"/>
      <c r="AR98" s="1018"/>
      <c r="AS98" s="1018"/>
      <c r="AT98" s="1018"/>
      <c r="AU98" s="1018"/>
      <c r="AV98" s="1018"/>
      <c r="AW98" s="1018"/>
      <c r="AX98" s="1018"/>
      <c r="AY98" s="1018"/>
      <c r="AZ98" s="1018"/>
      <c r="BA98" s="1018"/>
      <c r="BB98" s="1018"/>
    </row>
    <row r="99" ht="26.25" customHeight="1" spans="3:54">
      <c r="C99" s="1018"/>
      <c r="M99" s="1103"/>
      <c r="N99" s="1103"/>
      <c r="P99" s="1018"/>
      <c r="Q99" s="1018"/>
      <c r="R99" s="1103"/>
      <c r="S99" s="1103"/>
      <c r="W99" s="1142"/>
      <c r="AF99" s="1018"/>
      <c r="AG99" s="1018"/>
      <c r="AN99" s="1018"/>
      <c r="AO99" s="1195"/>
      <c r="AP99" s="1018"/>
      <c r="AQ99" s="1018"/>
      <c r="AR99" s="1018"/>
      <c r="AS99" s="1018"/>
      <c r="AT99" s="1018"/>
      <c r="AU99" s="1018"/>
      <c r="AV99" s="1018"/>
      <c r="AW99" s="1018"/>
      <c r="AX99" s="1018"/>
      <c r="AY99" s="1018"/>
      <c r="AZ99" s="1018"/>
      <c r="BA99" s="1018"/>
      <c r="BB99" s="1018"/>
    </row>
    <row r="100" ht="26.25" customHeight="1" spans="3:54">
      <c r="C100" s="1018"/>
      <c r="M100" s="1103"/>
      <c r="N100" s="1103"/>
      <c r="P100" s="1018"/>
      <c r="Q100" s="1018"/>
      <c r="R100" s="1103"/>
      <c r="S100" s="1103"/>
      <c r="W100" s="1142"/>
      <c r="AF100" s="1018"/>
      <c r="AG100" s="1018"/>
      <c r="AN100" s="1018"/>
      <c r="AO100" s="1195"/>
      <c r="AP100" s="1018"/>
      <c r="AQ100" s="1018"/>
      <c r="AR100" s="1018"/>
      <c r="AS100" s="1018"/>
      <c r="AT100" s="1018"/>
      <c r="AU100" s="1018"/>
      <c r="AV100" s="1018"/>
      <c r="AW100" s="1018"/>
      <c r="AX100" s="1018"/>
      <c r="AY100" s="1018"/>
      <c r="AZ100" s="1018"/>
      <c r="BA100" s="1018"/>
      <c r="BB100" s="1018"/>
    </row>
    <row r="101" ht="26.25" customHeight="1" spans="3:54">
      <c r="C101" s="1018"/>
      <c r="M101" s="1103"/>
      <c r="N101" s="1103"/>
      <c r="P101" s="1018"/>
      <c r="Q101" s="1018"/>
      <c r="R101" s="1103"/>
      <c r="S101" s="1103"/>
      <c r="W101" s="1142"/>
      <c r="AF101" s="1018"/>
      <c r="AG101" s="1018"/>
      <c r="AN101" s="1018"/>
      <c r="AO101" s="1195"/>
      <c r="AP101" s="1018"/>
      <c r="AQ101" s="1018"/>
      <c r="AR101" s="1018"/>
      <c r="AS101" s="1018"/>
      <c r="AT101" s="1018"/>
      <c r="AU101" s="1018"/>
      <c r="AV101" s="1018"/>
      <c r="AW101" s="1018"/>
      <c r="AX101" s="1018"/>
      <c r="AY101" s="1018"/>
      <c r="AZ101" s="1018"/>
      <c r="BA101" s="1018"/>
      <c r="BB101" s="1018"/>
    </row>
    <row r="102" ht="26.25" customHeight="1" spans="3:54">
      <c r="C102" s="1018"/>
      <c r="M102" s="1103"/>
      <c r="N102" s="1103"/>
      <c r="P102" s="1018"/>
      <c r="Q102" s="1018"/>
      <c r="R102" s="1103"/>
      <c r="S102" s="1103"/>
      <c r="W102" s="1142"/>
      <c r="AF102" s="1018"/>
      <c r="AG102" s="1018"/>
      <c r="AN102" s="1018"/>
      <c r="AO102" s="1195"/>
      <c r="AP102" s="1018"/>
      <c r="AQ102" s="1018"/>
      <c r="AR102" s="1018"/>
      <c r="AS102" s="1018"/>
      <c r="AT102" s="1018"/>
      <c r="AU102" s="1018"/>
      <c r="AV102" s="1018"/>
      <c r="AW102" s="1018"/>
      <c r="AX102" s="1018"/>
      <c r="AY102" s="1018"/>
      <c r="AZ102" s="1018"/>
      <c r="BA102" s="1018"/>
      <c r="BB102" s="1018"/>
    </row>
    <row r="103" ht="26.25" customHeight="1" spans="3:54">
      <c r="C103" s="1018"/>
      <c r="M103" s="1103"/>
      <c r="N103" s="1103"/>
      <c r="P103" s="1018"/>
      <c r="Q103" s="1018"/>
      <c r="R103" s="1103"/>
      <c r="S103" s="1103"/>
      <c r="W103" s="1142"/>
      <c r="AF103" s="1018"/>
      <c r="AG103" s="1018"/>
      <c r="AN103" s="1018"/>
      <c r="AO103" s="1195"/>
      <c r="AP103" s="1018"/>
      <c r="AQ103" s="1018"/>
      <c r="AR103" s="1018"/>
      <c r="AS103" s="1018"/>
      <c r="AT103" s="1018"/>
      <c r="AU103" s="1018"/>
      <c r="AV103" s="1018"/>
      <c r="AW103" s="1018"/>
      <c r="AX103" s="1018"/>
      <c r="AY103" s="1018"/>
      <c r="AZ103" s="1018"/>
      <c r="BA103" s="1018"/>
      <c r="BB103" s="1018"/>
    </row>
    <row r="104" ht="26.25" customHeight="1" spans="3:54">
      <c r="C104" s="1018"/>
      <c r="M104" s="1103"/>
      <c r="N104" s="1103"/>
      <c r="P104" s="1018"/>
      <c r="Q104" s="1018"/>
      <c r="R104" s="1103"/>
      <c r="S104" s="1103"/>
      <c r="AF104" s="1018"/>
      <c r="AG104" s="1018"/>
      <c r="AN104" s="1018"/>
      <c r="AO104" s="1195"/>
      <c r="AP104" s="1018"/>
      <c r="AQ104" s="1018"/>
      <c r="AR104" s="1018"/>
      <c r="AS104" s="1018"/>
      <c r="AT104" s="1018"/>
      <c r="AU104" s="1018"/>
      <c r="AV104" s="1018"/>
      <c r="AW104" s="1018"/>
      <c r="AX104" s="1018"/>
      <c r="AY104" s="1018"/>
      <c r="AZ104" s="1018"/>
      <c r="BA104" s="1018"/>
      <c r="BB104" s="1018"/>
    </row>
    <row r="105" ht="26.25" customHeight="1" spans="3:54">
      <c r="C105" s="1018"/>
      <c r="M105" s="1103"/>
      <c r="N105" s="1103"/>
      <c r="P105" s="1018"/>
      <c r="Q105" s="1018"/>
      <c r="R105" s="1103"/>
      <c r="S105" s="1103"/>
      <c r="AF105" s="1018"/>
      <c r="AG105" s="1018"/>
      <c r="AN105" s="1018"/>
      <c r="AO105" s="1195"/>
      <c r="AP105" s="1018"/>
      <c r="AQ105" s="1018"/>
      <c r="AR105" s="1018"/>
      <c r="AS105" s="1018"/>
      <c r="AT105" s="1018"/>
      <c r="AU105" s="1018"/>
      <c r="AV105" s="1018"/>
      <c r="AW105" s="1018"/>
      <c r="AX105" s="1018"/>
      <c r="AY105" s="1018"/>
      <c r="AZ105" s="1018"/>
      <c r="BA105" s="1018"/>
      <c r="BB105" s="1018"/>
    </row>
    <row r="106" ht="26.25" customHeight="1" spans="3:54">
      <c r="C106" s="1018"/>
      <c r="M106" s="1103"/>
      <c r="N106" s="1103"/>
      <c r="P106" s="1018"/>
      <c r="Q106" s="1018"/>
      <c r="R106" s="1103"/>
      <c r="S106" s="1103"/>
      <c r="AF106" s="1018"/>
      <c r="AG106" s="1018"/>
      <c r="AN106" s="1018"/>
      <c r="AO106" s="1195"/>
      <c r="AP106" s="1018"/>
      <c r="AQ106" s="1018"/>
      <c r="AR106" s="1018"/>
      <c r="AS106" s="1018"/>
      <c r="AT106" s="1018"/>
      <c r="AU106" s="1018"/>
      <c r="AV106" s="1018"/>
      <c r="AW106" s="1018"/>
      <c r="AX106" s="1018"/>
      <c r="AY106" s="1018"/>
      <c r="AZ106" s="1018"/>
      <c r="BA106" s="1018"/>
      <c r="BB106" s="1018"/>
    </row>
    <row r="107" ht="26.25" customHeight="1" spans="3:33">
      <c r="C107" s="1018"/>
      <c r="M107" s="1103"/>
      <c r="N107" s="1103"/>
      <c r="P107" s="1018"/>
      <c r="Q107" s="1018"/>
      <c r="AF107" s="1018"/>
      <c r="AG107" s="1018"/>
    </row>
    <row r="108" ht="26.25" customHeight="1" spans="3:33">
      <c r="C108" s="1018"/>
      <c r="M108" s="1103"/>
      <c r="N108" s="1103"/>
      <c r="P108" s="1018"/>
      <c r="Q108" s="1018"/>
      <c r="AF108" s="1018"/>
      <c r="AG108" s="1018"/>
    </row>
    <row r="109" ht="26.25" customHeight="1" spans="3:33">
      <c r="C109" s="1018"/>
      <c r="M109" s="1103"/>
      <c r="N109" s="1103"/>
      <c r="P109" s="1018"/>
      <c r="Q109" s="1018"/>
      <c r="AF109" s="1018"/>
      <c r="AG109" s="1018"/>
    </row>
    <row r="110" ht="26.25" customHeight="1" spans="3:33">
      <c r="C110" s="1018"/>
      <c r="M110" s="1103"/>
      <c r="N110" s="1103"/>
      <c r="P110" s="1018"/>
      <c r="Q110" s="1018"/>
      <c r="AF110" s="1018"/>
      <c r="AG110" s="1018"/>
    </row>
    <row r="111" ht="26.25" customHeight="1" spans="3:33">
      <c r="C111" s="1018"/>
      <c r="M111" s="1103"/>
      <c r="N111" s="1103"/>
      <c r="P111" s="1018"/>
      <c r="Q111" s="1018"/>
      <c r="AF111" s="1018"/>
      <c r="AG111" s="1018"/>
    </row>
    <row r="112" ht="26.25" customHeight="1" spans="3:33">
      <c r="C112" s="1018"/>
      <c r="M112" s="1103"/>
      <c r="N112" s="1103"/>
      <c r="P112" s="1018"/>
      <c r="Q112" s="1018"/>
      <c r="AF112" s="1018"/>
      <c r="AG112" s="1018"/>
    </row>
    <row r="113" ht="26.25" customHeight="1" spans="3:33">
      <c r="C113" s="1018"/>
      <c r="M113" s="1103"/>
      <c r="N113" s="1103"/>
      <c r="P113" s="1018"/>
      <c r="Q113" s="1018"/>
      <c r="AF113" s="1018"/>
      <c r="AG113" s="1018"/>
    </row>
    <row r="114" ht="26.25" customHeight="1" spans="3:33">
      <c r="C114" s="1018"/>
      <c r="M114" s="1103"/>
      <c r="N114" s="1103"/>
      <c r="P114" s="1018"/>
      <c r="Q114" s="1018"/>
      <c r="AF114" s="1018"/>
      <c r="AG114" s="1018"/>
    </row>
    <row r="115" ht="26.25" customHeight="1" spans="3:33">
      <c r="C115" s="1018"/>
      <c r="M115" s="1103"/>
      <c r="N115" s="1103"/>
      <c r="P115" s="1018"/>
      <c r="Q115" s="1018"/>
      <c r="AF115" s="1018"/>
      <c r="AG115" s="1018"/>
    </row>
    <row r="116" ht="26.25" customHeight="1" spans="3:33">
      <c r="C116" s="1018"/>
      <c r="M116" s="1103"/>
      <c r="N116" s="1103"/>
      <c r="P116" s="1018"/>
      <c r="Q116" s="1018"/>
      <c r="AF116" s="1018"/>
      <c r="AG116" s="1018"/>
    </row>
    <row r="117" ht="26.25" customHeight="1" spans="3:33">
      <c r="C117" s="1018"/>
      <c r="M117" s="1103"/>
      <c r="N117" s="1103"/>
      <c r="P117" s="1018"/>
      <c r="Q117" s="1018"/>
      <c r="AF117" s="1018"/>
      <c r="AG117" s="1018"/>
    </row>
    <row r="118" ht="26.25" customHeight="1" spans="3:33">
      <c r="C118" s="1018"/>
      <c r="M118" s="1103"/>
      <c r="N118" s="1103"/>
      <c r="P118" s="1018"/>
      <c r="Q118" s="1018"/>
      <c r="AF118" s="1018"/>
      <c r="AG118" s="1018"/>
    </row>
    <row r="119" ht="26.25" customHeight="1" spans="14:33">
      <c r="N119" s="1103"/>
      <c r="P119" s="1018"/>
      <c r="AF119" s="1018"/>
      <c r="AG119" s="1018"/>
    </row>
    <row r="120" ht="26.25" customHeight="1" spans="14:33">
      <c r="N120" s="1103"/>
      <c r="P120" s="1018"/>
      <c r="AF120" s="1018"/>
      <c r="AG120" s="1018"/>
    </row>
    <row r="121" ht="26.25" customHeight="1" spans="14:33">
      <c r="N121" s="1103"/>
      <c r="P121" s="1018"/>
      <c r="AF121" s="1018"/>
      <c r="AG121" s="1018"/>
    </row>
    <row r="122" ht="26.25" customHeight="1" spans="14:33">
      <c r="N122" s="1103"/>
      <c r="P122" s="1018"/>
      <c r="AF122" s="1018"/>
      <c r="AG122" s="1018"/>
    </row>
    <row r="123" ht="26.25" customHeight="1" spans="14:33">
      <c r="N123" s="1103"/>
      <c r="P123" s="1018"/>
      <c r="AF123" s="1018"/>
      <c r="AG123" s="1018"/>
    </row>
    <row r="124" ht="26.25" customHeight="1" spans="14:33">
      <c r="N124" s="1103"/>
      <c r="P124" s="1018"/>
      <c r="AF124" s="1018"/>
      <c r="AG124" s="1018"/>
    </row>
    <row r="125" ht="26.25" customHeight="1" spans="14:33">
      <c r="N125" s="1103"/>
      <c r="P125" s="1018"/>
      <c r="AF125" s="1018"/>
      <c r="AG125" s="1018"/>
    </row>
    <row r="126" ht="26.25" customHeight="1" spans="14:33">
      <c r="N126" s="1103"/>
      <c r="P126" s="1018"/>
      <c r="AF126" s="1018"/>
      <c r="AG126" s="1018"/>
    </row>
    <row r="127" ht="26.25" customHeight="1" spans="14:33">
      <c r="N127" s="1103"/>
      <c r="P127" s="1018"/>
      <c r="AF127" s="1018"/>
      <c r="AG127" s="1018"/>
    </row>
    <row r="128" ht="26.25" customHeight="1" spans="14:33">
      <c r="N128" s="1103"/>
      <c r="P128" s="1018"/>
      <c r="AF128" s="1018"/>
      <c r="AG128" s="1018"/>
    </row>
    <row r="129" ht="26.25" customHeight="1" spans="14:33">
      <c r="N129" s="1103"/>
      <c r="P129" s="1018"/>
      <c r="AF129" s="1018"/>
      <c r="AG129" s="1018"/>
    </row>
    <row r="130" ht="26.25" customHeight="1" spans="14:33">
      <c r="N130" s="1103"/>
      <c r="P130" s="1018"/>
      <c r="AF130" s="1018"/>
      <c r="AG130" s="1018"/>
    </row>
    <row r="131" ht="26.25" customHeight="1" spans="14:33">
      <c r="N131" s="1103"/>
      <c r="P131" s="1018"/>
      <c r="AF131" s="1018"/>
      <c r="AG131" s="1018"/>
    </row>
    <row r="132" ht="26.25" customHeight="1" spans="14:33">
      <c r="N132" s="1103"/>
      <c r="P132" s="1018"/>
      <c r="AF132" s="1018"/>
      <c r="AG132" s="1018"/>
    </row>
    <row r="133" ht="26.25" customHeight="1" spans="14:33">
      <c r="N133" s="1103"/>
      <c r="P133" s="1018"/>
      <c r="AF133" s="1018"/>
      <c r="AG133" s="1018"/>
    </row>
    <row r="134" ht="26.25" customHeight="1" spans="14:33">
      <c r="N134" s="1103"/>
      <c r="P134" s="1018"/>
      <c r="AF134" s="1018"/>
      <c r="AG134" s="1018"/>
    </row>
    <row r="135" ht="26.25" customHeight="1" spans="14:33">
      <c r="N135" s="1103"/>
      <c r="P135" s="1018"/>
      <c r="AF135" s="1018"/>
      <c r="AG135" s="1018"/>
    </row>
    <row r="136" ht="26.25" customHeight="1" spans="14:33">
      <c r="N136" s="1103"/>
      <c r="P136" s="1018"/>
      <c r="AF136" s="1018"/>
      <c r="AG136" s="1018"/>
    </row>
    <row r="137" ht="26.25" customHeight="1" spans="14:33">
      <c r="N137" s="1103"/>
      <c r="P137" s="1018"/>
      <c r="AF137" s="1018"/>
      <c r="AG137" s="1018"/>
    </row>
    <row r="138" ht="26.25" customHeight="1" spans="14:33">
      <c r="N138" s="1103"/>
      <c r="P138" s="1018"/>
      <c r="AF138" s="1018"/>
      <c r="AG138" s="1018"/>
    </row>
    <row r="139" ht="26.25" customHeight="1" spans="14:33">
      <c r="N139" s="1103"/>
      <c r="P139" s="1018"/>
      <c r="AF139" s="1018"/>
      <c r="AG139" s="1018"/>
    </row>
    <row r="140" ht="26.25" customHeight="1" spans="14:33">
      <c r="N140" s="1103"/>
      <c r="P140" s="1018"/>
      <c r="AF140" s="1018"/>
      <c r="AG140" s="1018"/>
    </row>
    <row r="141" ht="26.25" customHeight="1" spans="14:33">
      <c r="N141" s="1103"/>
      <c r="P141" s="1018"/>
      <c r="AF141" s="1018"/>
      <c r="AG141" s="1018"/>
    </row>
    <row r="142" ht="26.25" customHeight="1" spans="14:33">
      <c r="N142" s="1103"/>
      <c r="P142" s="1018"/>
      <c r="AF142" s="1018"/>
      <c r="AG142" s="1018"/>
    </row>
    <row r="143" ht="26.25" customHeight="1" spans="14:33">
      <c r="N143" s="1103"/>
      <c r="P143" s="1018"/>
      <c r="AF143" s="1018"/>
      <c r="AG143" s="1018"/>
    </row>
    <row r="144" ht="26.25" customHeight="1" spans="14:33">
      <c r="N144" s="1103"/>
      <c r="P144" s="1018"/>
      <c r="AF144" s="1018"/>
      <c r="AG144" s="1018"/>
    </row>
    <row r="145" ht="26.25" customHeight="1" spans="14:33">
      <c r="N145" s="1103"/>
      <c r="P145" s="1018"/>
      <c r="AF145" s="1018"/>
      <c r="AG145" s="1018"/>
    </row>
    <row r="146" ht="26.25" customHeight="1" spans="14:33">
      <c r="N146" s="1103"/>
      <c r="P146" s="1018"/>
      <c r="AF146" s="1018"/>
      <c r="AG146" s="1018"/>
    </row>
    <row r="147" ht="26.25" customHeight="1" spans="14:33">
      <c r="N147" s="1103"/>
      <c r="P147" s="1018"/>
      <c r="AF147" s="1018"/>
      <c r="AG147" s="1018"/>
    </row>
    <row r="148" ht="26.25" customHeight="1" spans="14:33">
      <c r="N148" s="1103"/>
      <c r="P148" s="1018"/>
      <c r="AF148" s="1018"/>
      <c r="AG148" s="1018"/>
    </row>
    <row r="149" ht="26.25" customHeight="1" spans="14:33">
      <c r="N149" s="1103"/>
      <c r="P149" s="1018"/>
      <c r="AF149" s="1018"/>
      <c r="AG149" s="1018"/>
    </row>
    <row r="150" ht="26.25" customHeight="1" spans="14:33">
      <c r="N150" s="1103"/>
      <c r="P150" s="1018"/>
      <c r="AF150" s="1018"/>
      <c r="AG150" s="1018"/>
    </row>
    <row r="151" ht="26.25" customHeight="1" spans="14:33">
      <c r="N151" s="1103"/>
      <c r="P151" s="1018"/>
      <c r="AF151" s="1018"/>
      <c r="AG151" s="1018"/>
    </row>
    <row r="152" ht="26.25" customHeight="1" spans="14:33">
      <c r="N152" s="1103"/>
      <c r="P152" s="1018"/>
      <c r="AF152" s="1018"/>
      <c r="AG152" s="1018"/>
    </row>
    <row r="153" ht="26.25" customHeight="1" spans="14:33">
      <c r="N153" s="1103"/>
      <c r="P153" s="1018"/>
      <c r="AF153" s="1018"/>
      <c r="AG153" s="1018"/>
    </row>
    <row r="154" ht="26.25" customHeight="1" spans="14:33">
      <c r="N154" s="1103"/>
      <c r="P154" s="1018"/>
      <c r="AF154" s="1018"/>
      <c r="AG154" s="1018"/>
    </row>
    <row r="155" ht="26.25" customHeight="1" spans="14:33">
      <c r="N155" s="1103"/>
      <c r="P155" s="1018"/>
      <c r="AF155" s="1018"/>
      <c r="AG155" s="1018"/>
    </row>
    <row r="156" ht="26.25" customHeight="1" spans="14:33">
      <c r="N156" s="1103"/>
      <c r="P156" s="1018"/>
      <c r="AF156" s="1018"/>
      <c r="AG156" s="1018"/>
    </row>
    <row r="157" ht="26.25" customHeight="1" spans="14:33">
      <c r="N157" s="1103"/>
      <c r="P157" s="1018"/>
      <c r="AF157" s="1018"/>
      <c r="AG157" s="1018"/>
    </row>
    <row r="158" ht="26.25" customHeight="1" spans="14:33">
      <c r="N158" s="1103"/>
      <c r="P158" s="1018"/>
      <c r="AF158" s="1018"/>
      <c r="AG158" s="1018"/>
    </row>
    <row r="159" ht="26.25" customHeight="1" spans="14:33">
      <c r="N159" s="1103"/>
      <c r="P159" s="1018"/>
      <c r="AF159" s="1018"/>
      <c r="AG159" s="1018"/>
    </row>
    <row r="160" ht="26.25" customHeight="1" spans="14:33">
      <c r="N160" s="1103"/>
      <c r="P160" s="1018"/>
      <c r="AF160" s="1018"/>
      <c r="AG160" s="1018"/>
    </row>
    <row r="161" ht="26.25" customHeight="1" spans="14:33">
      <c r="N161" s="1103"/>
      <c r="P161" s="1018"/>
      <c r="AF161" s="1018"/>
      <c r="AG161" s="1018"/>
    </row>
    <row r="162" ht="26.25" customHeight="1" spans="14:33">
      <c r="N162" s="1103"/>
      <c r="P162" s="1018"/>
      <c r="AF162" s="1018"/>
      <c r="AG162" s="1018"/>
    </row>
    <row r="163" ht="26.25" customHeight="1" spans="14:33">
      <c r="N163" s="1103"/>
      <c r="P163" s="1018"/>
      <c r="AF163" s="1018"/>
      <c r="AG163" s="1018"/>
    </row>
    <row r="164" ht="26.25" customHeight="1" spans="14:33">
      <c r="N164" s="1103"/>
      <c r="P164" s="1018"/>
      <c r="AF164" s="1018"/>
      <c r="AG164" s="1018"/>
    </row>
    <row r="165" ht="26.25" customHeight="1" spans="14:33">
      <c r="N165" s="1103"/>
      <c r="P165" s="1018"/>
      <c r="AF165" s="1018"/>
      <c r="AG165" s="1018"/>
    </row>
    <row r="166" ht="26.25" customHeight="1" spans="14:33">
      <c r="N166" s="1103"/>
      <c r="P166" s="1018"/>
      <c r="AF166" s="1018"/>
      <c r="AG166" s="1018"/>
    </row>
    <row r="167" ht="26.25" customHeight="1" spans="14:33">
      <c r="N167" s="1103"/>
      <c r="P167" s="1018"/>
      <c r="AF167" s="1018"/>
      <c r="AG167" s="1018"/>
    </row>
    <row r="168" ht="26.25" customHeight="1" spans="14:33">
      <c r="N168" s="1103"/>
      <c r="P168" s="1018"/>
      <c r="AF168" s="1018"/>
      <c r="AG168" s="1018"/>
    </row>
    <row r="169" ht="26.25" customHeight="1" spans="14:33">
      <c r="N169" s="1103"/>
      <c r="P169" s="1018"/>
      <c r="AF169" s="1018"/>
      <c r="AG169" s="1018"/>
    </row>
    <row r="170" ht="26.25" customHeight="1" spans="14:33">
      <c r="N170" s="1103"/>
      <c r="P170" s="1018"/>
      <c r="AF170" s="1018"/>
      <c r="AG170" s="1018"/>
    </row>
    <row r="171" ht="26.25" customHeight="1" spans="14:33">
      <c r="N171" s="1103"/>
      <c r="P171" s="1018"/>
      <c r="AF171" s="1018"/>
      <c r="AG171" s="1018"/>
    </row>
    <row r="172" ht="26.25" customHeight="1" spans="14:33">
      <c r="N172" s="1103"/>
      <c r="P172" s="1018"/>
      <c r="AF172" s="1018"/>
      <c r="AG172" s="1018"/>
    </row>
    <row r="173" ht="26.25" customHeight="1" spans="14:33">
      <c r="N173" s="1103"/>
      <c r="P173" s="1018"/>
      <c r="AF173" s="1018"/>
      <c r="AG173" s="1018"/>
    </row>
    <row r="174" ht="26.25" customHeight="1" spans="14:33">
      <c r="N174" s="1103"/>
      <c r="P174" s="1018"/>
      <c r="AF174" s="1018"/>
      <c r="AG174" s="1018"/>
    </row>
    <row r="175" ht="26.25" customHeight="1" spans="14:33">
      <c r="N175" s="1103"/>
      <c r="P175" s="1018"/>
      <c r="AF175" s="1018"/>
      <c r="AG175" s="1018"/>
    </row>
    <row r="176" ht="26.25" customHeight="1" spans="14:33">
      <c r="N176" s="1103"/>
      <c r="P176" s="1018"/>
      <c r="AF176" s="1018"/>
      <c r="AG176" s="1018"/>
    </row>
    <row r="177" ht="26.25" customHeight="1" spans="14:33">
      <c r="N177" s="1103"/>
      <c r="P177" s="1018"/>
      <c r="AF177" s="1018"/>
      <c r="AG177" s="1018"/>
    </row>
    <row r="178" ht="26.25" customHeight="1" spans="14:33">
      <c r="N178" s="1103"/>
      <c r="P178" s="1018"/>
      <c r="AF178" s="1018"/>
      <c r="AG178" s="1018"/>
    </row>
    <row r="179" ht="26.25" customHeight="1" spans="14:33">
      <c r="N179" s="1103"/>
      <c r="P179" s="1018"/>
      <c r="AF179" s="1018"/>
      <c r="AG179" s="1018"/>
    </row>
    <row r="180" ht="26.25" customHeight="1" spans="14:33">
      <c r="N180" s="1103"/>
      <c r="P180" s="1018"/>
      <c r="AF180" s="1018"/>
      <c r="AG180" s="1018"/>
    </row>
    <row r="181" ht="26.25" customHeight="1" spans="14:33">
      <c r="N181" s="1103"/>
      <c r="P181" s="1018"/>
      <c r="AF181" s="1018"/>
      <c r="AG181" s="1018"/>
    </row>
    <row r="182" ht="26.25" customHeight="1" spans="14:33">
      <c r="N182" s="1103"/>
      <c r="P182" s="1018"/>
      <c r="AF182" s="1018"/>
      <c r="AG182" s="1018"/>
    </row>
    <row r="183" ht="26.25" customHeight="1" spans="14:33">
      <c r="N183" s="1103"/>
      <c r="P183" s="1018"/>
      <c r="AF183" s="1018"/>
      <c r="AG183" s="1018"/>
    </row>
    <row r="184" ht="26.25" customHeight="1" spans="14:33">
      <c r="N184" s="1103"/>
      <c r="P184" s="1018"/>
      <c r="AF184" s="1018"/>
      <c r="AG184" s="1018"/>
    </row>
    <row r="185" ht="26.25" customHeight="1" spans="14:33">
      <c r="N185" s="1103"/>
      <c r="P185" s="1018"/>
      <c r="AF185" s="1018"/>
      <c r="AG185" s="1018"/>
    </row>
    <row r="186" ht="26.25" customHeight="1" spans="14:33">
      <c r="N186" s="1103"/>
      <c r="P186" s="1018"/>
      <c r="AF186" s="1018"/>
      <c r="AG186" s="1018"/>
    </row>
    <row r="187" ht="26.25" customHeight="1" spans="14:33">
      <c r="N187" s="1103"/>
      <c r="P187" s="1018"/>
      <c r="AF187" s="1018"/>
      <c r="AG187" s="1018"/>
    </row>
    <row r="188" ht="26.25" customHeight="1" spans="14:33">
      <c r="N188" s="1103"/>
      <c r="P188" s="1018"/>
      <c r="AF188" s="1018"/>
      <c r="AG188" s="1018"/>
    </row>
    <row r="189" ht="26.25" customHeight="1" spans="14:33">
      <c r="N189" s="1103"/>
      <c r="P189" s="1018"/>
      <c r="AF189" s="1018"/>
      <c r="AG189" s="1018"/>
    </row>
    <row r="190" ht="26.25" customHeight="1" spans="14:33">
      <c r="N190" s="1103"/>
      <c r="P190" s="1018"/>
      <c r="AF190" s="1018"/>
      <c r="AG190" s="1018"/>
    </row>
    <row r="191" ht="26.25" customHeight="1" spans="14:33">
      <c r="N191" s="1103"/>
      <c r="P191" s="1018"/>
      <c r="AF191" s="1018"/>
      <c r="AG191" s="1018"/>
    </row>
    <row r="192" ht="26.25" customHeight="1" spans="14:33">
      <c r="N192" s="1103"/>
      <c r="P192" s="1018"/>
      <c r="AF192" s="1018"/>
      <c r="AG192" s="1018"/>
    </row>
    <row r="193" ht="26.25" customHeight="1" spans="14:33">
      <c r="N193" s="1103"/>
      <c r="P193" s="1018"/>
      <c r="AF193" s="1018"/>
      <c r="AG193" s="1018"/>
    </row>
    <row r="194" ht="26.25" customHeight="1" spans="14:33">
      <c r="N194" s="1103"/>
      <c r="P194" s="1018"/>
      <c r="AF194" s="1018"/>
      <c r="AG194" s="1018"/>
    </row>
    <row r="195" ht="26.25" customHeight="1" spans="14:33">
      <c r="N195" s="1103"/>
      <c r="P195" s="1018"/>
      <c r="AF195" s="1018"/>
      <c r="AG195" s="1018"/>
    </row>
    <row r="196" ht="26.25" customHeight="1" spans="14:33">
      <c r="N196" s="1103"/>
      <c r="P196" s="1018"/>
      <c r="AF196" s="1018"/>
      <c r="AG196" s="1018"/>
    </row>
    <row r="197" ht="26.25" customHeight="1" spans="14:33">
      <c r="N197" s="1103"/>
      <c r="P197" s="1018"/>
      <c r="AF197" s="1018"/>
      <c r="AG197" s="1018"/>
    </row>
    <row r="198" ht="26.25" customHeight="1" spans="14:33">
      <c r="N198" s="1103"/>
      <c r="P198" s="1018"/>
      <c r="AF198" s="1018"/>
      <c r="AG198" s="1018"/>
    </row>
    <row r="199" ht="26.25" customHeight="1" spans="14:33">
      <c r="N199" s="1103"/>
      <c r="P199" s="1018"/>
      <c r="AF199" s="1018"/>
      <c r="AG199" s="1018"/>
    </row>
    <row r="200" ht="26.25" customHeight="1" spans="14:33">
      <c r="N200" s="1103"/>
      <c r="P200" s="1018"/>
      <c r="AF200" s="1018"/>
      <c r="AG200" s="1018"/>
    </row>
    <row r="201" ht="26.25" customHeight="1" spans="14:33">
      <c r="N201" s="1103"/>
      <c r="P201" s="1018"/>
      <c r="AF201" s="1018"/>
      <c r="AG201" s="1018"/>
    </row>
    <row r="202" ht="26.25" customHeight="1" spans="14:33">
      <c r="N202" s="1103"/>
      <c r="P202" s="1018"/>
      <c r="AF202" s="1018"/>
      <c r="AG202" s="1018"/>
    </row>
    <row r="203" ht="26.25" customHeight="1" spans="14:33">
      <c r="N203" s="1103"/>
      <c r="P203" s="1018"/>
      <c r="AF203" s="1018"/>
      <c r="AG203" s="1018"/>
    </row>
    <row r="204" ht="26.25" customHeight="1" spans="14:33">
      <c r="N204" s="1103"/>
      <c r="P204" s="1018"/>
      <c r="AF204" s="1018"/>
      <c r="AG204" s="1018"/>
    </row>
    <row r="205" ht="26.25" customHeight="1" spans="14:33">
      <c r="N205" s="1103"/>
      <c r="P205" s="1018"/>
      <c r="AF205" s="1018"/>
      <c r="AG205" s="1018"/>
    </row>
    <row r="206" ht="26.25" customHeight="1" spans="14:33">
      <c r="N206" s="1103"/>
      <c r="P206" s="1018"/>
      <c r="AF206" s="1018"/>
      <c r="AG206" s="1018"/>
    </row>
    <row r="207" ht="26.25" customHeight="1" spans="14:33">
      <c r="N207" s="1103"/>
      <c r="P207" s="1018"/>
      <c r="AF207" s="1018"/>
      <c r="AG207" s="1018"/>
    </row>
    <row r="208" ht="26.25" customHeight="1" spans="14:33">
      <c r="N208" s="1103"/>
      <c r="P208" s="1018"/>
      <c r="AF208" s="1018"/>
      <c r="AG208" s="1018"/>
    </row>
    <row r="209" ht="26.25" customHeight="1" spans="14:33">
      <c r="N209" s="1103"/>
      <c r="P209" s="1018"/>
      <c r="AF209" s="1018"/>
      <c r="AG209" s="1018"/>
    </row>
    <row r="210" ht="26.25" customHeight="1" spans="14:33">
      <c r="N210" s="1103"/>
      <c r="P210" s="1018"/>
      <c r="AF210" s="1018"/>
      <c r="AG210" s="1018"/>
    </row>
    <row r="211" ht="26.25" customHeight="1" spans="14:33">
      <c r="N211" s="1103"/>
      <c r="P211" s="1018"/>
      <c r="AF211" s="1018"/>
      <c r="AG211" s="1018"/>
    </row>
    <row r="212" ht="26.25" customHeight="1" spans="14:33">
      <c r="N212" s="1103"/>
      <c r="P212" s="1018"/>
      <c r="AF212" s="1018"/>
      <c r="AG212" s="1018"/>
    </row>
    <row r="213" ht="26.25" customHeight="1" spans="14:33">
      <c r="N213" s="1103"/>
      <c r="P213" s="1018"/>
      <c r="AF213" s="1018"/>
      <c r="AG213" s="1018"/>
    </row>
    <row r="214" ht="26.25" customHeight="1" spans="14:33">
      <c r="N214" s="1103"/>
      <c r="P214" s="1018"/>
      <c r="AF214" s="1018"/>
      <c r="AG214" s="1018"/>
    </row>
    <row r="215" ht="26.25" customHeight="1" spans="14:33">
      <c r="N215" s="1103"/>
      <c r="P215" s="1018"/>
      <c r="AF215" s="1018"/>
      <c r="AG215" s="1018"/>
    </row>
    <row r="216" ht="26.25" customHeight="1" spans="14:33">
      <c r="N216" s="1103"/>
      <c r="P216" s="1018"/>
      <c r="AF216" s="1018"/>
      <c r="AG216" s="1018"/>
    </row>
    <row r="217" ht="26.25" customHeight="1" spans="14:33">
      <c r="N217" s="1103"/>
      <c r="P217" s="1018"/>
      <c r="AF217" s="1018"/>
      <c r="AG217" s="1018"/>
    </row>
    <row r="218" ht="26.25" customHeight="1" spans="14:33">
      <c r="N218" s="1103"/>
      <c r="P218" s="1018"/>
      <c r="AF218" s="1018"/>
      <c r="AG218" s="1018"/>
    </row>
    <row r="219" ht="26.25" customHeight="1" spans="14:33">
      <c r="N219" s="1103"/>
      <c r="P219" s="1018"/>
      <c r="AF219" s="1018"/>
      <c r="AG219" s="1018"/>
    </row>
    <row r="220" ht="26.25" customHeight="1" spans="14:33">
      <c r="N220" s="1103"/>
      <c r="P220" s="1018"/>
      <c r="AF220" s="1018"/>
      <c r="AG220" s="1018"/>
    </row>
    <row r="221" ht="26.25" customHeight="1" spans="14:33">
      <c r="N221" s="1103"/>
      <c r="P221" s="1018"/>
      <c r="AF221" s="1018"/>
      <c r="AG221" s="1018"/>
    </row>
    <row r="222" ht="26.25" customHeight="1" spans="14:33">
      <c r="N222" s="1103"/>
      <c r="P222" s="1018"/>
      <c r="AF222" s="1018"/>
      <c r="AG222" s="1018"/>
    </row>
    <row r="223" ht="26.25" customHeight="1" spans="14:33">
      <c r="N223" s="1103"/>
      <c r="P223" s="1018"/>
      <c r="AF223" s="1018"/>
      <c r="AG223" s="1018"/>
    </row>
    <row r="224" ht="26.25" customHeight="1" spans="14:33">
      <c r="N224" s="1103"/>
      <c r="P224" s="1018"/>
      <c r="AF224" s="1018"/>
      <c r="AG224" s="1018"/>
    </row>
    <row r="225" ht="26.25" customHeight="1" spans="14:33">
      <c r="N225" s="1103"/>
      <c r="P225" s="1018"/>
      <c r="AF225" s="1018"/>
      <c r="AG225" s="1018"/>
    </row>
    <row r="226" ht="26.25" customHeight="1" spans="14:33">
      <c r="N226" s="1103"/>
      <c r="P226" s="1018"/>
      <c r="AF226" s="1018"/>
      <c r="AG226" s="1018"/>
    </row>
    <row r="227" ht="26.25" customHeight="1" spans="14:33">
      <c r="N227" s="1103"/>
      <c r="P227" s="1018"/>
      <c r="AF227" s="1018"/>
      <c r="AG227" s="1018"/>
    </row>
    <row r="228" ht="26.25" customHeight="1" spans="14:33">
      <c r="N228" s="1103"/>
      <c r="P228" s="1018"/>
      <c r="AF228" s="1018"/>
      <c r="AG228" s="1018"/>
    </row>
    <row r="229" ht="26.25" customHeight="1" spans="14:33">
      <c r="N229" s="1103"/>
      <c r="P229" s="1018"/>
      <c r="AF229" s="1018"/>
      <c r="AG229" s="1018"/>
    </row>
    <row r="230" ht="26.25" customHeight="1" spans="14:33">
      <c r="N230" s="1103"/>
      <c r="P230" s="1018"/>
      <c r="AF230" s="1018"/>
      <c r="AG230" s="1018"/>
    </row>
    <row r="231" ht="26.25" customHeight="1" spans="14:33">
      <c r="N231" s="1103"/>
      <c r="P231" s="1018"/>
      <c r="AF231" s="1018"/>
      <c r="AG231" s="1018"/>
    </row>
    <row r="232" ht="26.25" customHeight="1" spans="14:33">
      <c r="N232" s="1103"/>
      <c r="P232" s="1018"/>
      <c r="AF232" s="1018"/>
      <c r="AG232" s="1018"/>
    </row>
    <row r="233" ht="26.25" customHeight="1" spans="14:33">
      <c r="N233" s="1103"/>
      <c r="P233" s="1018"/>
      <c r="AF233" s="1018"/>
      <c r="AG233" s="1018"/>
    </row>
    <row r="234" ht="26.25" customHeight="1" spans="14:33">
      <c r="N234" s="1103"/>
      <c r="P234" s="1018"/>
      <c r="AF234" s="1018"/>
      <c r="AG234" s="1018"/>
    </row>
    <row r="235" ht="26.25" customHeight="1" spans="14:33">
      <c r="N235" s="1103"/>
      <c r="P235" s="1018"/>
      <c r="AF235" s="1018"/>
      <c r="AG235" s="1018"/>
    </row>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sheetData>
  <sheetProtection selectLockedCells="1" autoFilter="0"/>
  <autoFilter xmlns:etc="http://www.wps.cn/officeDocument/2017/etCustomData" ref="A2:CF62" etc:filterBottomFollowUsedRange="0">
    <extLst/>
  </autoFilter>
  <sortState ref="AE2:AE267">
    <sortCondition ref="AE267"/>
  </sortState>
  <mergeCells count="5">
    <mergeCell ref="AN1:AT1"/>
    <mergeCell ref="AU1:AY1"/>
    <mergeCell ref="BB1:BG1"/>
    <mergeCell ref="BK1:BL1"/>
    <mergeCell ref="BW1:BX1"/>
  </mergeCells>
  <conditionalFormatting sqref="R3">
    <cfRule type="cellIs" dxfId="0" priority="942" operator="equal">
      <formula>"欠"</formula>
    </cfRule>
  </conditionalFormatting>
  <conditionalFormatting sqref="S3">
    <cfRule type="cellIs" dxfId="0" priority="955" operator="equal">
      <formula>"欠"</formula>
    </cfRule>
    <cfRule type="containsText" dxfId="1" priority="956" operator="between" text="欠">
      <formula>NOT(ISERROR(SEARCH("欠",S3)))</formula>
    </cfRule>
  </conditionalFormatting>
  <conditionalFormatting sqref="T3">
    <cfRule type="cellIs" dxfId="0" priority="959" operator="equal">
      <formula>"欠"</formula>
    </cfRule>
    <cfRule type="containsText" dxfId="1" priority="960" operator="between" text="欠">
      <formula>NOT(ISERROR(SEARCH("欠",T3)))</formula>
    </cfRule>
  </conditionalFormatting>
  <conditionalFormatting sqref="R4">
    <cfRule type="containsText" dxfId="1" priority="240" operator="between" text="欠">
      <formula>NOT(ISERROR(SEARCH("欠",R4)))</formula>
    </cfRule>
    <cfRule type="cellIs" dxfId="0" priority="241" operator="equal">
      <formula>"欠"</formula>
    </cfRule>
  </conditionalFormatting>
  <conditionalFormatting sqref="S4">
    <cfRule type="containsText" dxfId="1" priority="463" operator="between" text="欠">
      <formula>NOT(ISERROR(SEARCH("欠",S4)))</formula>
    </cfRule>
    <cfRule type="cellIs" dxfId="0" priority="464" operator="equal">
      <formula>"欠"</formula>
    </cfRule>
  </conditionalFormatting>
  <conditionalFormatting sqref="T4">
    <cfRule type="cellIs" dxfId="0" priority="145" operator="equal">
      <formula>"欠"</formula>
    </cfRule>
    <cfRule type="containsText" dxfId="1" priority="146" operator="between" text="欠">
      <formula>NOT(ISERROR(SEARCH("欠",T4)))</formula>
    </cfRule>
  </conditionalFormatting>
  <conditionalFormatting sqref="S7">
    <cfRule type="cellIs" dxfId="0" priority="129" operator="equal">
      <formula>"欠"</formula>
    </cfRule>
    <cfRule type="containsText" dxfId="1" priority="130" operator="between" text="欠">
      <formula>NOT(ISERROR(SEARCH("欠",S7)))</formula>
    </cfRule>
  </conditionalFormatting>
  <conditionalFormatting sqref="R9">
    <cfRule type="containsText" dxfId="1" priority="109" operator="between" text="欠">
      <formula>NOT(ISERROR(SEARCH("欠",R9)))</formula>
    </cfRule>
    <cfRule type="cellIs" dxfId="0" priority="110" operator="equal">
      <formula>"欠"</formula>
    </cfRule>
  </conditionalFormatting>
  <conditionalFormatting sqref="S9:T9">
    <cfRule type="containsText" dxfId="1" priority="108" operator="between" text="欠">
      <formula>NOT(ISERROR(SEARCH("欠",S9)))</formula>
    </cfRule>
  </conditionalFormatting>
  <conditionalFormatting sqref="S9">
    <cfRule type="cellIs" dxfId="0" priority="107" operator="equal">
      <formula>"欠"</formula>
    </cfRule>
  </conditionalFormatting>
  <conditionalFormatting sqref="T9">
    <cfRule type="cellIs" dxfId="0" priority="106" operator="equal">
      <formula>"欠"</formula>
    </cfRule>
  </conditionalFormatting>
  <conditionalFormatting sqref="R29">
    <cfRule type="cellIs" dxfId="0" priority="2" operator="equal">
      <formula>"欠"</formula>
    </cfRule>
    <cfRule type="containsText" dxfId="1" priority="1" operator="between" text="欠">
      <formula>NOT(ISERROR(SEARCH("欠",R29)))</formula>
    </cfRule>
  </conditionalFormatting>
  <conditionalFormatting sqref="S29">
    <cfRule type="containsText" dxfId="1" priority="6" operator="between" text="欠">
      <formula>NOT(ISERROR(SEARCH("欠",S29)))</formula>
    </cfRule>
    <cfRule type="cellIs" dxfId="0" priority="5" operator="equal">
      <formula>"欠"</formula>
    </cfRule>
  </conditionalFormatting>
  <conditionalFormatting sqref="T29">
    <cfRule type="containsText" dxfId="1" priority="4" operator="between" text="欠">
      <formula>NOT(ISERROR(SEARCH("欠",T29)))</formula>
    </cfRule>
    <cfRule type="cellIs" dxfId="0" priority="3" operator="equal">
      <formula>"欠"</formula>
    </cfRule>
  </conditionalFormatting>
  <conditionalFormatting sqref="CE29">
    <cfRule type="cellIs" dxfId="0" priority="7" operator="lessThan">
      <formula>0</formula>
    </cfRule>
  </conditionalFormatting>
  <conditionalFormatting sqref="CE30">
    <cfRule type="cellIs" dxfId="0" priority="56" operator="lessThan">
      <formula>0</formula>
    </cfRule>
  </conditionalFormatting>
  <conditionalFormatting sqref="CE31">
    <cfRule type="cellIs" dxfId="0" priority="55" operator="lessThan">
      <formula>0</formula>
    </cfRule>
  </conditionalFormatting>
  <conditionalFormatting sqref="CE32">
    <cfRule type="cellIs" dxfId="0" priority="54" operator="lessThan">
      <formula>0</formula>
    </cfRule>
  </conditionalFormatting>
  <conditionalFormatting sqref="CE33">
    <cfRule type="cellIs" dxfId="0" priority="53" operator="lessThan">
      <formula>0</formula>
    </cfRule>
  </conditionalFormatting>
  <conditionalFormatting sqref="CE34">
    <cfRule type="cellIs" dxfId="0" priority="52" operator="lessThan">
      <formula>0</formula>
    </cfRule>
  </conditionalFormatting>
  <conditionalFormatting sqref="CE35">
    <cfRule type="cellIs" dxfId="0" priority="51" operator="lessThan">
      <formula>0</formula>
    </cfRule>
  </conditionalFormatting>
  <conditionalFormatting sqref="R55:T55">
    <cfRule type="cellIs" dxfId="0" priority="1867" operator="equal">
      <formula>"欠"</formula>
    </cfRule>
  </conditionalFormatting>
  <conditionalFormatting sqref="R5:R6">
    <cfRule type="containsText" dxfId="1" priority="149" operator="between" text="欠">
      <formula>NOT(ISERROR(SEARCH("欠",R5)))</formula>
    </cfRule>
    <cfRule type="cellIs" dxfId="0" priority="150" operator="equal">
      <formula>"欠"</formula>
    </cfRule>
  </conditionalFormatting>
  <conditionalFormatting sqref="R12:R18">
    <cfRule type="containsText" dxfId="1" priority="114" operator="between" text="欠">
      <formula>NOT(ISERROR(SEARCH("欠",R12)))</formula>
    </cfRule>
    <cfRule type="cellIs" dxfId="0" priority="115" operator="equal">
      <formula>"欠"</formula>
    </cfRule>
  </conditionalFormatting>
  <conditionalFormatting sqref="R21:R28">
    <cfRule type="containsText" dxfId="1" priority="63" operator="between" text="欠">
      <formula>NOT(ISERROR(SEARCH("欠",R21)))</formula>
    </cfRule>
    <cfRule type="cellIs" dxfId="0" priority="70" operator="equal">
      <formula>"欠"</formula>
    </cfRule>
  </conditionalFormatting>
  <conditionalFormatting sqref="R30:R50">
    <cfRule type="containsText" dxfId="1" priority="42" operator="between" text="欠">
      <formula>NOT(ISERROR(SEARCH("欠",R30)))</formula>
    </cfRule>
    <cfRule type="cellIs" dxfId="0" priority="49" operator="equal">
      <formula>"欠"</formula>
    </cfRule>
  </conditionalFormatting>
  <conditionalFormatting sqref="R51:R54">
    <cfRule type="containsText" dxfId="1" priority="285" operator="between" text="欠">
      <formula>NOT(ISERROR(SEARCH("欠",R51)))</formula>
    </cfRule>
    <cfRule type="cellIs" dxfId="0" priority="286" operator="equal">
      <formula>"欠"</formula>
    </cfRule>
  </conditionalFormatting>
  <conditionalFormatting sqref="S5:S6">
    <cfRule type="cellIs" dxfId="0" priority="151" operator="equal">
      <formula>"欠"</formula>
    </cfRule>
    <cfRule type="containsText" dxfId="1" priority="152" operator="between" text="欠">
      <formula>NOT(ISERROR(SEARCH("欠",S5)))</formula>
    </cfRule>
  </conditionalFormatting>
  <conditionalFormatting sqref="S12:S18">
    <cfRule type="containsText" dxfId="1" priority="116" operator="between" text="欠">
      <formula>NOT(ISERROR(SEARCH("欠",S12)))</formula>
    </cfRule>
    <cfRule type="cellIs" dxfId="0" priority="117" operator="equal">
      <formula>"欠"</formula>
    </cfRule>
  </conditionalFormatting>
  <conditionalFormatting sqref="S30:S50">
    <cfRule type="cellIs" dxfId="0" priority="28" operator="equal">
      <formula>"欠"</formula>
    </cfRule>
    <cfRule type="containsText" dxfId="1" priority="35" operator="between" text="欠">
      <formula>NOT(ISERROR(SEARCH("欠",S30)))</formula>
    </cfRule>
  </conditionalFormatting>
  <conditionalFormatting sqref="S51:S54">
    <cfRule type="cellIs" dxfId="0" priority="283" operator="equal">
      <formula>"欠"</formula>
    </cfRule>
  </conditionalFormatting>
  <conditionalFormatting sqref="T5:T6">
    <cfRule type="cellIs" dxfId="0" priority="147" operator="equal">
      <formula>"欠"</formula>
    </cfRule>
    <cfRule type="containsText" dxfId="1" priority="148" operator="between" text="欠">
      <formula>NOT(ISERROR(SEARCH("欠",T5)))</formula>
    </cfRule>
  </conditionalFormatting>
  <conditionalFormatting sqref="T7:T8">
    <cfRule type="cellIs" dxfId="0" priority="125" operator="equal">
      <formula>"欠"</formula>
    </cfRule>
    <cfRule type="containsText" dxfId="1" priority="126" operator="between" text="欠">
      <formula>NOT(ISERROR(SEARCH("欠",T7)))</formula>
    </cfRule>
  </conditionalFormatting>
  <conditionalFormatting sqref="T10:T11">
    <cfRule type="cellIs" dxfId="0" priority="112" operator="equal">
      <formula>"欠"</formula>
    </cfRule>
    <cfRule type="containsText" dxfId="1" priority="113" operator="between" text="欠">
      <formula>NOT(ISERROR(SEARCH("欠",T10)))</formula>
    </cfRule>
  </conditionalFormatting>
  <conditionalFormatting sqref="T12:T18">
    <cfRule type="cellIs" dxfId="0" priority="120" operator="equal">
      <formula>"欠"</formula>
    </cfRule>
    <cfRule type="containsText" dxfId="1" priority="121" operator="between" text="欠">
      <formula>NOT(ISERROR(SEARCH("欠",T12)))</formula>
    </cfRule>
  </conditionalFormatting>
  <conditionalFormatting sqref="T21:T28">
    <cfRule type="cellIs" dxfId="0" priority="91" operator="equal">
      <formula>"欠"</formula>
    </cfRule>
    <cfRule type="containsText" dxfId="1" priority="98" operator="between" text="欠">
      <formula>NOT(ISERROR(SEARCH("欠",T21)))</formula>
    </cfRule>
  </conditionalFormatting>
  <conditionalFormatting sqref="T30:T50">
    <cfRule type="cellIs" dxfId="0" priority="14" operator="equal">
      <formula>"欠"</formula>
    </cfRule>
    <cfRule type="containsText" dxfId="1" priority="21" operator="between" text="欠">
      <formula>NOT(ISERROR(SEARCH("欠",T30)))</formula>
    </cfRule>
  </conditionalFormatting>
  <conditionalFormatting sqref="T51:T54">
    <cfRule type="cellIs" dxfId="0" priority="282" operator="equal">
      <formula>"欠"</formula>
    </cfRule>
  </conditionalFormatting>
  <conditionalFormatting sqref="CE36:CE50">
    <cfRule type="cellIs" dxfId="0" priority="50" operator="lessThan">
      <formula>0</formula>
    </cfRule>
  </conditionalFormatting>
  <conditionalFormatting sqref="R1:T2 R79:T65372 R56:T66 R68:T70">
    <cfRule type="cellIs" dxfId="0" priority="2157" operator="equal">
      <formula>"欠"</formula>
    </cfRule>
  </conditionalFormatting>
  <conditionalFormatting sqref="CE2:CE28 CE51:CE55 CE73:CE78">
    <cfRule type="cellIs" dxfId="0" priority="753" operator="lessThan">
      <formula>0</formula>
    </cfRule>
  </conditionalFormatting>
  <conditionalFormatting sqref="R7:R8 R10:R11 R19:R20 R73:R78">
    <cfRule type="containsText" dxfId="1" priority="140" operator="between" text="欠">
      <formula>NOT(ISERROR(SEARCH("欠",R7)))</formula>
    </cfRule>
    <cfRule type="cellIs" dxfId="0" priority="141" operator="equal">
      <formula>"欠"</formula>
    </cfRule>
  </conditionalFormatting>
  <conditionalFormatting sqref="S8 S10:S11 S74:S78">
    <cfRule type="cellIs" dxfId="0" priority="127" operator="equal">
      <formula>"欠"</formula>
    </cfRule>
    <cfRule type="containsText" dxfId="1" priority="128" operator="between" text="欠">
      <formula>NOT(ISERROR(SEARCH("欠",S8)))</formula>
    </cfRule>
  </conditionalFormatting>
  <conditionalFormatting sqref="S19:S28 S73">
    <cfRule type="cellIs" dxfId="0" priority="142" operator="equal">
      <formula>"欠"</formula>
    </cfRule>
    <cfRule type="containsText" dxfId="1" priority="143" operator="between" text="欠">
      <formula>NOT(ISERROR(SEARCH("欠",S19)))</formula>
    </cfRule>
  </conditionalFormatting>
  <conditionalFormatting sqref="T19:T20 T73:T78">
    <cfRule type="cellIs" dxfId="0" priority="138" operator="equal">
      <formula>"欠"</formula>
    </cfRule>
    <cfRule type="containsText" dxfId="1" priority="139" operator="between" text="欠">
      <formula>NOT(ISERROR(SEARCH("欠",T19)))</formula>
    </cfRule>
  </conditionalFormatting>
  <conditionalFormatting sqref="S51:T54">
    <cfRule type="containsText" dxfId="1" priority="284" operator="between" text="欠">
      <formula>NOT(ISERROR(SEARCH("欠",S51)))</formula>
    </cfRule>
  </conditionalFormatting>
  <dataValidations count="1">
    <dataValidation type="list" allowBlank="1" showInputMessage="1" showErrorMessage="1" sqref="S3 S39 S40 S41 S42 S43 S46 S47 S48 S49 S50 S5:S11 S19:S36 S37:S38 S44:S45 S73:S78">
      <formula1>"有,无"</formula1>
    </dataValidation>
  </dataValidations>
  <pageMargins left="0" right="0.0791666666666667" top="0.388888888888889" bottom="0.509027777777778" header="0.5" footer="0.5"/>
  <pageSetup paperSize="9" scale="11" orientation="portrait" horizontalDpi="600"/>
  <headerFooter alignWithMargins="0" scaleWithDoc="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9"/>
  <sheetViews>
    <sheetView zoomScale="85" zoomScaleNormal="85" workbookViewId="0">
      <pane xSplit="1" ySplit="7" topLeftCell="F8" activePane="bottomRight" state="frozen"/>
      <selection/>
      <selection pane="topRight"/>
      <selection pane="bottomLeft"/>
      <selection pane="bottomRight" activeCell="T10" sqref="T10"/>
    </sheetView>
  </sheetViews>
  <sheetFormatPr defaultColWidth="8.225" defaultRowHeight="14.25" customHeight="1"/>
  <cols>
    <col min="1" max="1" width="19.2833333333333" style="986" customWidth="1"/>
    <col min="2" max="2" width="36.3833333333333" style="987" customWidth="1"/>
    <col min="3" max="3" width="27.125" style="987" customWidth="1"/>
    <col min="4" max="11" width="14.2666666666667" style="988" customWidth="1"/>
    <col min="12" max="12" width="8.15833333333333" style="988" customWidth="1"/>
    <col min="13" max="13" width="11.25" style="988" customWidth="1"/>
    <col min="14" max="14" width="8.15833333333333" style="988" customWidth="1"/>
    <col min="15" max="15" width="14.2666666666667" style="989" customWidth="1"/>
    <col min="16" max="16" width="25.5833333333333" style="987" customWidth="1"/>
    <col min="17" max="17" width="9.64166666666667" style="985" customWidth="1"/>
    <col min="18" max="18" width="8.9" style="990" customWidth="1"/>
    <col min="19" max="16384" width="8.225" style="990"/>
  </cols>
  <sheetData>
    <row r="1" customHeight="1" spans="1:16">
      <c r="A1" s="991"/>
      <c r="B1" s="336" t="s">
        <v>4487</v>
      </c>
      <c r="C1" s="336"/>
      <c r="D1" s="338" t="s">
        <v>4488</v>
      </c>
      <c r="E1" s="337" t="s">
        <v>4489</v>
      </c>
      <c r="F1" s="337" t="s">
        <v>4490</v>
      </c>
      <c r="G1" s="337" t="s">
        <v>4491</v>
      </c>
      <c r="H1" s="337" t="s">
        <v>4492</v>
      </c>
      <c r="I1" s="337" t="s">
        <v>4493</v>
      </c>
      <c r="J1" s="337" t="s">
        <v>4494</v>
      </c>
      <c r="K1" s="337" t="s">
        <v>4495</v>
      </c>
      <c r="L1" s="337" t="s">
        <v>4496</v>
      </c>
      <c r="M1" s="337" t="s">
        <v>4497</v>
      </c>
      <c r="N1" s="337" t="s">
        <v>4498</v>
      </c>
      <c r="O1" s="372" t="s">
        <v>4499</v>
      </c>
      <c r="P1" s="992"/>
    </row>
    <row r="2" customHeight="1" spans="1:16">
      <c r="A2" s="991"/>
      <c r="B2" s="336" t="s">
        <v>4500</v>
      </c>
      <c r="C2" s="336"/>
      <c r="D2" s="340">
        <v>45267</v>
      </c>
      <c r="E2" s="339">
        <v>45307</v>
      </c>
      <c r="F2" s="339">
        <v>45372</v>
      </c>
      <c r="G2" s="339">
        <v>45407</v>
      </c>
      <c r="H2" s="339">
        <v>45443</v>
      </c>
      <c r="I2" s="339">
        <v>45478</v>
      </c>
      <c r="J2" s="339">
        <v>45518</v>
      </c>
      <c r="K2" s="339">
        <v>45811</v>
      </c>
      <c r="L2" s="339">
        <v>45884</v>
      </c>
      <c r="M2" s="339">
        <v>46063</v>
      </c>
      <c r="N2" s="339">
        <v>46045</v>
      </c>
      <c r="O2" s="339"/>
      <c r="P2" s="992"/>
    </row>
    <row r="3" customHeight="1" spans="1:18">
      <c r="A3" s="991"/>
      <c r="B3" s="336" t="s">
        <v>4501</v>
      </c>
      <c r="C3" s="336"/>
      <c r="D3" s="340">
        <v>45388</v>
      </c>
      <c r="E3" s="339">
        <v>45432</v>
      </c>
      <c r="F3" s="339">
        <v>45465</v>
      </c>
      <c r="G3" s="339">
        <v>45500</v>
      </c>
      <c r="H3" s="339">
        <v>45534</v>
      </c>
      <c r="I3" s="339">
        <v>45584</v>
      </c>
      <c r="J3" s="339">
        <v>45619</v>
      </c>
      <c r="K3" s="339">
        <v>45927</v>
      </c>
      <c r="L3" s="339">
        <v>45938</v>
      </c>
      <c r="M3" s="339">
        <v>46109</v>
      </c>
      <c r="N3" s="339">
        <v>46104</v>
      </c>
      <c r="O3" s="339"/>
      <c r="P3" s="992"/>
      <c r="Q3" s="1000" t="s">
        <v>4502</v>
      </c>
      <c r="R3" s="1000" t="s">
        <v>4503</v>
      </c>
    </row>
    <row r="4" ht="15" customHeight="1" spans="1:18">
      <c r="A4" s="991"/>
      <c r="B4" s="341" t="s">
        <v>4504</v>
      </c>
      <c r="C4" s="341"/>
      <c r="D4" s="342">
        <v>800000</v>
      </c>
      <c r="E4" s="342">
        <v>400000</v>
      </c>
      <c r="F4" s="342">
        <v>300000</v>
      </c>
      <c r="G4" s="342">
        <v>500000</v>
      </c>
      <c r="H4" s="342">
        <v>500000</v>
      </c>
      <c r="I4" s="342">
        <v>600000</v>
      </c>
      <c r="J4" s="342">
        <v>500000</v>
      </c>
      <c r="K4" s="342">
        <v>300000</v>
      </c>
      <c r="L4" s="342">
        <v>110000</v>
      </c>
      <c r="M4" s="342">
        <v>440000</v>
      </c>
      <c r="N4" s="342">
        <v>220000</v>
      </c>
      <c r="O4" s="376">
        <f>SUM(D4:N4)</f>
        <v>4670000</v>
      </c>
      <c r="P4" s="993" t="s">
        <v>4505</v>
      </c>
      <c r="Q4" s="1001">
        <f>'77515 DIY厨艺大师'!AH56+'77515 DIY厨艺大师'!AI56+'77515 DIY厨艺大师'!AJ56</f>
        <v>3983241</v>
      </c>
      <c r="R4" s="1001">
        <f>O4-Q4</f>
        <v>686759</v>
      </c>
    </row>
    <row r="5" customHeight="1" spans="1:18">
      <c r="A5" s="343" t="s">
        <v>4506</v>
      </c>
      <c r="B5" s="344"/>
      <c r="C5" s="344" t="s">
        <v>4507</v>
      </c>
      <c r="D5" s="345">
        <f t="shared" ref="D5:N5" si="0">D4</f>
        <v>800000</v>
      </c>
      <c r="E5" s="345">
        <f t="shared" si="0"/>
        <v>400000</v>
      </c>
      <c r="F5" s="345">
        <f t="shared" si="0"/>
        <v>300000</v>
      </c>
      <c r="G5" s="345">
        <f t="shared" si="0"/>
        <v>500000</v>
      </c>
      <c r="H5" s="345">
        <f t="shared" si="0"/>
        <v>500000</v>
      </c>
      <c r="I5" s="345">
        <f t="shared" si="0"/>
        <v>600000</v>
      </c>
      <c r="J5" s="345">
        <f t="shared" si="0"/>
        <v>500000</v>
      </c>
      <c r="K5" s="345">
        <f t="shared" si="0"/>
        <v>300000</v>
      </c>
      <c r="L5" s="345">
        <f t="shared" si="0"/>
        <v>110000</v>
      </c>
      <c r="M5" s="345">
        <f t="shared" si="0"/>
        <v>440000</v>
      </c>
      <c r="N5" s="345">
        <f t="shared" si="0"/>
        <v>220000</v>
      </c>
      <c r="O5" s="345">
        <f>SUM(O4:O4)</f>
        <v>4670000</v>
      </c>
      <c r="P5" s="994"/>
      <c r="Q5" s="1002"/>
      <c r="R5" s="1002"/>
    </row>
    <row r="6" ht="35.25" customHeight="1" spans="1:18">
      <c r="A6" s="346" t="s">
        <v>4508</v>
      </c>
      <c r="B6" s="348" t="s">
        <v>4509</v>
      </c>
      <c r="C6" s="341"/>
      <c r="D6" s="342">
        <v>30000</v>
      </c>
      <c r="E6" s="342">
        <v>10000</v>
      </c>
      <c r="F6" s="342"/>
      <c r="G6" s="342">
        <v>15000</v>
      </c>
      <c r="H6" s="342">
        <v>15000</v>
      </c>
      <c r="I6" s="342">
        <v>10000</v>
      </c>
      <c r="J6" s="342"/>
      <c r="K6" s="342">
        <v>-21500</v>
      </c>
      <c r="L6" s="342"/>
      <c r="M6" s="342"/>
      <c r="N6" s="342"/>
      <c r="O6" s="376">
        <f>SUM(D6:N6)</f>
        <v>58500</v>
      </c>
      <c r="P6" s="995" t="s">
        <v>4510</v>
      </c>
      <c r="Q6" s="1003"/>
      <c r="R6" s="1003"/>
    </row>
    <row r="7" customHeight="1" spans="1:18">
      <c r="A7" s="343" t="s">
        <v>4511</v>
      </c>
      <c r="B7" s="344"/>
      <c r="C7" s="344" t="s">
        <v>4512</v>
      </c>
      <c r="D7" s="345">
        <f t="shared" ref="D7:L7" si="1">D6</f>
        <v>30000</v>
      </c>
      <c r="E7" s="345">
        <f t="shared" si="1"/>
        <v>10000</v>
      </c>
      <c r="F7" s="345">
        <f t="shared" si="1"/>
        <v>0</v>
      </c>
      <c r="G7" s="345">
        <f t="shared" si="1"/>
        <v>15000</v>
      </c>
      <c r="H7" s="345">
        <f t="shared" si="1"/>
        <v>15000</v>
      </c>
      <c r="I7" s="345">
        <f t="shared" si="1"/>
        <v>10000</v>
      </c>
      <c r="J7" s="345">
        <f t="shared" si="1"/>
        <v>0</v>
      </c>
      <c r="K7" s="345">
        <f t="shared" si="1"/>
        <v>-21500</v>
      </c>
      <c r="L7" s="345">
        <f t="shared" si="1"/>
        <v>0</v>
      </c>
      <c r="M7" s="345"/>
      <c r="N7" s="345"/>
      <c r="O7" s="345">
        <f>SUM(O6:O6)</f>
        <v>58500</v>
      </c>
      <c r="P7" s="994"/>
      <c r="Q7" s="1002"/>
      <c r="R7" s="1002"/>
    </row>
    <row r="8" ht="18" customHeight="1" spans="1:18">
      <c r="A8" s="346" t="s">
        <v>4513</v>
      </c>
      <c r="B8" s="347" t="s">
        <v>4514</v>
      </c>
      <c r="C8" s="349"/>
      <c r="D8" s="350">
        <v>3000</v>
      </c>
      <c r="E8" s="350"/>
      <c r="F8" s="350">
        <v>1000</v>
      </c>
      <c r="G8" s="350">
        <v>1000</v>
      </c>
      <c r="H8" s="350">
        <v>2000</v>
      </c>
      <c r="I8" s="350"/>
      <c r="J8" s="350">
        <v>1000</v>
      </c>
      <c r="K8" s="342">
        <v>-1411</v>
      </c>
      <c r="L8" s="350"/>
      <c r="M8" s="350"/>
      <c r="N8" s="350"/>
      <c r="O8" s="376">
        <f>SUM(D8:N8)</f>
        <v>6589</v>
      </c>
      <c r="P8" s="996" t="s">
        <v>4515</v>
      </c>
      <c r="Q8" s="1004"/>
      <c r="R8" s="1004"/>
    </row>
    <row r="9" ht="18" customHeight="1" spans="1:18">
      <c r="A9" s="346" t="s">
        <v>4516</v>
      </c>
      <c r="B9" s="347" t="s">
        <v>4517</v>
      </c>
      <c r="C9" s="349"/>
      <c r="D9" s="350">
        <v>3000</v>
      </c>
      <c r="E9" s="350"/>
      <c r="F9" s="350">
        <v>1000</v>
      </c>
      <c r="G9" s="350">
        <v>1000</v>
      </c>
      <c r="H9" s="350">
        <v>2000</v>
      </c>
      <c r="I9" s="350"/>
      <c r="J9" s="350">
        <v>1000</v>
      </c>
      <c r="K9" s="342">
        <v>-1411</v>
      </c>
      <c r="L9" s="350"/>
      <c r="M9" s="350"/>
      <c r="N9" s="350"/>
      <c r="O9" s="376">
        <f>SUM(D9:N9)</f>
        <v>6589</v>
      </c>
      <c r="P9" s="997"/>
      <c r="Q9" s="1004"/>
      <c r="R9" s="1004"/>
    </row>
    <row r="10" ht="18" customHeight="1" spans="1:18">
      <c r="A10" s="346" t="s">
        <v>4518</v>
      </c>
      <c r="B10" s="347" t="s">
        <v>4519</v>
      </c>
      <c r="C10" s="349"/>
      <c r="D10" s="350">
        <v>3000</v>
      </c>
      <c r="E10" s="350"/>
      <c r="F10" s="350">
        <v>1000</v>
      </c>
      <c r="G10" s="350">
        <v>1000</v>
      </c>
      <c r="H10" s="350">
        <v>2000</v>
      </c>
      <c r="I10" s="350"/>
      <c r="J10" s="350">
        <v>1000</v>
      </c>
      <c r="K10" s="342">
        <v>-1411</v>
      </c>
      <c r="L10" s="350"/>
      <c r="M10" s="350"/>
      <c r="N10" s="350"/>
      <c r="O10" s="376">
        <f>SUM(D10:N10)</f>
        <v>6589</v>
      </c>
      <c r="P10" s="997"/>
      <c r="Q10" s="1004"/>
      <c r="R10" s="1004"/>
    </row>
    <row r="11" ht="18" customHeight="1" spans="1:18">
      <c r="A11" s="346" t="s">
        <v>4520</v>
      </c>
      <c r="B11" s="347" t="s">
        <v>4521</v>
      </c>
      <c r="C11" s="349"/>
      <c r="D11" s="350">
        <v>3000</v>
      </c>
      <c r="E11" s="350"/>
      <c r="F11" s="350">
        <v>1000</v>
      </c>
      <c r="G11" s="350">
        <v>1000</v>
      </c>
      <c r="H11" s="350">
        <v>2000</v>
      </c>
      <c r="I11" s="350"/>
      <c r="J11" s="350">
        <v>1000</v>
      </c>
      <c r="K11" s="342">
        <v>-1411</v>
      </c>
      <c r="L11" s="350"/>
      <c r="M11" s="350"/>
      <c r="N11" s="350"/>
      <c r="O11" s="376">
        <f>SUM(D11:N11)</f>
        <v>6589</v>
      </c>
      <c r="P11" s="998"/>
      <c r="Q11" s="1004"/>
      <c r="R11" s="1004"/>
    </row>
    <row r="12" customHeight="1" spans="1:18">
      <c r="A12" s="343" t="s">
        <v>4506</v>
      </c>
      <c r="B12" s="344"/>
      <c r="C12" s="344" t="s">
        <v>4522</v>
      </c>
      <c r="D12" s="351">
        <f t="shared" ref="D12:L12" si="2">D11</f>
        <v>3000</v>
      </c>
      <c r="E12" s="351">
        <f t="shared" si="2"/>
        <v>0</v>
      </c>
      <c r="F12" s="351">
        <f t="shared" si="2"/>
        <v>1000</v>
      </c>
      <c r="G12" s="351">
        <f t="shared" si="2"/>
        <v>1000</v>
      </c>
      <c r="H12" s="351">
        <f t="shared" si="2"/>
        <v>2000</v>
      </c>
      <c r="I12" s="351">
        <f t="shared" si="2"/>
        <v>0</v>
      </c>
      <c r="J12" s="351">
        <f t="shared" si="2"/>
        <v>1000</v>
      </c>
      <c r="K12" s="345">
        <f t="shared" si="2"/>
        <v>-1411</v>
      </c>
      <c r="L12" s="351">
        <f t="shared" si="2"/>
        <v>0</v>
      </c>
      <c r="M12" s="351"/>
      <c r="N12" s="351"/>
      <c r="O12" s="345">
        <f>SUM(O10:O10)</f>
        <v>6589</v>
      </c>
      <c r="P12" s="994"/>
      <c r="Q12" s="1002"/>
      <c r="R12" s="1002"/>
    </row>
    <row r="13" ht="43.5" customHeight="1" spans="1:18">
      <c r="A13" s="346" t="s">
        <v>4523</v>
      </c>
      <c r="B13" s="348" t="s">
        <v>4524</v>
      </c>
      <c r="C13" s="349">
        <v>0.104</v>
      </c>
      <c r="D13" s="350">
        <f t="shared" ref="D13:D23" si="3">D$4*$C13</f>
        <v>83200</v>
      </c>
      <c r="E13" s="350">
        <f t="shared" ref="E13:E23" si="4">E$4*$C13</f>
        <v>41600</v>
      </c>
      <c r="F13" s="350">
        <f t="shared" ref="F13:F23" si="5">F$4*$C13</f>
        <v>31200</v>
      </c>
      <c r="G13" s="350">
        <v>52000</v>
      </c>
      <c r="H13" s="350">
        <v>52000</v>
      </c>
      <c r="I13" s="350">
        <v>62400</v>
      </c>
      <c r="J13" s="350">
        <v>52000</v>
      </c>
      <c r="K13" s="350">
        <v>31390.3380049464</v>
      </c>
      <c r="L13" s="350">
        <v>11440</v>
      </c>
      <c r="M13" s="350">
        <v>485870.338004946</v>
      </c>
      <c r="N13" s="350">
        <v>22880</v>
      </c>
      <c r="O13" s="376">
        <f>SUM(D13:N13)</f>
        <v>925980.676009892</v>
      </c>
      <c r="P13" s="999"/>
      <c r="Q13" s="1003">
        <f t="shared" ref="Q13:Q23" si="6">$Q$4*C13</f>
        <v>414257.064</v>
      </c>
      <c r="R13" s="1003">
        <f>O13-Q13</f>
        <v>511723.612009893</v>
      </c>
    </row>
    <row r="14" customHeight="1" spans="1:18">
      <c r="A14" s="346" t="s">
        <v>4513</v>
      </c>
      <c r="B14" s="347" t="s">
        <v>4514</v>
      </c>
      <c r="C14" s="349">
        <v>0.104</v>
      </c>
      <c r="D14" s="350">
        <f t="shared" si="3"/>
        <v>83200</v>
      </c>
      <c r="E14" s="350">
        <f t="shared" si="4"/>
        <v>41600</v>
      </c>
      <c r="F14" s="350">
        <f t="shared" si="5"/>
        <v>31200</v>
      </c>
      <c r="G14" s="350">
        <v>52000</v>
      </c>
      <c r="H14" s="350">
        <v>52000</v>
      </c>
      <c r="I14" s="350">
        <v>62400</v>
      </c>
      <c r="J14" s="350">
        <v>52000</v>
      </c>
      <c r="K14" s="350">
        <v>31390.3380049464</v>
      </c>
      <c r="L14" s="350">
        <v>11440</v>
      </c>
      <c r="M14" s="350">
        <v>485870.338004946</v>
      </c>
      <c r="N14" s="350">
        <v>22880</v>
      </c>
      <c r="O14" s="376">
        <f t="shared" ref="O14:O23" si="7">SUM(D14:N14)</f>
        <v>925980.676009892</v>
      </c>
      <c r="P14" s="999"/>
      <c r="Q14" s="1003">
        <f t="shared" si="6"/>
        <v>414257.064</v>
      </c>
      <c r="R14" s="1003">
        <f t="shared" ref="R14:R23" si="8">O14-Q14</f>
        <v>511723.612009893</v>
      </c>
    </row>
    <row r="15" customHeight="1" spans="1:18">
      <c r="A15" s="346" t="s">
        <v>4516</v>
      </c>
      <c r="B15" s="347" t="s">
        <v>4517</v>
      </c>
      <c r="C15" s="349">
        <v>0.0955</v>
      </c>
      <c r="D15" s="350">
        <f t="shared" si="3"/>
        <v>76400</v>
      </c>
      <c r="E15" s="350">
        <f t="shared" si="4"/>
        <v>38200</v>
      </c>
      <c r="F15" s="350">
        <f t="shared" si="5"/>
        <v>28650</v>
      </c>
      <c r="G15" s="350">
        <v>47750</v>
      </c>
      <c r="H15" s="350">
        <v>47750</v>
      </c>
      <c r="I15" s="350">
        <v>57300</v>
      </c>
      <c r="J15" s="350">
        <v>47750</v>
      </c>
      <c r="K15" s="350">
        <v>28824.7815333883</v>
      </c>
      <c r="L15" s="350">
        <v>10505</v>
      </c>
      <c r="M15" s="350">
        <v>446159.781533388</v>
      </c>
      <c r="N15" s="350">
        <v>21010</v>
      </c>
      <c r="O15" s="376">
        <f t="shared" si="7"/>
        <v>850299.563066776</v>
      </c>
      <c r="P15" s="999"/>
      <c r="Q15" s="1003">
        <f t="shared" si="6"/>
        <v>380399.5155</v>
      </c>
      <c r="R15" s="1003">
        <f t="shared" si="8"/>
        <v>469900.047566776</v>
      </c>
    </row>
    <row r="16" customHeight="1" spans="1:18">
      <c r="A16" s="346" t="s">
        <v>4525</v>
      </c>
      <c r="B16" s="347" t="s">
        <v>4526</v>
      </c>
      <c r="C16" s="349">
        <v>0.0955</v>
      </c>
      <c r="D16" s="350">
        <f t="shared" si="3"/>
        <v>76400</v>
      </c>
      <c r="E16" s="350">
        <f t="shared" si="4"/>
        <v>38200</v>
      </c>
      <c r="F16" s="350">
        <f t="shared" si="5"/>
        <v>28650</v>
      </c>
      <c r="G16" s="350">
        <v>47750</v>
      </c>
      <c r="H16" s="350">
        <v>47750</v>
      </c>
      <c r="I16" s="350">
        <v>57300</v>
      </c>
      <c r="J16" s="350">
        <v>47750</v>
      </c>
      <c r="K16" s="350">
        <v>28824.7815333883</v>
      </c>
      <c r="L16" s="350">
        <v>10505</v>
      </c>
      <c r="M16" s="350">
        <v>446159.781533388</v>
      </c>
      <c r="N16" s="350">
        <v>21010</v>
      </c>
      <c r="O16" s="376">
        <f t="shared" si="7"/>
        <v>850299.563066776</v>
      </c>
      <c r="P16" s="999"/>
      <c r="Q16" s="1003">
        <f t="shared" si="6"/>
        <v>380399.5155</v>
      </c>
      <c r="R16" s="1003">
        <f t="shared" si="8"/>
        <v>469900.047566776</v>
      </c>
    </row>
    <row r="17" customHeight="1" spans="1:18">
      <c r="A17" s="346" t="s">
        <v>4508</v>
      </c>
      <c r="B17" s="347" t="s">
        <v>4509</v>
      </c>
      <c r="C17" s="349">
        <v>0.104</v>
      </c>
      <c r="D17" s="350">
        <f t="shared" si="3"/>
        <v>83200</v>
      </c>
      <c r="E17" s="350">
        <f t="shared" si="4"/>
        <v>41600</v>
      </c>
      <c r="F17" s="350">
        <f t="shared" si="5"/>
        <v>31200</v>
      </c>
      <c r="G17" s="350">
        <v>52000</v>
      </c>
      <c r="H17" s="350">
        <v>52000</v>
      </c>
      <c r="I17" s="350">
        <v>62400</v>
      </c>
      <c r="J17" s="350">
        <v>52000</v>
      </c>
      <c r="K17" s="350">
        <v>31390.3380049464</v>
      </c>
      <c r="L17" s="350">
        <v>11440</v>
      </c>
      <c r="M17" s="350">
        <v>485870.338004946</v>
      </c>
      <c r="N17" s="350">
        <v>22880</v>
      </c>
      <c r="O17" s="376">
        <f t="shared" si="7"/>
        <v>925980.676009892</v>
      </c>
      <c r="P17" s="999"/>
      <c r="Q17" s="1003">
        <f t="shared" si="6"/>
        <v>414257.064</v>
      </c>
      <c r="R17" s="1003">
        <f t="shared" si="8"/>
        <v>511723.612009893</v>
      </c>
    </row>
    <row r="18" customHeight="1" spans="1:18">
      <c r="A18" s="346" t="s">
        <v>4527</v>
      </c>
      <c r="B18" s="347" t="s">
        <v>4528</v>
      </c>
      <c r="C18" s="349">
        <v>0.104</v>
      </c>
      <c r="D18" s="350">
        <f t="shared" si="3"/>
        <v>83200</v>
      </c>
      <c r="E18" s="350">
        <f t="shared" si="4"/>
        <v>41600</v>
      </c>
      <c r="F18" s="350">
        <f t="shared" si="5"/>
        <v>31200</v>
      </c>
      <c r="G18" s="350">
        <v>52000</v>
      </c>
      <c r="H18" s="350">
        <v>52000</v>
      </c>
      <c r="I18" s="350">
        <v>62400</v>
      </c>
      <c r="J18" s="350">
        <v>52000</v>
      </c>
      <c r="K18" s="350">
        <v>31390.3380049464</v>
      </c>
      <c r="L18" s="350">
        <v>11440</v>
      </c>
      <c r="M18" s="350">
        <v>485870.338004946</v>
      </c>
      <c r="N18" s="350">
        <v>22880</v>
      </c>
      <c r="O18" s="376">
        <f t="shared" si="7"/>
        <v>925980.676009892</v>
      </c>
      <c r="P18" s="999"/>
      <c r="Q18" s="1003">
        <f t="shared" si="6"/>
        <v>414257.064</v>
      </c>
      <c r="R18" s="1003">
        <f t="shared" si="8"/>
        <v>511723.612009893</v>
      </c>
    </row>
    <row r="19" customHeight="1" spans="1:18">
      <c r="A19" s="346" t="s">
        <v>4529</v>
      </c>
      <c r="B19" s="347" t="s">
        <v>4530</v>
      </c>
      <c r="C19" s="349">
        <v>0.0296</v>
      </c>
      <c r="D19" s="350">
        <f t="shared" si="3"/>
        <v>23680</v>
      </c>
      <c r="E19" s="350">
        <f t="shared" si="4"/>
        <v>11840</v>
      </c>
      <c r="F19" s="350">
        <f t="shared" si="5"/>
        <v>8880</v>
      </c>
      <c r="G19" s="350">
        <v>14800</v>
      </c>
      <c r="H19" s="350">
        <v>14800</v>
      </c>
      <c r="I19" s="350">
        <v>17760</v>
      </c>
      <c r="J19" s="350">
        <v>14800</v>
      </c>
      <c r="K19" s="350">
        <v>7104</v>
      </c>
      <c r="L19" s="350">
        <v>3256</v>
      </c>
      <c r="M19" s="350">
        <v>136456</v>
      </c>
      <c r="N19" s="350">
        <v>6512</v>
      </c>
      <c r="O19" s="376">
        <f t="shared" si="7"/>
        <v>259888</v>
      </c>
      <c r="P19" s="999"/>
      <c r="Q19" s="1003">
        <f t="shared" si="6"/>
        <v>117903.9336</v>
      </c>
      <c r="R19" s="1003">
        <f t="shared" si="8"/>
        <v>141984.0664</v>
      </c>
    </row>
    <row r="20" customHeight="1" spans="1:18">
      <c r="A20" s="346" t="s">
        <v>4518</v>
      </c>
      <c r="B20" s="347" t="s">
        <v>4519</v>
      </c>
      <c r="C20" s="349">
        <v>0.104</v>
      </c>
      <c r="D20" s="350">
        <f t="shared" si="3"/>
        <v>83200</v>
      </c>
      <c r="E20" s="350">
        <f t="shared" si="4"/>
        <v>41600</v>
      </c>
      <c r="F20" s="350">
        <f t="shared" si="5"/>
        <v>31200</v>
      </c>
      <c r="G20" s="350">
        <v>52000</v>
      </c>
      <c r="H20" s="350">
        <v>52000</v>
      </c>
      <c r="I20" s="350">
        <v>62400</v>
      </c>
      <c r="J20" s="350">
        <v>52000</v>
      </c>
      <c r="K20" s="350">
        <v>31390.3380049464</v>
      </c>
      <c r="L20" s="350">
        <v>11440</v>
      </c>
      <c r="M20" s="350">
        <v>485870.338004946</v>
      </c>
      <c r="N20" s="350">
        <v>22880</v>
      </c>
      <c r="O20" s="376">
        <f t="shared" si="7"/>
        <v>925980.676009892</v>
      </c>
      <c r="P20" s="999"/>
      <c r="Q20" s="1003">
        <f t="shared" si="6"/>
        <v>414257.064</v>
      </c>
      <c r="R20" s="1003">
        <f t="shared" si="8"/>
        <v>511723.612009893</v>
      </c>
    </row>
    <row r="21" customHeight="1" spans="1:18">
      <c r="A21" s="346" t="s">
        <v>4520</v>
      </c>
      <c r="B21" s="347" t="s">
        <v>4521</v>
      </c>
      <c r="C21" s="349">
        <v>0.0852</v>
      </c>
      <c r="D21" s="350">
        <f t="shared" si="3"/>
        <v>68160</v>
      </c>
      <c r="E21" s="350">
        <f t="shared" si="4"/>
        <v>34080</v>
      </c>
      <c r="F21" s="350">
        <f t="shared" si="5"/>
        <v>25560</v>
      </c>
      <c r="G21" s="350">
        <v>42600</v>
      </c>
      <c r="H21" s="350">
        <v>42600</v>
      </c>
      <c r="I21" s="350">
        <v>51120</v>
      </c>
      <c r="J21" s="350">
        <v>42600</v>
      </c>
      <c r="K21" s="350">
        <v>25715.9307502061</v>
      </c>
      <c r="L21" s="350">
        <v>9372</v>
      </c>
      <c r="M21" s="350">
        <v>398039.930750206</v>
      </c>
      <c r="N21" s="350">
        <v>18744</v>
      </c>
      <c r="O21" s="376">
        <f t="shared" si="7"/>
        <v>758591.861500412</v>
      </c>
      <c r="P21" s="999"/>
      <c r="Q21" s="1003">
        <f t="shared" si="6"/>
        <v>339372.1332</v>
      </c>
      <c r="R21" s="1003">
        <f t="shared" si="8"/>
        <v>419219.728300412</v>
      </c>
    </row>
    <row r="22" customHeight="1" spans="1:18">
      <c r="A22" s="346" t="s">
        <v>4531</v>
      </c>
      <c r="B22" s="347" t="s">
        <v>4532</v>
      </c>
      <c r="C22" s="349">
        <v>0.0852</v>
      </c>
      <c r="D22" s="350">
        <f t="shared" si="3"/>
        <v>68160</v>
      </c>
      <c r="E22" s="350">
        <f t="shared" si="4"/>
        <v>34080</v>
      </c>
      <c r="F22" s="350">
        <f t="shared" si="5"/>
        <v>25560</v>
      </c>
      <c r="G22" s="350">
        <v>42600</v>
      </c>
      <c r="H22" s="350">
        <v>42600</v>
      </c>
      <c r="I22" s="350">
        <v>51120</v>
      </c>
      <c r="J22" s="350">
        <v>42600</v>
      </c>
      <c r="K22" s="350">
        <v>25715.9307502061</v>
      </c>
      <c r="L22" s="350">
        <v>9372</v>
      </c>
      <c r="M22" s="350">
        <v>398039.930750206</v>
      </c>
      <c r="N22" s="350">
        <v>18744</v>
      </c>
      <c r="O22" s="376">
        <f t="shared" si="7"/>
        <v>758591.861500412</v>
      </c>
      <c r="P22" s="999"/>
      <c r="Q22" s="1003">
        <f t="shared" si="6"/>
        <v>339372.1332</v>
      </c>
      <c r="R22" s="1003">
        <f t="shared" si="8"/>
        <v>419219.728300412</v>
      </c>
    </row>
    <row r="23" customHeight="1" spans="1:18">
      <c r="A23" s="346" t="s">
        <v>4533</v>
      </c>
      <c r="B23" s="347" t="s">
        <v>4534</v>
      </c>
      <c r="C23" s="349">
        <v>0.089</v>
      </c>
      <c r="D23" s="350">
        <f t="shared" si="3"/>
        <v>71200</v>
      </c>
      <c r="E23" s="350">
        <f t="shared" si="4"/>
        <v>35600</v>
      </c>
      <c r="F23" s="350">
        <f t="shared" si="5"/>
        <v>26700</v>
      </c>
      <c r="G23" s="350">
        <v>44500</v>
      </c>
      <c r="H23" s="350">
        <v>44500</v>
      </c>
      <c r="I23" s="350">
        <v>53400</v>
      </c>
      <c r="J23" s="350">
        <v>44500</v>
      </c>
      <c r="K23" s="350">
        <v>26862.8854080791</v>
      </c>
      <c r="L23" s="350">
        <v>9790</v>
      </c>
      <c r="M23" s="350">
        <v>415792.885408079</v>
      </c>
      <c r="N23" s="350">
        <v>19580</v>
      </c>
      <c r="O23" s="376">
        <f t="shared" si="7"/>
        <v>792425.770816158</v>
      </c>
      <c r="P23" s="999"/>
      <c r="Q23" s="1003">
        <f t="shared" si="6"/>
        <v>354508.449</v>
      </c>
      <c r="R23" s="1003">
        <f t="shared" si="8"/>
        <v>437917.321816158</v>
      </c>
    </row>
    <row r="24" customHeight="1" spans="1:18">
      <c r="A24" s="343"/>
      <c r="B24" s="344"/>
      <c r="C24" s="352" t="s">
        <v>4499</v>
      </c>
      <c r="D24" s="345">
        <f t="shared" ref="D24:O24" si="9">SUM(D13:D23)</f>
        <v>800000</v>
      </c>
      <c r="E24" s="345">
        <f t="shared" si="9"/>
        <v>400000</v>
      </c>
      <c r="F24" s="345">
        <f t="shared" si="9"/>
        <v>300000</v>
      </c>
      <c r="G24" s="345">
        <f t="shared" si="9"/>
        <v>500000</v>
      </c>
      <c r="H24" s="345">
        <f t="shared" si="9"/>
        <v>500000</v>
      </c>
      <c r="I24" s="345">
        <f t="shared" si="9"/>
        <v>600000</v>
      </c>
      <c r="J24" s="345">
        <f t="shared" si="9"/>
        <v>500000</v>
      </c>
      <c r="K24" s="345">
        <f t="shared" si="9"/>
        <v>300000</v>
      </c>
      <c r="L24" s="345">
        <f t="shared" si="9"/>
        <v>110000</v>
      </c>
      <c r="M24" s="345">
        <f t="shared" si="9"/>
        <v>4670000</v>
      </c>
      <c r="N24" s="345">
        <f t="shared" si="9"/>
        <v>220000</v>
      </c>
      <c r="O24" s="345">
        <f t="shared" si="9"/>
        <v>8900000</v>
      </c>
      <c r="P24" s="994"/>
      <c r="Q24" s="1005"/>
      <c r="R24" s="1002"/>
    </row>
    <row r="25" spans="1:16">
      <c r="A25" s="353" t="s">
        <v>4505</v>
      </c>
      <c r="B25" s="354"/>
      <c r="C25" s="354"/>
      <c r="D25" s="355"/>
      <c r="E25" s="355"/>
      <c r="F25" s="355"/>
      <c r="G25" s="355"/>
      <c r="H25" s="355"/>
      <c r="I25" s="355"/>
      <c r="J25" s="355"/>
      <c r="K25" s="355"/>
      <c r="L25" s="355"/>
      <c r="M25" s="355"/>
      <c r="N25" s="355"/>
      <c r="O25" s="355"/>
      <c r="P25" s="384"/>
    </row>
    <row r="26" s="984" customFormat="1" customHeight="1" spans="1:17">
      <c r="A26" s="356"/>
      <c r="B26" s="357"/>
      <c r="C26" s="358"/>
      <c r="D26" s="359"/>
      <c r="E26" s="359"/>
      <c r="F26" s="359"/>
      <c r="G26" s="359"/>
      <c r="H26" s="359"/>
      <c r="I26" s="359"/>
      <c r="J26" s="359"/>
      <c r="K26" s="359"/>
      <c r="L26" s="359"/>
      <c r="M26" s="359"/>
      <c r="N26" s="359"/>
      <c r="O26" s="359"/>
      <c r="P26" s="385"/>
      <c r="Q26" s="1006"/>
    </row>
    <row r="27" s="984" customFormat="1" customHeight="1" spans="1:17">
      <c r="A27" s="360" t="s">
        <v>4535</v>
      </c>
      <c r="B27" s="361"/>
      <c r="C27" s="361"/>
      <c r="D27" s="338" t="s">
        <v>4488</v>
      </c>
      <c r="E27" s="338" t="s">
        <v>4489</v>
      </c>
      <c r="F27" s="338" t="s">
        <v>4489</v>
      </c>
      <c r="G27" s="338" t="s">
        <v>4489</v>
      </c>
      <c r="H27" s="338" t="s">
        <v>4536</v>
      </c>
      <c r="I27" s="338" t="s">
        <v>4536</v>
      </c>
      <c r="J27" s="338" t="s">
        <v>4494</v>
      </c>
      <c r="K27" s="338" t="s">
        <v>4495</v>
      </c>
      <c r="L27" s="338"/>
      <c r="M27" s="338" t="s">
        <v>4497</v>
      </c>
      <c r="N27" s="338" t="s">
        <v>4537</v>
      </c>
      <c r="O27" s="372" t="s">
        <v>4499</v>
      </c>
      <c r="P27" s="387"/>
      <c r="Q27" s="1006"/>
    </row>
    <row r="28" s="984" customFormat="1" ht="14.1" customHeight="1" spans="1:16">
      <c r="A28" s="362" t="s">
        <v>4511</v>
      </c>
      <c r="B28" s="363" t="s">
        <v>4538</v>
      </c>
      <c r="C28" s="362" t="s">
        <v>4539</v>
      </c>
      <c r="D28" s="364" t="s">
        <v>4540</v>
      </c>
      <c r="E28" s="364" t="s">
        <v>4540</v>
      </c>
      <c r="F28" s="364" t="s">
        <v>4540</v>
      </c>
      <c r="G28" s="364" t="s">
        <v>4540</v>
      </c>
      <c r="H28" s="364" t="s">
        <v>4540</v>
      </c>
      <c r="I28" s="364" t="s">
        <v>4540</v>
      </c>
      <c r="J28" s="364" t="s">
        <v>4540</v>
      </c>
      <c r="K28" s="364" t="s">
        <v>4540</v>
      </c>
      <c r="L28" s="364" t="s">
        <v>4540</v>
      </c>
      <c r="M28" s="364"/>
      <c r="N28" s="364"/>
      <c r="O28" s="364"/>
      <c r="P28" s="364"/>
    </row>
    <row r="29" s="985" customFormat="1" customHeight="1" spans="1:18">
      <c r="A29" s="365" t="s">
        <v>4541</v>
      </c>
      <c r="B29" s="366" t="s">
        <v>4542</v>
      </c>
      <c r="C29" s="366" t="s">
        <v>4543</v>
      </c>
      <c r="D29" s="342">
        <v>800000</v>
      </c>
      <c r="E29" s="342">
        <v>400000</v>
      </c>
      <c r="F29" s="342">
        <v>300000</v>
      </c>
      <c r="G29" s="342">
        <v>300000</v>
      </c>
      <c r="H29" s="342">
        <v>500000</v>
      </c>
      <c r="I29" s="342">
        <v>600000</v>
      </c>
      <c r="J29" s="342">
        <v>500000</v>
      </c>
      <c r="K29" s="342">
        <v>300000</v>
      </c>
      <c r="L29" s="342"/>
      <c r="M29" s="342">
        <v>440000</v>
      </c>
      <c r="N29" s="342">
        <v>220000</v>
      </c>
      <c r="O29" s="376">
        <f>SUM(D29:N29)</f>
        <v>4360000</v>
      </c>
      <c r="P29" s="347"/>
      <c r="R29" s="990"/>
    </row>
    <row r="30" s="985" customFormat="1" customHeight="1" spans="1:18">
      <c r="A30" s="367"/>
      <c r="B30" s="366" t="s">
        <v>4544</v>
      </c>
      <c r="C30" s="366" t="s">
        <v>4543</v>
      </c>
      <c r="D30" s="342">
        <v>800000</v>
      </c>
      <c r="E30" s="342">
        <v>400000</v>
      </c>
      <c r="F30" s="342">
        <v>300000</v>
      </c>
      <c r="G30" s="342">
        <v>300000</v>
      </c>
      <c r="H30" s="342">
        <v>500000</v>
      </c>
      <c r="I30" s="342">
        <v>600000</v>
      </c>
      <c r="J30" s="342">
        <v>500000</v>
      </c>
      <c r="K30" s="342">
        <v>300000</v>
      </c>
      <c r="L30" s="342"/>
      <c r="M30" s="342">
        <v>440000</v>
      </c>
      <c r="N30" s="342">
        <v>220000</v>
      </c>
      <c r="O30" s="376">
        <f t="shared" ref="O30:O61" si="10">SUM(D30:N30)</f>
        <v>4360000</v>
      </c>
      <c r="P30" s="347"/>
      <c r="R30" s="990"/>
    </row>
    <row r="31" s="985" customFormat="1" customHeight="1" spans="1:18">
      <c r="A31" s="367"/>
      <c r="B31" s="366" t="s">
        <v>4545</v>
      </c>
      <c r="C31" s="366" t="s">
        <v>4546</v>
      </c>
      <c r="D31" s="342">
        <v>716800</v>
      </c>
      <c r="E31" s="342">
        <v>358400</v>
      </c>
      <c r="F31" s="342">
        <v>268800</v>
      </c>
      <c r="G31" s="342">
        <v>268800</v>
      </c>
      <c r="H31" s="342">
        <v>448000</v>
      </c>
      <c r="I31" s="342">
        <v>537600</v>
      </c>
      <c r="J31" s="342">
        <v>448000</v>
      </c>
      <c r="K31" s="342">
        <v>268609.661995054</v>
      </c>
      <c r="L31" s="342"/>
      <c r="M31" s="342">
        <v>394240</v>
      </c>
      <c r="N31" s="342">
        <v>197120</v>
      </c>
      <c r="O31" s="376">
        <f t="shared" si="10"/>
        <v>3906369.66199505</v>
      </c>
      <c r="P31" s="347"/>
      <c r="R31" s="990"/>
    </row>
    <row r="32" s="985" customFormat="1" customHeight="1" spans="1:18">
      <c r="A32" s="367"/>
      <c r="B32" s="366" t="s">
        <v>4547</v>
      </c>
      <c r="C32" s="366" t="s">
        <v>4546</v>
      </c>
      <c r="D32" s="342">
        <v>716800</v>
      </c>
      <c r="E32" s="342">
        <v>358400</v>
      </c>
      <c r="F32" s="342">
        <v>268800</v>
      </c>
      <c r="G32" s="342">
        <v>268800</v>
      </c>
      <c r="H32" s="342">
        <v>448000</v>
      </c>
      <c r="I32" s="342">
        <v>537600</v>
      </c>
      <c r="J32" s="342">
        <v>448000</v>
      </c>
      <c r="K32" s="342">
        <v>268609.661995054</v>
      </c>
      <c r="L32" s="342"/>
      <c r="M32" s="342">
        <v>394240</v>
      </c>
      <c r="N32" s="342">
        <v>197120</v>
      </c>
      <c r="O32" s="376">
        <f t="shared" si="10"/>
        <v>3906369.66199505</v>
      </c>
      <c r="P32" s="347"/>
      <c r="R32" s="990"/>
    </row>
    <row r="33" s="985" customFormat="1" customHeight="1" spans="1:18">
      <c r="A33" s="367"/>
      <c r="B33" s="366" t="s">
        <v>4548</v>
      </c>
      <c r="C33" s="366" t="s">
        <v>4546</v>
      </c>
      <c r="D33" s="342">
        <v>716800</v>
      </c>
      <c r="E33" s="342">
        <v>358400</v>
      </c>
      <c r="F33" s="342">
        <v>268800</v>
      </c>
      <c r="G33" s="342">
        <v>268800</v>
      </c>
      <c r="H33" s="342">
        <v>448000</v>
      </c>
      <c r="I33" s="342">
        <v>537600</v>
      </c>
      <c r="J33" s="342">
        <v>448000</v>
      </c>
      <c r="K33" s="342">
        <v>268609.661995054</v>
      </c>
      <c r="L33" s="342"/>
      <c r="M33" s="342">
        <v>394240</v>
      </c>
      <c r="N33" s="342">
        <v>197120</v>
      </c>
      <c r="O33" s="376">
        <f t="shared" si="10"/>
        <v>3906369.66199505</v>
      </c>
      <c r="P33" s="347"/>
      <c r="R33" s="990"/>
    </row>
    <row r="34" s="985" customFormat="1" customHeight="1" spans="1:18">
      <c r="A34" s="367"/>
      <c r="B34" s="366" t="s">
        <v>4549</v>
      </c>
      <c r="C34" s="366" t="s">
        <v>4546</v>
      </c>
      <c r="D34" s="342">
        <v>716800</v>
      </c>
      <c r="E34" s="342">
        <v>358400</v>
      </c>
      <c r="F34" s="342">
        <v>268800</v>
      </c>
      <c r="G34" s="342">
        <v>268800</v>
      </c>
      <c r="H34" s="342">
        <v>448000</v>
      </c>
      <c r="I34" s="342">
        <v>537600</v>
      </c>
      <c r="J34" s="342">
        <v>448000</v>
      </c>
      <c r="K34" s="342">
        <v>268609.661995054</v>
      </c>
      <c r="L34" s="342"/>
      <c r="M34" s="342">
        <v>394240</v>
      </c>
      <c r="N34" s="342">
        <v>197120</v>
      </c>
      <c r="O34" s="376">
        <f t="shared" si="10"/>
        <v>3906369.66199505</v>
      </c>
      <c r="P34" s="347"/>
      <c r="R34" s="990"/>
    </row>
    <row r="35" s="985" customFormat="1" customHeight="1" spans="1:18">
      <c r="A35" s="368"/>
      <c r="B35" s="366" t="s">
        <v>4550</v>
      </c>
      <c r="C35" s="366" t="s">
        <v>4546</v>
      </c>
      <c r="D35" s="342">
        <v>716800</v>
      </c>
      <c r="E35" s="342">
        <v>358400</v>
      </c>
      <c r="F35" s="342">
        <v>268800</v>
      </c>
      <c r="G35" s="342">
        <v>268800</v>
      </c>
      <c r="H35" s="342">
        <v>448000</v>
      </c>
      <c r="I35" s="342">
        <v>537600</v>
      </c>
      <c r="J35" s="342">
        <v>448000</v>
      </c>
      <c r="K35" s="342">
        <v>268609.661995054</v>
      </c>
      <c r="L35" s="342"/>
      <c r="M35" s="342">
        <v>394240</v>
      </c>
      <c r="N35" s="342">
        <v>197120</v>
      </c>
      <c r="O35" s="376">
        <f t="shared" si="10"/>
        <v>3906369.66199505</v>
      </c>
      <c r="P35" s="347"/>
      <c r="R35" s="990"/>
    </row>
    <row r="36" s="985" customFormat="1" customHeight="1" spans="1:18">
      <c r="A36" s="369" t="s">
        <v>4551</v>
      </c>
      <c r="B36" s="366" t="s">
        <v>4552</v>
      </c>
      <c r="C36" s="366" t="s">
        <v>4543</v>
      </c>
      <c r="D36" s="342">
        <v>800000</v>
      </c>
      <c r="E36" s="342">
        <v>400000</v>
      </c>
      <c r="F36" s="342">
        <v>300000</v>
      </c>
      <c r="G36" s="342">
        <v>300000</v>
      </c>
      <c r="H36" s="342">
        <v>500000</v>
      </c>
      <c r="I36" s="342">
        <v>600000</v>
      </c>
      <c r="J36" s="342">
        <v>500000</v>
      </c>
      <c r="K36" s="342">
        <v>300000</v>
      </c>
      <c r="L36" s="342"/>
      <c r="M36" s="342">
        <v>440000</v>
      </c>
      <c r="N36" s="342">
        <v>220000</v>
      </c>
      <c r="O36" s="376">
        <f t="shared" si="10"/>
        <v>4360000</v>
      </c>
      <c r="P36" s="347"/>
      <c r="R36" s="990"/>
    </row>
    <row r="37" s="985" customFormat="1" customHeight="1" spans="1:18">
      <c r="A37" s="370"/>
      <c r="B37" s="366" t="s">
        <v>4553</v>
      </c>
      <c r="C37" s="366" t="s">
        <v>4554</v>
      </c>
      <c r="D37" s="342">
        <v>562400</v>
      </c>
      <c r="E37" s="342">
        <v>281200</v>
      </c>
      <c r="F37" s="342">
        <v>210900</v>
      </c>
      <c r="G37" s="342">
        <v>210900</v>
      </c>
      <c r="H37" s="342">
        <v>351500</v>
      </c>
      <c r="I37" s="342">
        <v>421800</v>
      </c>
      <c r="J37" s="342">
        <v>351500</v>
      </c>
      <c r="K37" s="342">
        <v>210356.438582028</v>
      </c>
      <c r="L37" s="342"/>
      <c r="M37" s="342">
        <v>309320</v>
      </c>
      <c r="N37" s="342">
        <v>154660</v>
      </c>
      <c r="O37" s="376">
        <f t="shared" si="10"/>
        <v>3064536.43858203</v>
      </c>
      <c r="P37" s="347"/>
      <c r="R37" s="990"/>
    </row>
    <row r="38" s="985" customFormat="1" customHeight="1" spans="1:18">
      <c r="A38" s="370"/>
      <c r="B38" s="366" t="s">
        <v>4555</v>
      </c>
      <c r="C38" s="366" t="s">
        <v>4556</v>
      </c>
      <c r="D38" s="342">
        <v>426080</v>
      </c>
      <c r="E38" s="342">
        <v>213040</v>
      </c>
      <c r="F38" s="342">
        <v>159780</v>
      </c>
      <c r="G38" s="342">
        <v>159780</v>
      </c>
      <c r="H38" s="342">
        <v>266300</v>
      </c>
      <c r="I38" s="342">
        <v>319560</v>
      </c>
      <c r="J38" s="342">
        <v>266300</v>
      </c>
      <c r="K38" s="342">
        <v>158924.577081616</v>
      </c>
      <c r="L38" s="342"/>
      <c r="M38" s="342">
        <v>234344</v>
      </c>
      <c r="N38" s="342">
        <v>117172</v>
      </c>
      <c r="O38" s="376">
        <f t="shared" si="10"/>
        <v>2321280.57708162</v>
      </c>
      <c r="P38" s="347"/>
      <c r="R38" s="990"/>
    </row>
    <row r="39" s="985" customFormat="1" customHeight="1" spans="1:18">
      <c r="A39" s="370"/>
      <c r="B39" s="366" t="s">
        <v>4557</v>
      </c>
      <c r="C39" s="366" t="s">
        <v>4558</v>
      </c>
      <c r="D39" s="342">
        <v>159600</v>
      </c>
      <c r="E39" s="342">
        <v>79800</v>
      </c>
      <c r="F39" s="342">
        <v>59850</v>
      </c>
      <c r="G39" s="342">
        <v>59850</v>
      </c>
      <c r="H39" s="342">
        <v>99750</v>
      </c>
      <c r="I39" s="342">
        <v>119700</v>
      </c>
      <c r="J39" s="342">
        <v>99750</v>
      </c>
      <c r="K39" s="342">
        <v>60215.1195383347</v>
      </c>
      <c r="L39" s="342"/>
      <c r="M39" s="342">
        <v>87780</v>
      </c>
      <c r="N39" s="342">
        <v>43890</v>
      </c>
      <c r="O39" s="376">
        <f t="shared" si="10"/>
        <v>870185.119538335</v>
      </c>
      <c r="P39" s="347"/>
      <c r="R39" s="990"/>
    </row>
    <row r="40" s="985" customFormat="1" customHeight="1" spans="1:18">
      <c r="A40" s="370"/>
      <c r="B40" s="366" t="s">
        <v>4559</v>
      </c>
      <c r="C40" s="366" t="s">
        <v>4560</v>
      </c>
      <c r="D40" s="342">
        <v>136320</v>
      </c>
      <c r="E40" s="342">
        <v>68160</v>
      </c>
      <c r="F40" s="342">
        <v>51120</v>
      </c>
      <c r="G40" s="342">
        <v>51120</v>
      </c>
      <c r="H40" s="342">
        <v>85200</v>
      </c>
      <c r="I40" s="342">
        <v>102240</v>
      </c>
      <c r="J40" s="342">
        <v>85200</v>
      </c>
      <c r="K40" s="342">
        <v>51431.8615004122</v>
      </c>
      <c r="L40" s="342"/>
      <c r="M40" s="342">
        <v>74976</v>
      </c>
      <c r="N40" s="342">
        <v>37488</v>
      </c>
      <c r="O40" s="376">
        <f t="shared" si="10"/>
        <v>743255.861500412</v>
      </c>
      <c r="P40" s="347"/>
      <c r="R40" s="990"/>
    </row>
    <row r="41" s="985" customFormat="1" customHeight="1" spans="1:18">
      <c r="A41" s="371"/>
      <c r="B41" s="366" t="s">
        <v>4561</v>
      </c>
      <c r="C41" s="366" t="s">
        <v>4533</v>
      </c>
      <c r="D41" s="342">
        <v>71200</v>
      </c>
      <c r="E41" s="342">
        <v>35600</v>
      </c>
      <c r="F41" s="342">
        <v>26700</v>
      </c>
      <c r="G41" s="342">
        <v>26700</v>
      </c>
      <c r="H41" s="342">
        <v>44500</v>
      </c>
      <c r="I41" s="342">
        <v>53400</v>
      </c>
      <c r="J41" s="342">
        <v>44500</v>
      </c>
      <c r="K41" s="342">
        <v>26862.8854080791</v>
      </c>
      <c r="L41" s="342"/>
      <c r="M41" s="342">
        <v>39160</v>
      </c>
      <c r="N41" s="342">
        <v>19580</v>
      </c>
      <c r="O41" s="376">
        <f t="shared" si="10"/>
        <v>388202.885408079</v>
      </c>
      <c r="P41" s="347"/>
      <c r="R41" s="990"/>
    </row>
    <row r="42" s="985" customFormat="1" customHeight="1" spans="1:18">
      <c r="A42" s="369" t="s">
        <v>4562</v>
      </c>
      <c r="B42" s="366" t="s">
        <v>4563</v>
      </c>
      <c r="C42" s="366" t="s">
        <v>4523</v>
      </c>
      <c r="D42" s="342">
        <v>83200</v>
      </c>
      <c r="E42" s="342">
        <v>41600</v>
      </c>
      <c r="F42" s="342">
        <v>31200</v>
      </c>
      <c r="G42" s="342">
        <v>31200</v>
      </c>
      <c r="H42" s="342">
        <v>52000</v>
      </c>
      <c r="I42" s="342">
        <v>62400</v>
      </c>
      <c r="J42" s="342">
        <v>52000</v>
      </c>
      <c r="K42" s="342">
        <v>31390.3380049464</v>
      </c>
      <c r="L42" s="342"/>
      <c r="M42" s="342">
        <v>45760</v>
      </c>
      <c r="N42" s="342">
        <v>22880</v>
      </c>
      <c r="O42" s="376">
        <f t="shared" si="10"/>
        <v>453630.338004946</v>
      </c>
      <c r="P42" s="347"/>
      <c r="R42" s="990"/>
    </row>
    <row r="43" s="985" customFormat="1" customHeight="1" spans="1:18">
      <c r="A43" s="370"/>
      <c r="B43" s="366" t="s">
        <v>4564</v>
      </c>
      <c r="C43" s="366" t="s">
        <v>4513</v>
      </c>
      <c r="D43" s="342">
        <v>83200</v>
      </c>
      <c r="E43" s="342">
        <v>41600</v>
      </c>
      <c r="F43" s="342">
        <v>31200</v>
      </c>
      <c r="G43" s="342">
        <v>31200</v>
      </c>
      <c r="H43" s="342">
        <v>52000</v>
      </c>
      <c r="I43" s="342">
        <v>62400</v>
      </c>
      <c r="J43" s="342">
        <v>52000</v>
      </c>
      <c r="K43" s="342">
        <v>31390.3380049464</v>
      </c>
      <c r="L43" s="342"/>
      <c r="M43" s="342">
        <v>45760</v>
      </c>
      <c r="N43" s="342">
        <v>22880</v>
      </c>
      <c r="O43" s="376">
        <f t="shared" si="10"/>
        <v>453630.338004946</v>
      </c>
      <c r="P43" s="347"/>
      <c r="R43" s="990"/>
    </row>
    <row r="44" s="985" customFormat="1" customHeight="1" spans="1:18">
      <c r="A44" s="370"/>
      <c r="B44" s="366" t="s">
        <v>4565</v>
      </c>
      <c r="C44" s="366" t="s">
        <v>4525</v>
      </c>
      <c r="D44" s="342">
        <v>76400</v>
      </c>
      <c r="E44" s="342">
        <v>38200</v>
      </c>
      <c r="F44" s="342">
        <v>28650</v>
      </c>
      <c r="G44" s="342">
        <v>28650</v>
      </c>
      <c r="H44" s="342">
        <v>47750</v>
      </c>
      <c r="I44" s="342">
        <v>57300</v>
      </c>
      <c r="J44" s="342">
        <v>47750</v>
      </c>
      <c r="K44" s="342">
        <v>28824.7815333883</v>
      </c>
      <c r="L44" s="342"/>
      <c r="M44" s="342">
        <v>42020</v>
      </c>
      <c r="N44" s="342">
        <v>21010</v>
      </c>
      <c r="O44" s="376">
        <f t="shared" si="10"/>
        <v>416554.781533388</v>
      </c>
      <c r="P44" s="347"/>
      <c r="R44" s="990"/>
    </row>
    <row r="45" s="985" customFormat="1" customHeight="1" spans="1:18">
      <c r="A45" s="370"/>
      <c r="B45" s="366" t="s">
        <v>4566</v>
      </c>
      <c r="C45" s="366" t="s">
        <v>4533</v>
      </c>
      <c r="D45" s="342">
        <v>71200</v>
      </c>
      <c r="E45" s="342">
        <v>35600</v>
      </c>
      <c r="F45" s="342">
        <v>26700</v>
      </c>
      <c r="G45" s="342">
        <v>26700</v>
      </c>
      <c r="H45" s="342">
        <v>44500</v>
      </c>
      <c r="I45" s="342">
        <v>53400</v>
      </c>
      <c r="J45" s="342">
        <v>44500</v>
      </c>
      <c r="K45" s="342">
        <v>26862.8854080791</v>
      </c>
      <c r="L45" s="342"/>
      <c r="M45" s="342">
        <v>39160</v>
      </c>
      <c r="N45" s="342">
        <v>19580</v>
      </c>
      <c r="O45" s="376">
        <f t="shared" si="10"/>
        <v>388202.885408079</v>
      </c>
      <c r="P45" s="347"/>
      <c r="R45" s="990"/>
    </row>
    <row r="46" s="985" customFormat="1" customHeight="1" spans="1:18">
      <c r="A46" s="370"/>
      <c r="B46" s="366" t="s">
        <v>4567</v>
      </c>
      <c r="C46" s="366" t="s">
        <v>4518</v>
      </c>
      <c r="D46" s="342">
        <v>83200</v>
      </c>
      <c r="E46" s="342">
        <v>41600</v>
      </c>
      <c r="F46" s="342">
        <v>31200</v>
      </c>
      <c r="G46" s="342">
        <v>31200</v>
      </c>
      <c r="H46" s="342">
        <v>52000</v>
      </c>
      <c r="I46" s="342">
        <v>62400</v>
      </c>
      <c r="J46" s="342">
        <v>52000</v>
      </c>
      <c r="K46" s="342">
        <v>31390.3380049464</v>
      </c>
      <c r="L46" s="342"/>
      <c r="M46" s="342">
        <v>45760</v>
      </c>
      <c r="N46" s="342">
        <v>22880</v>
      </c>
      <c r="O46" s="376">
        <f t="shared" si="10"/>
        <v>453630.338004946</v>
      </c>
      <c r="P46" s="347"/>
      <c r="R46" s="990"/>
    </row>
    <row r="47" s="985" customFormat="1" customHeight="1" spans="1:18">
      <c r="A47" s="371"/>
      <c r="B47" s="366" t="s">
        <v>4568</v>
      </c>
      <c r="C47" s="366" t="s">
        <v>4518</v>
      </c>
      <c r="D47" s="342">
        <v>83200</v>
      </c>
      <c r="E47" s="342">
        <v>41600</v>
      </c>
      <c r="F47" s="342">
        <v>31200</v>
      </c>
      <c r="G47" s="342">
        <v>31200</v>
      </c>
      <c r="H47" s="342">
        <v>52000</v>
      </c>
      <c r="I47" s="342">
        <v>62400</v>
      </c>
      <c r="J47" s="342">
        <v>52000</v>
      </c>
      <c r="K47" s="342">
        <v>31390.3380049464</v>
      </c>
      <c r="L47" s="342"/>
      <c r="M47" s="342">
        <v>45760</v>
      </c>
      <c r="N47" s="342">
        <v>22880</v>
      </c>
      <c r="O47" s="376">
        <f t="shared" si="10"/>
        <v>453630.338004946</v>
      </c>
      <c r="P47" s="347"/>
      <c r="R47" s="990"/>
    </row>
    <row r="48" s="985" customFormat="1" customHeight="1" spans="1:18">
      <c r="A48" s="369" t="s">
        <v>4569</v>
      </c>
      <c r="B48" s="366" t="s">
        <v>4570</v>
      </c>
      <c r="C48" s="366" t="s">
        <v>4571</v>
      </c>
      <c r="D48" s="342">
        <v>166400</v>
      </c>
      <c r="E48" s="342">
        <v>83200</v>
      </c>
      <c r="F48" s="342">
        <v>62400</v>
      </c>
      <c r="G48" s="342">
        <v>62400</v>
      </c>
      <c r="H48" s="342">
        <v>104000</v>
      </c>
      <c r="I48" s="342">
        <v>124800</v>
      </c>
      <c r="J48" s="342">
        <v>104000</v>
      </c>
      <c r="K48" s="342">
        <v>62780.6760098928</v>
      </c>
      <c r="L48" s="342"/>
      <c r="M48" s="342">
        <v>91520</v>
      </c>
      <c r="N48" s="342">
        <v>45760</v>
      </c>
      <c r="O48" s="376">
        <f t="shared" si="10"/>
        <v>907260.676009893</v>
      </c>
      <c r="P48" s="347"/>
      <c r="R48" s="990"/>
    </row>
    <row r="49" s="985" customFormat="1" customHeight="1" spans="1:18">
      <c r="A49" s="370"/>
      <c r="B49" s="366" t="s">
        <v>4572</v>
      </c>
      <c r="C49" s="366" t="s">
        <v>4573</v>
      </c>
      <c r="D49" s="342">
        <v>266480</v>
      </c>
      <c r="E49" s="342">
        <v>133240</v>
      </c>
      <c r="F49" s="342">
        <v>99930</v>
      </c>
      <c r="G49" s="342">
        <v>99930</v>
      </c>
      <c r="H49" s="342">
        <v>166550</v>
      </c>
      <c r="I49" s="342">
        <v>199860</v>
      </c>
      <c r="J49" s="342">
        <v>166550</v>
      </c>
      <c r="K49" s="342">
        <v>98709.4575432811</v>
      </c>
      <c r="L49" s="342"/>
      <c r="M49" s="342">
        <v>146564</v>
      </c>
      <c r="N49" s="342">
        <v>73282</v>
      </c>
      <c r="O49" s="376">
        <f t="shared" si="10"/>
        <v>1451095.45754328</v>
      </c>
      <c r="P49" s="347"/>
      <c r="R49" s="990"/>
    </row>
    <row r="50" s="985" customFormat="1" customHeight="1" spans="1:18">
      <c r="A50" s="370"/>
      <c r="B50" s="366" t="s">
        <v>4574</v>
      </c>
      <c r="C50" s="366" t="s">
        <v>4575</v>
      </c>
      <c r="D50" s="342">
        <v>236400</v>
      </c>
      <c r="E50" s="342">
        <v>118200</v>
      </c>
      <c r="F50" s="342">
        <v>88650</v>
      </c>
      <c r="G50" s="342">
        <v>88650</v>
      </c>
      <c r="H50" s="342">
        <v>147750</v>
      </c>
      <c r="I50" s="342">
        <v>177300</v>
      </c>
      <c r="J50" s="342">
        <v>147750</v>
      </c>
      <c r="K50" s="342">
        <v>87360.6430338005</v>
      </c>
      <c r="L50" s="342"/>
      <c r="M50" s="342">
        <v>130020</v>
      </c>
      <c r="N50" s="342">
        <v>65010</v>
      </c>
      <c r="O50" s="376">
        <f t="shared" si="10"/>
        <v>1287090.6430338</v>
      </c>
      <c r="P50" s="347"/>
      <c r="R50" s="990"/>
    </row>
    <row r="51" s="985" customFormat="1" customHeight="1" spans="1:18">
      <c r="A51" s="370"/>
      <c r="B51" s="366" t="s">
        <v>4576</v>
      </c>
      <c r="C51" s="366" t="s">
        <v>4518</v>
      </c>
      <c r="D51" s="342">
        <v>83200</v>
      </c>
      <c r="E51" s="342">
        <v>41600</v>
      </c>
      <c r="F51" s="342">
        <v>31200</v>
      </c>
      <c r="G51" s="342">
        <v>31200</v>
      </c>
      <c r="H51" s="342">
        <v>52000</v>
      </c>
      <c r="I51" s="342">
        <v>62400</v>
      </c>
      <c r="J51" s="342">
        <v>52000</v>
      </c>
      <c r="K51" s="342">
        <v>31390.3380049464</v>
      </c>
      <c r="L51" s="342"/>
      <c r="M51" s="342">
        <v>45760</v>
      </c>
      <c r="N51" s="342">
        <v>22880</v>
      </c>
      <c r="O51" s="376">
        <f t="shared" si="10"/>
        <v>453630.338004946</v>
      </c>
      <c r="P51" s="347"/>
      <c r="R51" s="990"/>
    </row>
    <row r="52" s="985" customFormat="1" customHeight="1" spans="1:18">
      <c r="A52" s="370"/>
      <c r="B52" s="366" t="s">
        <v>4577</v>
      </c>
      <c r="C52" s="366" t="s">
        <v>4516</v>
      </c>
      <c r="D52" s="342">
        <v>76400</v>
      </c>
      <c r="E52" s="342">
        <v>38200</v>
      </c>
      <c r="F52" s="342">
        <v>28650</v>
      </c>
      <c r="G52" s="342">
        <v>28650</v>
      </c>
      <c r="H52" s="342">
        <v>47750</v>
      </c>
      <c r="I52" s="342">
        <v>57300</v>
      </c>
      <c r="J52" s="342">
        <v>47750</v>
      </c>
      <c r="K52" s="342">
        <v>28824.7815333883</v>
      </c>
      <c r="L52" s="342"/>
      <c r="M52" s="342">
        <v>42020</v>
      </c>
      <c r="N52" s="342">
        <v>21010</v>
      </c>
      <c r="O52" s="376">
        <f t="shared" si="10"/>
        <v>416554.781533388</v>
      </c>
      <c r="P52" s="347"/>
      <c r="R52" s="990"/>
    </row>
    <row r="53" s="985" customFormat="1" customHeight="1" spans="1:18">
      <c r="A53" s="371"/>
      <c r="B53" s="366" t="s">
        <v>4578</v>
      </c>
      <c r="C53" s="366" t="s">
        <v>4529</v>
      </c>
      <c r="D53" s="342">
        <v>23680</v>
      </c>
      <c r="E53" s="342">
        <v>11840</v>
      </c>
      <c r="F53" s="342">
        <v>8880</v>
      </c>
      <c r="G53" s="342">
        <v>8880</v>
      </c>
      <c r="H53" s="342">
        <v>14800</v>
      </c>
      <c r="I53" s="342">
        <v>17760</v>
      </c>
      <c r="J53" s="342">
        <v>14800</v>
      </c>
      <c r="K53" s="342">
        <v>7104</v>
      </c>
      <c r="L53" s="342"/>
      <c r="M53" s="342">
        <v>13024</v>
      </c>
      <c r="N53" s="342">
        <v>6512</v>
      </c>
      <c r="O53" s="376">
        <f t="shared" si="10"/>
        <v>127280</v>
      </c>
      <c r="P53" s="347"/>
      <c r="R53" s="990"/>
    </row>
    <row r="54" s="985" customFormat="1" customHeight="1" spans="1:18">
      <c r="A54" s="369" t="s">
        <v>4579</v>
      </c>
      <c r="B54" s="366" t="s">
        <v>4580</v>
      </c>
      <c r="C54" s="366" t="s">
        <v>4581</v>
      </c>
      <c r="D54" s="342">
        <v>242800</v>
      </c>
      <c r="E54" s="342">
        <v>121400</v>
      </c>
      <c r="F54" s="342">
        <v>91050</v>
      </c>
      <c r="G54" s="342">
        <v>91050</v>
      </c>
      <c r="H54" s="342">
        <v>151750</v>
      </c>
      <c r="I54" s="342">
        <v>182100</v>
      </c>
      <c r="J54" s="342">
        <v>151750</v>
      </c>
      <c r="K54" s="342">
        <v>91605.4575432811</v>
      </c>
      <c r="L54" s="342"/>
      <c r="M54" s="342">
        <v>133540</v>
      </c>
      <c r="N54" s="342">
        <v>66770</v>
      </c>
      <c r="O54" s="376">
        <f t="shared" si="10"/>
        <v>1323815.45754328</v>
      </c>
      <c r="P54" s="347"/>
      <c r="R54" s="990"/>
    </row>
    <row r="55" s="985" customFormat="1" customHeight="1" spans="1:18">
      <c r="A55" s="370"/>
      <c r="B55" s="366" t="s">
        <v>4582</v>
      </c>
      <c r="C55" s="366" t="s">
        <v>4581</v>
      </c>
      <c r="D55" s="342">
        <v>242800</v>
      </c>
      <c r="E55" s="342">
        <v>121400</v>
      </c>
      <c r="F55" s="342">
        <v>91050</v>
      </c>
      <c r="G55" s="342">
        <v>91050</v>
      </c>
      <c r="H55" s="342">
        <v>151750</v>
      </c>
      <c r="I55" s="342">
        <v>182100</v>
      </c>
      <c r="J55" s="342">
        <v>151750</v>
      </c>
      <c r="K55" s="342">
        <v>91605.4575432811</v>
      </c>
      <c r="L55" s="342"/>
      <c r="M55" s="342">
        <v>133540</v>
      </c>
      <c r="N55" s="342">
        <v>66770</v>
      </c>
      <c r="O55" s="376">
        <f t="shared" si="10"/>
        <v>1323815.45754328</v>
      </c>
      <c r="P55" s="347"/>
      <c r="R55" s="990"/>
    </row>
    <row r="56" s="985" customFormat="1" customHeight="1" spans="1:18">
      <c r="A56" s="371"/>
      <c r="B56" s="366" t="s">
        <v>4583</v>
      </c>
      <c r="C56" s="366" t="s">
        <v>4533</v>
      </c>
      <c r="D56" s="342">
        <v>71200</v>
      </c>
      <c r="E56" s="342">
        <v>35600</v>
      </c>
      <c r="F56" s="342">
        <v>26700</v>
      </c>
      <c r="G56" s="342">
        <v>26700</v>
      </c>
      <c r="H56" s="342">
        <v>44500</v>
      </c>
      <c r="I56" s="342">
        <v>53400</v>
      </c>
      <c r="J56" s="342">
        <v>44500</v>
      </c>
      <c r="K56" s="342">
        <v>26862.8854080791</v>
      </c>
      <c r="L56" s="342"/>
      <c r="M56" s="342">
        <v>39160</v>
      </c>
      <c r="N56" s="342">
        <v>19580</v>
      </c>
      <c r="O56" s="376">
        <f t="shared" si="10"/>
        <v>388202.885408079</v>
      </c>
      <c r="P56" s="347"/>
      <c r="R56" s="990"/>
    </row>
    <row r="57" s="985" customFormat="1" customHeight="1" spans="1:18">
      <c r="A57" s="369" t="s">
        <v>4584</v>
      </c>
      <c r="B57" s="366" t="s">
        <v>4585</v>
      </c>
      <c r="C57" s="366" t="s">
        <v>4586</v>
      </c>
      <c r="D57" s="342">
        <v>227760</v>
      </c>
      <c r="E57" s="342">
        <v>113880</v>
      </c>
      <c r="F57" s="342">
        <v>85410</v>
      </c>
      <c r="G57" s="342">
        <v>85410</v>
      </c>
      <c r="H57" s="342">
        <v>142350</v>
      </c>
      <c r="I57" s="342">
        <v>170820</v>
      </c>
      <c r="J57" s="342">
        <v>142350</v>
      </c>
      <c r="K57" s="342">
        <v>85931.0502885408</v>
      </c>
      <c r="L57" s="342"/>
      <c r="M57" s="342">
        <v>125268</v>
      </c>
      <c r="N57" s="342">
        <v>62634</v>
      </c>
      <c r="O57" s="376">
        <f t="shared" si="10"/>
        <v>1241813.05028854</v>
      </c>
      <c r="P57" s="347"/>
      <c r="R57" s="990"/>
    </row>
    <row r="58" s="985" customFormat="1" customHeight="1" spans="1:18">
      <c r="A58" s="370"/>
      <c r="B58" s="366" t="s">
        <v>4587</v>
      </c>
      <c r="C58" s="366" t="s">
        <v>4586</v>
      </c>
      <c r="D58" s="342">
        <v>227760</v>
      </c>
      <c r="E58" s="342">
        <v>113880</v>
      </c>
      <c r="F58" s="342">
        <v>85410</v>
      </c>
      <c r="G58" s="342">
        <v>85410</v>
      </c>
      <c r="H58" s="342">
        <v>142350</v>
      </c>
      <c r="I58" s="342">
        <v>170820</v>
      </c>
      <c r="J58" s="342">
        <v>142350</v>
      </c>
      <c r="K58" s="342">
        <v>85931.0502885408</v>
      </c>
      <c r="L58" s="342"/>
      <c r="M58" s="342">
        <v>125268</v>
      </c>
      <c r="N58" s="342">
        <v>62634</v>
      </c>
      <c r="O58" s="376">
        <f t="shared" si="10"/>
        <v>1241813.05028854</v>
      </c>
      <c r="P58" s="347"/>
      <c r="R58" s="990"/>
    </row>
    <row r="59" s="985" customFormat="1" customHeight="1" spans="1:18">
      <c r="A59" s="370"/>
      <c r="B59" s="366" t="s">
        <v>4588</v>
      </c>
      <c r="C59" s="366" t="s">
        <v>4560</v>
      </c>
      <c r="D59" s="342">
        <v>136320</v>
      </c>
      <c r="E59" s="342">
        <v>68160</v>
      </c>
      <c r="F59" s="342">
        <v>51120</v>
      </c>
      <c r="G59" s="342">
        <v>51120</v>
      </c>
      <c r="H59" s="342">
        <v>85200</v>
      </c>
      <c r="I59" s="342">
        <v>102240</v>
      </c>
      <c r="J59" s="342">
        <v>85200</v>
      </c>
      <c r="K59" s="342">
        <v>51431.8615004122</v>
      </c>
      <c r="L59" s="342"/>
      <c r="M59" s="342">
        <v>74976</v>
      </c>
      <c r="N59" s="342">
        <v>37488</v>
      </c>
      <c r="O59" s="376">
        <f t="shared" si="10"/>
        <v>743255.861500412</v>
      </c>
      <c r="P59" s="347"/>
      <c r="R59" s="990"/>
    </row>
    <row r="60" s="985" customFormat="1" customHeight="1" spans="1:18">
      <c r="A60" s="371"/>
      <c r="B60" s="366" t="s">
        <v>4589</v>
      </c>
      <c r="C60" s="366" t="s">
        <v>4560</v>
      </c>
      <c r="D60" s="342">
        <v>136320</v>
      </c>
      <c r="E60" s="342">
        <v>68160</v>
      </c>
      <c r="F60" s="342">
        <v>51120</v>
      </c>
      <c r="G60" s="342">
        <v>51120</v>
      </c>
      <c r="H60" s="342">
        <v>85200</v>
      </c>
      <c r="I60" s="342">
        <v>102240</v>
      </c>
      <c r="J60" s="342">
        <v>85200</v>
      </c>
      <c r="K60" s="342">
        <v>51431.8615004122</v>
      </c>
      <c r="L60" s="342"/>
      <c r="M60" s="342">
        <v>74976</v>
      </c>
      <c r="N60" s="342">
        <v>37488</v>
      </c>
      <c r="O60" s="376">
        <f t="shared" si="10"/>
        <v>743255.861500412</v>
      </c>
      <c r="P60" s="347"/>
      <c r="R60" s="990"/>
    </row>
    <row r="61" s="985" customFormat="1" customHeight="1" spans="1:18">
      <c r="A61" s="369" t="s">
        <v>4590</v>
      </c>
      <c r="B61" s="366" t="s">
        <v>4591</v>
      </c>
      <c r="C61" s="366" t="s">
        <v>4592</v>
      </c>
      <c r="D61" s="342">
        <v>166400</v>
      </c>
      <c r="E61" s="342">
        <v>83200</v>
      </c>
      <c r="F61" s="342">
        <v>62400</v>
      </c>
      <c r="G61" s="342">
        <v>62400</v>
      </c>
      <c r="H61" s="342">
        <v>104000</v>
      </c>
      <c r="I61" s="342">
        <v>124800</v>
      </c>
      <c r="J61" s="342">
        <v>104000</v>
      </c>
      <c r="K61" s="342">
        <v>62780.6760098928</v>
      </c>
      <c r="L61" s="342"/>
      <c r="M61" s="342">
        <v>91520</v>
      </c>
      <c r="N61" s="342">
        <v>45760</v>
      </c>
      <c r="O61" s="376">
        <f t="shared" si="10"/>
        <v>907260.676009893</v>
      </c>
      <c r="P61" s="347"/>
      <c r="R61" s="990"/>
    </row>
    <row r="62" s="985" customFormat="1" customHeight="1" spans="1:18">
      <c r="A62" s="370"/>
      <c r="B62" s="366" t="s">
        <v>4593</v>
      </c>
      <c r="C62" s="366" t="s">
        <v>4513</v>
      </c>
      <c r="D62" s="342">
        <v>83200</v>
      </c>
      <c r="E62" s="342">
        <v>41600</v>
      </c>
      <c r="F62" s="342">
        <v>31200</v>
      </c>
      <c r="G62" s="342">
        <v>31200</v>
      </c>
      <c r="H62" s="342">
        <v>52000</v>
      </c>
      <c r="I62" s="342">
        <v>62400</v>
      </c>
      <c r="J62" s="342">
        <v>52000</v>
      </c>
      <c r="K62" s="342">
        <v>31390.3380049464</v>
      </c>
      <c r="L62" s="342"/>
      <c r="M62" s="342">
        <v>45760</v>
      </c>
      <c r="N62" s="342">
        <v>22880</v>
      </c>
      <c r="O62" s="376">
        <f t="shared" ref="O62:O93" si="11">SUM(D62:N62)</f>
        <v>453630.338004946</v>
      </c>
      <c r="P62" s="347"/>
      <c r="R62" s="990"/>
    </row>
    <row r="63" s="985" customFormat="1" customHeight="1" spans="1:18">
      <c r="A63" s="370"/>
      <c r="B63" s="366" t="s">
        <v>4594</v>
      </c>
      <c r="C63" s="366" t="s">
        <v>4595</v>
      </c>
      <c r="D63" s="342">
        <v>100080</v>
      </c>
      <c r="E63" s="342">
        <v>50040</v>
      </c>
      <c r="F63" s="342">
        <v>37530</v>
      </c>
      <c r="G63" s="342">
        <v>37530</v>
      </c>
      <c r="H63" s="342">
        <v>62550</v>
      </c>
      <c r="I63" s="342">
        <v>75060</v>
      </c>
      <c r="J63" s="342">
        <v>62550</v>
      </c>
      <c r="K63" s="342">
        <v>35928.7815333883</v>
      </c>
      <c r="L63" s="342"/>
      <c r="M63" s="342">
        <v>55044</v>
      </c>
      <c r="N63" s="342">
        <v>27522</v>
      </c>
      <c r="O63" s="376">
        <f t="shared" si="11"/>
        <v>543834.781533388</v>
      </c>
      <c r="P63" s="347"/>
      <c r="R63" s="990"/>
    </row>
    <row r="64" s="985" customFormat="1" customHeight="1" spans="1:18">
      <c r="A64" s="370"/>
      <c r="B64" s="366" t="s">
        <v>4596</v>
      </c>
      <c r="C64" s="366" t="s">
        <v>4595</v>
      </c>
      <c r="D64" s="342">
        <v>100080</v>
      </c>
      <c r="E64" s="342">
        <v>50040</v>
      </c>
      <c r="F64" s="342">
        <v>37530</v>
      </c>
      <c r="G64" s="342">
        <v>37530</v>
      </c>
      <c r="H64" s="342">
        <v>62550</v>
      </c>
      <c r="I64" s="342">
        <v>75060</v>
      </c>
      <c r="J64" s="342">
        <v>62550</v>
      </c>
      <c r="K64" s="342">
        <v>35928.7815333883</v>
      </c>
      <c r="L64" s="342"/>
      <c r="M64" s="342">
        <v>55044</v>
      </c>
      <c r="N64" s="342">
        <v>27522</v>
      </c>
      <c r="O64" s="376">
        <f t="shared" si="11"/>
        <v>543834.781533388</v>
      </c>
      <c r="P64" s="347"/>
      <c r="R64" s="990"/>
    </row>
    <row r="65" s="985" customFormat="1" customHeight="1" spans="1:18">
      <c r="A65" s="370"/>
      <c r="B65" s="366" t="s">
        <v>4597</v>
      </c>
      <c r="C65" s="366" t="s">
        <v>4598</v>
      </c>
      <c r="D65" s="342">
        <v>326000</v>
      </c>
      <c r="E65" s="342">
        <v>163000</v>
      </c>
      <c r="F65" s="342">
        <v>122250</v>
      </c>
      <c r="G65" s="342">
        <v>122250</v>
      </c>
      <c r="H65" s="342">
        <v>203750</v>
      </c>
      <c r="I65" s="342">
        <v>244500</v>
      </c>
      <c r="J65" s="342">
        <v>203750</v>
      </c>
      <c r="K65" s="342">
        <v>122995.795548228</v>
      </c>
      <c r="L65" s="342"/>
      <c r="M65" s="342">
        <v>179300</v>
      </c>
      <c r="N65" s="342">
        <v>89650</v>
      </c>
      <c r="O65" s="376">
        <f t="shared" si="11"/>
        <v>1777445.79554823</v>
      </c>
      <c r="P65" s="347"/>
      <c r="R65" s="990"/>
    </row>
    <row r="66" s="985" customFormat="1" customHeight="1" spans="1:18">
      <c r="A66" s="371"/>
      <c r="B66" s="366" t="s">
        <v>4599</v>
      </c>
      <c r="C66" s="366" t="s">
        <v>4598</v>
      </c>
      <c r="D66" s="342">
        <v>326000</v>
      </c>
      <c r="E66" s="342">
        <v>163000</v>
      </c>
      <c r="F66" s="342">
        <v>122250</v>
      </c>
      <c r="G66" s="342">
        <v>122250</v>
      </c>
      <c r="H66" s="342">
        <v>203750</v>
      </c>
      <c r="I66" s="342">
        <v>244500</v>
      </c>
      <c r="J66" s="342">
        <v>203750</v>
      </c>
      <c r="K66" s="342">
        <v>122995.795548228</v>
      </c>
      <c r="L66" s="342"/>
      <c r="M66" s="342">
        <v>179300</v>
      </c>
      <c r="N66" s="342">
        <v>89650</v>
      </c>
      <c r="O66" s="376">
        <f t="shared" si="11"/>
        <v>1777445.79554823</v>
      </c>
      <c r="P66" s="347"/>
      <c r="R66" s="990"/>
    </row>
    <row r="67" s="985" customFormat="1" customHeight="1" spans="1:18">
      <c r="A67" s="388" t="s">
        <v>4600</v>
      </c>
      <c r="B67" s="366" t="s">
        <v>4601</v>
      </c>
      <c r="C67" s="366" t="s">
        <v>4546</v>
      </c>
      <c r="D67" s="342">
        <v>716800</v>
      </c>
      <c r="E67" s="342">
        <v>358400</v>
      </c>
      <c r="F67" s="342">
        <v>268800</v>
      </c>
      <c r="G67" s="342">
        <v>268800</v>
      </c>
      <c r="H67" s="342">
        <v>448000</v>
      </c>
      <c r="I67" s="342">
        <v>537600</v>
      </c>
      <c r="J67" s="342">
        <v>448000</v>
      </c>
      <c r="K67" s="342">
        <v>268609.661995054</v>
      </c>
      <c r="L67" s="342"/>
      <c r="M67" s="342">
        <v>394240</v>
      </c>
      <c r="N67" s="342">
        <v>197120</v>
      </c>
      <c r="O67" s="376">
        <f t="shared" si="11"/>
        <v>3906369.66199505</v>
      </c>
      <c r="P67" s="347"/>
      <c r="R67" s="990"/>
    </row>
    <row r="68" s="985" customFormat="1" customHeight="1" spans="1:18">
      <c r="A68" s="369" t="s">
        <v>4602</v>
      </c>
      <c r="B68" s="366" t="s">
        <v>4603</v>
      </c>
      <c r="C68" s="366" t="s">
        <v>4523</v>
      </c>
      <c r="D68" s="342">
        <v>499200</v>
      </c>
      <c r="E68" s="342">
        <v>249600</v>
      </c>
      <c r="F68" s="342">
        <v>187200</v>
      </c>
      <c r="G68" s="342">
        <v>187200</v>
      </c>
      <c r="H68" s="342">
        <v>312000</v>
      </c>
      <c r="I68" s="342">
        <v>374400</v>
      </c>
      <c r="J68" s="342">
        <v>312000</v>
      </c>
      <c r="K68" s="342">
        <v>188342.028029678</v>
      </c>
      <c r="L68" s="342"/>
      <c r="M68" s="342">
        <v>274560</v>
      </c>
      <c r="N68" s="342">
        <v>137280</v>
      </c>
      <c r="O68" s="376">
        <f t="shared" si="11"/>
        <v>2721782.02802968</v>
      </c>
      <c r="P68" s="347"/>
      <c r="R68" s="990"/>
    </row>
    <row r="69" s="985" customFormat="1" customHeight="1" spans="1:18">
      <c r="A69" s="370"/>
      <c r="B69" s="366" t="s">
        <v>4604</v>
      </c>
      <c r="C69" s="366" t="s">
        <v>4523</v>
      </c>
      <c r="D69" s="342">
        <v>499200</v>
      </c>
      <c r="E69" s="342">
        <v>249600</v>
      </c>
      <c r="F69" s="342">
        <v>187200</v>
      </c>
      <c r="G69" s="342">
        <v>187200</v>
      </c>
      <c r="H69" s="342">
        <v>312000</v>
      </c>
      <c r="I69" s="342">
        <v>374400</v>
      </c>
      <c r="J69" s="342">
        <v>312000</v>
      </c>
      <c r="K69" s="342">
        <v>188342.028029678</v>
      </c>
      <c r="L69" s="342"/>
      <c r="M69" s="342">
        <v>274560</v>
      </c>
      <c r="N69" s="342">
        <v>137280</v>
      </c>
      <c r="O69" s="376">
        <f t="shared" si="11"/>
        <v>2721782.02802968</v>
      </c>
      <c r="P69" s="347"/>
      <c r="R69" s="990"/>
    </row>
    <row r="70" s="985" customFormat="1" customHeight="1" spans="1:18">
      <c r="A70" s="370"/>
      <c r="B70" s="366" t="s">
        <v>4605</v>
      </c>
      <c r="C70" s="366" t="s">
        <v>4523</v>
      </c>
      <c r="D70" s="342">
        <v>499200</v>
      </c>
      <c r="E70" s="342">
        <v>249600</v>
      </c>
      <c r="F70" s="342">
        <v>187200</v>
      </c>
      <c r="G70" s="342">
        <v>187200</v>
      </c>
      <c r="H70" s="342">
        <v>312000</v>
      </c>
      <c r="I70" s="342">
        <v>374400</v>
      </c>
      <c r="J70" s="342">
        <v>312000</v>
      </c>
      <c r="K70" s="342">
        <v>188342.028029678</v>
      </c>
      <c r="L70" s="342"/>
      <c r="M70" s="342">
        <v>274560</v>
      </c>
      <c r="N70" s="342">
        <v>137280</v>
      </c>
      <c r="O70" s="376">
        <f t="shared" si="11"/>
        <v>2721782.02802968</v>
      </c>
      <c r="P70" s="347"/>
      <c r="R70" s="990"/>
    </row>
    <row r="71" s="985" customFormat="1" customHeight="1" spans="1:18">
      <c r="A71" s="370"/>
      <c r="B71" s="366" t="s">
        <v>4606</v>
      </c>
      <c r="C71" s="366" t="s">
        <v>4513</v>
      </c>
      <c r="D71" s="342">
        <v>332800</v>
      </c>
      <c r="E71" s="342">
        <v>166400</v>
      </c>
      <c r="F71" s="342">
        <v>124800</v>
      </c>
      <c r="G71" s="342">
        <v>124800</v>
      </c>
      <c r="H71" s="342">
        <v>208000</v>
      </c>
      <c r="I71" s="342">
        <v>249600</v>
      </c>
      <c r="J71" s="342">
        <v>208000</v>
      </c>
      <c r="K71" s="342">
        <v>125561.352019786</v>
      </c>
      <c r="L71" s="342"/>
      <c r="M71" s="342">
        <v>183040</v>
      </c>
      <c r="N71" s="342">
        <v>91520</v>
      </c>
      <c r="O71" s="376">
        <f t="shared" si="11"/>
        <v>1814521.35201979</v>
      </c>
      <c r="P71" s="347"/>
      <c r="R71" s="990"/>
    </row>
    <row r="72" s="985" customFormat="1" customHeight="1" spans="1:18">
      <c r="A72" s="370"/>
      <c r="B72" s="366" t="s">
        <v>4607</v>
      </c>
      <c r="C72" s="366" t="s">
        <v>4520</v>
      </c>
      <c r="D72" s="342">
        <v>68160</v>
      </c>
      <c r="E72" s="342">
        <v>34080</v>
      </c>
      <c r="F72" s="342">
        <v>25560</v>
      </c>
      <c r="G72" s="342">
        <v>25560</v>
      </c>
      <c r="H72" s="342">
        <v>42600</v>
      </c>
      <c r="I72" s="342">
        <v>51120</v>
      </c>
      <c r="J72" s="342">
        <v>42600</v>
      </c>
      <c r="K72" s="342">
        <v>25715.9307502061</v>
      </c>
      <c r="L72" s="342"/>
      <c r="M72" s="342">
        <v>37488</v>
      </c>
      <c r="N72" s="342">
        <v>18744</v>
      </c>
      <c r="O72" s="376">
        <f t="shared" si="11"/>
        <v>371627.930750206</v>
      </c>
      <c r="P72" s="347"/>
      <c r="R72" s="990"/>
    </row>
    <row r="73" s="985" customFormat="1" customHeight="1" spans="1:18">
      <c r="A73" s="370"/>
      <c r="B73" s="366" t="s">
        <v>4608</v>
      </c>
      <c r="C73" s="366" t="s">
        <v>4520</v>
      </c>
      <c r="D73" s="342">
        <v>68160</v>
      </c>
      <c r="E73" s="342">
        <v>34080</v>
      </c>
      <c r="F73" s="342">
        <v>25560</v>
      </c>
      <c r="G73" s="342">
        <v>25560</v>
      </c>
      <c r="H73" s="342">
        <v>42600</v>
      </c>
      <c r="I73" s="342">
        <v>51120</v>
      </c>
      <c r="J73" s="342">
        <v>42600</v>
      </c>
      <c r="K73" s="342">
        <v>25715.9307502061</v>
      </c>
      <c r="L73" s="342"/>
      <c r="M73" s="342">
        <v>37488</v>
      </c>
      <c r="N73" s="342">
        <v>18744</v>
      </c>
      <c r="O73" s="376">
        <f t="shared" si="11"/>
        <v>371627.930750206</v>
      </c>
      <c r="P73" s="347"/>
      <c r="R73" s="990"/>
    </row>
    <row r="74" s="985" customFormat="1" customHeight="1" spans="1:18">
      <c r="A74" s="370"/>
      <c r="B74" s="366" t="s">
        <v>4609</v>
      </c>
      <c r="C74" s="366" t="s">
        <v>4520</v>
      </c>
      <c r="D74" s="342">
        <v>68160</v>
      </c>
      <c r="E74" s="342">
        <v>34080</v>
      </c>
      <c r="F74" s="342">
        <v>25560</v>
      </c>
      <c r="G74" s="342">
        <v>25560</v>
      </c>
      <c r="H74" s="342">
        <v>42600</v>
      </c>
      <c r="I74" s="342">
        <v>51120</v>
      </c>
      <c r="J74" s="342">
        <v>42600</v>
      </c>
      <c r="K74" s="342">
        <v>25715.9307502061</v>
      </c>
      <c r="L74" s="342"/>
      <c r="M74" s="342">
        <v>37488</v>
      </c>
      <c r="N74" s="342">
        <v>18744</v>
      </c>
      <c r="O74" s="376">
        <f t="shared" si="11"/>
        <v>371627.930750206</v>
      </c>
      <c r="P74" s="347"/>
      <c r="R74" s="990"/>
    </row>
    <row r="75" s="985" customFormat="1" customHeight="1" spans="1:18">
      <c r="A75" s="370"/>
      <c r="B75" s="366" t="s">
        <v>4610</v>
      </c>
      <c r="C75" s="366" t="s">
        <v>4523</v>
      </c>
      <c r="D75" s="342">
        <v>83200</v>
      </c>
      <c r="E75" s="342">
        <v>41600</v>
      </c>
      <c r="F75" s="342">
        <v>31200</v>
      </c>
      <c r="G75" s="342">
        <v>31200</v>
      </c>
      <c r="H75" s="342">
        <v>52000</v>
      </c>
      <c r="I75" s="342">
        <v>62400</v>
      </c>
      <c r="J75" s="342">
        <v>52000</v>
      </c>
      <c r="K75" s="342">
        <v>31390.3380049464</v>
      </c>
      <c r="L75" s="342"/>
      <c r="M75" s="342">
        <v>45760</v>
      </c>
      <c r="N75" s="342">
        <v>22880</v>
      </c>
      <c r="O75" s="376">
        <f t="shared" si="11"/>
        <v>453630.338004946</v>
      </c>
      <c r="P75" s="347"/>
      <c r="R75" s="990"/>
    </row>
    <row r="76" s="985" customFormat="1" customHeight="1" spans="1:18">
      <c r="A76" s="371"/>
      <c r="B76" s="366" t="s">
        <v>4611</v>
      </c>
      <c r="C76" s="366" t="s">
        <v>4516</v>
      </c>
      <c r="D76" s="342">
        <v>229200</v>
      </c>
      <c r="E76" s="342">
        <v>114600</v>
      </c>
      <c r="F76" s="342">
        <v>85950</v>
      </c>
      <c r="G76" s="342">
        <v>85950</v>
      </c>
      <c r="H76" s="342">
        <v>143250</v>
      </c>
      <c r="I76" s="342">
        <v>171900</v>
      </c>
      <c r="J76" s="342">
        <v>143250</v>
      </c>
      <c r="K76" s="342">
        <v>86474.3446001649</v>
      </c>
      <c r="L76" s="342"/>
      <c r="M76" s="342">
        <v>126060</v>
      </c>
      <c r="N76" s="342">
        <v>63030</v>
      </c>
      <c r="O76" s="376">
        <f t="shared" si="11"/>
        <v>1249664.34460016</v>
      </c>
      <c r="P76" s="347"/>
      <c r="R76" s="990"/>
    </row>
    <row r="77" s="985" customFormat="1" customHeight="1" spans="1:18">
      <c r="A77" s="369" t="s">
        <v>4612</v>
      </c>
      <c r="B77" s="366" t="s">
        <v>4613</v>
      </c>
      <c r="C77" s="366" t="s">
        <v>4518</v>
      </c>
      <c r="D77" s="342">
        <v>998400</v>
      </c>
      <c r="E77" s="342">
        <v>499200</v>
      </c>
      <c r="F77" s="342">
        <v>374400</v>
      </c>
      <c r="G77" s="342">
        <v>374400</v>
      </c>
      <c r="H77" s="342">
        <v>624000</v>
      </c>
      <c r="I77" s="342">
        <v>748800</v>
      </c>
      <c r="J77" s="342">
        <v>624000</v>
      </c>
      <c r="K77" s="342">
        <v>376684.056059357</v>
      </c>
      <c r="L77" s="342"/>
      <c r="M77" s="342">
        <v>549120</v>
      </c>
      <c r="N77" s="342">
        <v>274560</v>
      </c>
      <c r="O77" s="376">
        <f t="shared" si="11"/>
        <v>5443564.05605936</v>
      </c>
      <c r="P77" s="347"/>
      <c r="R77" s="990"/>
    </row>
    <row r="78" s="985" customFormat="1" customHeight="1" spans="1:18">
      <c r="A78" s="370"/>
      <c r="B78" s="366" t="s">
        <v>4614</v>
      </c>
      <c r="C78" s="366" t="s">
        <v>4518</v>
      </c>
      <c r="D78" s="342">
        <v>166400</v>
      </c>
      <c r="E78" s="342">
        <v>83200</v>
      </c>
      <c r="F78" s="342">
        <v>62400</v>
      </c>
      <c r="G78" s="342">
        <v>62400</v>
      </c>
      <c r="H78" s="342">
        <v>104000</v>
      </c>
      <c r="I78" s="342">
        <v>124800</v>
      </c>
      <c r="J78" s="342">
        <v>104000</v>
      </c>
      <c r="K78" s="342">
        <v>62780.6760098928</v>
      </c>
      <c r="L78" s="342"/>
      <c r="M78" s="342">
        <v>91520</v>
      </c>
      <c r="N78" s="342">
        <v>45760</v>
      </c>
      <c r="O78" s="376">
        <f t="shared" si="11"/>
        <v>907260.676009893</v>
      </c>
      <c r="P78" s="347"/>
      <c r="R78" s="990"/>
    </row>
    <row r="79" s="985" customFormat="1" customHeight="1" spans="1:18">
      <c r="A79" s="370"/>
      <c r="B79" s="366" t="s">
        <v>4615</v>
      </c>
      <c r="C79" s="366" t="s">
        <v>4516</v>
      </c>
      <c r="D79" s="342">
        <v>229200</v>
      </c>
      <c r="E79" s="342">
        <v>114600</v>
      </c>
      <c r="F79" s="342">
        <v>85950</v>
      </c>
      <c r="G79" s="342">
        <v>85950</v>
      </c>
      <c r="H79" s="342">
        <v>143250</v>
      </c>
      <c r="I79" s="342">
        <v>171900</v>
      </c>
      <c r="J79" s="342">
        <v>143250</v>
      </c>
      <c r="K79" s="342">
        <v>86474.3446001649</v>
      </c>
      <c r="L79" s="342"/>
      <c r="M79" s="342">
        <v>126060</v>
      </c>
      <c r="N79" s="342">
        <v>63030</v>
      </c>
      <c r="O79" s="376">
        <f t="shared" si="11"/>
        <v>1249664.34460016</v>
      </c>
      <c r="P79" s="347"/>
      <c r="R79" s="990"/>
    </row>
    <row r="80" s="985" customFormat="1" customHeight="1" spans="1:18">
      <c r="A80" s="370"/>
      <c r="B80" s="366" t="s">
        <v>4616</v>
      </c>
      <c r="C80" s="366" t="s">
        <v>4520</v>
      </c>
      <c r="D80" s="342">
        <v>68160</v>
      </c>
      <c r="E80" s="342">
        <v>34080</v>
      </c>
      <c r="F80" s="342">
        <v>25560</v>
      </c>
      <c r="G80" s="342">
        <v>25560</v>
      </c>
      <c r="H80" s="342">
        <v>42600</v>
      </c>
      <c r="I80" s="342">
        <v>51120</v>
      </c>
      <c r="J80" s="342">
        <v>42600</v>
      </c>
      <c r="K80" s="342">
        <v>25715.9307502061</v>
      </c>
      <c r="L80" s="342"/>
      <c r="M80" s="342">
        <v>37488</v>
      </c>
      <c r="N80" s="342">
        <v>18744</v>
      </c>
      <c r="O80" s="376">
        <f t="shared" si="11"/>
        <v>371627.930750206</v>
      </c>
      <c r="P80" s="347"/>
      <c r="R80" s="990"/>
    </row>
    <row r="81" s="985" customFormat="1" customHeight="1" spans="1:18">
      <c r="A81" s="370"/>
      <c r="B81" s="366" t="s">
        <v>4617</v>
      </c>
      <c r="C81" s="366" t="s">
        <v>4520</v>
      </c>
      <c r="D81" s="342">
        <v>68160</v>
      </c>
      <c r="E81" s="342">
        <v>34080</v>
      </c>
      <c r="F81" s="342">
        <v>25560</v>
      </c>
      <c r="G81" s="342">
        <v>25560</v>
      </c>
      <c r="H81" s="342">
        <v>42600</v>
      </c>
      <c r="I81" s="342">
        <v>51120</v>
      </c>
      <c r="J81" s="342">
        <v>42600</v>
      </c>
      <c r="K81" s="342">
        <v>25715.9307502061</v>
      </c>
      <c r="L81" s="342"/>
      <c r="M81" s="342">
        <v>37488</v>
      </c>
      <c r="N81" s="342">
        <v>18744</v>
      </c>
      <c r="O81" s="376">
        <f t="shared" si="11"/>
        <v>371627.930750206</v>
      </c>
      <c r="P81" s="347"/>
      <c r="R81" s="990"/>
    </row>
    <row r="82" s="985" customFormat="1" customHeight="1" spans="1:18">
      <c r="A82" s="370"/>
      <c r="B82" s="366" t="s">
        <v>4618</v>
      </c>
      <c r="C82" s="366" t="s">
        <v>4520</v>
      </c>
      <c r="D82" s="342">
        <v>68160</v>
      </c>
      <c r="E82" s="342">
        <v>34080</v>
      </c>
      <c r="F82" s="342">
        <v>25560</v>
      </c>
      <c r="G82" s="342">
        <v>25560</v>
      </c>
      <c r="H82" s="342">
        <v>42600</v>
      </c>
      <c r="I82" s="342">
        <v>51120</v>
      </c>
      <c r="J82" s="342">
        <v>42600</v>
      </c>
      <c r="K82" s="342">
        <v>25715.9307502061</v>
      </c>
      <c r="L82" s="342"/>
      <c r="M82" s="342">
        <v>37488</v>
      </c>
      <c r="N82" s="342">
        <v>18744</v>
      </c>
      <c r="O82" s="376">
        <f t="shared" si="11"/>
        <v>371627.930750206</v>
      </c>
      <c r="P82" s="347"/>
      <c r="R82" s="990"/>
    </row>
    <row r="83" s="985" customFormat="1" customHeight="1" spans="1:18">
      <c r="A83" s="370"/>
      <c r="B83" s="366" t="s">
        <v>4619</v>
      </c>
      <c r="C83" s="366" t="s">
        <v>4513</v>
      </c>
      <c r="D83" s="342">
        <v>166400</v>
      </c>
      <c r="E83" s="342">
        <v>83200</v>
      </c>
      <c r="F83" s="342">
        <v>62400</v>
      </c>
      <c r="G83" s="342">
        <v>62400</v>
      </c>
      <c r="H83" s="342">
        <v>104000</v>
      </c>
      <c r="I83" s="342">
        <v>124800</v>
      </c>
      <c r="J83" s="342">
        <v>104000</v>
      </c>
      <c r="K83" s="342">
        <v>62780.6760098928</v>
      </c>
      <c r="L83" s="342"/>
      <c r="M83" s="342">
        <v>91520</v>
      </c>
      <c r="N83" s="342">
        <v>45760</v>
      </c>
      <c r="O83" s="376">
        <f t="shared" si="11"/>
        <v>907260.676009893</v>
      </c>
      <c r="P83" s="347"/>
      <c r="R83" s="990"/>
    </row>
    <row r="84" s="985" customFormat="1" customHeight="1" spans="1:18">
      <c r="A84" s="370"/>
      <c r="B84" s="366" t="s">
        <v>4620</v>
      </c>
      <c r="C84" s="366" t="s">
        <v>4513</v>
      </c>
      <c r="D84" s="342">
        <v>166400</v>
      </c>
      <c r="E84" s="342">
        <v>83200</v>
      </c>
      <c r="F84" s="342">
        <v>62400</v>
      </c>
      <c r="G84" s="342">
        <v>62400</v>
      </c>
      <c r="H84" s="342">
        <v>104000</v>
      </c>
      <c r="I84" s="342">
        <v>124800</v>
      </c>
      <c r="J84" s="342">
        <v>104000</v>
      </c>
      <c r="K84" s="342">
        <v>62780.6760098928</v>
      </c>
      <c r="L84" s="342"/>
      <c r="M84" s="342">
        <v>91520</v>
      </c>
      <c r="N84" s="342">
        <v>45760</v>
      </c>
      <c r="O84" s="376">
        <f t="shared" si="11"/>
        <v>907260.676009893</v>
      </c>
      <c r="P84" s="347"/>
      <c r="R84" s="990"/>
    </row>
    <row r="85" s="985" customFormat="1" customHeight="1" spans="1:18">
      <c r="A85" s="371"/>
      <c r="B85" s="366" t="s">
        <v>4621</v>
      </c>
      <c r="C85" s="366" t="s">
        <v>4513</v>
      </c>
      <c r="D85" s="342">
        <v>166400</v>
      </c>
      <c r="E85" s="342">
        <v>83200</v>
      </c>
      <c r="F85" s="342">
        <v>62400</v>
      </c>
      <c r="G85" s="342">
        <v>62400</v>
      </c>
      <c r="H85" s="342">
        <v>104000</v>
      </c>
      <c r="I85" s="342">
        <v>124800</v>
      </c>
      <c r="J85" s="342">
        <v>104000</v>
      </c>
      <c r="K85" s="342">
        <v>62780.6760098928</v>
      </c>
      <c r="L85" s="342"/>
      <c r="M85" s="342">
        <v>91520</v>
      </c>
      <c r="N85" s="342">
        <v>45760</v>
      </c>
      <c r="O85" s="376">
        <f t="shared" si="11"/>
        <v>907260.676009893</v>
      </c>
      <c r="P85" s="347"/>
      <c r="R85" s="990"/>
    </row>
    <row r="86" s="985" customFormat="1" customHeight="1" spans="1:18">
      <c r="A86" s="369" t="s">
        <v>4622</v>
      </c>
      <c r="B86" s="366" t="s">
        <v>4623</v>
      </c>
      <c r="C86" s="366" t="s">
        <v>4624</v>
      </c>
      <c r="D86" s="342">
        <v>742000</v>
      </c>
      <c r="E86" s="342">
        <v>371000</v>
      </c>
      <c r="F86" s="342">
        <v>278250</v>
      </c>
      <c r="G86" s="342">
        <v>278250</v>
      </c>
      <c r="H86" s="342">
        <v>463750</v>
      </c>
      <c r="I86" s="342">
        <v>556500</v>
      </c>
      <c r="J86" s="342">
        <v>463750</v>
      </c>
      <c r="K86" s="342">
        <v>279947.48557296</v>
      </c>
      <c r="L86" s="342"/>
      <c r="M86" s="342">
        <v>408100</v>
      </c>
      <c r="N86" s="342">
        <v>204050</v>
      </c>
      <c r="O86" s="376">
        <f t="shared" si="11"/>
        <v>4045597.48557296</v>
      </c>
      <c r="P86" s="347"/>
      <c r="R86" s="990"/>
    </row>
    <row r="87" s="985" customFormat="1" customHeight="1" spans="1:18">
      <c r="A87" s="370"/>
      <c r="B87" s="366" t="s">
        <v>4625</v>
      </c>
      <c r="C87" s="366" t="s">
        <v>4626</v>
      </c>
      <c r="D87" s="342">
        <v>1137600</v>
      </c>
      <c r="E87" s="342">
        <v>568800</v>
      </c>
      <c r="F87" s="342">
        <v>426600</v>
      </c>
      <c r="G87" s="342">
        <v>426600</v>
      </c>
      <c r="H87" s="342">
        <v>711000</v>
      </c>
      <c r="I87" s="342">
        <v>853200</v>
      </c>
      <c r="J87" s="342">
        <v>711000</v>
      </c>
      <c r="K87" s="342">
        <v>429202.506183017</v>
      </c>
      <c r="L87" s="342"/>
      <c r="M87" s="342">
        <v>625680</v>
      </c>
      <c r="N87" s="342">
        <v>312840</v>
      </c>
      <c r="O87" s="376">
        <f t="shared" si="11"/>
        <v>6202522.50618302</v>
      </c>
      <c r="P87" s="347"/>
      <c r="R87" s="990"/>
    </row>
    <row r="88" s="985" customFormat="1" customHeight="1" spans="1:18">
      <c r="A88" s="371"/>
      <c r="B88" s="366" t="s">
        <v>4627</v>
      </c>
      <c r="C88" s="366" t="s">
        <v>4527</v>
      </c>
      <c r="D88" s="342">
        <v>832000</v>
      </c>
      <c r="E88" s="342">
        <v>416000</v>
      </c>
      <c r="F88" s="342">
        <v>312000</v>
      </c>
      <c r="G88" s="342">
        <v>312000</v>
      </c>
      <c r="H88" s="342">
        <v>520000</v>
      </c>
      <c r="I88" s="342">
        <v>624000</v>
      </c>
      <c r="J88" s="342">
        <v>520000</v>
      </c>
      <c r="K88" s="342">
        <v>313903.380049464</v>
      </c>
      <c r="L88" s="342"/>
      <c r="M88" s="342">
        <v>457600</v>
      </c>
      <c r="N88" s="342">
        <v>228800</v>
      </c>
      <c r="O88" s="376">
        <f t="shared" si="11"/>
        <v>4536303.38004946</v>
      </c>
      <c r="P88" s="347"/>
      <c r="R88" s="990"/>
    </row>
    <row r="89" s="985" customFormat="1" customHeight="1" spans="1:18">
      <c r="A89" s="369" t="s">
        <v>4628</v>
      </c>
      <c r="B89" s="366" t="s">
        <v>4629</v>
      </c>
      <c r="C89" s="366" t="s">
        <v>4630</v>
      </c>
      <c r="D89" s="342">
        <v>1027200</v>
      </c>
      <c r="E89" s="342">
        <v>513600</v>
      </c>
      <c r="F89" s="342">
        <v>385200</v>
      </c>
      <c r="G89" s="342">
        <v>385200</v>
      </c>
      <c r="H89" s="342">
        <v>642000</v>
      </c>
      <c r="I89" s="342">
        <v>770400</v>
      </c>
      <c r="J89" s="342">
        <v>642000</v>
      </c>
      <c r="K89" s="342">
        <v>387549.942291838</v>
      </c>
      <c r="L89" s="342"/>
      <c r="M89" s="342">
        <v>564960</v>
      </c>
      <c r="N89" s="342">
        <v>282480</v>
      </c>
      <c r="O89" s="376">
        <f t="shared" si="11"/>
        <v>5600589.94229184</v>
      </c>
      <c r="P89" s="347"/>
      <c r="R89" s="990"/>
    </row>
    <row r="90" s="985" customFormat="1" customHeight="1" spans="1:18">
      <c r="A90" s="370"/>
      <c r="B90" s="366" t="s">
        <v>4631</v>
      </c>
      <c r="C90" s="366" t="s">
        <v>4508</v>
      </c>
      <c r="D90" s="342">
        <v>1248000</v>
      </c>
      <c r="E90" s="342">
        <v>624000</v>
      </c>
      <c r="F90" s="342">
        <v>468000</v>
      </c>
      <c r="G90" s="342">
        <v>468000</v>
      </c>
      <c r="H90" s="342">
        <v>780000</v>
      </c>
      <c r="I90" s="342">
        <v>936000</v>
      </c>
      <c r="J90" s="342">
        <v>780000</v>
      </c>
      <c r="K90" s="342">
        <v>470855.070074196</v>
      </c>
      <c r="L90" s="342"/>
      <c r="M90" s="342">
        <v>686400</v>
      </c>
      <c r="N90" s="342">
        <v>343200</v>
      </c>
      <c r="O90" s="376">
        <f t="shared" si="11"/>
        <v>6804455.0700742</v>
      </c>
      <c r="P90" s="347"/>
      <c r="R90" s="990"/>
    </row>
    <row r="91" s="985" customFormat="1" customHeight="1" spans="1:18">
      <c r="A91" s="371"/>
      <c r="B91" s="366" t="s">
        <v>4632</v>
      </c>
      <c r="C91" s="366" t="s">
        <v>4508</v>
      </c>
      <c r="D91" s="342">
        <v>665600</v>
      </c>
      <c r="E91" s="342">
        <v>332800</v>
      </c>
      <c r="F91" s="342">
        <v>249600</v>
      </c>
      <c r="G91" s="342">
        <v>249600</v>
      </c>
      <c r="H91" s="342">
        <v>416000</v>
      </c>
      <c r="I91" s="342">
        <v>499200</v>
      </c>
      <c r="J91" s="342">
        <v>416000</v>
      </c>
      <c r="K91" s="342">
        <v>251122.704039571</v>
      </c>
      <c r="L91" s="342"/>
      <c r="M91" s="342">
        <v>366080</v>
      </c>
      <c r="N91" s="342">
        <v>183040</v>
      </c>
      <c r="O91" s="376">
        <f t="shared" si="11"/>
        <v>3629042.70403957</v>
      </c>
      <c r="P91" s="347"/>
      <c r="R91" s="990"/>
    </row>
    <row r="92" s="985" customFormat="1" customHeight="1" spans="1:18">
      <c r="A92" s="369" t="s">
        <v>4633</v>
      </c>
      <c r="B92" s="366" t="s">
        <v>4634</v>
      </c>
      <c r="C92" s="366" t="s">
        <v>4635</v>
      </c>
      <c r="D92" s="342">
        <v>2122400</v>
      </c>
      <c r="E92" s="342">
        <v>1061200</v>
      </c>
      <c r="F92" s="342">
        <v>795900</v>
      </c>
      <c r="G92" s="342">
        <v>795900</v>
      </c>
      <c r="H92" s="342">
        <v>1326500</v>
      </c>
      <c r="I92" s="342">
        <v>1591800</v>
      </c>
      <c r="J92" s="342">
        <v>1326500</v>
      </c>
      <c r="K92" s="342">
        <v>800755.449299258</v>
      </c>
      <c r="L92" s="342"/>
      <c r="M92" s="342">
        <v>1167320</v>
      </c>
      <c r="N92" s="342">
        <v>583660</v>
      </c>
      <c r="O92" s="376">
        <f t="shared" si="11"/>
        <v>11571935.4492993</v>
      </c>
      <c r="P92" s="347"/>
      <c r="R92" s="990"/>
    </row>
    <row r="93" s="985" customFormat="1" customHeight="1" spans="1:18">
      <c r="A93" s="370"/>
      <c r="B93" s="366" t="s">
        <v>4636</v>
      </c>
      <c r="C93" s="366" t="s">
        <v>4635</v>
      </c>
      <c r="D93" s="342">
        <v>2198800</v>
      </c>
      <c r="E93" s="342">
        <v>1099400</v>
      </c>
      <c r="F93" s="342">
        <v>824550</v>
      </c>
      <c r="G93" s="342">
        <v>824550</v>
      </c>
      <c r="H93" s="342">
        <v>1374250</v>
      </c>
      <c r="I93" s="342">
        <v>1649100</v>
      </c>
      <c r="J93" s="342">
        <v>1374250</v>
      </c>
      <c r="K93" s="342">
        <v>829580.230832646</v>
      </c>
      <c r="L93" s="342"/>
      <c r="M93" s="342">
        <v>1209340</v>
      </c>
      <c r="N93" s="342">
        <v>604670</v>
      </c>
      <c r="O93" s="376">
        <f t="shared" si="11"/>
        <v>11988490.2308326</v>
      </c>
      <c r="P93" s="347"/>
      <c r="R93" s="990"/>
    </row>
    <row r="94" s="985" customFormat="1" customHeight="1" spans="1:18">
      <c r="A94" s="370"/>
      <c r="B94" s="366" t="s">
        <v>4637</v>
      </c>
      <c r="C94" s="366" t="s">
        <v>4635</v>
      </c>
      <c r="D94" s="342">
        <v>2198800</v>
      </c>
      <c r="E94" s="342">
        <v>1099400</v>
      </c>
      <c r="F94" s="342">
        <v>824550</v>
      </c>
      <c r="G94" s="342">
        <v>824550</v>
      </c>
      <c r="H94" s="342">
        <v>1374250</v>
      </c>
      <c r="I94" s="342">
        <v>1649100</v>
      </c>
      <c r="J94" s="342">
        <v>1374250</v>
      </c>
      <c r="K94" s="342">
        <v>829580.230832646</v>
      </c>
      <c r="L94" s="342"/>
      <c r="M94" s="342">
        <v>1209340</v>
      </c>
      <c r="N94" s="342">
        <v>604670</v>
      </c>
      <c r="O94" s="376">
        <f t="shared" ref="O94:O131" si="12">SUM(D94:N94)</f>
        <v>11988490.2308326</v>
      </c>
      <c r="P94" s="347"/>
      <c r="R94" s="990"/>
    </row>
    <row r="95" s="985" customFormat="1" customHeight="1" spans="1:18">
      <c r="A95" s="370"/>
      <c r="B95" s="366" t="s">
        <v>4638</v>
      </c>
      <c r="C95" s="366" t="s">
        <v>4508</v>
      </c>
      <c r="D95" s="342">
        <v>1248000</v>
      </c>
      <c r="E95" s="342">
        <v>624000</v>
      </c>
      <c r="F95" s="342">
        <v>468000</v>
      </c>
      <c r="G95" s="342">
        <v>468000</v>
      </c>
      <c r="H95" s="342">
        <v>780000</v>
      </c>
      <c r="I95" s="342">
        <v>936000</v>
      </c>
      <c r="J95" s="342">
        <v>780000</v>
      </c>
      <c r="K95" s="342">
        <v>470855.070074196</v>
      </c>
      <c r="L95" s="342"/>
      <c r="M95" s="342">
        <v>686400</v>
      </c>
      <c r="N95" s="342">
        <v>343200</v>
      </c>
      <c r="O95" s="376">
        <f t="shared" si="12"/>
        <v>6804455.0700742</v>
      </c>
      <c r="P95" s="347"/>
      <c r="R95" s="990"/>
    </row>
    <row r="96" s="985" customFormat="1" customHeight="1" spans="1:18">
      <c r="A96" s="370"/>
      <c r="B96" s="366" t="s">
        <v>4639</v>
      </c>
      <c r="C96" s="366" t="s">
        <v>4533</v>
      </c>
      <c r="D96" s="342">
        <v>142400</v>
      </c>
      <c r="E96" s="342">
        <v>71200</v>
      </c>
      <c r="F96" s="342">
        <v>53400</v>
      </c>
      <c r="G96" s="342">
        <v>53400</v>
      </c>
      <c r="H96" s="342">
        <v>89000</v>
      </c>
      <c r="I96" s="342">
        <v>106800</v>
      </c>
      <c r="J96" s="342">
        <v>89000</v>
      </c>
      <c r="K96" s="342">
        <v>53725.7708161583</v>
      </c>
      <c r="L96" s="342"/>
      <c r="M96" s="342">
        <v>78320</v>
      </c>
      <c r="N96" s="342">
        <v>39160</v>
      </c>
      <c r="O96" s="376">
        <f t="shared" si="12"/>
        <v>776405.770816158</v>
      </c>
      <c r="P96" s="347"/>
      <c r="R96" s="990"/>
    </row>
    <row r="97" s="985" customFormat="1" customHeight="1" spans="1:18">
      <c r="A97" s="371"/>
      <c r="B97" s="366" t="s">
        <v>4640</v>
      </c>
      <c r="C97" s="366" t="s">
        <v>4529</v>
      </c>
      <c r="D97" s="342">
        <v>47360</v>
      </c>
      <c r="E97" s="342">
        <v>23680</v>
      </c>
      <c r="F97" s="342">
        <v>17760</v>
      </c>
      <c r="G97" s="342">
        <v>17760</v>
      </c>
      <c r="H97" s="342">
        <v>29600</v>
      </c>
      <c r="I97" s="342">
        <v>35520</v>
      </c>
      <c r="J97" s="342">
        <v>29600</v>
      </c>
      <c r="K97" s="342">
        <v>14208</v>
      </c>
      <c r="L97" s="342"/>
      <c r="M97" s="342">
        <v>26048</v>
      </c>
      <c r="N97" s="342">
        <v>13024</v>
      </c>
      <c r="O97" s="376">
        <f t="shared" si="12"/>
        <v>254560</v>
      </c>
      <c r="P97" s="347"/>
      <c r="R97" s="990"/>
    </row>
    <row r="98" s="985" customFormat="1" customHeight="1" spans="1:18">
      <c r="A98" s="369" t="s">
        <v>4641</v>
      </c>
      <c r="B98" s="366" t="s">
        <v>4642</v>
      </c>
      <c r="C98" s="366" t="s">
        <v>4525</v>
      </c>
      <c r="D98" s="342">
        <v>76400</v>
      </c>
      <c r="E98" s="342">
        <v>38200</v>
      </c>
      <c r="F98" s="342">
        <v>28650</v>
      </c>
      <c r="G98" s="342">
        <v>28650</v>
      </c>
      <c r="H98" s="342">
        <v>47750</v>
      </c>
      <c r="I98" s="342">
        <v>57300</v>
      </c>
      <c r="J98" s="342">
        <v>47750</v>
      </c>
      <c r="K98" s="342">
        <v>28824.7815333883</v>
      </c>
      <c r="L98" s="342"/>
      <c r="M98" s="342">
        <v>42020</v>
      </c>
      <c r="N98" s="342">
        <v>21010</v>
      </c>
      <c r="O98" s="376">
        <f t="shared" si="12"/>
        <v>416554.781533388</v>
      </c>
      <c r="P98" s="347"/>
      <c r="R98" s="990"/>
    </row>
    <row r="99" s="985" customFormat="1" customHeight="1" spans="1:18">
      <c r="A99" s="370"/>
      <c r="B99" s="366" t="s">
        <v>4643</v>
      </c>
      <c r="C99" s="366" t="s">
        <v>4525</v>
      </c>
      <c r="D99" s="342">
        <v>152800</v>
      </c>
      <c r="E99" s="342">
        <v>76400</v>
      </c>
      <c r="F99" s="342">
        <v>57300</v>
      </c>
      <c r="G99" s="342">
        <v>57300</v>
      </c>
      <c r="H99" s="342">
        <v>95500</v>
      </c>
      <c r="I99" s="342">
        <v>114600</v>
      </c>
      <c r="J99" s="342">
        <v>95500</v>
      </c>
      <c r="K99" s="342">
        <v>57649.5630667766</v>
      </c>
      <c r="L99" s="342"/>
      <c r="M99" s="342">
        <v>84040</v>
      </c>
      <c r="N99" s="342">
        <v>42020</v>
      </c>
      <c r="O99" s="376">
        <f t="shared" si="12"/>
        <v>833109.563066777</v>
      </c>
      <c r="P99" s="347"/>
      <c r="R99" s="990"/>
    </row>
    <row r="100" s="985" customFormat="1" customHeight="1" spans="1:18">
      <c r="A100" s="370"/>
      <c r="B100" s="366" t="s">
        <v>4644</v>
      </c>
      <c r="C100" s="366" t="s">
        <v>4525</v>
      </c>
      <c r="D100" s="342">
        <v>229200</v>
      </c>
      <c r="E100" s="342">
        <v>114600</v>
      </c>
      <c r="F100" s="342">
        <v>85950</v>
      </c>
      <c r="G100" s="342">
        <v>85950</v>
      </c>
      <c r="H100" s="342">
        <v>143250</v>
      </c>
      <c r="I100" s="342">
        <v>171900</v>
      </c>
      <c r="J100" s="342">
        <v>143250</v>
      </c>
      <c r="K100" s="342">
        <v>86474.3446001649</v>
      </c>
      <c r="L100" s="342"/>
      <c r="M100" s="342">
        <v>126060</v>
      </c>
      <c r="N100" s="342">
        <v>63030</v>
      </c>
      <c r="O100" s="376">
        <f t="shared" si="12"/>
        <v>1249664.34460016</v>
      </c>
      <c r="P100" s="347"/>
      <c r="R100" s="990"/>
    </row>
    <row r="101" s="985" customFormat="1" customHeight="1" spans="1:18">
      <c r="A101" s="370"/>
      <c r="B101" s="366" t="s">
        <v>4645</v>
      </c>
      <c r="C101" s="366" t="s">
        <v>4531</v>
      </c>
      <c r="D101" s="342">
        <v>136320</v>
      </c>
      <c r="E101" s="342">
        <v>68160</v>
      </c>
      <c r="F101" s="342">
        <v>51120</v>
      </c>
      <c r="G101" s="342">
        <v>51120</v>
      </c>
      <c r="H101" s="342">
        <v>85200</v>
      </c>
      <c r="I101" s="342">
        <v>102240</v>
      </c>
      <c r="J101" s="342">
        <v>85200</v>
      </c>
      <c r="K101" s="342">
        <v>51431.8615004122</v>
      </c>
      <c r="L101" s="342"/>
      <c r="M101" s="342">
        <v>74976</v>
      </c>
      <c r="N101" s="342">
        <v>37488</v>
      </c>
      <c r="O101" s="376">
        <f t="shared" si="12"/>
        <v>743255.861500412</v>
      </c>
      <c r="P101" s="347"/>
      <c r="R101" s="990"/>
    </row>
    <row r="102" s="985" customFormat="1" customHeight="1" spans="1:18">
      <c r="A102" s="370"/>
      <c r="B102" s="366" t="s">
        <v>4646</v>
      </c>
      <c r="C102" s="366" t="s">
        <v>4531</v>
      </c>
      <c r="D102" s="342">
        <v>136320</v>
      </c>
      <c r="E102" s="342">
        <v>68160</v>
      </c>
      <c r="F102" s="342">
        <v>51120</v>
      </c>
      <c r="G102" s="342">
        <v>51120</v>
      </c>
      <c r="H102" s="342">
        <v>85200</v>
      </c>
      <c r="I102" s="342">
        <v>102240</v>
      </c>
      <c r="J102" s="342">
        <v>85200</v>
      </c>
      <c r="K102" s="342">
        <v>51431.8615004122</v>
      </c>
      <c r="L102" s="342"/>
      <c r="M102" s="342">
        <v>74976</v>
      </c>
      <c r="N102" s="342">
        <v>37488</v>
      </c>
      <c r="O102" s="376">
        <f t="shared" si="12"/>
        <v>743255.861500412</v>
      </c>
      <c r="P102" s="347"/>
      <c r="R102" s="990"/>
    </row>
    <row r="103" s="985" customFormat="1" customHeight="1" spans="1:18">
      <c r="A103" s="370"/>
      <c r="B103" s="366" t="s">
        <v>4647</v>
      </c>
      <c r="C103" s="366" t="s">
        <v>4531</v>
      </c>
      <c r="D103" s="342">
        <v>136320</v>
      </c>
      <c r="E103" s="342">
        <v>68160</v>
      </c>
      <c r="F103" s="342">
        <v>51120</v>
      </c>
      <c r="G103" s="342">
        <v>51120</v>
      </c>
      <c r="H103" s="342">
        <v>85200</v>
      </c>
      <c r="I103" s="342">
        <v>102240</v>
      </c>
      <c r="J103" s="342">
        <v>85200</v>
      </c>
      <c r="K103" s="342">
        <v>51431.8615004122</v>
      </c>
      <c r="L103" s="342"/>
      <c r="M103" s="342">
        <v>74976</v>
      </c>
      <c r="N103" s="342">
        <v>37488</v>
      </c>
      <c r="O103" s="376">
        <f t="shared" si="12"/>
        <v>743255.861500412</v>
      </c>
      <c r="P103" s="347"/>
      <c r="R103" s="990"/>
    </row>
    <row r="104" s="985" customFormat="1" customHeight="1" spans="1:18">
      <c r="A104" s="370"/>
      <c r="B104" s="366" t="s">
        <v>4648</v>
      </c>
      <c r="C104" s="366" t="s">
        <v>4520</v>
      </c>
      <c r="D104" s="342">
        <v>68160</v>
      </c>
      <c r="E104" s="342">
        <v>34080</v>
      </c>
      <c r="F104" s="342">
        <v>25560</v>
      </c>
      <c r="G104" s="342">
        <v>25560</v>
      </c>
      <c r="H104" s="342">
        <v>42600</v>
      </c>
      <c r="I104" s="342">
        <v>51120</v>
      </c>
      <c r="J104" s="342">
        <v>42600</v>
      </c>
      <c r="K104" s="342">
        <v>25715.9307502061</v>
      </c>
      <c r="L104" s="342"/>
      <c r="M104" s="342">
        <v>37488</v>
      </c>
      <c r="N104" s="342">
        <v>18744</v>
      </c>
      <c r="O104" s="376">
        <f t="shared" si="12"/>
        <v>371627.930750206</v>
      </c>
      <c r="P104" s="347"/>
      <c r="R104" s="990"/>
    </row>
    <row r="105" s="985" customFormat="1" customHeight="1" spans="1:18">
      <c r="A105" s="370"/>
      <c r="B105" s="366" t="s">
        <v>4649</v>
      </c>
      <c r="C105" s="366" t="s">
        <v>4520</v>
      </c>
      <c r="D105" s="342">
        <v>68160</v>
      </c>
      <c r="E105" s="342">
        <v>34080</v>
      </c>
      <c r="F105" s="342">
        <v>25560</v>
      </c>
      <c r="G105" s="342">
        <v>25560</v>
      </c>
      <c r="H105" s="342">
        <v>42600</v>
      </c>
      <c r="I105" s="342">
        <v>51120</v>
      </c>
      <c r="J105" s="342">
        <v>42600</v>
      </c>
      <c r="K105" s="342">
        <v>25715.9307502061</v>
      </c>
      <c r="L105" s="342"/>
      <c r="M105" s="342">
        <v>37488</v>
      </c>
      <c r="N105" s="342">
        <v>18744</v>
      </c>
      <c r="O105" s="376">
        <f t="shared" si="12"/>
        <v>371627.930750206</v>
      </c>
      <c r="P105" s="347"/>
      <c r="R105" s="990"/>
    </row>
    <row r="106" s="985" customFormat="1" customHeight="1" spans="1:18">
      <c r="A106" s="370"/>
      <c r="B106" s="366" t="s">
        <v>4650</v>
      </c>
      <c r="C106" s="366" t="s">
        <v>4520</v>
      </c>
      <c r="D106" s="342">
        <v>68160</v>
      </c>
      <c r="E106" s="342">
        <v>34080</v>
      </c>
      <c r="F106" s="342">
        <v>25560</v>
      </c>
      <c r="G106" s="342">
        <v>25560</v>
      </c>
      <c r="H106" s="342">
        <v>42600</v>
      </c>
      <c r="I106" s="342">
        <v>51120</v>
      </c>
      <c r="J106" s="342">
        <v>42600</v>
      </c>
      <c r="K106" s="342">
        <v>25715.9307502061</v>
      </c>
      <c r="L106" s="342"/>
      <c r="M106" s="342">
        <v>37488</v>
      </c>
      <c r="N106" s="342">
        <v>18744</v>
      </c>
      <c r="O106" s="376">
        <f t="shared" si="12"/>
        <v>371627.930750206</v>
      </c>
      <c r="P106" s="347"/>
      <c r="R106" s="990"/>
    </row>
    <row r="107" s="985" customFormat="1" customHeight="1" spans="1:18">
      <c r="A107" s="370"/>
      <c r="B107" s="366" t="s">
        <v>4651</v>
      </c>
      <c r="C107" s="366" t="s">
        <v>4513</v>
      </c>
      <c r="D107" s="342">
        <v>166400</v>
      </c>
      <c r="E107" s="342">
        <v>83200</v>
      </c>
      <c r="F107" s="342">
        <v>62400</v>
      </c>
      <c r="G107" s="342">
        <v>62400</v>
      </c>
      <c r="H107" s="342">
        <v>104000</v>
      </c>
      <c r="I107" s="342">
        <v>124800</v>
      </c>
      <c r="J107" s="342">
        <v>104000</v>
      </c>
      <c r="K107" s="342">
        <v>62780.6760098928</v>
      </c>
      <c r="L107" s="342"/>
      <c r="M107" s="342">
        <v>91520</v>
      </c>
      <c r="N107" s="342">
        <v>45760</v>
      </c>
      <c r="O107" s="376">
        <f t="shared" si="12"/>
        <v>907260.676009893</v>
      </c>
      <c r="P107" s="347"/>
      <c r="R107" s="990"/>
    </row>
    <row r="108" s="985" customFormat="1" customHeight="1" spans="1:18">
      <c r="A108" s="370"/>
      <c r="B108" s="366" t="s">
        <v>4652</v>
      </c>
      <c r="C108" s="366" t="s">
        <v>4513</v>
      </c>
      <c r="D108" s="342">
        <v>166400</v>
      </c>
      <c r="E108" s="342">
        <v>83200</v>
      </c>
      <c r="F108" s="342">
        <v>62400</v>
      </c>
      <c r="G108" s="342">
        <v>62400</v>
      </c>
      <c r="H108" s="342">
        <v>104000</v>
      </c>
      <c r="I108" s="342">
        <v>124800</v>
      </c>
      <c r="J108" s="342">
        <v>104000</v>
      </c>
      <c r="K108" s="342">
        <v>62780.6760098928</v>
      </c>
      <c r="L108" s="342"/>
      <c r="M108" s="342">
        <v>91520</v>
      </c>
      <c r="N108" s="342">
        <v>45760</v>
      </c>
      <c r="O108" s="376">
        <f t="shared" si="12"/>
        <v>907260.676009893</v>
      </c>
      <c r="P108" s="347"/>
      <c r="R108" s="990"/>
    </row>
    <row r="109" s="985" customFormat="1" customHeight="1" spans="1:18">
      <c r="A109" s="371"/>
      <c r="B109" s="366" t="s">
        <v>4653</v>
      </c>
      <c r="C109" s="366" t="s">
        <v>4513</v>
      </c>
      <c r="D109" s="342">
        <v>166400</v>
      </c>
      <c r="E109" s="342">
        <v>83200</v>
      </c>
      <c r="F109" s="342">
        <v>62400</v>
      </c>
      <c r="G109" s="342">
        <v>62400</v>
      </c>
      <c r="H109" s="342">
        <v>104000</v>
      </c>
      <c r="I109" s="342">
        <v>124800</v>
      </c>
      <c r="J109" s="342">
        <v>104000</v>
      </c>
      <c r="K109" s="342">
        <v>62780.6760098928</v>
      </c>
      <c r="L109" s="342"/>
      <c r="M109" s="342">
        <v>91520</v>
      </c>
      <c r="N109" s="342">
        <v>45760</v>
      </c>
      <c r="O109" s="376">
        <f t="shared" si="12"/>
        <v>907260.676009893</v>
      </c>
      <c r="P109" s="347"/>
      <c r="R109" s="990"/>
    </row>
    <row r="110" s="985" customFormat="1" customHeight="1" spans="1:18">
      <c r="A110" s="369" t="s">
        <v>4654</v>
      </c>
      <c r="B110" s="366" t="s">
        <v>4655</v>
      </c>
      <c r="C110" s="366" t="s">
        <v>4529</v>
      </c>
      <c r="D110" s="342">
        <v>23680</v>
      </c>
      <c r="E110" s="342">
        <v>11840</v>
      </c>
      <c r="F110" s="342">
        <v>8880</v>
      </c>
      <c r="G110" s="342">
        <v>8880</v>
      </c>
      <c r="H110" s="342">
        <v>14800</v>
      </c>
      <c r="I110" s="342">
        <v>17760</v>
      </c>
      <c r="J110" s="342">
        <v>14800</v>
      </c>
      <c r="K110" s="342">
        <v>7104</v>
      </c>
      <c r="L110" s="342"/>
      <c r="M110" s="342">
        <v>13024</v>
      </c>
      <c r="N110" s="342">
        <v>6512</v>
      </c>
      <c r="O110" s="376">
        <f t="shared" si="12"/>
        <v>127280</v>
      </c>
      <c r="P110" s="347"/>
      <c r="R110" s="990"/>
    </row>
    <row r="111" s="985" customFormat="1" customHeight="1" spans="1:18">
      <c r="A111" s="370"/>
      <c r="B111" s="366" t="s">
        <v>4656</v>
      </c>
      <c r="C111" s="366" t="s">
        <v>4529</v>
      </c>
      <c r="D111" s="342">
        <v>23680</v>
      </c>
      <c r="E111" s="342">
        <v>11840</v>
      </c>
      <c r="F111" s="342">
        <v>8880</v>
      </c>
      <c r="G111" s="342">
        <v>8880</v>
      </c>
      <c r="H111" s="342">
        <v>14800</v>
      </c>
      <c r="I111" s="342">
        <v>17760</v>
      </c>
      <c r="J111" s="342">
        <v>14800</v>
      </c>
      <c r="K111" s="342">
        <v>7104</v>
      </c>
      <c r="L111" s="342"/>
      <c r="M111" s="342">
        <v>13024</v>
      </c>
      <c r="N111" s="342">
        <v>6512</v>
      </c>
      <c r="O111" s="376">
        <f t="shared" si="12"/>
        <v>127280</v>
      </c>
      <c r="P111" s="347"/>
      <c r="R111" s="990"/>
    </row>
    <row r="112" s="985" customFormat="1" customHeight="1" spans="1:18">
      <c r="A112" s="370"/>
      <c r="B112" s="366" t="s">
        <v>4657</v>
      </c>
      <c r="C112" s="366" t="s">
        <v>4531</v>
      </c>
      <c r="D112" s="342">
        <v>68160</v>
      </c>
      <c r="E112" s="342">
        <v>34080</v>
      </c>
      <c r="F112" s="342">
        <v>25560</v>
      </c>
      <c r="G112" s="342">
        <v>25560</v>
      </c>
      <c r="H112" s="342">
        <v>42600</v>
      </c>
      <c r="I112" s="342">
        <v>51120</v>
      </c>
      <c r="J112" s="342">
        <v>42600</v>
      </c>
      <c r="K112" s="342">
        <v>25715.9307502061</v>
      </c>
      <c r="L112" s="342"/>
      <c r="M112" s="342">
        <v>37488</v>
      </c>
      <c r="N112" s="342">
        <v>18744</v>
      </c>
      <c r="O112" s="376">
        <f t="shared" si="12"/>
        <v>371627.930750206</v>
      </c>
      <c r="P112" s="347"/>
      <c r="R112" s="990"/>
    </row>
    <row r="113" s="985" customFormat="1" customHeight="1" spans="1:18">
      <c r="A113" s="370"/>
      <c r="B113" s="366" t="s">
        <v>4658</v>
      </c>
      <c r="C113" s="366" t="s">
        <v>4531</v>
      </c>
      <c r="D113" s="342">
        <v>68160</v>
      </c>
      <c r="E113" s="342">
        <v>34080</v>
      </c>
      <c r="F113" s="342">
        <v>25560</v>
      </c>
      <c r="G113" s="342">
        <v>25560</v>
      </c>
      <c r="H113" s="342">
        <v>42600</v>
      </c>
      <c r="I113" s="342">
        <v>51120</v>
      </c>
      <c r="J113" s="342">
        <v>42600</v>
      </c>
      <c r="K113" s="342">
        <v>25715.9307502061</v>
      </c>
      <c r="L113" s="342"/>
      <c r="M113" s="342">
        <v>37488</v>
      </c>
      <c r="N113" s="342">
        <v>18744</v>
      </c>
      <c r="O113" s="376">
        <f t="shared" si="12"/>
        <v>371627.930750206</v>
      </c>
      <c r="P113" s="347"/>
      <c r="R113" s="990"/>
    </row>
    <row r="114" s="985" customFormat="1" customHeight="1" spans="1:18">
      <c r="A114" s="370"/>
      <c r="B114" s="366" t="s">
        <v>4659</v>
      </c>
      <c r="C114" s="366" t="s">
        <v>4533</v>
      </c>
      <c r="D114" s="342">
        <v>71200</v>
      </c>
      <c r="E114" s="342">
        <v>35600</v>
      </c>
      <c r="F114" s="342">
        <v>26700</v>
      </c>
      <c r="G114" s="342">
        <v>26700</v>
      </c>
      <c r="H114" s="342">
        <v>44500</v>
      </c>
      <c r="I114" s="342">
        <v>53400</v>
      </c>
      <c r="J114" s="342">
        <v>44500</v>
      </c>
      <c r="K114" s="342">
        <v>26862.8854080791</v>
      </c>
      <c r="L114" s="342"/>
      <c r="M114" s="342">
        <v>39160</v>
      </c>
      <c r="N114" s="342">
        <v>19580</v>
      </c>
      <c r="O114" s="376">
        <f t="shared" si="12"/>
        <v>388202.885408079</v>
      </c>
      <c r="P114" s="347"/>
      <c r="R114" s="990"/>
    </row>
    <row r="115" s="985" customFormat="1" customHeight="1" spans="1:18">
      <c r="A115" s="370"/>
      <c r="B115" s="366" t="s">
        <v>4660</v>
      </c>
      <c r="C115" s="366" t="s">
        <v>4533</v>
      </c>
      <c r="D115" s="342">
        <v>71200</v>
      </c>
      <c r="E115" s="342">
        <v>35600</v>
      </c>
      <c r="F115" s="342">
        <v>26700</v>
      </c>
      <c r="G115" s="342">
        <v>26700</v>
      </c>
      <c r="H115" s="342">
        <v>44500</v>
      </c>
      <c r="I115" s="342">
        <v>53400</v>
      </c>
      <c r="J115" s="342">
        <v>44500</v>
      </c>
      <c r="K115" s="342">
        <v>26862.8854080791</v>
      </c>
      <c r="L115" s="342"/>
      <c r="M115" s="342">
        <v>39160</v>
      </c>
      <c r="N115" s="342">
        <v>19580</v>
      </c>
      <c r="O115" s="376">
        <f t="shared" si="12"/>
        <v>388202.885408079</v>
      </c>
      <c r="P115" s="347"/>
      <c r="R115" s="990"/>
    </row>
    <row r="116" s="985" customFormat="1" customHeight="1" spans="1:18">
      <c r="A116" s="371"/>
      <c r="B116" s="366" t="s">
        <v>4661</v>
      </c>
      <c r="C116" s="366" t="s">
        <v>4533</v>
      </c>
      <c r="D116" s="342">
        <v>71200</v>
      </c>
      <c r="E116" s="342">
        <v>35600</v>
      </c>
      <c r="F116" s="342">
        <v>26700</v>
      </c>
      <c r="G116" s="342">
        <v>26700</v>
      </c>
      <c r="H116" s="342">
        <v>44500</v>
      </c>
      <c r="I116" s="342">
        <v>53400</v>
      </c>
      <c r="J116" s="342">
        <v>44500</v>
      </c>
      <c r="K116" s="342">
        <v>26862.8854080791</v>
      </c>
      <c r="L116" s="342"/>
      <c r="M116" s="342">
        <v>39160</v>
      </c>
      <c r="N116" s="342">
        <v>19580</v>
      </c>
      <c r="O116" s="376">
        <f t="shared" si="12"/>
        <v>388202.885408079</v>
      </c>
      <c r="P116" s="347"/>
      <c r="R116" s="990"/>
    </row>
    <row r="117" s="985" customFormat="1" customHeight="1" spans="1:18">
      <c r="A117" s="369" t="s">
        <v>4662</v>
      </c>
      <c r="B117" s="366" t="s">
        <v>4663</v>
      </c>
      <c r="C117" s="366" t="s">
        <v>4571</v>
      </c>
      <c r="D117" s="342">
        <v>332800</v>
      </c>
      <c r="E117" s="342">
        <v>166400</v>
      </c>
      <c r="F117" s="342">
        <v>124800</v>
      </c>
      <c r="G117" s="342">
        <v>124800</v>
      </c>
      <c r="H117" s="342">
        <v>208000</v>
      </c>
      <c r="I117" s="342">
        <v>249600</v>
      </c>
      <c r="J117" s="342">
        <v>208000</v>
      </c>
      <c r="K117" s="342">
        <v>125561.352019786</v>
      </c>
      <c r="L117" s="342"/>
      <c r="M117" s="342">
        <v>183040</v>
      </c>
      <c r="N117" s="342">
        <v>91520</v>
      </c>
      <c r="O117" s="376">
        <f t="shared" si="12"/>
        <v>1814521.35201979</v>
      </c>
      <c r="P117" s="347"/>
      <c r="R117" s="990"/>
    </row>
    <row r="118" s="985" customFormat="1" customHeight="1" spans="1:18">
      <c r="A118" s="370"/>
      <c r="B118" s="366" t="s">
        <v>4664</v>
      </c>
      <c r="C118" s="366" t="s">
        <v>4516</v>
      </c>
      <c r="D118" s="342">
        <v>152800</v>
      </c>
      <c r="E118" s="342">
        <v>76400</v>
      </c>
      <c r="F118" s="342">
        <v>57300</v>
      </c>
      <c r="G118" s="342">
        <v>57300</v>
      </c>
      <c r="H118" s="342">
        <v>95500</v>
      </c>
      <c r="I118" s="342">
        <v>114600</v>
      </c>
      <c r="J118" s="342">
        <v>95500</v>
      </c>
      <c r="K118" s="342">
        <v>57649.5630667766</v>
      </c>
      <c r="L118" s="342"/>
      <c r="M118" s="342">
        <v>84040</v>
      </c>
      <c r="N118" s="342">
        <v>42020</v>
      </c>
      <c r="O118" s="376">
        <f t="shared" si="12"/>
        <v>833109.563066777</v>
      </c>
      <c r="P118" s="347"/>
      <c r="R118" s="990"/>
    </row>
    <row r="119" s="985" customFormat="1" customHeight="1" spans="1:18">
      <c r="A119" s="370"/>
      <c r="B119" s="366" t="s">
        <v>4665</v>
      </c>
      <c r="C119" s="366" t="s">
        <v>4533</v>
      </c>
      <c r="D119" s="342">
        <v>71200</v>
      </c>
      <c r="E119" s="342">
        <v>35600</v>
      </c>
      <c r="F119" s="342">
        <v>26700</v>
      </c>
      <c r="G119" s="342">
        <v>26700</v>
      </c>
      <c r="H119" s="342">
        <v>44500</v>
      </c>
      <c r="I119" s="342">
        <v>53400</v>
      </c>
      <c r="J119" s="342">
        <v>44500</v>
      </c>
      <c r="K119" s="342">
        <v>26862.8854080791</v>
      </c>
      <c r="L119" s="342"/>
      <c r="M119" s="342">
        <v>39160</v>
      </c>
      <c r="N119" s="342">
        <v>19580</v>
      </c>
      <c r="O119" s="376">
        <f t="shared" si="12"/>
        <v>388202.885408079</v>
      </c>
      <c r="P119" s="347"/>
      <c r="R119" s="990"/>
    </row>
    <row r="120" s="985" customFormat="1" customHeight="1" spans="1:18">
      <c r="A120" s="370"/>
      <c r="B120" s="366" t="s">
        <v>4606</v>
      </c>
      <c r="C120" s="366" t="s">
        <v>4518</v>
      </c>
      <c r="D120" s="342">
        <v>83200</v>
      </c>
      <c r="E120" s="342">
        <v>41600</v>
      </c>
      <c r="F120" s="342">
        <v>31200</v>
      </c>
      <c r="G120" s="342">
        <v>31200</v>
      </c>
      <c r="H120" s="342">
        <v>52000</v>
      </c>
      <c r="I120" s="342">
        <v>62400</v>
      </c>
      <c r="J120" s="342">
        <v>52000</v>
      </c>
      <c r="K120" s="342">
        <v>31390.3380049464</v>
      </c>
      <c r="L120" s="342"/>
      <c r="M120" s="342">
        <v>45760</v>
      </c>
      <c r="N120" s="342">
        <v>22880</v>
      </c>
      <c r="O120" s="376">
        <f t="shared" si="12"/>
        <v>453630.338004946</v>
      </c>
      <c r="P120" s="347"/>
      <c r="R120" s="990"/>
    </row>
    <row r="121" s="985" customFormat="1" customHeight="1" spans="1:18">
      <c r="A121" s="371"/>
      <c r="B121" s="366" t="s">
        <v>4666</v>
      </c>
      <c r="C121" s="366" t="s">
        <v>4529</v>
      </c>
      <c r="D121" s="342">
        <v>592000</v>
      </c>
      <c r="E121" s="342">
        <v>296000</v>
      </c>
      <c r="F121" s="342">
        <v>222000</v>
      </c>
      <c r="G121" s="342">
        <v>222000</v>
      </c>
      <c r="H121" s="342">
        <v>370000</v>
      </c>
      <c r="I121" s="342">
        <v>444000</v>
      </c>
      <c r="J121" s="342">
        <v>370000</v>
      </c>
      <c r="K121" s="342">
        <v>177600</v>
      </c>
      <c r="L121" s="342"/>
      <c r="M121" s="342">
        <v>325600</v>
      </c>
      <c r="N121" s="342">
        <v>162800</v>
      </c>
      <c r="O121" s="376">
        <f t="shared" si="12"/>
        <v>3182000</v>
      </c>
      <c r="P121" s="347"/>
      <c r="R121" s="990"/>
    </row>
    <row r="122" s="985" customFormat="1" customHeight="1" spans="1:18">
      <c r="A122" s="369" t="s">
        <v>4667</v>
      </c>
      <c r="B122" s="366" t="s">
        <v>4668</v>
      </c>
      <c r="C122" s="366" t="s">
        <v>4669</v>
      </c>
      <c r="D122" s="342">
        <v>538720</v>
      </c>
      <c r="E122" s="342">
        <v>269360</v>
      </c>
      <c r="F122" s="342">
        <v>202020</v>
      </c>
      <c r="G122" s="342">
        <v>202020</v>
      </c>
      <c r="H122" s="342">
        <v>336700</v>
      </c>
      <c r="I122" s="342">
        <v>404040</v>
      </c>
      <c r="J122" s="342">
        <v>336700</v>
      </c>
      <c r="K122" s="342">
        <v>203252.438582028</v>
      </c>
      <c r="L122" s="342"/>
      <c r="M122" s="342">
        <v>296296</v>
      </c>
      <c r="N122" s="342">
        <v>148148</v>
      </c>
      <c r="O122" s="376">
        <f t="shared" si="12"/>
        <v>2937256.43858203</v>
      </c>
      <c r="P122" s="347"/>
      <c r="R122" s="990"/>
    </row>
    <row r="123" s="985" customFormat="1" customHeight="1" spans="1:18">
      <c r="A123" s="371"/>
      <c r="B123" s="366" t="s">
        <v>4670</v>
      </c>
      <c r="C123" s="366" t="s">
        <v>4533</v>
      </c>
      <c r="D123" s="342">
        <v>71200</v>
      </c>
      <c r="E123" s="342">
        <v>35600</v>
      </c>
      <c r="F123" s="342">
        <v>26700</v>
      </c>
      <c r="G123" s="342">
        <v>26700</v>
      </c>
      <c r="H123" s="342">
        <v>44500</v>
      </c>
      <c r="I123" s="342">
        <v>53400</v>
      </c>
      <c r="J123" s="342">
        <v>44500</v>
      </c>
      <c r="K123" s="342">
        <v>26862.8854080791</v>
      </c>
      <c r="L123" s="342"/>
      <c r="M123" s="342">
        <v>39160</v>
      </c>
      <c r="N123" s="342">
        <v>19580</v>
      </c>
      <c r="O123" s="376">
        <f t="shared" si="12"/>
        <v>388202.885408079</v>
      </c>
      <c r="P123" s="347"/>
      <c r="R123" s="990"/>
    </row>
    <row r="124" s="985" customFormat="1" customHeight="1" spans="1:18">
      <c r="A124" s="388" t="s">
        <v>4671</v>
      </c>
      <c r="B124" s="366" t="s">
        <v>4672</v>
      </c>
      <c r="C124" s="366" t="s">
        <v>4598</v>
      </c>
      <c r="D124" s="342">
        <v>326000</v>
      </c>
      <c r="E124" s="342">
        <v>163000</v>
      </c>
      <c r="F124" s="342">
        <v>122250</v>
      </c>
      <c r="G124" s="342">
        <v>122250</v>
      </c>
      <c r="H124" s="342">
        <v>203750</v>
      </c>
      <c r="I124" s="342">
        <v>244500</v>
      </c>
      <c r="J124" s="342">
        <v>203750</v>
      </c>
      <c r="K124" s="342">
        <v>122995.795548228</v>
      </c>
      <c r="L124" s="342"/>
      <c r="M124" s="342">
        <v>179300</v>
      </c>
      <c r="N124" s="342">
        <v>89650</v>
      </c>
      <c r="O124" s="376">
        <f t="shared" si="12"/>
        <v>1777445.79554823</v>
      </c>
      <c r="P124" s="347"/>
      <c r="R124" s="990"/>
    </row>
    <row r="125" s="985" customFormat="1" customHeight="1" spans="1:18">
      <c r="A125" s="388" t="s">
        <v>4673</v>
      </c>
      <c r="B125" s="366" t="s">
        <v>4674</v>
      </c>
      <c r="C125" s="366" t="s">
        <v>4581</v>
      </c>
      <c r="D125" s="342">
        <v>242800</v>
      </c>
      <c r="E125" s="342">
        <v>121400</v>
      </c>
      <c r="F125" s="342">
        <v>91050</v>
      </c>
      <c r="G125" s="342">
        <v>91050</v>
      </c>
      <c r="H125" s="342">
        <v>151750</v>
      </c>
      <c r="I125" s="342">
        <v>182100</v>
      </c>
      <c r="J125" s="342">
        <v>151750</v>
      </c>
      <c r="K125" s="342">
        <v>91605.4575432811</v>
      </c>
      <c r="L125" s="342"/>
      <c r="M125" s="342">
        <v>133540</v>
      </c>
      <c r="N125" s="342">
        <v>66770</v>
      </c>
      <c r="O125" s="376">
        <f t="shared" si="12"/>
        <v>1323815.45754328</v>
      </c>
      <c r="P125" s="347"/>
      <c r="R125" s="990"/>
    </row>
    <row r="126" s="985" customFormat="1" customHeight="1" spans="1:18">
      <c r="A126" s="388" t="s">
        <v>4675</v>
      </c>
      <c r="B126" s="366" t="s">
        <v>4676</v>
      </c>
      <c r="C126" s="366" t="s">
        <v>4560</v>
      </c>
      <c r="D126" s="342">
        <v>136320</v>
      </c>
      <c r="E126" s="342">
        <v>68160</v>
      </c>
      <c r="F126" s="342">
        <v>51120</v>
      </c>
      <c r="G126" s="342">
        <v>51120</v>
      </c>
      <c r="H126" s="342">
        <v>85200</v>
      </c>
      <c r="I126" s="342">
        <v>102240</v>
      </c>
      <c r="J126" s="342">
        <v>85200</v>
      </c>
      <c r="K126" s="342">
        <v>51431.8615004122</v>
      </c>
      <c r="L126" s="342"/>
      <c r="M126" s="342">
        <v>74976</v>
      </c>
      <c r="N126" s="342">
        <v>37488</v>
      </c>
      <c r="O126" s="376">
        <f t="shared" si="12"/>
        <v>743255.861500412</v>
      </c>
      <c r="P126" s="347"/>
      <c r="R126" s="990"/>
    </row>
    <row r="127" s="985" customFormat="1" customHeight="1" spans="1:18">
      <c r="A127" s="388" t="s">
        <v>4677</v>
      </c>
      <c r="B127" s="366" t="s">
        <v>4678</v>
      </c>
      <c r="C127" s="366" t="s">
        <v>4586</v>
      </c>
      <c r="D127" s="342">
        <v>227760</v>
      </c>
      <c r="E127" s="342">
        <v>113880</v>
      </c>
      <c r="F127" s="342">
        <v>85410</v>
      </c>
      <c r="G127" s="342">
        <v>85410</v>
      </c>
      <c r="H127" s="342">
        <v>142350</v>
      </c>
      <c r="I127" s="342">
        <v>170820</v>
      </c>
      <c r="J127" s="342">
        <v>142350</v>
      </c>
      <c r="K127" s="342">
        <v>85931.0502885408</v>
      </c>
      <c r="L127" s="342"/>
      <c r="M127" s="342">
        <v>125268</v>
      </c>
      <c r="N127" s="342">
        <v>62634</v>
      </c>
      <c r="O127" s="376">
        <f t="shared" si="12"/>
        <v>1241813.05028854</v>
      </c>
      <c r="P127" s="347"/>
      <c r="R127" s="990"/>
    </row>
    <row r="128" s="985" customFormat="1" customHeight="1" spans="1:18">
      <c r="A128" s="388" t="s">
        <v>4679</v>
      </c>
      <c r="B128" s="366" t="s">
        <v>4680</v>
      </c>
      <c r="C128" s="366" t="s">
        <v>4595</v>
      </c>
      <c r="D128" s="342">
        <v>100080</v>
      </c>
      <c r="E128" s="342">
        <v>50040</v>
      </c>
      <c r="F128" s="342">
        <v>37530</v>
      </c>
      <c r="G128" s="342">
        <v>37530</v>
      </c>
      <c r="H128" s="342">
        <v>62550</v>
      </c>
      <c r="I128" s="342">
        <v>75060</v>
      </c>
      <c r="J128" s="342">
        <v>62550</v>
      </c>
      <c r="K128" s="342">
        <v>35928.7815333883</v>
      </c>
      <c r="L128" s="342"/>
      <c r="M128" s="342">
        <v>55044</v>
      </c>
      <c r="N128" s="342">
        <v>27522</v>
      </c>
      <c r="O128" s="376">
        <f t="shared" si="12"/>
        <v>543834.781533388</v>
      </c>
      <c r="P128" s="347"/>
      <c r="R128" s="990"/>
    </row>
    <row r="129" s="985" customFormat="1" customHeight="1" spans="1:18">
      <c r="A129" s="388" t="s">
        <v>4681</v>
      </c>
      <c r="B129" s="366" t="s">
        <v>4682</v>
      </c>
      <c r="C129" s="366" t="s">
        <v>4592</v>
      </c>
      <c r="D129" s="342">
        <v>166400</v>
      </c>
      <c r="E129" s="342">
        <v>83200</v>
      </c>
      <c r="F129" s="342">
        <v>62400</v>
      </c>
      <c r="G129" s="342">
        <v>62400</v>
      </c>
      <c r="H129" s="342">
        <v>104000</v>
      </c>
      <c r="I129" s="342">
        <v>124800</v>
      </c>
      <c r="J129" s="342">
        <v>104000</v>
      </c>
      <c r="K129" s="342">
        <v>62780.6760098928</v>
      </c>
      <c r="L129" s="342"/>
      <c r="M129" s="342">
        <v>91520</v>
      </c>
      <c r="N129" s="342">
        <v>45760</v>
      </c>
      <c r="O129" s="376">
        <f t="shared" si="12"/>
        <v>907260.676009893</v>
      </c>
      <c r="P129" s="347"/>
      <c r="R129" s="990"/>
    </row>
    <row r="130" s="985" customFormat="1" customHeight="1" spans="1:18">
      <c r="A130" s="388" t="s">
        <v>4683</v>
      </c>
      <c r="B130" s="366" t="s">
        <v>4684</v>
      </c>
      <c r="C130" s="366" t="s">
        <v>4513</v>
      </c>
      <c r="D130" s="342">
        <v>83200</v>
      </c>
      <c r="E130" s="342">
        <v>41600</v>
      </c>
      <c r="F130" s="342">
        <v>31200</v>
      </c>
      <c r="G130" s="342">
        <v>31200</v>
      </c>
      <c r="H130" s="342">
        <v>52000</v>
      </c>
      <c r="I130" s="342">
        <v>62400</v>
      </c>
      <c r="J130" s="342">
        <v>52000</v>
      </c>
      <c r="K130" s="342">
        <v>31390.3380049464</v>
      </c>
      <c r="L130" s="342"/>
      <c r="M130" s="342">
        <v>45760</v>
      </c>
      <c r="N130" s="342">
        <v>22880</v>
      </c>
      <c r="O130" s="376">
        <f t="shared" si="12"/>
        <v>453630.338004946</v>
      </c>
      <c r="P130" s="347"/>
      <c r="R130" s="990"/>
    </row>
    <row r="131" s="985" customFormat="1" customHeight="1" spans="1:18">
      <c r="A131" s="388" t="s">
        <v>4685</v>
      </c>
      <c r="B131" s="366" t="s">
        <v>4686</v>
      </c>
      <c r="C131" s="366" t="s">
        <v>4533</v>
      </c>
      <c r="D131" s="342">
        <v>71200</v>
      </c>
      <c r="E131" s="342">
        <v>35600</v>
      </c>
      <c r="F131" s="342">
        <v>26700</v>
      </c>
      <c r="G131" s="342">
        <v>26700</v>
      </c>
      <c r="H131" s="342">
        <v>44500</v>
      </c>
      <c r="I131" s="342">
        <v>53400</v>
      </c>
      <c r="J131" s="342">
        <v>44500</v>
      </c>
      <c r="K131" s="342">
        <v>26862.8854080791</v>
      </c>
      <c r="L131" s="342"/>
      <c r="M131" s="342">
        <v>39160</v>
      </c>
      <c r="N131" s="342">
        <v>19580</v>
      </c>
      <c r="O131" s="376">
        <f t="shared" si="12"/>
        <v>388202.885408079</v>
      </c>
      <c r="P131" s="347"/>
      <c r="R131" s="990"/>
    </row>
    <row r="132" s="985" customFormat="1" customHeight="1" spans="1:18">
      <c r="A132" s="343"/>
      <c r="B132" s="344"/>
      <c r="C132" s="352" t="s">
        <v>4687</v>
      </c>
      <c r="D132" s="345">
        <f t="shared" ref="D132:O132" si="13">SUM(D29:D131)</f>
        <v>34995200</v>
      </c>
      <c r="E132" s="345">
        <f t="shared" si="13"/>
        <v>17497600</v>
      </c>
      <c r="F132" s="345">
        <f t="shared" si="13"/>
        <v>13123200</v>
      </c>
      <c r="G132" s="345">
        <f t="shared" si="13"/>
        <v>13123200</v>
      </c>
      <c r="H132" s="345">
        <f t="shared" si="13"/>
        <v>21872000</v>
      </c>
      <c r="I132" s="345">
        <f t="shared" si="13"/>
        <v>26246400</v>
      </c>
      <c r="J132" s="345">
        <f t="shared" si="13"/>
        <v>21872000</v>
      </c>
      <c r="K132" s="345">
        <f t="shared" si="13"/>
        <v>13119071.1294312</v>
      </c>
      <c r="L132" s="345">
        <f t="shared" si="13"/>
        <v>0</v>
      </c>
      <c r="M132" s="345">
        <f t="shared" si="13"/>
        <v>19247360</v>
      </c>
      <c r="N132" s="345">
        <f t="shared" si="13"/>
        <v>9623680</v>
      </c>
      <c r="O132" s="345">
        <f t="shared" si="13"/>
        <v>190719711.129431</v>
      </c>
      <c r="P132" s="378"/>
      <c r="R132" s="990"/>
    </row>
    <row r="133" s="985" customFormat="1" customHeight="1" spans="1:18">
      <c r="A133" s="388" t="s">
        <v>4551</v>
      </c>
      <c r="B133" s="366" t="s">
        <v>4552</v>
      </c>
      <c r="C133" s="366" t="s">
        <v>4543</v>
      </c>
      <c r="D133" s="342">
        <v>30000</v>
      </c>
      <c r="E133" s="342">
        <v>10000</v>
      </c>
      <c r="F133" s="342"/>
      <c r="G133" s="342">
        <v>15000</v>
      </c>
      <c r="H133" s="342">
        <v>15000</v>
      </c>
      <c r="I133" s="342">
        <v>10000</v>
      </c>
      <c r="J133" s="342">
        <v>0</v>
      </c>
      <c r="K133" s="342">
        <v>-21500</v>
      </c>
      <c r="L133" s="342"/>
      <c r="M133" s="342"/>
      <c r="N133" s="342"/>
      <c r="O133" s="376">
        <f>SUM(D133:N133)</f>
        <v>58500</v>
      </c>
      <c r="P133" s="389" t="s">
        <v>4688</v>
      </c>
      <c r="R133" s="990"/>
    </row>
    <row r="134" s="985" customFormat="1" customHeight="1" spans="1:18">
      <c r="A134" s="388" t="s">
        <v>4569</v>
      </c>
      <c r="B134" s="366" t="s">
        <v>4570</v>
      </c>
      <c r="C134" s="366" t="s">
        <v>4571</v>
      </c>
      <c r="D134" s="342">
        <v>30000</v>
      </c>
      <c r="E134" s="342">
        <v>10000</v>
      </c>
      <c r="F134" s="342"/>
      <c r="G134" s="342">
        <v>15000</v>
      </c>
      <c r="H134" s="342">
        <v>15000</v>
      </c>
      <c r="I134" s="342">
        <v>10000</v>
      </c>
      <c r="J134" s="342">
        <v>0</v>
      </c>
      <c r="K134" s="342">
        <v>-21500</v>
      </c>
      <c r="L134" s="342"/>
      <c r="M134" s="342"/>
      <c r="N134" s="342"/>
      <c r="O134" s="376">
        <f t="shared" ref="O134:O141" si="14">SUM(D134:N134)</f>
        <v>58500</v>
      </c>
      <c r="P134" s="390"/>
      <c r="R134" s="990"/>
    </row>
    <row r="135" s="985" customFormat="1" customHeight="1" spans="1:18">
      <c r="A135" s="388" t="s">
        <v>4569</v>
      </c>
      <c r="B135" s="366" t="s">
        <v>4572</v>
      </c>
      <c r="C135" s="366" t="s">
        <v>4573</v>
      </c>
      <c r="D135" s="342">
        <v>30000</v>
      </c>
      <c r="E135" s="342">
        <v>10000</v>
      </c>
      <c r="F135" s="342"/>
      <c r="G135" s="342">
        <v>15000</v>
      </c>
      <c r="H135" s="342">
        <v>15000</v>
      </c>
      <c r="I135" s="342">
        <v>10000</v>
      </c>
      <c r="J135" s="342">
        <v>0</v>
      </c>
      <c r="K135" s="342">
        <v>-21500</v>
      </c>
      <c r="L135" s="342"/>
      <c r="M135" s="342"/>
      <c r="N135" s="342"/>
      <c r="O135" s="376">
        <f t="shared" si="14"/>
        <v>58500</v>
      </c>
      <c r="P135" s="390"/>
      <c r="R135" s="990"/>
    </row>
    <row r="136" s="985" customFormat="1" customHeight="1" spans="1:18">
      <c r="A136" s="388" t="s">
        <v>4590</v>
      </c>
      <c r="B136" s="366" t="s">
        <v>4599</v>
      </c>
      <c r="C136" s="366" t="s">
        <v>4598</v>
      </c>
      <c r="D136" s="342">
        <v>30000</v>
      </c>
      <c r="E136" s="342">
        <v>10000</v>
      </c>
      <c r="F136" s="342"/>
      <c r="G136" s="342">
        <v>15000</v>
      </c>
      <c r="H136" s="342">
        <v>15000</v>
      </c>
      <c r="I136" s="342">
        <v>10000</v>
      </c>
      <c r="J136" s="342">
        <v>0</v>
      </c>
      <c r="K136" s="342">
        <v>-21500</v>
      </c>
      <c r="L136" s="342"/>
      <c r="M136" s="342"/>
      <c r="N136" s="342"/>
      <c r="O136" s="376">
        <f t="shared" si="14"/>
        <v>58500</v>
      </c>
      <c r="P136" s="390"/>
      <c r="R136" s="990"/>
    </row>
    <row r="137" s="985" customFormat="1" customHeight="1" spans="1:18">
      <c r="A137" s="388" t="s">
        <v>4628</v>
      </c>
      <c r="B137" s="366" t="s">
        <v>4631</v>
      </c>
      <c r="C137" s="366" t="s">
        <v>4508</v>
      </c>
      <c r="D137" s="342">
        <v>450000</v>
      </c>
      <c r="E137" s="342">
        <v>150000</v>
      </c>
      <c r="F137" s="342"/>
      <c r="G137" s="342">
        <v>225000</v>
      </c>
      <c r="H137" s="342">
        <v>225000</v>
      </c>
      <c r="I137" s="342">
        <v>150000</v>
      </c>
      <c r="J137" s="342">
        <v>0</v>
      </c>
      <c r="K137" s="342">
        <v>-322500</v>
      </c>
      <c r="L137" s="342"/>
      <c r="M137" s="342"/>
      <c r="N137" s="342"/>
      <c r="O137" s="376">
        <f t="shared" si="14"/>
        <v>877500</v>
      </c>
      <c r="P137" s="390"/>
      <c r="R137" s="990"/>
    </row>
    <row r="138" s="985" customFormat="1" customHeight="1" spans="1:18">
      <c r="A138" s="388" t="s">
        <v>4628</v>
      </c>
      <c r="B138" s="366" t="s">
        <v>4632</v>
      </c>
      <c r="C138" s="366" t="s">
        <v>4508</v>
      </c>
      <c r="D138" s="342">
        <v>240000</v>
      </c>
      <c r="E138" s="342">
        <v>80000</v>
      </c>
      <c r="F138" s="342"/>
      <c r="G138" s="342">
        <v>120000</v>
      </c>
      <c r="H138" s="342">
        <v>120000</v>
      </c>
      <c r="I138" s="342">
        <v>80000</v>
      </c>
      <c r="J138" s="342">
        <v>0</v>
      </c>
      <c r="K138" s="342">
        <v>-172000</v>
      </c>
      <c r="L138" s="342"/>
      <c r="M138" s="342"/>
      <c r="N138" s="342"/>
      <c r="O138" s="376">
        <f t="shared" si="14"/>
        <v>468000</v>
      </c>
      <c r="P138" s="390"/>
      <c r="R138" s="990"/>
    </row>
    <row r="139" s="985" customFormat="1" customHeight="1" spans="1:18">
      <c r="A139" s="388" t="s">
        <v>4633</v>
      </c>
      <c r="B139" s="366" t="s">
        <v>4638</v>
      </c>
      <c r="C139" s="366" t="s">
        <v>4508</v>
      </c>
      <c r="D139" s="342">
        <v>450000</v>
      </c>
      <c r="E139" s="342">
        <v>150000</v>
      </c>
      <c r="F139" s="342"/>
      <c r="G139" s="342">
        <v>225000</v>
      </c>
      <c r="H139" s="342">
        <v>225000</v>
      </c>
      <c r="I139" s="342">
        <v>150000</v>
      </c>
      <c r="J139" s="342">
        <v>0</v>
      </c>
      <c r="K139" s="342">
        <v>-322500</v>
      </c>
      <c r="L139" s="342"/>
      <c r="M139" s="342"/>
      <c r="N139" s="342"/>
      <c r="O139" s="376">
        <f t="shared" si="14"/>
        <v>877500</v>
      </c>
      <c r="P139" s="390"/>
      <c r="R139" s="990"/>
    </row>
    <row r="140" s="985" customFormat="1" customHeight="1" spans="1:18">
      <c r="A140" s="388" t="s">
        <v>4662</v>
      </c>
      <c r="B140" s="366" t="s">
        <v>4663</v>
      </c>
      <c r="C140" s="366" t="s">
        <v>4571</v>
      </c>
      <c r="D140" s="342">
        <v>60000</v>
      </c>
      <c r="E140" s="342">
        <v>20000</v>
      </c>
      <c r="F140" s="342"/>
      <c r="G140" s="342">
        <v>30000</v>
      </c>
      <c r="H140" s="342">
        <v>30000</v>
      </c>
      <c r="I140" s="342">
        <v>20000</v>
      </c>
      <c r="J140" s="342">
        <v>0</v>
      </c>
      <c r="K140" s="342">
        <v>-43000</v>
      </c>
      <c r="L140" s="342"/>
      <c r="M140" s="342"/>
      <c r="N140" s="342"/>
      <c r="O140" s="376">
        <f t="shared" si="14"/>
        <v>117000</v>
      </c>
      <c r="P140" s="390"/>
      <c r="R140" s="990"/>
    </row>
    <row r="141" s="985" customFormat="1" customHeight="1" spans="1:18">
      <c r="A141" s="388" t="s">
        <v>4671</v>
      </c>
      <c r="B141" s="366" t="s">
        <v>4672</v>
      </c>
      <c r="C141" s="366" t="s">
        <v>4598</v>
      </c>
      <c r="D141" s="342">
        <v>30000</v>
      </c>
      <c r="E141" s="342">
        <v>10000</v>
      </c>
      <c r="F141" s="342"/>
      <c r="G141" s="342">
        <v>15000</v>
      </c>
      <c r="H141" s="342">
        <v>15000</v>
      </c>
      <c r="I141" s="342">
        <v>10000</v>
      </c>
      <c r="J141" s="342">
        <v>0</v>
      </c>
      <c r="K141" s="342">
        <v>-21500</v>
      </c>
      <c r="L141" s="342"/>
      <c r="M141" s="342"/>
      <c r="N141" s="342"/>
      <c r="O141" s="376">
        <f t="shared" si="14"/>
        <v>58500</v>
      </c>
      <c r="P141" s="391"/>
      <c r="R141" s="990"/>
    </row>
    <row r="142" customHeight="1" spans="1:16">
      <c r="A142" s="343"/>
      <c r="B142" s="344"/>
      <c r="C142" s="344" t="s">
        <v>4512</v>
      </c>
      <c r="D142" s="345">
        <f t="shared" ref="D142:M142" si="15">SUM(D133:D141)</f>
        <v>1350000</v>
      </c>
      <c r="E142" s="345">
        <f t="shared" si="15"/>
        <v>450000</v>
      </c>
      <c r="F142" s="345">
        <f t="shared" si="15"/>
        <v>0</v>
      </c>
      <c r="G142" s="345">
        <f t="shared" si="15"/>
        <v>675000</v>
      </c>
      <c r="H142" s="345">
        <f t="shared" si="15"/>
        <v>675000</v>
      </c>
      <c r="I142" s="345">
        <f t="shared" si="15"/>
        <v>450000</v>
      </c>
      <c r="J142" s="345">
        <f t="shared" si="15"/>
        <v>0</v>
      </c>
      <c r="K142" s="345">
        <f t="shared" si="15"/>
        <v>-967500</v>
      </c>
      <c r="L142" s="345">
        <f t="shared" si="15"/>
        <v>0</v>
      </c>
      <c r="M142" s="345"/>
      <c r="N142" s="345"/>
      <c r="O142" s="345">
        <f>SUM(O133:O141)</f>
        <v>2632500</v>
      </c>
      <c r="P142" s="378"/>
    </row>
    <row r="143" s="985" customFormat="1" customHeight="1" spans="1:18">
      <c r="A143" s="388" t="s">
        <v>4551</v>
      </c>
      <c r="B143" s="366" t="s">
        <v>4552</v>
      </c>
      <c r="C143" s="366" t="s">
        <v>4543</v>
      </c>
      <c r="D143" s="342">
        <v>3000</v>
      </c>
      <c r="E143" s="342">
        <v>0</v>
      </c>
      <c r="F143" s="342">
        <v>1000</v>
      </c>
      <c r="G143" s="342">
        <v>1000</v>
      </c>
      <c r="H143" s="342">
        <v>2000</v>
      </c>
      <c r="I143" s="342">
        <v>0</v>
      </c>
      <c r="J143" s="342">
        <v>1000</v>
      </c>
      <c r="K143" s="342">
        <v>-1411</v>
      </c>
      <c r="L143" s="342"/>
      <c r="M143" s="342"/>
      <c r="N143" s="342"/>
      <c r="O143" s="376">
        <f>SUM(D143:N143)</f>
        <v>6589</v>
      </c>
      <c r="P143" s="389" t="s">
        <v>4689</v>
      </c>
      <c r="R143" s="990"/>
    </row>
    <row r="144" s="985" customFormat="1" customHeight="1" spans="1:18">
      <c r="A144" s="388" t="s">
        <v>4551</v>
      </c>
      <c r="B144" s="366" t="s">
        <v>4553</v>
      </c>
      <c r="C144" s="366" t="s">
        <v>4554</v>
      </c>
      <c r="D144" s="342">
        <v>3000</v>
      </c>
      <c r="E144" s="342">
        <v>0</v>
      </c>
      <c r="F144" s="342">
        <v>1000</v>
      </c>
      <c r="G144" s="342">
        <v>1000</v>
      </c>
      <c r="H144" s="342">
        <v>2000</v>
      </c>
      <c r="I144" s="342">
        <v>0</v>
      </c>
      <c r="J144" s="342">
        <v>1000</v>
      </c>
      <c r="K144" s="342">
        <v>-1411</v>
      </c>
      <c r="L144" s="342"/>
      <c r="M144" s="342"/>
      <c r="N144" s="342"/>
      <c r="O144" s="376">
        <f t="shared" ref="O144:O175" si="16">SUM(D144:N144)</f>
        <v>6589</v>
      </c>
      <c r="P144" s="390"/>
      <c r="R144" s="990"/>
    </row>
    <row r="145" s="985" customFormat="1" customHeight="1" spans="1:18">
      <c r="A145" s="388" t="s">
        <v>4551</v>
      </c>
      <c r="B145" s="366" t="s">
        <v>4557</v>
      </c>
      <c r="C145" s="366" t="s">
        <v>4558</v>
      </c>
      <c r="D145" s="342">
        <v>3000</v>
      </c>
      <c r="E145" s="342">
        <v>0</v>
      </c>
      <c r="F145" s="342">
        <v>1000</v>
      </c>
      <c r="G145" s="342">
        <v>1000</v>
      </c>
      <c r="H145" s="342">
        <v>2000</v>
      </c>
      <c r="I145" s="342">
        <v>0</v>
      </c>
      <c r="J145" s="342">
        <v>1000</v>
      </c>
      <c r="K145" s="342">
        <v>-1411</v>
      </c>
      <c r="L145" s="342"/>
      <c r="M145" s="342"/>
      <c r="N145" s="342"/>
      <c r="O145" s="376">
        <f t="shared" si="16"/>
        <v>6589</v>
      </c>
      <c r="P145" s="390"/>
      <c r="R145" s="990"/>
    </row>
    <row r="146" s="985" customFormat="1" customHeight="1" spans="1:18">
      <c r="A146" s="388" t="s">
        <v>4551</v>
      </c>
      <c r="B146" s="366" t="s">
        <v>4559</v>
      </c>
      <c r="C146" s="366" t="s">
        <v>4560</v>
      </c>
      <c r="D146" s="342">
        <v>3000</v>
      </c>
      <c r="E146" s="342">
        <v>0</v>
      </c>
      <c r="F146" s="342">
        <v>1000</v>
      </c>
      <c r="G146" s="342">
        <v>1000</v>
      </c>
      <c r="H146" s="342">
        <v>2000</v>
      </c>
      <c r="I146" s="342">
        <v>0</v>
      </c>
      <c r="J146" s="342">
        <v>1000</v>
      </c>
      <c r="K146" s="342">
        <v>-1411</v>
      </c>
      <c r="L146" s="342"/>
      <c r="M146" s="342"/>
      <c r="N146" s="342"/>
      <c r="O146" s="376">
        <f t="shared" si="16"/>
        <v>6589</v>
      </c>
      <c r="P146" s="391"/>
      <c r="R146" s="990"/>
    </row>
    <row r="147" s="985" customFormat="1" customHeight="1" spans="1:18">
      <c r="A147" s="388" t="s">
        <v>4562</v>
      </c>
      <c r="B147" s="366" t="s">
        <v>4564</v>
      </c>
      <c r="C147" s="366" t="s">
        <v>4513</v>
      </c>
      <c r="D147" s="342">
        <v>3000</v>
      </c>
      <c r="E147" s="342">
        <v>0</v>
      </c>
      <c r="F147" s="342">
        <v>1000</v>
      </c>
      <c r="G147" s="342">
        <v>1000</v>
      </c>
      <c r="H147" s="342">
        <v>2000</v>
      </c>
      <c r="I147" s="342">
        <v>0</v>
      </c>
      <c r="J147" s="342">
        <v>1000</v>
      </c>
      <c r="K147" s="342">
        <v>-1411</v>
      </c>
      <c r="L147" s="342"/>
      <c r="M147" s="342"/>
      <c r="N147" s="342"/>
      <c r="O147" s="376">
        <f t="shared" si="16"/>
        <v>6589</v>
      </c>
      <c r="P147" s="390" t="s">
        <v>4690</v>
      </c>
      <c r="R147" s="990"/>
    </row>
    <row r="148" s="985" customFormat="1" customHeight="1" spans="1:18">
      <c r="A148" s="388" t="s">
        <v>4590</v>
      </c>
      <c r="B148" s="366" t="s">
        <v>4591</v>
      </c>
      <c r="C148" s="366" t="s">
        <v>4592</v>
      </c>
      <c r="D148" s="342">
        <v>3000</v>
      </c>
      <c r="E148" s="342">
        <v>0</v>
      </c>
      <c r="F148" s="342">
        <v>1000</v>
      </c>
      <c r="G148" s="342">
        <v>1000</v>
      </c>
      <c r="H148" s="342">
        <v>2000</v>
      </c>
      <c r="I148" s="342">
        <v>0</v>
      </c>
      <c r="J148" s="342">
        <v>1000</v>
      </c>
      <c r="K148" s="342">
        <v>-1411</v>
      </c>
      <c r="L148" s="342"/>
      <c r="M148" s="342"/>
      <c r="N148" s="342"/>
      <c r="O148" s="376">
        <f t="shared" si="16"/>
        <v>6589</v>
      </c>
      <c r="P148" s="390"/>
      <c r="R148" s="990"/>
    </row>
    <row r="149" s="985" customFormat="1" customHeight="1" spans="1:18">
      <c r="A149" s="388" t="s">
        <v>4590</v>
      </c>
      <c r="B149" s="366" t="s">
        <v>4593</v>
      </c>
      <c r="C149" s="366" t="s">
        <v>4513</v>
      </c>
      <c r="D149" s="342">
        <v>3000</v>
      </c>
      <c r="E149" s="342">
        <v>0</v>
      </c>
      <c r="F149" s="342">
        <v>1000</v>
      </c>
      <c r="G149" s="342">
        <v>1000</v>
      </c>
      <c r="H149" s="342">
        <v>2000</v>
      </c>
      <c r="I149" s="342">
        <v>0</v>
      </c>
      <c r="J149" s="342">
        <v>1000</v>
      </c>
      <c r="K149" s="342">
        <v>-1411</v>
      </c>
      <c r="L149" s="342"/>
      <c r="M149" s="342"/>
      <c r="N149" s="342"/>
      <c r="O149" s="376">
        <f t="shared" si="16"/>
        <v>6589</v>
      </c>
      <c r="P149" s="390"/>
      <c r="R149" s="990"/>
    </row>
    <row r="150" s="985" customFormat="1" customHeight="1" spans="1:18">
      <c r="A150" s="388" t="s">
        <v>4602</v>
      </c>
      <c r="B150" s="366" t="s">
        <v>4606</v>
      </c>
      <c r="C150" s="366" t="s">
        <v>4513</v>
      </c>
      <c r="D150" s="342">
        <v>12000</v>
      </c>
      <c r="E150" s="342">
        <v>0</v>
      </c>
      <c r="F150" s="342">
        <v>4000</v>
      </c>
      <c r="G150" s="342">
        <v>4000</v>
      </c>
      <c r="H150" s="342">
        <v>8000</v>
      </c>
      <c r="I150" s="342">
        <v>0</v>
      </c>
      <c r="J150" s="342">
        <v>4000</v>
      </c>
      <c r="K150" s="342">
        <v>-5644</v>
      </c>
      <c r="L150" s="342"/>
      <c r="M150" s="342"/>
      <c r="N150" s="342"/>
      <c r="O150" s="376">
        <f t="shared" si="16"/>
        <v>26356</v>
      </c>
      <c r="P150" s="390"/>
      <c r="R150" s="990"/>
    </row>
    <row r="151" s="985" customFormat="1" customHeight="1" spans="1:18">
      <c r="A151" s="388" t="s">
        <v>4612</v>
      </c>
      <c r="B151" s="366" t="s">
        <v>4619</v>
      </c>
      <c r="C151" s="366" t="s">
        <v>4513</v>
      </c>
      <c r="D151" s="342">
        <v>6000</v>
      </c>
      <c r="E151" s="342">
        <v>0</v>
      </c>
      <c r="F151" s="342">
        <v>2000</v>
      </c>
      <c r="G151" s="342">
        <v>2000</v>
      </c>
      <c r="H151" s="342">
        <v>4000</v>
      </c>
      <c r="I151" s="342">
        <v>0</v>
      </c>
      <c r="J151" s="342">
        <v>2000</v>
      </c>
      <c r="K151" s="342">
        <v>-2822</v>
      </c>
      <c r="L151" s="342"/>
      <c r="M151" s="342"/>
      <c r="N151" s="342"/>
      <c r="O151" s="376">
        <f t="shared" si="16"/>
        <v>13178</v>
      </c>
      <c r="P151" s="390"/>
      <c r="R151" s="990"/>
    </row>
    <row r="152" s="985" customFormat="1" customHeight="1" spans="1:18">
      <c r="A152" s="388" t="s">
        <v>4612</v>
      </c>
      <c r="B152" s="366" t="s">
        <v>4620</v>
      </c>
      <c r="C152" s="366" t="s">
        <v>4513</v>
      </c>
      <c r="D152" s="342">
        <v>6000</v>
      </c>
      <c r="E152" s="342">
        <v>0</v>
      </c>
      <c r="F152" s="342">
        <v>2000</v>
      </c>
      <c r="G152" s="342">
        <v>2000</v>
      </c>
      <c r="H152" s="342">
        <v>4000</v>
      </c>
      <c r="I152" s="342">
        <v>0</v>
      </c>
      <c r="J152" s="342">
        <v>2000</v>
      </c>
      <c r="K152" s="342">
        <v>-2822</v>
      </c>
      <c r="L152" s="342"/>
      <c r="M152" s="342"/>
      <c r="N152" s="342"/>
      <c r="O152" s="376">
        <f t="shared" si="16"/>
        <v>13178</v>
      </c>
      <c r="P152" s="390"/>
      <c r="R152" s="990"/>
    </row>
    <row r="153" s="985" customFormat="1" customHeight="1" spans="1:18">
      <c r="A153" s="388" t="s">
        <v>4612</v>
      </c>
      <c r="B153" s="366" t="s">
        <v>4621</v>
      </c>
      <c r="C153" s="366" t="s">
        <v>4513</v>
      </c>
      <c r="D153" s="342">
        <v>6000</v>
      </c>
      <c r="E153" s="342">
        <v>0</v>
      </c>
      <c r="F153" s="342">
        <v>2000</v>
      </c>
      <c r="G153" s="342">
        <v>2000</v>
      </c>
      <c r="H153" s="342">
        <v>4000</v>
      </c>
      <c r="I153" s="342">
        <v>0</v>
      </c>
      <c r="J153" s="342">
        <v>2000</v>
      </c>
      <c r="K153" s="342">
        <v>-2822</v>
      </c>
      <c r="L153" s="342"/>
      <c r="M153" s="342"/>
      <c r="N153" s="342"/>
      <c r="O153" s="376">
        <f t="shared" si="16"/>
        <v>13178</v>
      </c>
      <c r="P153" s="390"/>
      <c r="R153" s="990"/>
    </row>
    <row r="154" s="985" customFormat="1" customHeight="1" spans="1:18">
      <c r="A154" s="388" t="s">
        <v>4641</v>
      </c>
      <c r="B154" s="366" t="s">
        <v>4651</v>
      </c>
      <c r="C154" s="366" t="s">
        <v>4513</v>
      </c>
      <c r="D154" s="342">
        <v>6000</v>
      </c>
      <c r="E154" s="342">
        <v>0</v>
      </c>
      <c r="F154" s="342">
        <v>2000</v>
      </c>
      <c r="G154" s="342">
        <v>2000</v>
      </c>
      <c r="H154" s="342">
        <v>4000</v>
      </c>
      <c r="I154" s="342">
        <v>0</v>
      </c>
      <c r="J154" s="342">
        <v>2000</v>
      </c>
      <c r="K154" s="342">
        <v>-2822</v>
      </c>
      <c r="L154" s="342"/>
      <c r="M154" s="342"/>
      <c r="N154" s="342"/>
      <c r="O154" s="376">
        <f t="shared" si="16"/>
        <v>13178</v>
      </c>
      <c r="P154" s="390"/>
      <c r="R154" s="990"/>
    </row>
    <row r="155" s="985" customFormat="1" customHeight="1" spans="1:18">
      <c r="A155" s="388" t="s">
        <v>4641</v>
      </c>
      <c r="B155" s="366" t="s">
        <v>4652</v>
      </c>
      <c r="C155" s="366" t="s">
        <v>4513</v>
      </c>
      <c r="D155" s="342">
        <v>6000</v>
      </c>
      <c r="E155" s="342">
        <v>0</v>
      </c>
      <c r="F155" s="342">
        <v>2000</v>
      </c>
      <c r="G155" s="342">
        <v>2000</v>
      </c>
      <c r="H155" s="342">
        <v>4000</v>
      </c>
      <c r="I155" s="342">
        <v>0</v>
      </c>
      <c r="J155" s="342">
        <v>2000</v>
      </c>
      <c r="K155" s="342">
        <v>-2822</v>
      </c>
      <c r="L155" s="342"/>
      <c r="M155" s="342"/>
      <c r="N155" s="342"/>
      <c r="O155" s="376">
        <f t="shared" si="16"/>
        <v>13178</v>
      </c>
      <c r="P155" s="390"/>
      <c r="R155" s="990"/>
    </row>
    <row r="156" s="985" customFormat="1" customHeight="1" spans="1:18">
      <c r="A156" s="388" t="s">
        <v>4641</v>
      </c>
      <c r="B156" s="366" t="s">
        <v>4653</v>
      </c>
      <c r="C156" s="366" t="s">
        <v>4513</v>
      </c>
      <c r="D156" s="342">
        <v>6000</v>
      </c>
      <c r="E156" s="342">
        <v>0</v>
      </c>
      <c r="F156" s="342">
        <v>2000</v>
      </c>
      <c r="G156" s="342">
        <v>2000</v>
      </c>
      <c r="H156" s="342">
        <v>4000</v>
      </c>
      <c r="I156" s="342">
        <v>0</v>
      </c>
      <c r="J156" s="342">
        <v>2000</v>
      </c>
      <c r="K156" s="342">
        <v>-2822</v>
      </c>
      <c r="L156" s="342"/>
      <c r="M156" s="342"/>
      <c r="N156" s="342"/>
      <c r="O156" s="376">
        <f t="shared" si="16"/>
        <v>13178</v>
      </c>
      <c r="P156" s="390"/>
      <c r="R156" s="990"/>
    </row>
    <row r="157" s="985" customFormat="1" customHeight="1" spans="1:18">
      <c r="A157" s="388" t="s">
        <v>4667</v>
      </c>
      <c r="B157" s="366" t="s">
        <v>4668</v>
      </c>
      <c r="C157" s="366" t="s">
        <v>4669</v>
      </c>
      <c r="D157" s="342">
        <v>3000</v>
      </c>
      <c r="E157" s="342">
        <v>0</v>
      </c>
      <c r="F157" s="342">
        <v>1000</v>
      </c>
      <c r="G157" s="342">
        <v>1000</v>
      </c>
      <c r="H157" s="342">
        <v>2000</v>
      </c>
      <c r="I157" s="342">
        <v>0</v>
      </c>
      <c r="J157" s="342">
        <v>1000</v>
      </c>
      <c r="K157" s="342">
        <v>-1411</v>
      </c>
      <c r="L157" s="342"/>
      <c r="M157" s="342"/>
      <c r="N157" s="342"/>
      <c r="O157" s="376">
        <f t="shared" si="16"/>
        <v>6589</v>
      </c>
      <c r="P157" s="390"/>
      <c r="R157" s="990"/>
    </row>
    <row r="158" s="985" customFormat="1" customHeight="1" spans="1:18">
      <c r="A158" s="388" t="s">
        <v>4681</v>
      </c>
      <c r="B158" s="366" t="s">
        <v>4682</v>
      </c>
      <c r="C158" s="366" t="s">
        <v>4592</v>
      </c>
      <c r="D158" s="342">
        <v>3000</v>
      </c>
      <c r="E158" s="342">
        <v>0</v>
      </c>
      <c r="F158" s="342">
        <v>1000</v>
      </c>
      <c r="G158" s="342">
        <v>1000</v>
      </c>
      <c r="H158" s="342">
        <v>2000</v>
      </c>
      <c r="I158" s="342">
        <v>0</v>
      </c>
      <c r="J158" s="342">
        <v>1000</v>
      </c>
      <c r="K158" s="342">
        <v>-1411</v>
      </c>
      <c r="L158" s="342"/>
      <c r="M158" s="342"/>
      <c r="N158" s="342"/>
      <c r="O158" s="376">
        <f t="shared" si="16"/>
        <v>6589</v>
      </c>
      <c r="P158" s="390"/>
      <c r="R158" s="990"/>
    </row>
    <row r="159" s="985" customFormat="1" customHeight="1" spans="1:18">
      <c r="A159" s="388" t="s">
        <v>4683</v>
      </c>
      <c r="B159" s="366" t="s">
        <v>4684</v>
      </c>
      <c r="C159" s="366" t="s">
        <v>4513</v>
      </c>
      <c r="D159" s="342">
        <v>3000</v>
      </c>
      <c r="E159" s="342">
        <v>0</v>
      </c>
      <c r="F159" s="342">
        <v>1000</v>
      </c>
      <c r="G159" s="342">
        <v>1000</v>
      </c>
      <c r="H159" s="342">
        <v>2000</v>
      </c>
      <c r="I159" s="342">
        <v>0</v>
      </c>
      <c r="J159" s="342">
        <v>1000</v>
      </c>
      <c r="K159" s="342">
        <v>-1411</v>
      </c>
      <c r="L159" s="342"/>
      <c r="M159" s="342"/>
      <c r="N159" s="342"/>
      <c r="O159" s="376">
        <f t="shared" si="16"/>
        <v>6589</v>
      </c>
      <c r="P159" s="390"/>
      <c r="R159" s="990"/>
    </row>
    <row r="160" s="985" customFormat="1" customHeight="1" spans="1:18">
      <c r="A160" s="388" t="s">
        <v>4602</v>
      </c>
      <c r="B160" s="366" t="s">
        <v>4606</v>
      </c>
      <c r="C160" s="366" t="s">
        <v>4513</v>
      </c>
      <c r="D160" s="342">
        <v>12000</v>
      </c>
      <c r="E160" s="342">
        <v>0</v>
      </c>
      <c r="F160" s="342">
        <v>4000</v>
      </c>
      <c r="G160" s="342">
        <v>4000</v>
      </c>
      <c r="H160" s="342">
        <v>2000</v>
      </c>
      <c r="I160" s="342">
        <v>0</v>
      </c>
      <c r="J160" s="342">
        <v>1000</v>
      </c>
      <c r="K160" s="342">
        <v>-5644</v>
      </c>
      <c r="L160" s="342"/>
      <c r="M160" s="342"/>
      <c r="N160" s="342"/>
      <c r="O160" s="376">
        <f t="shared" si="16"/>
        <v>17356</v>
      </c>
      <c r="P160" s="389" t="s">
        <v>4690</v>
      </c>
      <c r="R160" s="990"/>
    </row>
    <row r="161" s="985" customFormat="1" customHeight="1" spans="1:18">
      <c r="A161" s="388" t="s">
        <v>4590</v>
      </c>
      <c r="B161" s="366" t="s">
        <v>4591</v>
      </c>
      <c r="C161" s="366" t="s">
        <v>4592</v>
      </c>
      <c r="D161" s="342">
        <v>3000</v>
      </c>
      <c r="E161" s="342">
        <v>0</v>
      </c>
      <c r="F161" s="342">
        <v>1000</v>
      </c>
      <c r="G161" s="342">
        <v>1000</v>
      </c>
      <c r="H161" s="342">
        <v>8000</v>
      </c>
      <c r="I161" s="342">
        <v>0</v>
      </c>
      <c r="J161" s="342">
        <v>4000</v>
      </c>
      <c r="K161" s="342">
        <v>-1411</v>
      </c>
      <c r="L161" s="342"/>
      <c r="M161" s="342"/>
      <c r="N161" s="342"/>
      <c r="O161" s="376">
        <f t="shared" si="16"/>
        <v>15589</v>
      </c>
      <c r="P161" s="390"/>
      <c r="R161" s="990"/>
    </row>
    <row r="162" s="985" customFormat="1" customHeight="1" spans="1:18">
      <c r="A162" s="388" t="s">
        <v>4681</v>
      </c>
      <c r="B162" s="366" t="s">
        <v>4682</v>
      </c>
      <c r="C162" s="366" t="s">
        <v>4592</v>
      </c>
      <c r="D162" s="342">
        <v>3000</v>
      </c>
      <c r="E162" s="342">
        <v>0</v>
      </c>
      <c r="F162" s="342">
        <v>1000</v>
      </c>
      <c r="G162" s="342">
        <v>1000</v>
      </c>
      <c r="H162" s="342">
        <v>2000</v>
      </c>
      <c r="I162" s="342">
        <v>0</v>
      </c>
      <c r="J162" s="342">
        <v>1000</v>
      </c>
      <c r="K162" s="342">
        <v>-1411</v>
      </c>
      <c r="L162" s="342"/>
      <c r="M162" s="342"/>
      <c r="N162" s="342"/>
      <c r="O162" s="376">
        <f t="shared" si="16"/>
        <v>6589</v>
      </c>
      <c r="P162" s="391"/>
      <c r="R162" s="990"/>
    </row>
    <row r="163" s="985" customFormat="1" customHeight="1" spans="1:18">
      <c r="A163" s="388" t="s">
        <v>4569</v>
      </c>
      <c r="B163" s="366" t="s">
        <v>4572</v>
      </c>
      <c r="C163" s="366" t="s">
        <v>4573</v>
      </c>
      <c r="D163" s="342">
        <v>3000</v>
      </c>
      <c r="E163" s="342">
        <v>0</v>
      </c>
      <c r="F163" s="342">
        <v>1000</v>
      </c>
      <c r="G163" s="342">
        <v>1000</v>
      </c>
      <c r="H163" s="342">
        <v>2000</v>
      </c>
      <c r="I163" s="342">
        <v>0</v>
      </c>
      <c r="J163" s="342">
        <v>1000</v>
      </c>
      <c r="K163" s="342">
        <v>-1411</v>
      </c>
      <c r="L163" s="342"/>
      <c r="M163" s="342"/>
      <c r="N163" s="342"/>
      <c r="O163" s="376">
        <f t="shared" si="16"/>
        <v>6589</v>
      </c>
      <c r="P163" s="389" t="s">
        <v>4691</v>
      </c>
      <c r="R163" s="990"/>
    </row>
    <row r="164" s="985" customFormat="1" customHeight="1" spans="1:18">
      <c r="A164" s="388" t="s">
        <v>4569</v>
      </c>
      <c r="B164" s="366" t="s">
        <v>4577</v>
      </c>
      <c r="C164" s="366" t="s">
        <v>4516</v>
      </c>
      <c r="D164" s="342">
        <v>3000</v>
      </c>
      <c r="E164" s="342">
        <v>0</v>
      </c>
      <c r="F164" s="342">
        <v>1000</v>
      </c>
      <c r="G164" s="342">
        <v>1000</v>
      </c>
      <c r="H164" s="342">
        <v>2000</v>
      </c>
      <c r="I164" s="342">
        <v>0</v>
      </c>
      <c r="J164" s="342">
        <v>1000</v>
      </c>
      <c r="K164" s="342">
        <v>-1411</v>
      </c>
      <c r="L164" s="342"/>
      <c r="M164" s="342"/>
      <c r="N164" s="342"/>
      <c r="O164" s="376">
        <f t="shared" si="16"/>
        <v>6589</v>
      </c>
      <c r="P164" s="390"/>
      <c r="R164" s="990"/>
    </row>
    <row r="165" s="985" customFormat="1" customHeight="1" spans="1:18">
      <c r="A165" s="388" t="s">
        <v>4579</v>
      </c>
      <c r="B165" s="366" t="s">
        <v>4580</v>
      </c>
      <c r="C165" s="366" t="s">
        <v>4581</v>
      </c>
      <c r="D165" s="342">
        <v>3000</v>
      </c>
      <c r="E165" s="342">
        <v>0</v>
      </c>
      <c r="F165" s="342">
        <v>1000</v>
      </c>
      <c r="G165" s="342">
        <v>1000</v>
      </c>
      <c r="H165" s="342">
        <v>2000</v>
      </c>
      <c r="I165" s="342">
        <v>0</v>
      </c>
      <c r="J165" s="342">
        <v>1000</v>
      </c>
      <c r="K165" s="342">
        <v>-1411</v>
      </c>
      <c r="L165" s="342"/>
      <c r="M165" s="342"/>
      <c r="N165" s="342"/>
      <c r="O165" s="376">
        <f t="shared" si="16"/>
        <v>6589</v>
      </c>
      <c r="P165" s="390"/>
      <c r="R165" s="990"/>
    </row>
    <row r="166" s="985" customFormat="1" customHeight="1" spans="1:18">
      <c r="A166" s="388" t="s">
        <v>4579</v>
      </c>
      <c r="B166" s="366" t="s">
        <v>4582</v>
      </c>
      <c r="C166" s="366" t="s">
        <v>4581</v>
      </c>
      <c r="D166" s="342">
        <v>3000</v>
      </c>
      <c r="E166" s="342">
        <v>0</v>
      </c>
      <c r="F166" s="342">
        <v>1000</v>
      </c>
      <c r="G166" s="342">
        <v>1000</v>
      </c>
      <c r="H166" s="342">
        <v>2000</v>
      </c>
      <c r="I166" s="342">
        <v>0</v>
      </c>
      <c r="J166" s="342">
        <v>1000</v>
      </c>
      <c r="K166" s="342">
        <v>-1411</v>
      </c>
      <c r="L166" s="342"/>
      <c r="M166" s="342"/>
      <c r="N166" s="342"/>
      <c r="O166" s="376">
        <f t="shared" si="16"/>
        <v>6589</v>
      </c>
      <c r="P166" s="390"/>
      <c r="R166" s="990"/>
    </row>
    <row r="167" s="985" customFormat="1" customHeight="1" spans="1:18">
      <c r="A167" s="388" t="s">
        <v>4590</v>
      </c>
      <c r="B167" s="366" t="s">
        <v>4597</v>
      </c>
      <c r="C167" s="366" t="s">
        <v>4598</v>
      </c>
      <c r="D167" s="342">
        <v>3000</v>
      </c>
      <c r="E167" s="342">
        <v>0</v>
      </c>
      <c r="F167" s="342">
        <v>1000</v>
      </c>
      <c r="G167" s="342">
        <v>1000</v>
      </c>
      <c r="H167" s="342">
        <v>2000</v>
      </c>
      <c r="I167" s="342">
        <v>0</v>
      </c>
      <c r="J167" s="342">
        <v>1000</v>
      </c>
      <c r="K167" s="342">
        <v>-1411</v>
      </c>
      <c r="L167" s="342"/>
      <c r="M167" s="342"/>
      <c r="N167" s="342"/>
      <c r="O167" s="376">
        <f t="shared" si="16"/>
        <v>6589</v>
      </c>
      <c r="P167" s="390"/>
      <c r="R167" s="990"/>
    </row>
    <row r="168" s="985" customFormat="1" customHeight="1" spans="1:18">
      <c r="A168" s="388" t="s">
        <v>4590</v>
      </c>
      <c r="B168" s="366" t="s">
        <v>4599</v>
      </c>
      <c r="C168" s="366" t="s">
        <v>4598</v>
      </c>
      <c r="D168" s="342">
        <v>3000</v>
      </c>
      <c r="E168" s="342">
        <v>0</v>
      </c>
      <c r="F168" s="342">
        <v>1000</v>
      </c>
      <c r="G168" s="342">
        <v>1000</v>
      </c>
      <c r="H168" s="342">
        <v>2000</v>
      </c>
      <c r="I168" s="342">
        <v>0</v>
      </c>
      <c r="J168" s="342">
        <v>1000</v>
      </c>
      <c r="K168" s="342">
        <v>-1411</v>
      </c>
      <c r="L168" s="342"/>
      <c r="M168" s="342"/>
      <c r="N168" s="342"/>
      <c r="O168" s="376">
        <f t="shared" si="16"/>
        <v>6589</v>
      </c>
      <c r="P168" s="390"/>
      <c r="R168" s="990"/>
    </row>
    <row r="169" s="985" customFormat="1" customHeight="1" spans="1:18">
      <c r="A169" s="388" t="s">
        <v>4602</v>
      </c>
      <c r="B169" s="366" t="s">
        <v>4611</v>
      </c>
      <c r="C169" s="366" t="s">
        <v>4516</v>
      </c>
      <c r="D169" s="342">
        <v>9000</v>
      </c>
      <c r="E169" s="342">
        <v>0</v>
      </c>
      <c r="F169" s="342">
        <v>3000</v>
      </c>
      <c r="G169" s="342">
        <v>3000</v>
      </c>
      <c r="H169" s="342">
        <v>6000</v>
      </c>
      <c r="I169" s="342">
        <v>0</v>
      </c>
      <c r="J169" s="342">
        <v>3000</v>
      </c>
      <c r="K169" s="342">
        <v>-4233</v>
      </c>
      <c r="L169" s="342"/>
      <c r="M169" s="342"/>
      <c r="N169" s="342"/>
      <c r="O169" s="376">
        <f t="shared" si="16"/>
        <v>19767</v>
      </c>
      <c r="P169" s="390"/>
      <c r="R169" s="990"/>
    </row>
    <row r="170" s="985" customFormat="1" customHeight="1" spans="1:18">
      <c r="A170" s="388" t="s">
        <v>4612</v>
      </c>
      <c r="B170" s="366" t="s">
        <v>4615</v>
      </c>
      <c r="C170" s="366" t="s">
        <v>4516</v>
      </c>
      <c r="D170" s="342">
        <v>9000</v>
      </c>
      <c r="E170" s="342">
        <v>0</v>
      </c>
      <c r="F170" s="342">
        <v>3000</v>
      </c>
      <c r="G170" s="342">
        <v>3000</v>
      </c>
      <c r="H170" s="342">
        <v>6000</v>
      </c>
      <c r="I170" s="342">
        <v>0</v>
      </c>
      <c r="J170" s="342">
        <v>3000</v>
      </c>
      <c r="K170" s="342">
        <v>-4233</v>
      </c>
      <c r="L170" s="342"/>
      <c r="M170" s="342"/>
      <c r="N170" s="342"/>
      <c r="O170" s="376">
        <f t="shared" si="16"/>
        <v>19767</v>
      </c>
      <c r="P170" s="390"/>
      <c r="R170" s="990"/>
    </row>
    <row r="171" s="985" customFormat="1" customHeight="1" spans="1:18">
      <c r="A171" s="388" t="s">
        <v>4622</v>
      </c>
      <c r="B171" s="366" t="s">
        <v>4625</v>
      </c>
      <c r="C171" s="366" t="s">
        <v>4626</v>
      </c>
      <c r="D171" s="342">
        <v>6000</v>
      </c>
      <c r="E171" s="342">
        <v>0</v>
      </c>
      <c r="F171" s="342">
        <v>2000</v>
      </c>
      <c r="G171" s="342">
        <v>2000</v>
      </c>
      <c r="H171" s="342">
        <v>4000</v>
      </c>
      <c r="I171" s="342">
        <v>0</v>
      </c>
      <c r="J171" s="342">
        <v>2000</v>
      </c>
      <c r="K171" s="342">
        <v>-2822</v>
      </c>
      <c r="L171" s="342"/>
      <c r="M171" s="342"/>
      <c r="N171" s="342"/>
      <c r="O171" s="376">
        <f t="shared" si="16"/>
        <v>13178</v>
      </c>
      <c r="P171" s="390"/>
      <c r="R171" s="990"/>
    </row>
    <row r="172" s="985" customFormat="1" customHeight="1" spans="1:18">
      <c r="A172" s="388" t="s">
        <v>4628</v>
      </c>
      <c r="B172" s="366" t="s">
        <v>4629</v>
      </c>
      <c r="C172" s="366" t="s">
        <v>4630</v>
      </c>
      <c r="D172" s="342">
        <v>24000</v>
      </c>
      <c r="E172" s="342">
        <v>0</v>
      </c>
      <c r="F172" s="342">
        <v>8000</v>
      </c>
      <c r="G172" s="342">
        <v>8000</v>
      </c>
      <c r="H172" s="342">
        <v>16000</v>
      </c>
      <c r="I172" s="342">
        <v>0</v>
      </c>
      <c r="J172" s="342">
        <v>8000</v>
      </c>
      <c r="K172" s="342">
        <v>-11288</v>
      </c>
      <c r="L172" s="342"/>
      <c r="M172" s="342"/>
      <c r="N172" s="342"/>
      <c r="O172" s="376">
        <f t="shared" si="16"/>
        <v>52712</v>
      </c>
      <c r="P172" s="390"/>
      <c r="R172" s="990"/>
    </row>
    <row r="173" s="985" customFormat="1" customHeight="1" spans="1:18">
      <c r="A173" s="388" t="s">
        <v>4662</v>
      </c>
      <c r="B173" s="366" t="s">
        <v>4664</v>
      </c>
      <c r="C173" s="366" t="s">
        <v>4516</v>
      </c>
      <c r="D173" s="342">
        <v>6000</v>
      </c>
      <c r="E173" s="342">
        <v>0</v>
      </c>
      <c r="F173" s="342">
        <v>2000</v>
      </c>
      <c r="G173" s="342">
        <v>2000</v>
      </c>
      <c r="H173" s="342">
        <v>4000</v>
      </c>
      <c r="I173" s="342">
        <v>0</v>
      </c>
      <c r="J173" s="342">
        <v>2000</v>
      </c>
      <c r="K173" s="342">
        <v>-2822</v>
      </c>
      <c r="L173" s="342"/>
      <c r="M173" s="342"/>
      <c r="N173" s="342"/>
      <c r="O173" s="376">
        <f t="shared" si="16"/>
        <v>13178</v>
      </c>
      <c r="P173" s="390"/>
      <c r="R173" s="990"/>
    </row>
    <row r="174" s="985" customFormat="1" customHeight="1" spans="1:18">
      <c r="A174" s="388" t="s">
        <v>4667</v>
      </c>
      <c r="B174" s="366" t="s">
        <v>4668</v>
      </c>
      <c r="C174" s="366" t="s">
        <v>4669</v>
      </c>
      <c r="D174" s="342">
        <v>3000</v>
      </c>
      <c r="E174" s="342">
        <v>0</v>
      </c>
      <c r="F174" s="342">
        <v>1000</v>
      </c>
      <c r="G174" s="342">
        <v>1000</v>
      </c>
      <c r="H174" s="342">
        <v>2000</v>
      </c>
      <c r="I174" s="342">
        <v>0</v>
      </c>
      <c r="J174" s="342">
        <v>1000</v>
      </c>
      <c r="K174" s="342">
        <v>-1411</v>
      </c>
      <c r="L174" s="342"/>
      <c r="M174" s="342"/>
      <c r="N174" s="342"/>
      <c r="O174" s="376">
        <f t="shared" si="16"/>
        <v>6589</v>
      </c>
      <c r="P174" s="390"/>
      <c r="R174" s="990"/>
    </row>
    <row r="175" s="985" customFormat="1" customHeight="1" spans="1:18">
      <c r="A175" s="388" t="s">
        <v>4671</v>
      </c>
      <c r="B175" s="366" t="s">
        <v>4672</v>
      </c>
      <c r="C175" s="366" t="s">
        <v>4598</v>
      </c>
      <c r="D175" s="342">
        <v>3000</v>
      </c>
      <c r="E175" s="342">
        <v>0</v>
      </c>
      <c r="F175" s="342">
        <v>1000</v>
      </c>
      <c r="G175" s="342">
        <v>1000</v>
      </c>
      <c r="H175" s="342">
        <v>2000</v>
      </c>
      <c r="I175" s="342">
        <v>0</v>
      </c>
      <c r="J175" s="342">
        <v>1000</v>
      </c>
      <c r="K175" s="342">
        <v>-1411</v>
      </c>
      <c r="L175" s="342"/>
      <c r="M175" s="342"/>
      <c r="N175" s="342"/>
      <c r="O175" s="376">
        <f t="shared" si="16"/>
        <v>6589</v>
      </c>
      <c r="P175" s="390"/>
      <c r="R175" s="990"/>
    </row>
    <row r="176" s="985" customFormat="1" customHeight="1" spans="1:18">
      <c r="A176" s="388" t="s">
        <v>4673</v>
      </c>
      <c r="B176" s="366" t="s">
        <v>4674</v>
      </c>
      <c r="C176" s="366" t="s">
        <v>4581</v>
      </c>
      <c r="D176" s="342">
        <v>3000</v>
      </c>
      <c r="E176" s="342">
        <v>0</v>
      </c>
      <c r="F176" s="342">
        <v>1000</v>
      </c>
      <c r="G176" s="342">
        <v>1000</v>
      </c>
      <c r="H176" s="342">
        <v>2000</v>
      </c>
      <c r="I176" s="342">
        <v>0</v>
      </c>
      <c r="J176" s="342">
        <v>1000</v>
      </c>
      <c r="K176" s="342">
        <v>-1411</v>
      </c>
      <c r="L176" s="342"/>
      <c r="M176" s="342"/>
      <c r="N176" s="342"/>
      <c r="O176" s="376">
        <f t="shared" ref="O176:O208" si="17">SUM(D176:N176)</f>
        <v>6589</v>
      </c>
      <c r="P176" s="391"/>
      <c r="R176" s="990"/>
    </row>
    <row r="177" s="985" customFormat="1" customHeight="1" spans="1:18">
      <c r="A177" s="388" t="s">
        <v>4602</v>
      </c>
      <c r="B177" s="366" t="s">
        <v>4611</v>
      </c>
      <c r="C177" s="366" t="s">
        <v>4516</v>
      </c>
      <c r="D177" s="342">
        <v>9000</v>
      </c>
      <c r="E177" s="342">
        <v>0</v>
      </c>
      <c r="F177" s="342">
        <v>3000</v>
      </c>
      <c r="G177" s="342">
        <v>3000</v>
      </c>
      <c r="H177" s="342">
        <v>6000</v>
      </c>
      <c r="I177" s="342">
        <v>0</v>
      </c>
      <c r="J177" s="342">
        <v>3000</v>
      </c>
      <c r="K177" s="342">
        <v>-4233</v>
      </c>
      <c r="L177" s="342"/>
      <c r="M177" s="342"/>
      <c r="N177" s="342"/>
      <c r="O177" s="376">
        <f t="shared" si="17"/>
        <v>19767</v>
      </c>
      <c r="P177" s="389" t="s">
        <v>4691</v>
      </c>
      <c r="R177" s="990"/>
    </row>
    <row r="178" s="985" customFormat="1" customHeight="1" spans="1:18">
      <c r="A178" s="388" t="s">
        <v>4612</v>
      </c>
      <c r="B178" s="366" t="s">
        <v>4615</v>
      </c>
      <c r="C178" s="366" t="s">
        <v>4516</v>
      </c>
      <c r="D178" s="342">
        <v>9000</v>
      </c>
      <c r="E178" s="342">
        <v>0</v>
      </c>
      <c r="F178" s="342">
        <v>3000</v>
      </c>
      <c r="G178" s="342">
        <v>3000</v>
      </c>
      <c r="H178" s="342">
        <v>6000</v>
      </c>
      <c r="I178" s="342">
        <v>0</v>
      </c>
      <c r="J178" s="342">
        <v>3000</v>
      </c>
      <c r="K178" s="342">
        <v>-4233</v>
      </c>
      <c r="L178" s="342"/>
      <c r="M178" s="342"/>
      <c r="N178" s="342"/>
      <c r="O178" s="376">
        <f t="shared" si="17"/>
        <v>19767</v>
      </c>
      <c r="P178" s="390"/>
      <c r="R178" s="990"/>
    </row>
    <row r="179" s="985" customFormat="1" customHeight="1" spans="1:18">
      <c r="A179" s="388" t="s">
        <v>4622</v>
      </c>
      <c r="B179" s="366" t="s">
        <v>4625</v>
      </c>
      <c r="C179" s="366" t="s">
        <v>4626</v>
      </c>
      <c r="D179" s="342">
        <v>6000</v>
      </c>
      <c r="E179" s="342">
        <v>0</v>
      </c>
      <c r="F179" s="342">
        <v>2000</v>
      </c>
      <c r="G179" s="342">
        <v>2000</v>
      </c>
      <c r="H179" s="342">
        <v>4000</v>
      </c>
      <c r="I179" s="342">
        <v>0</v>
      </c>
      <c r="J179" s="342">
        <v>2000</v>
      </c>
      <c r="K179" s="342">
        <v>-2822</v>
      </c>
      <c r="L179" s="342"/>
      <c r="M179" s="342"/>
      <c r="N179" s="342"/>
      <c r="O179" s="376">
        <f t="shared" si="17"/>
        <v>13178</v>
      </c>
      <c r="P179" s="390"/>
      <c r="R179" s="990"/>
    </row>
    <row r="180" s="985" customFormat="1" customHeight="1" spans="1:18">
      <c r="A180" s="388" t="s">
        <v>4628</v>
      </c>
      <c r="B180" s="366" t="s">
        <v>4629</v>
      </c>
      <c r="C180" s="366" t="s">
        <v>4630</v>
      </c>
      <c r="D180" s="342">
        <v>24000</v>
      </c>
      <c r="E180" s="342">
        <v>0</v>
      </c>
      <c r="F180" s="342">
        <v>8000</v>
      </c>
      <c r="G180" s="342">
        <v>8000</v>
      </c>
      <c r="H180" s="342">
        <v>16000</v>
      </c>
      <c r="I180" s="342">
        <v>0</v>
      </c>
      <c r="J180" s="342">
        <v>8000</v>
      </c>
      <c r="K180" s="342">
        <v>-11288</v>
      </c>
      <c r="L180" s="342"/>
      <c r="M180" s="342"/>
      <c r="N180" s="342"/>
      <c r="O180" s="376">
        <f t="shared" si="17"/>
        <v>52712</v>
      </c>
      <c r="P180" s="390"/>
      <c r="R180" s="990"/>
    </row>
    <row r="181" s="985" customFormat="1" customHeight="1" spans="1:18">
      <c r="A181" s="388" t="s">
        <v>4667</v>
      </c>
      <c r="B181" s="366" t="s">
        <v>4668</v>
      </c>
      <c r="C181" s="366" t="s">
        <v>4669</v>
      </c>
      <c r="D181" s="342">
        <v>3000</v>
      </c>
      <c r="E181" s="342">
        <v>0</v>
      </c>
      <c r="F181" s="342">
        <v>1000</v>
      </c>
      <c r="G181" s="342">
        <v>1000</v>
      </c>
      <c r="H181" s="342">
        <v>2000</v>
      </c>
      <c r="I181" s="342">
        <v>0</v>
      </c>
      <c r="J181" s="342">
        <v>1000</v>
      </c>
      <c r="K181" s="342">
        <v>-1411</v>
      </c>
      <c r="L181" s="342"/>
      <c r="M181" s="342"/>
      <c r="N181" s="342"/>
      <c r="O181" s="376">
        <f t="shared" si="17"/>
        <v>6589</v>
      </c>
      <c r="P181" s="391"/>
      <c r="R181" s="990"/>
    </row>
    <row r="182" s="985" customFormat="1" customHeight="1" spans="1:18">
      <c r="A182" s="388" t="s">
        <v>4541</v>
      </c>
      <c r="B182" s="366" t="s">
        <v>4542</v>
      </c>
      <c r="C182" s="366" t="s">
        <v>4543</v>
      </c>
      <c r="D182" s="342">
        <v>83200</v>
      </c>
      <c r="E182" s="342">
        <v>0</v>
      </c>
      <c r="F182" s="342">
        <v>1000</v>
      </c>
      <c r="G182" s="342">
        <v>1000</v>
      </c>
      <c r="H182" s="342">
        <v>2000</v>
      </c>
      <c r="I182" s="342">
        <v>0</v>
      </c>
      <c r="J182" s="342">
        <v>1000</v>
      </c>
      <c r="K182" s="342">
        <v>-1411</v>
      </c>
      <c r="L182" s="342"/>
      <c r="M182" s="342"/>
      <c r="N182" s="342"/>
      <c r="O182" s="376">
        <f t="shared" si="17"/>
        <v>86789</v>
      </c>
      <c r="P182" s="389" t="s">
        <v>4692</v>
      </c>
      <c r="R182" s="990"/>
    </row>
    <row r="183" s="985" customFormat="1" customHeight="1" spans="1:18">
      <c r="A183" s="388" t="s">
        <v>4541</v>
      </c>
      <c r="B183" s="366" t="s">
        <v>4544</v>
      </c>
      <c r="C183" s="366" t="s">
        <v>4543</v>
      </c>
      <c r="D183" s="342">
        <v>83200</v>
      </c>
      <c r="E183" s="342">
        <v>0</v>
      </c>
      <c r="F183" s="342">
        <v>1000</v>
      </c>
      <c r="G183" s="342">
        <v>1000</v>
      </c>
      <c r="H183" s="342">
        <v>2000</v>
      </c>
      <c r="I183" s="342">
        <v>0</v>
      </c>
      <c r="J183" s="342">
        <v>1000</v>
      </c>
      <c r="K183" s="342">
        <v>-1411</v>
      </c>
      <c r="L183" s="342"/>
      <c r="M183" s="342"/>
      <c r="N183" s="342"/>
      <c r="O183" s="376">
        <f t="shared" si="17"/>
        <v>86789</v>
      </c>
      <c r="P183" s="390"/>
      <c r="R183" s="990"/>
    </row>
    <row r="184" s="985" customFormat="1" customHeight="1" spans="1:18">
      <c r="A184" s="388" t="s">
        <v>4562</v>
      </c>
      <c r="B184" s="366" t="s">
        <v>4567</v>
      </c>
      <c r="C184" s="366" t="s">
        <v>4518</v>
      </c>
      <c r="D184" s="342">
        <v>83200</v>
      </c>
      <c r="E184" s="342">
        <v>0</v>
      </c>
      <c r="F184" s="342">
        <v>1000</v>
      </c>
      <c r="G184" s="342">
        <v>1000</v>
      </c>
      <c r="H184" s="342">
        <v>2000</v>
      </c>
      <c r="I184" s="342">
        <v>0</v>
      </c>
      <c r="J184" s="342">
        <v>1000</v>
      </c>
      <c r="K184" s="342">
        <v>-1411</v>
      </c>
      <c r="L184" s="342"/>
      <c r="M184" s="342"/>
      <c r="N184" s="342"/>
      <c r="O184" s="376">
        <f t="shared" si="17"/>
        <v>86789</v>
      </c>
      <c r="P184" s="390"/>
      <c r="R184" s="990"/>
    </row>
    <row r="185" s="985" customFormat="1" customHeight="1" spans="1:18">
      <c r="A185" s="388" t="s">
        <v>4562</v>
      </c>
      <c r="B185" s="366" t="s">
        <v>4568</v>
      </c>
      <c r="C185" s="366" t="s">
        <v>4518</v>
      </c>
      <c r="D185" s="342">
        <v>83200</v>
      </c>
      <c r="E185" s="342">
        <v>0</v>
      </c>
      <c r="F185" s="342">
        <v>1000</v>
      </c>
      <c r="G185" s="342">
        <v>1000</v>
      </c>
      <c r="H185" s="342">
        <v>2000</v>
      </c>
      <c r="I185" s="342">
        <v>0</v>
      </c>
      <c r="J185" s="342">
        <v>1000</v>
      </c>
      <c r="K185" s="342">
        <v>-1411</v>
      </c>
      <c r="L185" s="342"/>
      <c r="M185" s="342"/>
      <c r="N185" s="342"/>
      <c r="O185" s="376">
        <f t="shared" si="17"/>
        <v>86789</v>
      </c>
      <c r="P185" s="390"/>
      <c r="R185" s="990"/>
    </row>
    <row r="186" s="985" customFormat="1" customHeight="1" spans="1:18">
      <c r="A186" s="388" t="s">
        <v>4569</v>
      </c>
      <c r="B186" s="366" t="s">
        <v>4576</v>
      </c>
      <c r="C186" s="366" t="s">
        <v>4518</v>
      </c>
      <c r="D186" s="342">
        <v>83200</v>
      </c>
      <c r="E186" s="342">
        <v>0</v>
      </c>
      <c r="F186" s="342">
        <v>1000</v>
      </c>
      <c r="G186" s="342">
        <v>1000</v>
      </c>
      <c r="H186" s="342">
        <v>2000</v>
      </c>
      <c r="I186" s="342">
        <v>0</v>
      </c>
      <c r="J186" s="342">
        <v>1000</v>
      </c>
      <c r="K186" s="342">
        <v>-1411</v>
      </c>
      <c r="L186" s="342"/>
      <c r="M186" s="342"/>
      <c r="N186" s="342"/>
      <c r="O186" s="376">
        <f t="shared" si="17"/>
        <v>86789</v>
      </c>
      <c r="P186" s="390"/>
      <c r="R186" s="990"/>
    </row>
    <row r="187" s="985" customFormat="1" customHeight="1" spans="1:18">
      <c r="A187" s="388" t="s">
        <v>4579</v>
      </c>
      <c r="B187" s="366" t="s">
        <v>4580</v>
      </c>
      <c r="C187" s="366" t="s">
        <v>4581</v>
      </c>
      <c r="D187" s="342">
        <v>242800</v>
      </c>
      <c r="E187" s="342">
        <v>0</v>
      </c>
      <c r="F187" s="342">
        <v>1000</v>
      </c>
      <c r="G187" s="342">
        <v>1000</v>
      </c>
      <c r="H187" s="342">
        <v>2000</v>
      </c>
      <c r="I187" s="342">
        <v>0</v>
      </c>
      <c r="J187" s="342">
        <v>1000</v>
      </c>
      <c r="K187" s="342">
        <v>-1411</v>
      </c>
      <c r="L187" s="342"/>
      <c r="M187" s="342"/>
      <c r="N187" s="342"/>
      <c r="O187" s="376">
        <f t="shared" si="17"/>
        <v>246389</v>
      </c>
      <c r="P187" s="390"/>
      <c r="R187" s="990"/>
    </row>
    <row r="188" s="985" customFormat="1" customHeight="1" spans="1:18">
      <c r="A188" s="388" t="s">
        <v>4579</v>
      </c>
      <c r="B188" s="366" t="s">
        <v>4582</v>
      </c>
      <c r="C188" s="366" t="s">
        <v>4581</v>
      </c>
      <c r="D188" s="342">
        <v>242800</v>
      </c>
      <c r="E188" s="342">
        <v>0</v>
      </c>
      <c r="F188" s="342">
        <v>1000</v>
      </c>
      <c r="G188" s="342">
        <v>1000</v>
      </c>
      <c r="H188" s="342">
        <v>2000</v>
      </c>
      <c r="I188" s="342">
        <v>0</v>
      </c>
      <c r="J188" s="342">
        <v>1000</v>
      </c>
      <c r="K188" s="342">
        <v>-1411</v>
      </c>
      <c r="L188" s="342"/>
      <c r="M188" s="342"/>
      <c r="N188" s="342"/>
      <c r="O188" s="376">
        <f t="shared" si="17"/>
        <v>246389</v>
      </c>
      <c r="P188" s="390"/>
      <c r="R188" s="990"/>
    </row>
    <row r="189" s="985" customFormat="1" customHeight="1" spans="1:18">
      <c r="A189" s="388" t="s">
        <v>4612</v>
      </c>
      <c r="B189" s="366" t="s">
        <v>4613</v>
      </c>
      <c r="C189" s="366" t="s">
        <v>4518</v>
      </c>
      <c r="D189" s="342">
        <v>998400</v>
      </c>
      <c r="E189" s="342">
        <v>0</v>
      </c>
      <c r="F189" s="342">
        <v>12000</v>
      </c>
      <c r="G189" s="342">
        <v>12000</v>
      </c>
      <c r="H189" s="342">
        <v>24000</v>
      </c>
      <c r="I189" s="342">
        <v>0</v>
      </c>
      <c r="J189" s="342">
        <v>12000</v>
      </c>
      <c r="K189" s="342">
        <v>-16932</v>
      </c>
      <c r="L189" s="342"/>
      <c r="M189" s="342"/>
      <c r="N189" s="342"/>
      <c r="O189" s="376">
        <f t="shared" si="17"/>
        <v>1041468</v>
      </c>
      <c r="P189" s="390"/>
      <c r="R189" s="990"/>
    </row>
    <row r="190" s="985" customFormat="1" customHeight="1" spans="1:18">
      <c r="A190" s="388" t="s">
        <v>4612</v>
      </c>
      <c r="B190" s="366" t="s">
        <v>4614</v>
      </c>
      <c r="C190" s="366" t="s">
        <v>4518</v>
      </c>
      <c r="D190" s="342">
        <v>166400</v>
      </c>
      <c r="E190" s="342">
        <v>0</v>
      </c>
      <c r="F190" s="342">
        <v>2000</v>
      </c>
      <c r="G190" s="342">
        <v>2000</v>
      </c>
      <c r="H190" s="342">
        <v>4000</v>
      </c>
      <c r="I190" s="342">
        <v>0</v>
      </c>
      <c r="J190" s="342">
        <v>2000</v>
      </c>
      <c r="K190" s="342">
        <v>-2822</v>
      </c>
      <c r="L190" s="342"/>
      <c r="M190" s="342"/>
      <c r="N190" s="342"/>
      <c r="O190" s="376">
        <f t="shared" si="17"/>
        <v>173578</v>
      </c>
      <c r="P190" s="390"/>
      <c r="R190" s="990"/>
    </row>
    <row r="191" s="985" customFormat="1" customHeight="1" spans="1:18">
      <c r="A191" s="388" t="s">
        <v>4633</v>
      </c>
      <c r="B191" s="366" t="s">
        <v>4634</v>
      </c>
      <c r="C191" s="366" t="s">
        <v>4635</v>
      </c>
      <c r="D191" s="342">
        <v>2122400</v>
      </c>
      <c r="E191" s="342">
        <v>0</v>
      </c>
      <c r="F191" s="342">
        <v>20000</v>
      </c>
      <c r="G191" s="342">
        <v>20000</v>
      </c>
      <c r="H191" s="342">
        <v>40000</v>
      </c>
      <c r="I191" s="342">
        <v>0</v>
      </c>
      <c r="J191" s="342">
        <v>20000</v>
      </c>
      <c r="K191" s="342">
        <v>-28220</v>
      </c>
      <c r="L191" s="342"/>
      <c r="M191" s="342"/>
      <c r="N191" s="342"/>
      <c r="O191" s="376">
        <f t="shared" si="17"/>
        <v>2194180</v>
      </c>
      <c r="P191" s="390"/>
      <c r="R191" s="990"/>
    </row>
    <row r="192" s="985" customFormat="1" customHeight="1" spans="1:18">
      <c r="A192" s="388" t="s">
        <v>4633</v>
      </c>
      <c r="B192" s="366" t="s">
        <v>4636</v>
      </c>
      <c r="C192" s="366" t="s">
        <v>4635</v>
      </c>
      <c r="D192" s="342">
        <v>2198800</v>
      </c>
      <c r="E192" s="342">
        <v>0</v>
      </c>
      <c r="F192" s="342">
        <v>20000</v>
      </c>
      <c r="G192" s="342">
        <v>20000</v>
      </c>
      <c r="H192" s="342">
        <v>40000</v>
      </c>
      <c r="I192" s="342">
        <v>0</v>
      </c>
      <c r="J192" s="342">
        <v>20000</v>
      </c>
      <c r="K192" s="342">
        <v>-28220</v>
      </c>
      <c r="L192" s="342"/>
      <c r="M192" s="342"/>
      <c r="N192" s="342"/>
      <c r="O192" s="376">
        <f t="shared" si="17"/>
        <v>2270580</v>
      </c>
      <c r="P192" s="390"/>
      <c r="R192" s="990"/>
    </row>
    <row r="193" s="985" customFormat="1" customHeight="1" spans="1:18">
      <c r="A193" s="388" t="s">
        <v>4633</v>
      </c>
      <c r="B193" s="366" t="s">
        <v>4637</v>
      </c>
      <c r="C193" s="366" t="s">
        <v>4635</v>
      </c>
      <c r="D193" s="342">
        <v>2198800</v>
      </c>
      <c r="E193" s="342">
        <v>0</v>
      </c>
      <c r="F193" s="342">
        <v>20000</v>
      </c>
      <c r="G193" s="342">
        <v>20000</v>
      </c>
      <c r="H193" s="342">
        <v>40000</v>
      </c>
      <c r="I193" s="342">
        <v>0</v>
      </c>
      <c r="J193" s="342">
        <v>20000</v>
      </c>
      <c r="K193" s="342">
        <v>-28220</v>
      </c>
      <c r="L193" s="342"/>
      <c r="M193" s="342"/>
      <c r="N193" s="342"/>
      <c r="O193" s="376">
        <f t="shared" si="17"/>
        <v>2270580</v>
      </c>
      <c r="P193" s="390"/>
      <c r="R193" s="990"/>
    </row>
    <row r="194" s="985" customFormat="1" customHeight="1" spans="1:18">
      <c r="A194" s="388" t="s">
        <v>4662</v>
      </c>
      <c r="B194" s="366" t="s">
        <v>4606</v>
      </c>
      <c r="C194" s="366" t="s">
        <v>4518</v>
      </c>
      <c r="D194" s="342">
        <v>83200</v>
      </c>
      <c r="E194" s="342">
        <v>0</v>
      </c>
      <c r="F194" s="342">
        <v>1000</v>
      </c>
      <c r="G194" s="342">
        <v>1000</v>
      </c>
      <c r="H194" s="342">
        <v>2000</v>
      </c>
      <c r="I194" s="342">
        <v>0</v>
      </c>
      <c r="J194" s="342">
        <v>1000</v>
      </c>
      <c r="K194" s="342">
        <v>-1411</v>
      </c>
      <c r="L194" s="342"/>
      <c r="M194" s="342"/>
      <c r="N194" s="342"/>
      <c r="O194" s="376">
        <f t="shared" si="17"/>
        <v>86789</v>
      </c>
      <c r="P194" s="390"/>
      <c r="R194" s="990"/>
    </row>
    <row r="195" s="985" customFormat="1" customHeight="1" spans="1:18">
      <c r="A195" s="388" t="s">
        <v>4673</v>
      </c>
      <c r="B195" s="366" t="s">
        <v>4674</v>
      </c>
      <c r="C195" s="366" t="s">
        <v>4581</v>
      </c>
      <c r="D195" s="342">
        <v>242800</v>
      </c>
      <c r="E195" s="342">
        <v>0</v>
      </c>
      <c r="F195" s="342">
        <v>1000</v>
      </c>
      <c r="G195" s="342">
        <v>1000</v>
      </c>
      <c r="H195" s="342">
        <v>2000</v>
      </c>
      <c r="I195" s="342">
        <v>0</v>
      </c>
      <c r="J195" s="342">
        <v>1000</v>
      </c>
      <c r="K195" s="342">
        <v>-1411</v>
      </c>
      <c r="L195" s="342"/>
      <c r="M195" s="342"/>
      <c r="N195" s="342"/>
      <c r="O195" s="376">
        <f t="shared" si="17"/>
        <v>246389</v>
      </c>
      <c r="P195" s="391"/>
      <c r="R195" s="990"/>
    </row>
    <row r="196" s="985" customFormat="1" customHeight="1" spans="1:18">
      <c r="A196" s="388" t="s">
        <v>4569</v>
      </c>
      <c r="B196" s="366" t="s">
        <v>4574</v>
      </c>
      <c r="C196" s="366" t="s">
        <v>4575</v>
      </c>
      <c r="D196" s="342">
        <v>236400</v>
      </c>
      <c r="E196" s="342">
        <v>0</v>
      </c>
      <c r="F196" s="342">
        <v>1000</v>
      </c>
      <c r="G196" s="342">
        <v>1000</v>
      </c>
      <c r="H196" s="342">
        <v>2000</v>
      </c>
      <c r="I196" s="342">
        <v>0</v>
      </c>
      <c r="J196" s="342">
        <v>1000</v>
      </c>
      <c r="K196" s="342">
        <v>-1411</v>
      </c>
      <c r="L196" s="342"/>
      <c r="M196" s="342"/>
      <c r="N196" s="342"/>
      <c r="O196" s="376">
        <f t="shared" si="17"/>
        <v>239989</v>
      </c>
      <c r="P196" s="389" t="s">
        <v>4693</v>
      </c>
      <c r="R196" s="990"/>
    </row>
    <row r="197" s="985" customFormat="1" customHeight="1" spans="1:18">
      <c r="A197" s="388" t="s">
        <v>4584</v>
      </c>
      <c r="B197" s="366" t="s">
        <v>4588</v>
      </c>
      <c r="C197" s="366" t="s">
        <v>4560</v>
      </c>
      <c r="D197" s="342">
        <v>136320</v>
      </c>
      <c r="E197" s="342">
        <v>0</v>
      </c>
      <c r="F197" s="342">
        <v>1000</v>
      </c>
      <c r="G197" s="342">
        <v>1000</v>
      </c>
      <c r="H197" s="342">
        <v>2000</v>
      </c>
      <c r="I197" s="342">
        <v>0</v>
      </c>
      <c r="J197" s="342">
        <v>1000</v>
      </c>
      <c r="K197" s="342">
        <v>-1411</v>
      </c>
      <c r="L197" s="342"/>
      <c r="M197" s="342"/>
      <c r="N197" s="342"/>
      <c r="O197" s="376">
        <f t="shared" si="17"/>
        <v>139909</v>
      </c>
      <c r="P197" s="390"/>
      <c r="R197" s="990"/>
    </row>
    <row r="198" s="985" customFormat="1" customHeight="1" spans="1:18">
      <c r="A198" s="388" t="s">
        <v>4584</v>
      </c>
      <c r="B198" s="366" t="s">
        <v>4589</v>
      </c>
      <c r="C198" s="366" t="s">
        <v>4560</v>
      </c>
      <c r="D198" s="342">
        <v>136320</v>
      </c>
      <c r="E198" s="342">
        <v>0</v>
      </c>
      <c r="F198" s="342">
        <v>1000</v>
      </c>
      <c r="G198" s="342">
        <v>1000</v>
      </c>
      <c r="H198" s="342">
        <v>2000</v>
      </c>
      <c r="I198" s="342">
        <v>0</v>
      </c>
      <c r="J198" s="342">
        <v>1000</v>
      </c>
      <c r="K198" s="342">
        <v>-1411</v>
      </c>
      <c r="L198" s="342"/>
      <c r="M198" s="342"/>
      <c r="N198" s="342"/>
      <c r="O198" s="376">
        <f t="shared" si="17"/>
        <v>139909</v>
      </c>
      <c r="P198" s="390"/>
      <c r="R198" s="990"/>
    </row>
    <row r="199" s="985" customFormat="1" customHeight="1" spans="1:18">
      <c r="A199" s="388" t="s">
        <v>4602</v>
      </c>
      <c r="B199" s="366" t="s">
        <v>4607</v>
      </c>
      <c r="C199" s="366" t="s">
        <v>4520</v>
      </c>
      <c r="D199" s="342">
        <v>68160</v>
      </c>
      <c r="E199" s="342">
        <v>0</v>
      </c>
      <c r="F199" s="342">
        <v>1000</v>
      </c>
      <c r="G199" s="342">
        <v>1000</v>
      </c>
      <c r="H199" s="342">
        <v>2000</v>
      </c>
      <c r="I199" s="342">
        <v>0</v>
      </c>
      <c r="J199" s="342">
        <v>1000</v>
      </c>
      <c r="K199" s="342">
        <v>-1411</v>
      </c>
      <c r="L199" s="342"/>
      <c r="M199" s="342"/>
      <c r="N199" s="342"/>
      <c r="O199" s="376">
        <f t="shared" si="17"/>
        <v>71749</v>
      </c>
      <c r="P199" s="390"/>
      <c r="R199" s="990"/>
    </row>
    <row r="200" s="985" customFormat="1" customHeight="1" spans="1:18">
      <c r="A200" s="388" t="s">
        <v>4602</v>
      </c>
      <c r="B200" s="366" t="s">
        <v>4608</v>
      </c>
      <c r="C200" s="366" t="s">
        <v>4520</v>
      </c>
      <c r="D200" s="342">
        <v>68160</v>
      </c>
      <c r="E200" s="342">
        <v>0</v>
      </c>
      <c r="F200" s="342">
        <v>1000</v>
      </c>
      <c r="G200" s="342">
        <v>1000</v>
      </c>
      <c r="H200" s="342">
        <v>2000</v>
      </c>
      <c r="I200" s="342">
        <v>0</v>
      </c>
      <c r="J200" s="342">
        <v>1000</v>
      </c>
      <c r="K200" s="342">
        <v>-1411</v>
      </c>
      <c r="L200" s="342"/>
      <c r="M200" s="342"/>
      <c r="N200" s="342"/>
      <c r="O200" s="376">
        <f t="shared" si="17"/>
        <v>71749</v>
      </c>
      <c r="P200" s="390"/>
      <c r="R200" s="990"/>
    </row>
    <row r="201" s="985" customFormat="1" customHeight="1" spans="1:18">
      <c r="A201" s="388" t="s">
        <v>4602</v>
      </c>
      <c r="B201" s="366" t="s">
        <v>4609</v>
      </c>
      <c r="C201" s="366" t="s">
        <v>4520</v>
      </c>
      <c r="D201" s="342">
        <v>68160</v>
      </c>
      <c r="E201" s="342">
        <v>0</v>
      </c>
      <c r="F201" s="342">
        <v>1000</v>
      </c>
      <c r="G201" s="342">
        <v>1000</v>
      </c>
      <c r="H201" s="342">
        <v>2000</v>
      </c>
      <c r="I201" s="342">
        <v>0</v>
      </c>
      <c r="J201" s="342">
        <v>1000</v>
      </c>
      <c r="K201" s="342">
        <v>-1411</v>
      </c>
      <c r="L201" s="342"/>
      <c r="M201" s="342"/>
      <c r="N201" s="342"/>
      <c r="O201" s="376">
        <f t="shared" si="17"/>
        <v>71749</v>
      </c>
      <c r="P201" s="390"/>
      <c r="R201" s="990"/>
    </row>
    <row r="202" s="985" customFormat="1" customHeight="1" spans="1:18">
      <c r="A202" s="388" t="s">
        <v>4612</v>
      </c>
      <c r="B202" s="366" t="s">
        <v>4616</v>
      </c>
      <c r="C202" s="366" t="s">
        <v>4520</v>
      </c>
      <c r="D202" s="342">
        <v>68160</v>
      </c>
      <c r="E202" s="342">
        <v>0</v>
      </c>
      <c r="F202" s="342">
        <v>1000</v>
      </c>
      <c r="G202" s="342">
        <v>1000</v>
      </c>
      <c r="H202" s="342">
        <v>2000</v>
      </c>
      <c r="I202" s="342">
        <v>0</v>
      </c>
      <c r="J202" s="342">
        <v>1000</v>
      </c>
      <c r="K202" s="342">
        <v>-1411</v>
      </c>
      <c r="L202" s="342"/>
      <c r="M202" s="342"/>
      <c r="N202" s="342"/>
      <c r="O202" s="376">
        <f t="shared" si="17"/>
        <v>71749</v>
      </c>
      <c r="P202" s="390"/>
      <c r="R202" s="990"/>
    </row>
    <row r="203" s="985" customFormat="1" customHeight="1" spans="1:18">
      <c r="A203" s="388" t="s">
        <v>4612</v>
      </c>
      <c r="B203" s="366" t="s">
        <v>4617</v>
      </c>
      <c r="C203" s="366" t="s">
        <v>4520</v>
      </c>
      <c r="D203" s="342">
        <v>68160</v>
      </c>
      <c r="E203" s="342">
        <v>0</v>
      </c>
      <c r="F203" s="342">
        <v>1000</v>
      </c>
      <c r="G203" s="342">
        <v>1000</v>
      </c>
      <c r="H203" s="342">
        <v>2000</v>
      </c>
      <c r="I203" s="342">
        <v>0</v>
      </c>
      <c r="J203" s="342">
        <v>1000</v>
      </c>
      <c r="K203" s="342">
        <v>-1411</v>
      </c>
      <c r="L203" s="342"/>
      <c r="M203" s="342"/>
      <c r="N203" s="342"/>
      <c r="O203" s="376">
        <f t="shared" si="17"/>
        <v>71749</v>
      </c>
      <c r="P203" s="390"/>
      <c r="R203" s="990"/>
    </row>
    <row r="204" s="985" customFormat="1" customHeight="1" spans="1:18">
      <c r="A204" s="388" t="s">
        <v>4612</v>
      </c>
      <c r="B204" s="366" t="s">
        <v>4618</v>
      </c>
      <c r="C204" s="366" t="s">
        <v>4520</v>
      </c>
      <c r="D204" s="342">
        <v>68160</v>
      </c>
      <c r="E204" s="342">
        <v>0</v>
      </c>
      <c r="F204" s="342">
        <v>1000</v>
      </c>
      <c r="G204" s="342">
        <v>1000</v>
      </c>
      <c r="H204" s="342">
        <v>2000</v>
      </c>
      <c r="I204" s="342">
        <v>0</v>
      </c>
      <c r="J204" s="342">
        <v>1000</v>
      </c>
      <c r="K204" s="342">
        <v>-1411</v>
      </c>
      <c r="L204" s="342"/>
      <c r="M204" s="342"/>
      <c r="N204" s="342"/>
      <c r="O204" s="376">
        <f t="shared" si="17"/>
        <v>71749</v>
      </c>
      <c r="P204" s="390"/>
      <c r="R204" s="990"/>
    </row>
    <row r="205" s="985" customFormat="1" customHeight="1" spans="1:18">
      <c r="A205" s="388" t="s">
        <v>4641</v>
      </c>
      <c r="B205" s="366" t="s">
        <v>4648</v>
      </c>
      <c r="C205" s="366" t="s">
        <v>4520</v>
      </c>
      <c r="D205" s="342">
        <v>68160</v>
      </c>
      <c r="E205" s="342">
        <v>0</v>
      </c>
      <c r="F205" s="342">
        <v>1000</v>
      </c>
      <c r="G205" s="342">
        <v>1000</v>
      </c>
      <c r="H205" s="342">
        <v>2000</v>
      </c>
      <c r="I205" s="342">
        <v>0</v>
      </c>
      <c r="J205" s="342">
        <v>1000</v>
      </c>
      <c r="K205" s="342">
        <v>-1411</v>
      </c>
      <c r="L205" s="342"/>
      <c r="M205" s="342"/>
      <c r="N205" s="342"/>
      <c r="O205" s="376">
        <f t="shared" si="17"/>
        <v>71749</v>
      </c>
      <c r="P205" s="390"/>
      <c r="R205" s="990"/>
    </row>
    <row r="206" s="985" customFormat="1" customHeight="1" spans="1:18">
      <c r="A206" s="388" t="s">
        <v>4641</v>
      </c>
      <c r="B206" s="366" t="s">
        <v>4649</v>
      </c>
      <c r="C206" s="366" t="s">
        <v>4520</v>
      </c>
      <c r="D206" s="342">
        <v>68160</v>
      </c>
      <c r="E206" s="342">
        <v>0</v>
      </c>
      <c r="F206" s="342">
        <v>1000</v>
      </c>
      <c r="G206" s="342">
        <v>1000</v>
      </c>
      <c r="H206" s="342">
        <v>2000</v>
      </c>
      <c r="I206" s="342">
        <v>0</v>
      </c>
      <c r="J206" s="342">
        <v>1000</v>
      </c>
      <c r="K206" s="342">
        <v>-1411</v>
      </c>
      <c r="L206" s="342"/>
      <c r="M206" s="342"/>
      <c r="N206" s="342"/>
      <c r="O206" s="376">
        <f t="shared" si="17"/>
        <v>71749</v>
      </c>
      <c r="P206" s="390"/>
      <c r="R206" s="990"/>
    </row>
    <row r="207" s="985" customFormat="1" customHeight="1" spans="1:18">
      <c r="A207" s="388" t="s">
        <v>4641</v>
      </c>
      <c r="B207" s="366" t="s">
        <v>4650</v>
      </c>
      <c r="C207" s="366" t="s">
        <v>4520</v>
      </c>
      <c r="D207" s="342">
        <v>68160</v>
      </c>
      <c r="E207" s="342">
        <v>0</v>
      </c>
      <c r="F207" s="342">
        <v>1000</v>
      </c>
      <c r="G207" s="342">
        <v>1000</v>
      </c>
      <c r="H207" s="342">
        <v>2000</v>
      </c>
      <c r="I207" s="342">
        <v>0</v>
      </c>
      <c r="J207" s="342">
        <v>1000</v>
      </c>
      <c r="K207" s="342">
        <v>-1411</v>
      </c>
      <c r="L207" s="342"/>
      <c r="M207" s="342"/>
      <c r="N207" s="342"/>
      <c r="O207" s="376">
        <f t="shared" si="17"/>
        <v>71749</v>
      </c>
      <c r="P207" s="390"/>
      <c r="R207" s="990"/>
    </row>
    <row r="208" s="985" customFormat="1" customHeight="1" spans="1:18">
      <c r="A208" s="388" t="s">
        <v>4675</v>
      </c>
      <c r="B208" s="366" t="s">
        <v>4676</v>
      </c>
      <c r="C208" s="366" t="s">
        <v>4560</v>
      </c>
      <c r="D208" s="342">
        <v>136320</v>
      </c>
      <c r="E208" s="342">
        <v>0</v>
      </c>
      <c r="F208" s="342">
        <v>1000</v>
      </c>
      <c r="G208" s="342">
        <v>1000</v>
      </c>
      <c r="H208" s="342">
        <v>2000</v>
      </c>
      <c r="I208" s="342">
        <v>0</v>
      </c>
      <c r="J208" s="342">
        <v>1000</v>
      </c>
      <c r="K208" s="342">
        <v>-1411</v>
      </c>
      <c r="L208" s="342"/>
      <c r="M208" s="342"/>
      <c r="N208" s="342"/>
      <c r="O208" s="376">
        <f t="shared" si="17"/>
        <v>139909</v>
      </c>
      <c r="P208" s="391"/>
      <c r="R208" s="990"/>
    </row>
    <row r="209" customHeight="1" spans="1:16">
      <c r="A209" s="343"/>
      <c r="B209" s="344"/>
      <c r="C209" s="344" t="s">
        <v>4694</v>
      </c>
      <c r="D209" s="345">
        <f t="shared" ref="D209:M209" si="18">SUM(D143:D208)</f>
        <v>10399200</v>
      </c>
      <c r="E209" s="345">
        <f t="shared" si="18"/>
        <v>0</v>
      </c>
      <c r="F209" s="345">
        <f t="shared" si="18"/>
        <v>172000</v>
      </c>
      <c r="G209" s="345">
        <f t="shared" si="18"/>
        <v>172000</v>
      </c>
      <c r="H209" s="345">
        <f t="shared" si="18"/>
        <v>344000</v>
      </c>
      <c r="I209" s="345">
        <f t="shared" si="18"/>
        <v>0</v>
      </c>
      <c r="J209" s="345">
        <f t="shared" si="18"/>
        <v>172000</v>
      </c>
      <c r="K209" s="345">
        <f t="shared" si="18"/>
        <v>-242692</v>
      </c>
      <c r="L209" s="345">
        <f t="shared" si="18"/>
        <v>0</v>
      </c>
      <c r="M209" s="345"/>
      <c r="N209" s="345"/>
      <c r="O209" s="345">
        <f>SUM(O143:O208)</f>
        <v>11016508</v>
      </c>
      <c r="P209" s="378"/>
    </row>
  </sheetData>
  <mergeCells count="25">
    <mergeCell ref="A29:A35"/>
    <mergeCell ref="A36:A41"/>
    <mergeCell ref="A42:A47"/>
    <mergeCell ref="A48:A53"/>
    <mergeCell ref="A54:A56"/>
    <mergeCell ref="A57:A60"/>
    <mergeCell ref="A61:A66"/>
    <mergeCell ref="A68:A76"/>
    <mergeCell ref="A77:A85"/>
    <mergeCell ref="A86:A88"/>
    <mergeCell ref="A89:A91"/>
    <mergeCell ref="A92:A97"/>
    <mergeCell ref="A98:A109"/>
    <mergeCell ref="A110:A116"/>
    <mergeCell ref="A117:A121"/>
    <mergeCell ref="A122:A123"/>
    <mergeCell ref="P8:P11"/>
    <mergeCell ref="P133:P141"/>
    <mergeCell ref="P143:P146"/>
    <mergeCell ref="P147:P159"/>
    <mergeCell ref="P160:P162"/>
    <mergeCell ref="P163:P176"/>
    <mergeCell ref="P177:P181"/>
    <mergeCell ref="P182:P195"/>
    <mergeCell ref="P196:P208"/>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14"/>
  <sheetViews>
    <sheetView zoomScale="70" zoomScaleNormal="70" workbookViewId="0">
      <pane xSplit="8" ySplit="4" topLeftCell="V189" activePane="bottomRight" state="frozen"/>
      <selection/>
      <selection pane="topRight"/>
      <selection pane="bottomLeft"/>
      <selection pane="bottomRight" activeCell="K215" sqref="K215"/>
    </sheetView>
  </sheetViews>
  <sheetFormatPr defaultColWidth="9" defaultRowHeight="14.25"/>
  <cols>
    <col min="1" max="1" width="11.1" style="262" customWidth="1"/>
    <col min="2" max="2" width="12.8" style="260" customWidth="1"/>
    <col min="3" max="3" width="12.6916666666667" style="260" customWidth="1"/>
    <col min="4" max="5" width="10.8333333333333" style="260" customWidth="1"/>
    <col min="6" max="6" width="18.4916666666667" style="260" customWidth="1"/>
    <col min="7" max="8" width="10.8333333333333" style="260" customWidth="1"/>
    <col min="9" max="9" width="9.33333333333333" style="260" customWidth="1"/>
    <col min="10" max="15" width="9.33333333333333" style="263" customWidth="1"/>
    <col min="16" max="18" width="9.33333333333333" style="260" customWidth="1"/>
    <col min="19" max="21" width="12.1" style="260" customWidth="1"/>
    <col min="22" max="40" width="12.8" style="260" customWidth="1"/>
    <col min="41" max="41" width="37.1" style="260" customWidth="1"/>
    <col min="42" max="16384" width="9" style="260"/>
  </cols>
  <sheetData>
    <row r="1" ht="18" spans="1:41">
      <c r="A1" s="264" t="s">
        <v>4695</v>
      </c>
      <c r="B1" s="265"/>
      <c r="C1" s="265"/>
      <c r="D1" s="265"/>
      <c r="E1" s="265"/>
      <c r="F1" s="265"/>
      <c r="G1" s="265"/>
      <c r="H1" s="265"/>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301"/>
    </row>
    <row r="2" ht="15" spans="1:41">
      <c r="A2" s="266" t="s">
        <v>4696</v>
      </c>
      <c r="B2" s="267" t="s">
        <v>4697</v>
      </c>
      <c r="C2" s="268" t="s">
        <v>4698</v>
      </c>
      <c r="D2" s="269" t="s">
        <v>4699</v>
      </c>
      <c r="E2" s="269" t="s">
        <v>4700</v>
      </c>
      <c r="F2" s="269" t="s">
        <v>4701</v>
      </c>
      <c r="G2" s="270" t="s">
        <v>4702</v>
      </c>
      <c r="H2" s="269" t="s">
        <v>4703</v>
      </c>
      <c r="I2" s="284" t="s">
        <v>4704</v>
      </c>
      <c r="J2" s="284"/>
      <c r="K2" s="284"/>
      <c r="L2" s="284"/>
      <c r="M2" s="284"/>
      <c r="N2" s="284"/>
      <c r="O2" s="285"/>
      <c r="P2" s="284" t="s">
        <v>4</v>
      </c>
      <c r="Q2" s="284"/>
      <c r="R2" s="284"/>
      <c r="S2" s="286" t="s">
        <v>4705</v>
      </c>
      <c r="T2" s="287"/>
      <c r="U2" s="298"/>
      <c r="V2" s="286" t="s">
        <v>4706</v>
      </c>
      <c r="W2" s="298"/>
      <c r="X2" s="298"/>
      <c r="Y2" s="286" t="s">
        <v>4707</v>
      </c>
      <c r="Z2" s="287"/>
      <c r="AA2" s="286" t="s">
        <v>4707</v>
      </c>
      <c r="AB2" s="287"/>
      <c r="AC2" s="286" t="s">
        <v>4708</v>
      </c>
      <c r="AD2" s="287"/>
      <c r="AE2" s="286" t="s">
        <v>4709</v>
      </c>
      <c r="AF2" s="298"/>
      <c r="AG2" s="287"/>
      <c r="AH2" s="286" t="s">
        <v>4710</v>
      </c>
      <c r="AI2" s="298"/>
      <c r="AJ2" s="287"/>
      <c r="AK2" s="302">
        <v>77516</v>
      </c>
      <c r="AL2" s="302"/>
      <c r="AM2" s="302"/>
      <c r="AN2" s="302"/>
      <c r="AO2" s="303"/>
    </row>
    <row r="3" ht="28.5" spans="1:41">
      <c r="A3" s="266"/>
      <c r="B3" s="271"/>
      <c r="C3" s="272"/>
      <c r="D3" s="273"/>
      <c r="E3" s="273"/>
      <c r="F3" s="273"/>
      <c r="G3" s="274"/>
      <c r="H3" s="273"/>
      <c r="I3" s="287" t="s">
        <v>4711</v>
      </c>
      <c r="J3" s="963" t="s">
        <v>4712</v>
      </c>
      <c r="K3" s="287" t="s">
        <v>4711</v>
      </c>
      <c r="L3" s="963" t="s">
        <v>4712</v>
      </c>
      <c r="M3" s="290" t="s">
        <v>4713</v>
      </c>
      <c r="N3" s="290" t="s">
        <v>4714</v>
      </c>
      <c r="O3" s="290" t="s">
        <v>4715</v>
      </c>
      <c r="P3" s="964" t="s">
        <v>4716</v>
      </c>
      <c r="Q3" s="968"/>
      <c r="R3" s="291" t="s">
        <v>4717</v>
      </c>
      <c r="S3" s="294" t="s">
        <v>4711</v>
      </c>
      <c r="T3" s="969" t="s">
        <v>4712</v>
      </c>
      <c r="U3" s="969" t="s">
        <v>4712</v>
      </c>
      <c r="V3" s="970" t="s">
        <v>4718</v>
      </c>
      <c r="W3" s="291" t="s">
        <v>4719</v>
      </c>
      <c r="X3" s="291" t="s">
        <v>4717</v>
      </c>
      <c r="Y3" s="292" t="s">
        <v>4720</v>
      </c>
      <c r="Z3" s="972" t="s">
        <v>4721</v>
      </c>
      <c r="AA3" s="292" t="s">
        <v>4720</v>
      </c>
      <c r="AB3" s="972" t="s">
        <v>4721</v>
      </c>
      <c r="AC3" s="292" t="s">
        <v>4722</v>
      </c>
      <c r="AD3" s="972" t="s">
        <v>4723</v>
      </c>
      <c r="AE3" s="299" t="s">
        <v>4724</v>
      </c>
      <c r="AF3" s="972" t="s">
        <v>4725</v>
      </c>
      <c r="AG3" s="973" t="s">
        <v>4726</v>
      </c>
      <c r="AH3" s="292" t="s">
        <v>4727</v>
      </c>
      <c r="AI3" s="972" t="s">
        <v>4728</v>
      </c>
      <c r="AJ3" s="972" t="s">
        <v>4729</v>
      </c>
      <c r="AK3" s="304" t="s">
        <v>67</v>
      </c>
      <c r="AL3" s="304" t="s">
        <v>4730</v>
      </c>
      <c r="AM3" s="304" t="s">
        <v>68</v>
      </c>
      <c r="AN3" s="304" t="s">
        <v>68</v>
      </c>
      <c r="AO3" s="305" t="s">
        <v>26</v>
      </c>
    </row>
    <row r="4" spans="1:41">
      <c r="A4" s="266"/>
      <c r="B4" s="271"/>
      <c r="C4" s="272"/>
      <c r="D4" s="275"/>
      <c r="E4" s="275"/>
      <c r="F4" s="275"/>
      <c r="G4" s="276"/>
      <c r="H4" s="275"/>
      <c r="I4" s="287" t="s">
        <v>4731</v>
      </c>
      <c r="J4" s="294" t="s">
        <v>4732</v>
      </c>
      <c r="K4" s="965" t="s">
        <v>4733</v>
      </c>
      <c r="L4" s="965" t="s">
        <v>4733</v>
      </c>
      <c r="M4" s="294"/>
      <c r="N4" s="294"/>
      <c r="O4" s="295" t="s">
        <v>4717</v>
      </c>
      <c r="P4" s="295" t="s">
        <v>4734</v>
      </c>
      <c r="Q4" s="971" t="s">
        <v>4735</v>
      </c>
      <c r="R4" s="294" t="s">
        <v>4736</v>
      </c>
      <c r="S4" s="294" t="s">
        <v>4732</v>
      </c>
      <c r="T4" s="294" t="s">
        <v>4732</v>
      </c>
      <c r="U4" s="969" t="s">
        <v>4737</v>
      </c>
      <c r="V4" s="294" t="s">
        <v>4738</v>
      </c>
      <c r="W4" s="294" t="s">
        <v>4732</v>
      </c>
      <c r="X4" s="294" t="s">
        <v>4736</v>
      </c>
      <c r="Y4" s="294" t="s">
        <v>4732</v>
      </c>
      <c r="Z4" s="294" t="s">
        <v>4732</v>
      </c>
      <c r="AA4" s="965" t="s">
        <v>4739</v>
      </c>
      <c r="AB4" s="965" t="s">
        <v>4739</v>
      </c>
      <c r="AC4" s="294" t="s">
        <v>4732</v>
      </c>
      <c r="AD4" s="294" t="s">
        <v>4732</v>
      </c>
      <c r="AE4" s="294" t="s">
        <v>4732</v>
      </c>
      <c r="AF4" s="294" t="s">
        <v>4732</v>
      </c>
      <c r="AG4" s="294" t="s">
        <v>4732</v>
      </c>
      <c r="AH4" s="294" t="s">
        <v>4732</v>
      </c>
      <c r="AI4" s="294" t="s">
        <v>4732</v>
      </c>
      <c r="AJ4" s="294" t="s">
        <v>4732</v>
      </c>
      <c r="AK4" s="294" t="s">
        <v>4732</v>
      </c>
      <c r="AL4" s="294" t="s">
        <v>4732</v>
      </c>
      <c r="AM4" s="294" t="s">
        <v>4739</v>
      </c>
      <c r="AN4" s="294" t="s">
        <v>4732</v>
      </c>
      <c r="AO4" s="303"/>
    </row>
    <row r="5" ht="15.75" customHeight="1" spans="1:41">
      <c r="A5" s="277">
        <v>45271</v>
      </c>
      <c r="B5" s="278">
        <v>1000017711</v>
      </c>
      <c r="C5" s="278" t="s">
        <v>4740</v>
      </c>
      <c r="D5" s="279">
        <v>77515</v>
      </c>
      <c r="E5" s="279">
        <v>350000</v>
      </c>
      <c r="F5" s="280" t="s">
        <v>4741</v>
      </c>
      <c r="G5" s="281" t="s">
        <v>4742</v>
      </c>
      <c r="H5" s="282" t="s">
        <v>4743</v>
      </c>
      <c r="I5" s="297">
        <v>350000</v>
      </c>
      <c r="J5" s="324"/>
      <c r="K5" s="324"/>
      <c r="L5" s="324"/>
      <c r="M5" s="324"/>
      <c r="N5" s="324"/>
      <c r="O5" s="324"/>
      <c r="P5" s="297"/>
      <c r="Q5" s="297"/>
      <c r="R5" s="297"/>
      <c r="S5" s="297"/>
      <c r="T5" s="297"/>
      <c r="U5" s="297"/>
      <c r="V5" s="297"/>
      <c r="W5" s="297"/>
      <c r="X5" s="297"/>
      <c r="Y5" s="297"/>
      <c r="Z5" s="297"/>
      <c r="AA5" s="297"/>
      <c r="AB5" s="297"/>
      <c r="AC5" s="297"/>
      <c r="AD5" s="297"/>
      <c r="AE5" s="297"/>
      <c r="AF5" s="297"/>
      <c r="AG5" s="297"/>
      <c r="AH5" s="297"/>
      <c r="AI5" s="297"/>
      <c r="AJ5" s="297"/>
      <c r="AK5" s="297"/>
      <c r="AL5" s="297"/>
      <c r="AM5" s="297"/>
      <c r="AN5" s="297"/>
      <c r="AO5" s="297"/>
    </row>
    <row r="6" ht="15.75" customHeight="1" spans="1:41">
      <c r="A6" s="277">
        <v>45271</v>
      </c>
      <c r="B6" s="278" t="s">
        <v>4744</v>
      </c>
      <c r="C6" s="278" t="s">
        <v>4740</v>
      </c>
      <c r="D6" s="279" t="s">
        <v>4705</v>
      </c>
      <c r="E6" s="279">
        <v>10476</v>
      </c>
      <c r="F6" s="280" t="s">
        <v>4745</v>
      </c>
      <c r="G6" s="281" t="s">
        <v>4742</v>
      </c>
      <c r="H6" s="282" t="s">
        <v>4743</v>
      </c>
      <c r="I6" s="297"/>
      <c r="J6" s="324"/>
      <c r="K6" s="324"/>
      <c r="L6" s="324"/>
      <c r="M6" s="324"/>
      <c r="N6" s="324"/>
      <c r="O6" s="324"/>
      <c r="P6" s="297"/>
      <c r="Q6" s="297"/>
      <c r="R6" s="297"/>
      <c r="S6" s="297">
        <v>10476</v>
      </c>
      <c r="T6" s="297"/>
      <c r="U6" s="297"/>
      <c r="V6" s="297"/>
      <c r="W6" s="297"/>
      <c r="X6" s="297"/>
      <c r="Y6" s="297"/>
      <c r="Z6" s="297"/>
      <c r="AA6" s="297"/>
      <c r="AB6" s="297"/>
      <c r="AC6" s="297"/>
      <c r="AD6" s="297"/>
      <c r="AE6" s="297"/>
      <c r="AF6" s="297"/>
      <c r="AG6" s="297"/>
      <c r="AH6" s="297"/>
      <c r="AI6" s="297"/>
      <c r="AJ6" s="297"/>
      <c r="AK6" s="297"/>
      <c r="AL6" s="297"/>
      <c r="AM6" s="297"/>
      <c r="AN6" s="297"/>
      <c r="AO6" s="297"/>
    </row>
    <row r="7" ht="15.75" customHeight="1" spans="1:41">
      <c r="A7" s="277">
        <v>45271</v>
      </c>
      <c r="B7" s="278">
        <v>1000017713</v>
      </c>
      <c r="C7" s="278" t="s">
        <v>4740</v>
      </c>
      <c r="D7" s="279">
        <v>77515</v>
      </c>
      <c r="E7" s="279">
        <v>380000</v>
      </c>
      <c r="F7" s="280" t="s">
        <v>4746</v>
      </c>
      <c r="G7" s="281" t="s">
        <v>4747</v>
      </c>
      <c r="H7" s="282" t="s">
        <v>4743</v>
      </c>
      <c r="I7" s="297"/>
      <c r="J7" s="324"/>
      <c r="K7" s="324"/>
      <c r="L7" s="324"/>
      <c r="M7" s="324"/>
      <c r="N7" s="324"/>
      <c r="O7" s="324"/>
      <c r="P7" s="297">
        <v>380000</v>
      </c>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974" t="s">
        <v>4748</v>
      </c>
    </row>
    <row r="8" ht="15.75" customHeight="1" spans="1:41">
      <c r="A8" s="277">
        <v>45271</v>
      </c>
      <c r="B8" s="278">
        <v>1000017714</v>
      </c>
      <c r="C8" s="278" t="s">
        <v>4740</v>
      </c>
      <c r="D8" s="279">
        <v>77515</v>
      </c>
      <c r="E8" s="279">
        <v>30000</v>
      </c>
      <c r="F8" s="280" t="s">
        <v>4741</v>
      </c>
      <c r="G8" s="281" t="s">
        <v>4749</v>
      </c>
      <c r="H8" s="282" t="s">
        <v>4743</v>
      </c>
      <c r="I8" s="297"/>
      <c r="J8" s="966">
        <v>30000</v>
      </c>
      <c r="K8" s="966"/>
      <c r="L8" s="966"/>
      <c r="M8" s="324"/>
      <c r="N8" s="324"/>
      <c r="O8" s="324"/>
      <c r="P8" s="297"/>
      <c r="Q8" s="297"/>
      <c r="R8" s="297"/>
      <c r="S8" s="297"/>
      <c r="T8" s="297"/>
      <c r="U8" s="297"/>
      <c r="V8" s="297"/>
      <c r="W8" s="297"/>
      <c r="X8" s="297"/>
      <c r="Y8" s="297"/>
      <c r="Z8" s="297"/>
      <c r="AA8" s="297"/>
      <c r="AB8" s="297"/>
      <c r="AC8" s="297"/>
      <c r="AD8" s="297"/>
      <c r="AE8" s="297"/>
      <c r="AF8" s="297"/>
      <c r="AG8" s="297"/>
      <c r="AH8" s="297"/>
      <c r="AI8" s="297"/>
      <c r="AJ8" s="297"/>
      <c r="AK8" s="297"/>
      <c r="AL8" s="297"/>
      <c r="AM8" s="297"/>
      <c r="AN8" s="297"/>
      <c r="AO8" s="297"/>
    </row>
    <row r="9" s="261" customFormat="1" ht="15.75" customHeight="1" spans="1:41">
      <c r="A9" s="277">
        <v>45295</v>
      </c>
      <c r="B9" s="958">
        <v>1000018068</v>
      </c>
      <c r="C9" s="279" t="s">
        <v>4740</v>
      </c>
      <c r="D9" s="279">
        <v>77515</v>
      </c>
      <c r="E9" s="279">
        <v>200000</v>
      </c>
      <c r="F9" s="958" t="s">
        <v>4741</v>
      </c>
      <c r="G9" s="959" t="s">
        <v>4742</v>
      </c>
      <c r="H9" s="959" t="s">
        <v>4750</v>
      </c>
      <c r="I9" s="279">
        <v>200000</v>
      </c>
      <c r="J9" s="967"/>
      <c r="K9" s="967"/>
      <c r="L9" s="967"/>
      <c r="M9" s="967"/>
      <c r="N9" s="967"/>
      <c r="O9" s="967"/>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975" t="s">
        <v>4751</v>
      </c>
    </row>
    <row r="10" s="957" customFormat="1" ht="15.75" customHeight="1" spans="1:41">
      <c r="A10" s="277">
        <v>45295</v>
      </c>
      <c r="B10" s="278">
        <v>1000018069</v>
      </c>
      <c r="C10" s="279" t="s">
        <v>4740</v>
      </c>
      <c r="D10" s="279" t="s">
        <v>4752</v>
      </c>
      <c r="E10" s="279">
        <v>3000</v>
      </c>
      <c r="F10" s="280" t="s">
        <v>4745</v>
      </c>
      <c r="G10" s="959" t="s">
        <v>4742</v>
      </c>
      <c r="H10" s="959" t="s">
        <v>4743</v>
      </c>
      <c r="I10" s="279"/>
      <c r="J10" s="967"/>
      <c r="K10" s="967"/>
      <c r="L10" s="967"/>
      <c r="M10" s="967"/>
      <c r="N10" s="967"/>
      <c r="O10" s="967"/>
      <c r="P10" s="279"/>
      <c r="Q10" s="279"/>
      <c r="R10" s="279"/>
      <c r="S10" s="279"/>
      <c r="T10" s="279"/>
      <c r="U10" s="279"/>
      <c r="V10" s="279"/>
      <c r="W10" s="279"/>
      <c r="X10" s="279"/>
      <c r="Y10" s="279">
        <v>3000</v>
      </c>
      <c r="Z10" s="279"/>
      <c r="AA10" s="279"/>
      <c r="AB10" s="279"/>
      <c r="AC10" s="279"/>
      <c r="AD10" s="279"/>
      <c r="AE10" s="279"/>
      <c r="AF10" s="279"/>
      <c r="AG10" s="279"/>
      <c r="AH10" s="279"/>
      <c r="AI10" s="279"/>
      <c r="AJ10" s="279"/>
      <c r="AK10" s="279"/>
      <c r="AL10" s="279"/>
      <c r="AM10" s="279"/>
      <c r="AN10" s="279"/>
      <c r="AO10" s="279"/>
    </row>
    <row r="11" s="957" customFormat="1" ht="15.75" customHeight="1" spans="1:41">
      <c r="A11" s="277">
        <v>45295</v>
      </c>
      <c r="B11" s="278">
        <v>1000018070</v>
      </c>
      <c r="C11" s="279" t="s">
        <v>4740</v>
      </c>
      <c r="D11" s="279" t="s">
        <v>4753</v>
      </c>
      <c r="E11" s="279">
        <v>500</v>
      </c>
      <c r="F11" s="280" t="s">
        <v>4745</v>
      </c>
      <c r="G11" s="959" t="s">
        <v>4742</v>
      </c>
      <c r="H11" s="959" t="s">
        <v>4743</v>
      </c>
      <c r="I11" s="279"/>
      <c r="J11" s="967"/>
      <c r="K11" s="967"/>
      <c r="L11" s="967"/>
      <c r="M11" s="967"/>
      <c r="N11" s="967"/>
      <c r="O11" s="967"/>
      <c r="P11" s="279"/>
      <c r="Q11" s="279"/>
      <c r="R11" s="279"/>
      <c r="S11" s="279"/>
      <c r="T11" s="279"/>
      <c r="U11" s="279"/>
      <c r="V11" s="279"/>
      <c r="W11" s="279"/>
      <c r="X11" s="279"/>
      <c r="Y11" s="279"/>
      <c r="Z11" s="279"/>
      <c r="AA11" s="279"/>
      <c r="AB11" s="279"/>
      <c r="AC11" s="279">
        <v>500</v>
      </c>
      <c r="AD11" s="279"/>
      <c r="AE11" s="279"/>
      <c r="AF11" s="279"/>
      <c r="AG11" s="279"/>
      <c r="AH11" s="279"/>
      <c r="AI11" s="279"/>
      <c r="AJ11" s="279"/>
      <c r="AK11" s="279"/>
      <c r="AL11" s="279"/>
      <c r="AM11" s="279"/>
      <c r="AN11" s="279"/>
      <c r="AO11" s="279"/>
    </row>
    <row r="12" s="957" customFormat="1" ht="15.75" customHeight="1" spans="1:41">
      <c r="A12" s="277">
        <v>45295</v>
      </c>
      <c r="B12" s="278">
        <v>1000018071</v>
      </c>
      <c r="C12" s="279" t="s">
        <v>4740</v>
      </c>
      <c r="D12" s="279" t="s">
        <v>4705</v>
      </c>
      <c r="E12" s="279">
        <v>5000</v>
      </c>
      <c r="F12" s="280" t="s">
        <v>4745</v>
      </c>
      <c r="G12" s="959" t="s">
        <v>4742</v>
      </c>
      <c r="H12" s="959" t="s">
        <v>4743</v>
      </c>
      <c r="I12" s="279"/>
      <c r="J12" s="967"/>
      <c r="K12" s="967"/>
      <c r="L12" s="967"/>
      <c r="M12" s="967"/>
      <c r="N12" s="967"/>
      <c r="O12" s="967"/>
      <c r="P12" s="279"/>
      <c r="Q12" s="279"/>
      <c r="R12" s="279"/>
      <c r="S12" s="279">
        <v>5000</v>
      </c>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row>
    <row r="13" s="957" customFormat="1" ht="15.75" customHeight="1" spans="1:41">
      <c r="A13" s="277">
        <v>45295</v>
      </c>
      <c r="B13" s="278">
        <v>1000018072</v>
      </c>
      <c r="C13" s="279" t="s">
        <v>4740</v>
      </c>
      <c r="D13" s="279" t="s">
        <v>4754</v>
      </c>
      <c r="E13" s="279">
        <v>8000</v>
      </c>
      <c r="F13" s="280" t="s">
        <v>4745</v>
      </c>
      <c r="G13" s="959" t="s">
        <v>4742</v>
      </c>
      <c r="H13" s="959" t="s">
        <v>4743</v>
      </c>
      <c r="I13" s="279"/>
      <c r="J13" s="967"/>
      <c r="K13" s="967"/>
      <c r="L13" s="967"/>
      <c r="M13" s="967"/>
      <c r="N13" s="967"/>
      <c r="O13" s="967"/>
      <c r="P13" s="279"/>
      <c r="Q13" s="279"/>
      <c r="R13" s="279"/>
      <c r="S13" s="279"/>
      <c r="T13" s="279"/>
      <c r="U13" s="279"/>
      <c r="V13" s="279">
        <v>8000</v>
      </c>
      <c r="W13" s="279"/>
      <c r="X13" s="279"/>
      <c r="Y13" s="279"/>
      <c r="Z13" s="279"/>
      <c r="AA13" s="279"/>
      <c r="AB13" s="279"/>
      <c r="AC13" s="279"/>
      <c r="AD13" s="279"/>
      <c r="AE13" s="279"/>
      <c r="AF13" s="279"/>
      <c r="AG13" s="279"/>
      <c r="AH13" s="279"/>
      <c r="AI13" s="279"/>
      <c r="AJ13" s="279"/>
      <c r="AK13" s="279"/>
      <c r="AL13" s="279"/>
      <c r="AM13" s="279"/>
      <c r="AN13" s="279"/>
      <c r="AO13" s="279"/>
    </row>
    <row r="14" s="957" customFormat="1" ht="15.75" customHeight="1" spans="1:41">
      <c r="A14" s="277">
        <v>45295</v>
      </c>
      <c r="B14" s="278">
        <v>1000018073</v>
      </c>
      <c r="C14" s="279" t="s">
        <v>4740</v>
      </c>
      <c r="D14" s="279">
        <v>77515</v>
      </c>
      <c r="E14" s="279">
        <v>60000</v>
      </c>
      <c r="F14" s="280" t="s">
        <v>4741</v>
      </c>
      <c r="G14" s="959" t="s">
        <v>4749</v>
      </c>
      <c r="H14" s="959" t="s">
        <v>4743</v>
      </c>
      <c r="I14" s="279"/>
      <c r="J14" s="966">
        <v>60000</v>
      </c>
      <c r="K14" s="966"/>
      <c r="L14" s="966"/>
      <c r="M14" s="967"/>
      <c r="N14" s="967"/>
      <c r="O14" s="967"/>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row>
    <row r="15" s="957" customFormat="1" ht="15.75" customHeight="1" spans="1:41">
      <c r="A15" s="277">
        <v>45295</v>
      </c>
      <c r="B15" s="278">
        <v>1000018074</v>
      </c>
      <c r="C15" s="279" t="s">
        <v>4740</v>
      </c>
      <c r="D15" s="279" t="s">
        <v>4752</v>
      </c>
      <c r="E15" s="279">
        <v>800</v>
      </c>
      <c r="F15" s="280" t="s">
        <v>4745</v>
      </c>
      <c r="G15" s="959" t="s">
        <v>4749</v>
      </c>
      <c r="H15" s="959" t="s">
        <v>4743</v>
      </c>
      <c r="I15" s="279"/>
      <c r="J15" s="967"/>
      <c r="K15" s="967"/>
      <c r="L15" s="967"/>
      <c r="M15" s="967"/>
      <c r="N15" s="967"/>
      <c r="O15" s="967"/>
      <c r="P15" s="279"/>
      <c r="Q15" s="279"/>
      <c r="R15" s="279"/>
      <c r="S15" s="279"/>
      <c r="T15" s="279"/>
      <c r="U15" s="279"/>
      <c r="V15" s="279"/>
      <c r="W15" s="279"/>
      <c r="X15" s="279"/>
      <c r="Y15" s="279"/>
      <c r="Z15" s="279">
        <v>800</v>
      </c>
      <c r="AA15" s="279"/>
      <c r="AB15" s="279"/>
      <c r="AC15" s="279"/>
      <c r="AD15" s="279"/>
      <c r="AE15" s="279"/>
      <c r="AF15" s="279"/>
      <c r="AG15" s="279"/>
      <c r="AH15" s="279"/>
      <c r="AI15" s="279"/>
      <c r="AJ15" s="279"/>
      <c r="AK15" s="279"/>
      <c r="AL15" s="279"/>
      <c r="AM15" s="279"/>
      <c r="AN15" s="279"/>
      <c r="AO15" s="279"/>
    </row>
    <row r="16" s="957" customFormat="1" ht="15.75" customHeight="1" spans="1:41">
      <c r="A16" s="277">
        <v>45295</v>
      </c>
      <c r="B16" s="278">
        <v>1000018075</v>
      </c>
      <c r="C16" s="279" t="s">
        <v>4740</v>
      </c>
      <c r="D16" s="279" t="s">
        <v>4753</v>
      </c>
      <c r="E16" s="279">
        <v>500</v>
      </c>
      <c r="F16" s="280" t="s">
        <v>4745</v>
      </c>
      <c r="G16" s="959" t="s">
        <v>4749</v>
      </c>
      <c r="H16" s="959" t="s">
        <v>4743</v>
      </c>
      <c r="I16" s="279"/>
      <c r="J16" s="967"/>
      <c r="K16" s="967"/>
      <c r="L16" s="967"/>
      <c r="M16" s="967"/>
      <c r="N16" s="967"/>
      <c r="O16" s="967"/>
      <c r="P16" s="279"/>
      <c r="Q16" s="279"/>
      <c r="R16" s="279"/>
      <c r="S16" s="279"/>
      <c r="T16" s="279"/>
      <c r="U16" s="279"/>
      <c r="V16" s="279"/>
      <c r="W16" s="279"/>
      <c r="X16" s="279"/>
      <c r="Y16" s="279"/>
      <c r="Z16" s="279"/>
      <c r="AA16" s="279"/>
      <c r="AB16" s="279"/>
      <c r="AC16" s="279"/>
      <c r="AD16" s="279">
        <v>500</v>
      </c>
      <c r="AE16" s="279"/>
      <c r="AF16" s="279"/>
      <c r="AG16" s="279"/>
      <c r="AH16" s="279"/>
      <c r="AI16" s="279"/>
      <c r="AJ16" s="279"/>
      <c r="AK16" s="279"/>
      <c r="AL16" s="279"/>
      <c r="AM16" s="279"/>
      <c r="AN16" s="279"/>
      <c r="AO16" s="279"/>
    </row>
    <row r="17" s="957" customFormat="1" ht="15.75" customHeight="1" spans="1:41">
      <c r="A17" s="277">
        <v>45295</v>
      </c>
      <c r="B17" s="278">
        <v>1000018076</v>
      </c>
      <c r="C17" s="279" t="s">
        <v>4740</v>
      </c>
      <c r="D17" s="279" t="s">
        <v>4705</v>
      </c>
      <c r="E17" s="279">
        <v>2600</v>
      </c>
      <c r="F17" s="280" t="s">
        <v>4745</v>
      </c>
      <c r="G17" s="959" t="s">
        <v>4749</v>
      </c>
      <c r="H17" s="959" t="s">
        <v>4743</v>
      </c>
      <c r="I17" s="279"/>
      <c r="J17" s="967"/>
      <c r="K17" s="967"/>
      <c r="L17" s="967"/>
      <c r="M17" s="967"/>
      <c r="N17" s="967"/>
      <c r="O17" s="967"/>
      <c r="P17" s="279"/>
      <c r="Q17" s="279"/>
      <c r="R17" s="279"/>
      <c r="S17" s="279"/>
      <c r="T17" s="279">
        <v>2600</v>
      </c>
      <c r="U17" s="279"/>
      <c r="V17" s="279"/>
      <c r="W17" s="279"/>
      <c r="X17" s="279"/>
      <c r="Y17" s="279"/>
      <c r="Z17" s="279"/>
      <c r="AA17" s="279"/>
      <c r="AB17" s="279"/>
      <c r="AC17" s="279"/>
      <c r="AD17" s="279"/>
      <c r="AE17" s="279"/>
      <c r="AF17" s="279"/>
      <c r="AG17" s="279"/>
      <c r="AH17" s="279"/>
      <c r="AI17" s="279"/>
      <c r="AJ17" s="279"/>
      <c r="AK17" s="279"/>
      <c r="AL17" s="279"/>
      <c r="AM17" s="279"/>
      <c r="AN17" s="279"/>
      <c r="AO17" s="279"/>
    </row>
    <row r="18" s="957" customFormat="1" ht="15.75" customHeight="1" spans="1:41">
      <c r="A18" s="277">
        <v>45295</v>
      </c>
      <c r="B18" s="278">
        <v>1000018077</v>
      </c>
      <c r="C18" s="279" t="s">
        <v>4740</v>
      </c>
      <c r="D18" s="279" t="s">
        <v>4754</v>
      </c>
      <c r="E18" s="279">
        <v>550</v>
      </c>
      <c r="F18" s="280" t="s">
        <v>4745</v>
      </c>
      <c r="G18" s="959" t="s">
        <v>4749</v>
      </c>
      <c r="H18" s="959" t="s">
        <v>4743</v>
      </c>
      <c r="I18" s="279"/>
      <c r="J18" s="967"/>
      <c r="K18" s="967"/>
      <c r="L18" s="967"/>
      <c r="M18" s="967"/>
      <c r="N18" s="967"/>
      <c r="O18" s="967"/>
      <c r="P18" s="279"/>
      <c r="Q18" s="279"/>
      <c r="R18" s="279"/>
      <c r="S18" s="279"/>
      <c r="T18" s="279"/>
      <c r="U18" s="279"/>
      <c r="V18" s="279"/>
      <c r="W18" s="279">
        <v>550</v>
      </c>
      <c r="X18" s="279"/>
      <c r="Y18" s="279"/>
      <c r="Z18" s="279"/>
      <c r="AA18" s="279"/>
      <c r="AB18" s="279"/>
      <c r="AC18" s="279"/>
      <c r="AD18" s="279"/>
      <c r="AE18" s="279"/>
      <c r="AF18" s="279"/>
      <c r="AG18" s="279"/>
      <c r="AH18" s="279"/>
      <c r="AI18" s="279"/>
      <c r="AJ18" s="279"/>
      <c r="AK18" s="279"/>
      <c r="AL18" s="279"/>
      <c r="AM18" s="279"/>
      <c r="AN18" s="279"/>
      <c r="AO18" s="279"/>
    </row>
    <row r="19" s="957" customFormat="1" ht="15.75" customHeight="1" spans="1:41">
      <c r="A19" s="277">
        <v>45295</v>
      </c>
      <c r="B19" s="278">
        <v>1000018078</v>
      </c>
      <c r="C19" s="279" t="s">
        <v>4740</v>
      </c>
      <c r="D19" s="279">
        <v>77515</v>
      </c>
      <c r="E19" s="279">
        <v>260000</v>
      </c>
      <c r="F19" s="280" t="s">
        <v>4746</v>
      </c>
      <c r="G19" s="959" t="s">
        <v>4747</v>
      </c>
      <c r="H19" s="959" t="s">
        <v>4743</v>
      </c>
      <c r="I19" s="279"/>
      <c r="J19" s="967"/>
      <c r="K19" s="967"/>
      <c r="L19" s="967"/>
      <c r="M19" s="967"/>
      <c r="N19" s="967"/>
      <c r="O19" s="967"/>
      <c r="P19" s="279">
        <v>260000</v>
      </c>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976" t="s">
        <v>4748</v>
      </c>
    </row>
    <row r="20" s="957" customFormat="1" ht="15.75" customHeight="1" spans="1:41">
      <c r="A20" s="277">
        <v>45342</v>
      </c>
      <c r="B20" s="278">
        <v>1000018494</v>
      </c>
      <c r="C20" s="279" t="s">
        <v>4740</v>
      </c>
      <c r="D20" s="279" t="s">
        <v>4755</v>
      </c>
      <c r="E20" s="279">
        <v>300</v>
      </c>
      <c r="F20" s="280" t="s">
        <v>4756</v>
      </c>
      <c r="G20" s="281" t="s">
        <v>4742</v>
      </c>
      <c r="H20" s="282" t="s">
        <v>4743</v>
      </c>
      <c r="I20" s="279"/>
      <c r="J20" s="967"/>
      <c r="K20" s="967"/>
      <c r="L20" s="967"/>
      <c r="M20" s="967"/>
      <c r="N20" s="967"/>
      <c r="O20" s="967"/>
      <c r="P20" s="279"/>
      <c r="Q20" s="279"/>
      <c r="R20" s="279"/>
      <c r="S20" s="279"/>
      <c r="T20" s="279"/>
      <c r="U20" s="279"/>
      <c r="V20" s="279"/>
      <c r="W20" s="279"/>
      <c r="X20" s="279"/>
      <c r="Y20" s="279"/>
      <c r="Z20" s="279"/>
      <c r="AA20" s="279"/>
      <c r="AB20" s="279"/>
      <c r="AC20" s="279"/>
      <c r="AD20" s="279"/>
      <c r="AE20" s="279"/>
      <c r="AF20" s="279"/>
      <c r="AG20" s="279"/>
      <c r="AH20" s="279">
        <v>300</v>
      </c>
      <c r="AI20" s="279"/>
      <c r="AJ20" s="279"/>
      <c r="AK20" s="279"/>
      <c r="AL20" s="279"/>
      <c r="AM20" s="279"/>
      <c r="AN20" s="279"/>
      <c r="AO20" s="279"/>
    </row>
    <row r="21" s="957" customFormat="1" ht="15.75" customHeight="1" spans="1:41">
      <c r="A21" s="277">
        <v>45342</v>
      </c>
      <c r="B21" s="278">
        <v>1000018495</v>
      </c>
      <c r="C21" s="279" t="s">
        <v>4740</v>
      </c>
      <c r="D21" s="279" t="s">
        <v>4755</v>
      </c>
      <c r="E21" s="279">
        <v>300</v>
      </c>
      <c r="F21" s="280" t="s">
        <v>4756</v>
      </c>
      <c r="G21" s="281" t="s">
        <v>4749</v>
      </c>
      <c r="H21" s="282" t="s">
        <v>4743</v>
      </c>
      <c r="I21" s="279"/>
      <c r="J21" s="967"/>
      <c r="K21" s="967"/>
      <c r="L21" s="967"/>
      <c r="M21" s="967"/>
      <c r="N21" s="967"/>
      <c r="O21" s="967"/>
      <c r="P21" s="279"/>
      <c r="Q21" s="279"/>
      <c r="R21" s="279"/>
      <c r="S21" s="279"/>
      <c r="T21" s="279"/>
      <c r="U21" s="279"/>
      <c r="V21" s="279"/>
      <c r="W21" s="279"/>
      <c r="X21" s="279"/>
      <c r="Y21" s="279"/>
      <c r="Z21" s="279"/>
      <c r="AA21" s="279"/>
      <c r="AB21" s="279"/>
      <c r="AC21" s="279"/>
      <c r="AD21" s="279"/>
      <c r="AE21" s="279"/>
      <c r="AF21" s="279"/>
      <c r="AG21" s="279"/>
      <c r="AH21" s="279"/>
      <c r="AI21" s="279">
        <v>300</v>
      </c>
      <c r="AJ21" s="279"/>
      <c r="AK21" s="279"/>
      <c r="AL21" s="279"/>
      <c r="AM21" s="279"/>
      <c r="AN21" s="279"/>
      <c r="AO21" s="279"/>
    </row>
    <row r="22" s="957" customFormat="1" ht="15.75" customHeight="1" spans="1:41">
      <c r="A22" s="277">
        <v>45342</v>
      </c>
      <c r="B22" s="278">
        <v>1000018496</v>
      </c>
      <c r="C22" s="279" t="s">
        <v>4740</v>
      </c>
      <c r="D22" s="279" t="s">
        <v>4757</v>
      </c>
      <c r="E22" s="279">
        <v>450</v>
      </c>
      <c r="F22" s="280" t="s">
        <v>4756</v>
      </c>
      <c r="G22" s="281" t="s">
        <v>4749</v>
      </c>
      <c r="H22" s="282" t="s">
        <v>4743</v>
      </c>
      <c r="I22" s="279"/>
      <c r="J22" s="967"/>
      <c r="K22" s="967"/>
      <c r="L22" s="967"/>
      <c r="M22" s="967"/>
      <c r="N22" s="967"/>
      <c r="O22" s="967"/>
      <c r="P22" s="279"/>
      <c r="Q22" s="279"/>
      <c r="R22" s="279"/>
      <c r="S22" s="279"/>
      <c r="T22" s="279"/>
      <c r="U22" s="279"/>
      <c r="V22" s="279"/>
      <c r="W22" s="279"/>
      <c r="X22" s="279"/>
      <c r="Y22" s="279"/>
      <c r="Z22" s="279"/>
      <c r="AA22" s="279"/>
      <c r="AB22" s="279"/>
      <c r="AC22" s="279"/>
      <c r="AD22" s="279"/>
      <c r="AE22" s="279"/>
      <c r="AF22" s="279">
        <v>450</v>
      </c>
      <c r="AG22" s="279"/>
      <c r="AH22" s="279"/>
      <c r="AI22" s="279"/>
      <c r="AJ22" s="279"/>
      <c r="AK22" s="279"/>
      <c r="AL22" s="279"/>
      <c r="AM22" s="279"/>
      <c r="AN22" s="279"/>
      <c r="AO22" s="279"/>
    </row>
    <row r="23" s="957" customFormat="1" ht="15.75" customHeight="1" spans="1:41">
      <c r="A23" s="277">
        <v>45342</v>
      </c>
      <c r="B23" s="278">
        <v>1000018497</v>
      </c>
      <c r="C23" s="279" t="s">
        <v>4740</v>
      </c>
      <c r="D23" s="279" t="s">
        <v>4755</v>
      </c>
      <c r="E23" s="279">
        <v>500</v>
      </c>
      <c r="F23" s="280" t="s">
        <v>4758</v>
      </c>
      <c r="G23" s="281" t="s">
        <v>4749</v>
      </c>
      <c r="H23" s="282" t="s">
        <v>4743</v>
      </c>
      <c r="I23" s="279"/>
      <c r="J23" s="967"/>
      <c r="K23" s="967"/>
      <c r="L23" s="967"/>
      <c r="M23" s="967"/>
      <c r="N23" s="967"/>
      <c r="O23" s="967"/>
      <c r="P23" s="279"/>
      <c r="Q23" s="279"/>
      <c r="R23" s="279"/>
      <c r="S23" s="279"/>
      <c r="T23" s="279"/>
      <c r="U23" s="279"/>
      <c r="V23" s="279"/>
      <c r="W23" s="279"/>
      <c r="X23" s="279"/>
      <c r="Y23" s="279"/>
      <c r="Z23" s="279"/>
      <c r="AA23" s="279"/>
      <c r="AB23" s="279"/>
      <c r="AC23" s="279"/>
      <c r="AD23" s="279"/>
      <c r="AE23" s="279"/>
      <c r="AF23" s="279"/>
      <c r="AG23" s="279"/>
      <c r="AH23" s="279"/>
      <c r="AI23" s="279"/>
      <c r="AJ23" s="279">
        <v>500</v>
      </c>
      <c r="AK23" s="279"/>
      <c r="AL23" s="279"/>
      <c r="AM23" s="279"/>
      <c r="AN23" s="279"/>
      <c r="AO23" s="279"/>
    </row>
    <row r="24" s="957" customFormat="1" ht="15.75" customHeight="1" spans="1:41">
      <c r="A24" s="277">
        <v>45342</v>
      </c>
      <c r="B24" s="278">
        <v>1000018498</v>
      </c>
      <c r="C24" s="279" t="s">
        <v>4740</v>
      </c>
      <c r="D24" s="279" t="s">
        <v>4757</v>
      </c>
      <c r="E24" s="279">
        <v>300</v>
      </c>
      <c r="F24" s="280" t="s">
        <v>4758</v>
      </c>
      <c r="G24" s="281" t="s">
        <v>4749</v>
      </c>
      <c r="H24" s="282" t="s">
        <v>4743</v>
      </c>
      <c r="I24" s="279"/>
      <c r="J24" s="967"/>
      <c r="K24" s="967"/>
      <c r="L24" s="967"/>
      <c r="M24" s="967"/>
      <c r="N24" s="967"/>
      <c r="O24" s="967"/>
      <c r="P24" s="279"/>
      <c r="Q24" s="279"/>
      <c r="R24" s="279"/>
      <c r="S24" s="279"/>
      <c r="T24" s="279"/>
      <c r="U24" s="279"/>
      <c r="V24" s="279"/>
      <c r="W24" s="279"/>
      <c r="X24" s="279"/>
      <c r="Y24" s="279"/>
      <c r="Z24" s="279"/>
      <c r="AA24" s="279"/>
      <c r="AB24" s="279"/>
      <c r="AC24" s="279"/>
      <c r="AD24" s="279"/>
      <c r="AE24" s="279"/>
      <c r="AF24" s="279"/>
      <c r="AG24" s="279">
        <v>300</v>
      </c>
      <c r="AH24" s="279"/>
      <c r="AI24" s="279"/>
      <c r="AJ24" s="279"/>
      <c r="AK24" s="279"/>
      <c r="AL24" s="279"/>
      <c r="AM24" s="279"/>
      <c r="AN24" s="279"/>
      <c r="AO24" s="279"/>
    </row>
    <row r="25" s="957" customFormat="1" ht="15.75" customHeight="1" spans="1:41">
      <c r="A25" s="277">
        <v>45351</v>
      </c>
      <c r="B25" s="278">
        <v>1000018667</v>
      </c>
      <c r="C25" s="279" t="s">
        <v>4740</v>
      </c>
      <c r="D25" s="279">
        <v>77515</v>
      </c>
      <c r="E25" s="279">
        <v>250000</v>
      </c>
      <c r="F25" s="280" t="s">
        <v>4741</v>
      </c>
      <c r="G25" s="281" t="s">
        <v>4742</v>
      </c>
      <c r="H25" s="282" t="s">
        <v>4750</v>
      </c>
      <c r="I25" s="279">
        <v>250000</v>
      </c>
      <c r="J25" s="967"/>
      <c r="K25" s="967"/>
      <c r="L25" s="967"/>
      <c r="M25" s="967"/>
      <c r="N25" s="967"/>
      <c r="O25" s="967"/>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975"/>
    </row>
    <row r="26" s="957" customFormat="1" ht="15.75" customHeight="1" spans="1:41">
      <c r="A26" s="277">
        <v>45351</v>
      </c>
      <c r="B26" s="278">
        <v>1000018668</v>
      </c>
      <c r="C26" s="279" t="s">
        <v>4740</v>
      </c>
      <c r="D26" s="279" t="s">
        <v>4752</v>
      </c>
      <c r="E26" s="279">
        <v>2500</v>
      </c>
      <c r="F26" s="280" t="s">
        <v>4745</v>
      </c>
      <c r="G26" s="281" t="s">
        <v>4742</v>
      </c>
      <c r="H26" s="282" t="s">
        <v>4743</v>
      </c>
      <c r="I26" s="279"/>
      <c r="J26" s="967"/>
      <c r="K26" s="967"/>
      <c r="L26" s="967"/>
      <c r="M26" s="967"/>
      <c r="N26" s="967"/>
      <c r="O26" s="967"/>
      <c r="P26" s="279"/>
      <c r="Q26" s="279"/>
      <c r="R26" s="279"/>
      <c r="S26" s="279"/>
      <c r="T26" s="279"/>
      <c r="U26" s="279"/>
      <c r="V26" s="279"/>
      <c r="W26" s="279"/>
      <c r="X26" s="279"/>
      <c r="Y26" s="279">
        <v>2500</v>
      </c>
      <c r="Z26" s="279"/>
      <c r="AA26" s="279"/>
      <c r="AB26" s="279"/>
      <c r="AC26" s="279"/>
      <c r="AD26" s="279"/>
      <c r="AE26" s="279"/>
      <c r="AF26" s="279"/>
      <c r="AG26" s="279"/>
      <c r="AH26" s="279"/>
      <c r="AI26" s="279"/>
      <c r="AJ26" s="279"/>
      <c r="AK26" s="279"/>
      <c r="AL26" s="279"/>
      <c r="AM26" s="279"/>
      <c r="AN26" s="279"/>
      <c r="AO26" s="977"/>
    </row>
    <row r="27" s="957" customFormat="1" ht="15.75" customHeight="1" spans="1:41">
      <c r="A27" s="277">
        <v>45351</v>
      </c>
      <c r="B27" s="278">
        <v>1000018669</v>
      </c>
      <c r="C27" s="279" t="s">
        <v>4740</v>
      </c>
      <c r="D27" s="279" t="s">
        <v>4705</v>
      </c>
      <c r="E27" s="279">
        <v>4000</v>
      </c>
      <c r="F27" s="280" t="s">
        <v>4745</v>
      </c>
      <c r="G27" s="281" t="s">
        <v>4742</v>
      </c>
      <c r="H27" s="282" t="s">
        <v>4743</v>
      </c>
      <c r="I27" s="279"/>
      <c r="J27" s="967"/>
      <c r="K27" s="967"/>
      <c r="L27" s="967"/>
      <c r="M27" s="967"/>
      <c r="N27" s="967"/>
      <c r="O27" s="967"/>
      <c r="P27" s="279"/>
      <c r="Q27" s="279"/>
      <c r="R27" s="279"/>
      <c r="S27" s="279">
        <v>4000</v>
      </c>
      <c r="T27" s="279"/>
      <c r="U27" s="279"/>
      <c r="V27" s="279"/>
      <c r="W27" s="279"/>
      <c r="X27" s="279"/>
      <c r="Y27" s="279"/>
      <c r="Z27" s="279"/>
      <c r="AA27" s="279"/>
      <c r="AB27" s="279"/>
      <c r="AC27" s="279"/>
      <c r="AD27" s="279"/>
      <c r="AE27" s="279"/>
      <c r="AF27" s="279"/>
      <c r="AG27" s="279"/>
      <c r="AH27" s="279"/>
      <c r="AI27" s="279"/>
      <c r="AJ27" s="279"/>
      <c r="AK27" s="279"/>
      <c r="AL27" s="279"/>
      <c r="AM27" s="279"/>
      <c r="AN27" s="279"/>
      <c r="AO27" s="977"/>
    </row>
    <row r="28" s="957" customFormat="1" ht="15.75" customHeight="1" spans="1:41">
      <c r="A28" s="277">
        <v>45351</v>
      </c>
      <c r="B28" s="278">
        <v>1000018676</v>
      </c>
      <c r="C28" s="279" t="s">
        <v>4740</v>
      </c>
      <c r="D28" s="279">
        <v>77515</v>
      </c>
      <c r="E28" s="279">
        <v>75000</v>
      </c>
      <c r="F28" s="280" t="s">
        <v>4741</v>
      </c>
      <c r="G28" s="281" t="s">
        <v>4749</v>
      </c>
      <c r="H28" s="282" t="s">
        <v>4750</v>
      </c>
      <c r="I28" s="279"/>
      <c r="J28" s="966">
        <v>75000</v>
      </c>
      <c r="K28" s="966"/>
      <c r="L28" s="966"/>
      <c r="M28" s="967"/>
      <c r="N28" s="967"/>
      <c r="O28" s="967"/>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N28" s="279"/>
      <c r="AO28" s="977"/>
    </row>
    <row r="29" s="957" customFormat="1" ht="15.75" customHeight="1" spans="1:41">
      <c r="A29" s="277">
        <v>45351</v>
      </c>
      <c r="B29" s="278">
        <v>1000018670</v>
      </c>
      <c r="C29" s="279" t="s">
        <v>4740</v>
      </c>
      <c r="D29" s="279" t="s">
        <v>4705</v>
      </c>
      <c r="E29" s="279">
        <v>500</v>
      </c>
      <c r="F29" s="280" t="s">
        <v>4745</v>
      </c>
      <c r="G29" s="281" t="s">
        <v>4749</v>
      </c>
      <c r="H29" s="282" t="s">
        <v>4743</v>
      </c>
      <c r="I29" s="279"/>
      <c r="J29" s="967"/>
      <c r="K29" s="967"/>
      <c r="L29" s="967"/>
      <c r="M29" s="967"/>
      <c r="N29" s="967"/>
      <c r="O29" s="967"/>
      <c r="P29" s="279"/>
      <c r="Q29" s="279"/>
      <c r="R29" s="279"/>
      <c r="S29" s="279"/>
      <c r="T29" s="279">
        <v>500</v>
      </c>
      <c r="U29" s="279"/>
      <c r="V29" s="279"/>
      <c r="W29" s="279"/>
      <c r="X29" s="279"/>
      <c r="Y29" s="279"/>
      <c r="Z29" s="279"/>
      <c r="AA29" s="279"/>
      <c r="AB29" s="279"/>
      <c r="AC29" s="279"/>
      <c r="AD29" s="279"/>
      <c r="AE29" s="279"/>
      <c r="AF29" s="279"/>
      <c r="AG29" s="279"/>
      <c r="AH29" s="279"/>
      <c r="AI29" s="279"/>
      <c r="AJ29" s="279"/>
      <c r="AK29" s="279"/>
      <c r="AL29" s="279"/>
      <c r="AM29" s="279"/>
      <c r="AN29" s="279"/>
      <c r="AO29" s="977"/>
    </row>
    <row r="30" s="957" customFormat="1" ht="15.75" customHeight="1" spans="1:41">
      <c r="A30" s="277">
        <v>45351</v>
      </c>
      <c r="B30" s="278">
        <v>1000018671</v>
      </c>
      <c r="C30" s="279" t="s">
        <v>4740</v>
      </c>
      <c r="D30" s="279">
        <v>77515</v>
      </c>
      <c r="E30" s="279">
        <v>500000</v>
      </c>
      <c r="F30" s="280" t="s">
        <v>4746</v>
      </c>
      <c r="G30" s="281" t="s">
        <v>4747</v>
      </c>
      <c r="H30" s="282" t="s">
        <v>4743</v>
      </c>
      <c r="I30" s="279"/>
      <c r="J30" s="967"/>
      <c r="K30" s="967"/>
      <c r="L30" s="967"/>
      <c r="M30" s="967"/>
      <c r="N30" s="967"/>
      <c r="O30" s="967"/>
      <c r="P30" s="279">
        <v>500000</v>
      </c>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976" t="s">
        <v>4748</v>
      </c>
    </row>
    <row r="31" s="957" customFormat="1" ht="15.75" customHeight="1" spans="1:41">
      <c r="A31" s="277">
        <v>45355</v>
      </c>
      <c r="B31" s="278">
        <v>1000018734</v>
      </c>
      <c r="C31" s="279" t="s">
        <v>4740</v>
      </c>
      <c r="D31" s="279" t="s">
        <v>4757</v>
      </c>
      <c r="E31" s="279">
        <v>2000</v>
      </c>
      <c r="F31" s="280" t="s">
        <v>4756</v>
      </c>
      <c r="G31" s="281" t="s">
        <v>4742</v>
      </c>
      <c r="H31" s="282" t="s">
        <v>4743</v>
      </c>
      <c r="I31" s="279"/>
      <c r="J31" s="967"/>
      <c r="K31" s="967"/>
      <c r="L31" s="967"/>
      <c r="M31" s="967"/>
      <c r="N31" s="967"/>
      <c r="O31" s="967"/>
      <c r="P31" s="279"/>
      <c r="Q31" s="279"/>
      <c r="R31" s="279"/>
      <c r="S31" s="279"/>
      <c r="T31" s="279"/>
      <c r="U31" s="279"/>
      <c r="V31" s="279"/>
      <c r="W31" s="279"/>
      <c r="X31" s="279"/>
      <c r="Y31" s="279"/>
      <c r="Z31" s="279"/>
      <c r="AA31" s="279"/>
      <c r="AB31" s="279"/>
      <c r="AC31" s="279"/>
      <c r="AD31" s="279"/>
      <c r="AE31" s="279">
        <v>2000</v>
      </c>
      <c r="AF31" s="279"/>
      <c r="AG31" s="279"/>
      <c r="AH31" s="279"/>
      <c r="AI31" s="279"/>
      <c r="AJ31" s="279"/>
      <c r="AK31" s="279"/>
      <c r="AL31" s="279"/>
      <c r="AM31" s="279"/>
      <c r="AN31" s="279"/>
      <c r="AO31" s="279"/>
    </row>
    <row r="32" s="957" customFormat="1" ht="15.75" customHeight="1" spans="1:42">
      <c r="A32" s="277">
        <v>45366</v>
      </c>
      <c r="B32" s="278">
        <v>1000018924</v>
      </c>
      <c r="C32" s="279" t="s">
        <v>4759</v>
      </c>
      <c r="D32" s="279">
        <v>77516</v>
      </c>
      <c r="E32" s="279">
        <v>12696</v>
      </c>
      <c r="F32" s="280" t="s">
        <v>4760</v>
      </c>
      <c r="G32" s="281" t="s">
        <v>4761</v>
      </c>
      <c r="H32" s="282" t="s">
        <v>4761</v>
      </c>
      <c r="I32" s="279"/>
      <c r="J32" s="967"/>
      <c r="K32" s="967"/>
      <c r="L32" s="967"/>
      <c r="M32" s="967"/>
      <c r="N32" s="967"/>
      <c r="O32" s="967"/>
      <c r="P32" s="279"/>
      <c r="Q32" s="279"/>
      <c r="R32" s="279"/>
      <c r="S32" s="279"/>
      <c r="T32" s="279"/>
      <c r="U32" s="279"/>
      <c r="V32" s="279"/>
      <c r="W32" s="279"/>
      <c r="X32" s="279"/>
      <c r="Y32" s="279"/>
      <c r="Z32" s="279"/>
      <c r="AA32" s="279"/>
      <c r="AB32" s="279"/>
      <c r="AC32" s="279"/>
      <c r="AD32" s="279"/>
      <c r="AE32" s="279"/>
      <c r="AF32" s="279"/>
      <c r="AG32" s="279"/>
      <c r="AH32" s="279"/>
      <c r="AI32" s="279"/>
      <c r="AJ32" s="279"/>
      <c r="AK32" s="279">
        <f>E32</f>
        <v>12696</v>
      </c>
      <c r="AL32" s="279"/>
      <c r="AM32" s="279"/>
      <c r="AN32" s="279"/>
      <c r="AO32" s="1688" t="s">
        <v>4762</v>
      </c>
      <c r="AP32" s="957" t="s">
        <v>4335</v>
      </c>
    </row>
    <row r="33" s="957" customFormat="1" ht="15.75" customHeight="1" spans="1:42">
      <c r="A33" s="277">
        <v>45366</v>
      </c>
      <c r="B33" s="278">
        <v>1000018923</v>
      </c>
      <c r="C33" s="279" t="s">
        <v>4759</v>
      </c>
      <c r="D33" s="279">
        <v>77516</v>
      </c>
      <c r="E33" s="279">
        <v>12696</v>
      </c>
      <c r="F33" s="280" t="s">
        <v>4763</v>
      </c>
      <c r="G33" s="281" t="s">
        <v>4761</v>
      </c>
      <c r="H33" s="282" t="s">
        <v>4761</v>
      </c>
      <c r="I33" s="279"/>
      <c r="J33" s="967"/>
      <c r="K33" s="967"/>
      <c r="L33" s="967"/>
      <c r="M33" s="967"/>
      <c r="N33" s="967"/>
      <c r="O33" s="967"/>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f>E33</f>
        <v>12696</v>
      </c>
      <c r="AO33" s="1688" t="s">
        <v>4762</v>
      </c>
      <c r="AP33" s="957" t="s">
        <v>4335</v>
      </c>
    </row>
    <row r="34" s="957" customFormat="1" ht="15.75" customHeight="1" spans="1:41">
      <c r="A34" s="277">
        <v>45372</v>
      </c>
      <c r="B34" s="278">
        <v>1000018971</v>
      </c>
      <c r="C34" s="279" t="s">
        <v>4764</v>
      </c>
      <c r="D34" s="279" t="s">
        <v>4753</v>
      </c>
      <c r="E34" s="279">
        <v>33600</v>
      </c>
      <c r="F34" s="280" t="s">
        <v>4741</v>
      </c>
      <c r="G34" s="960" t="s">
        <v>4765</v>
      </c>
      <c r="H34" s="282" t="s">
        <v>4761</v>
      </c>
      <c r="I34" s="279"/>
      <c r="J34" s="967"/>
      <c r="K34" s="967"/>
      <c r="L34" s="967"/>
      <c r="M34" s="967"/>
      <c r="N34" s="967"/>
      <c r="O34" s="967">
        <v>33600</v>
      </c>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c r="AN34" s="279"/>
      <c r="AO34" s="1688" t="s">
        <v>4766</v>
      </c>
    </row>
    <row r="35" customFormat="1" ht="15.75" customHeight="1" spans="1:41">
      <c r="A35" s="277">
        <v>45373</v>
      </c>
      <c r="B35" s="278">
        <v>1000019062</v>
      </c>
      <c r="C35" s="279" t="s">
        <v>4740</v>
      </c>
      <c r="D35" s="279" t="s">
        <v>4752</v>
      </c>
      <c r="E35" s="279">
        <v>2800</v>
      </c>
      <c r="F35" s="280" t="s">
        <v>4745</v>
      </c>
      <c r="G35" s="281" t="s">
        <v>4742</v>
      </c>
      <c r="H35" s="282" t="s">
        <v>4743</v>
      </c>
      <c r="I35" s="297"/>
      <c r="J35" s="324"/>
      <c r="K35" s="324"/>
      <c r="L35" s="324"/>
      <c r="M35" s="324"/>
      <c r="N35" s="324"/>
      <c r="O35" s="324"/>
      <c r="P35" s="297"/>
      <c r="Q35" s="297"/>
      <c r="R35" s="297"/>
      <c r="S35" s="297"/>
      <c r="T35" s="297"/>
      <c r="U35" s="297"/>
      <c r="V35" s="297"/>
      <c r="W35" s="297"/>
      <c r="X35" s="297"/>
      <c r="Y35" s="297">
        <v>2800</v>
      </c>
      <c r="Z35" s="297"/>
      <c r="AA35" s="297"/>
      <c r="AB35" s="297"/>
      <c r="AC35" s="297"/>
      <c r="AD35" s="297"/>
      <c r="AE35" s="297"/>
      <c r="AF35" s="297"/>
      <c r="AG35" s="297"/>
      <c r="AH35" s="297"/>
      <c r="AI35" s="297"/>
      <c r="AJ35" s="297"/>
      <c r="AK35" s="279"/>
      <c r="AL35" s="279"/>
      <c r="AM35" s="279"/>
      <c r="AN35" s="279"/>
      <c r="AO35" s="978"/>
    </row>
    <row r="36" customFormat="1" ht="15.75" customHeight="1" spans="1:41">
      <c r="A36" s="277">
        <v>45373</v>
      </c>
      <c r="B36" s="278">
        <v>1000019063</v>
      </c>
      <c r="C36" s="279" t="s">
        <v>4740</v>
      </c>
      <c r="D36" s="279" t="s">
        <v>4753</v>
      </c>
      <c r="E36" s="279">
        <v>800</v>
      </c>
      <c r="F36" s="280" t="s">
        <v>4745</v>
      </c>
      <c r="G36" s="281" t="s">
        <v>4742</v>
      </c>
      <c r="H36" s="282" t="s">
        <v>4743</v>
      </c>
      <c r="I36" s="297"/>
      <c r="J36" s="324"/>
      <c r="K36" s="324"/>
      <c r="L36" s="324"/>
      <c r="M36" s="324"/>
      <c r="N36" s="324"/>
      <c r="O36" s="324"/>
      <c r="P36" s="297"/>
      <c r="Q36" s="297"/>
      <c r="R36" s="297"/>
      <c r="S36" s="297"/>
      <c r="T36" s="297"/>
      <c r="U36" s="297"/>
      <c r="V36" s="297"/>
      <c r="W36" s="297"/>
      <c r="X36" s="297"/>
      <c r="Y36" s="297"/>
      <c r="Z36" s="297"/>
      <c r="AA36" s="297"/>
      <c r="AB36" s="297"/>
      <c r="AC36" s="297">
        <v>800</v>
      </c>
      <c r="AD36" s="297"/>
      <c r="AE36" s="297"/>
      <c r="AF36" s="297"/>
      <c r="AG36" s="297"/>
      <c r="AH36" s="297"/>
      <c r="AI36" s="297"/>
      <c r="AJ36" s="297"/>
      <c r="AK36" s="279"/>
      <c r="AL36" s="279"/>
      <c r="AM36" s="279"/>
      <c r="AN36" s="279"/>
      <c r="AO36" s="978"/>
    </row>
    <row r="37" customFormat="1" ht="15.75" customHeight="1" spans="1:41">
      <c r="A37" s="277">
        <v>45373</v>
      </c>
      <c r="B37" s="278">
        <v>1000019064</v>
      </c>
      <c r="C37" s="279" t="s">
        <v>4740</v>
      </c>
      <c r="D37" s="279" t="s">
        <v>4753</v>
      </c>
      <c r="E37" s="279">
        <v>1500</v>
      </c>
      <c r="F37" s="280" t="s">
        <v>4745</v>
      </c>
      <c r="G37" s="281" t="s">
        <v>4749</v>
      </c>
      <c r="H37" s="282" t="s">
        <v>4743</v>
      </c>
      <c r="I37" s="297"/>
      <c r="J37" s="324"/>
      <c r="K37" s="324"/>
      <c r="L37" s="324"/>
      <c r="M37" s="324"/>
      <c r="N37" s="324"/>
      <c r="O37" s="324"/>
      <c r="P37" s="297"/>
      <c r="Q37" s="297"/>
      <c r="R37" s="297"/>
      <c r="S37" s="297"/>
      <c r="T37" s="297"/>
      <c r="U37" s="297"/>
      <c r="V37" s="297"/>
      <c r="W37" s="297"/>
      <c r="X37" s="297"/>
      <c r="Y37" s="297"/>
      <c r="Z37" s="297"/>
      <c r="AA37" s="297"/>
      <c r="AB37" s="297"/>
      <c r="AC37" s="297"/>
      <c r="AD37" s="297">
        <v>1500</v>
      </c>
      <c r="AE37" s="297"/>
      <c r="AF37" s="297"/>
      <c r="AG37" s="297"/>
      <c r="AH37" s="297"/>
      <c r="AI37" s="297"/>
      <c r="AJ37" s="297"/>
      <c r="AK37" s="279"/>
      <c r="AL37" s="279"/>
      <c r="AM37" s="279"/>
      <c r="AN37" s="279"/>
      <c r="AO37" s="978"/>
    </row>
    <row r="38" customFormat="1" ht="15.75" customHeight="1" spans="1:41">
      <c r="A38" s="277">
        <v>45373</v>
      </c>
      <c r="B38" s="278">
        <v>1000019065</v>
      </c>
      <c r="C38" s="279" t="s">
        <v>4740</v>
      </c>
      <c r="D38" s="279" t="s">
        <v>4754</v>
      </c>
      <c r="E38" s="279">
        <v>776</v>
      </c>
      <c r="F38" s="280" t="s">
        <v>4745</v>
      </c>
      <c r="G38" s="281" t="s">
        <v>4749</v>
      </c>
      <c r="H38" s="282" t="s">
        <v>4743</v>
      </c>
      <c r="I38" s="297"/>
      <c r="J38" s="324"/>
      <c r="K38" s="324"/>
      <c r="L38" s="324"/>
      <c r="M38" s="324"/>
      <c r="N38" s="324"/>
      <c r="O38" s="324"/>
      <c r="P38" s="297"/>
      <c r="Q38" s="297"/>
      <c r="R38" s="297"/>
      <c r="S38" s="297"/>
      <c r="T38" s="297"/>
      <c r="U38" s="297"/>
      <c r="V38" s="297"/>
      <c r="W38" s="297">
        <v>776</v>
      </c>
      <c r="X38" s="297"/>
      <c r="Y38" s="297"/>
      <c r="Z38" s="297"/>
      <c r="AA38" s="297"/>
      <c r="AB38" s="297"/>
      <c r="AC38" s="297"/>
      <c r="AD38" s="297"/>
      <c r="AE38" s="297"/>
      <c r="AF38" s="297"/>
      <c r="AG38" s="297"/>
      <c r="AH38" s="297"/>
      <c r="AI38" s="297"/>
      <c r="AJ38" s="297"/>
      <c r="AK38" s="279"/>
      <c r="AL38" s="279"/>
      <c r="AM38" s="279"/>
      <c r="AN38" s="279"/>
      <c r="AO38" s="978"/>
    </row>
    <row r="39" customFormat="1" ht="15.75" customHeight="1" spans="1:41">
      <c r="A39" s="277">
        <v>45379</v>
      </c>
      <c r="B39" s="278">
        <v>1000019152</v>
      </c>
      <c r="C39" s="279" t="s">
        <v>4740</v>
      </c>
      <c r="D39" s="279" t="s">
        <v>4755</v>
      </c>
      <c r="E39" s="279">
        <v>200</v>
      </c>
      <c r="F39" s="280" t="s">
        <v>4758</v>
      </c>
      <c r="G39" s="281" t="s">
        <v>4749</v>
      </c>
      <c r="H39" s="282" t="s">
        <v>4743</v>
      </c>
      <c r="I39" s="297"/>
      <c r="J39" s="324"/>
      <c r="K39" s="324"/>
      <c r="L39" s="324"/>
      <c r="M39" s="324"/>
      <c r="N39" s="324"/>
      <c r="O39" s="324"/>
      <c r="P39" s="297"/>
      <c r="Q39" s="297"/>
      <c r="R39" s="297"/>
      <c r="S39" s="297"/>
      <c r="T39" s="297"/>
      <c r="U39" s="297"/>
      <c r="V39" s="297"/>
      <c r="W39" s="297"/>
      <c r="X39" s="297"/>
      <c r="Y39" s="297"/>
      <c r="Z39" s="297"/>
      <c r="AA39" s="297"/>
      <c r="AB39" s="297"/>
      <c r="AC39" s="297"/>
      <c r="AD39" s="297"/>
      <c r="AE39" s="297"/>
      <c r="AF39" s="297"/>
      <c r="AG39" s="297"/>
      <c r="AH39" s="297"/>
      <c r="AI39" s="297"/>
      <c r="AJ39" s="297">
        <v>200</v>
      </c>
      <c r="AK39" s="279"/>
      <c r="AL39" s="279"/>
      <c r="AM39" s="279"/>
      <c r="AN39" s="279"/>
      <c r="AO39" s="978"/>
    </row>
    <row r="40" customFormat="1" ht="15.75" customHeight="1" spans="1:41">
      <c r="A40" s="277">
        <v>45379</v>
      </c>
      <c r="B40" s="278">
        <v>1000019153</v>
      </c>
      <c r="C40" s="279" t="s">
        <v>4740</v>
      </c>
      <c r="D40" s="279" t="s">
        <v>4755</v>
      </c>
      <c r="E40" s="279">
        <v>200</v>
      </c>
      <c r="F40" s="280" t="s">
        <v>4756</v>
      </c>
      <c r="G40" s="281" t="s">
        <v>4749</v>
      </c>
      <c r="H40" s="282" t="s">
        <v>4743</v>
      </c>
      <c r="I40" s="297"/>
      <c r="J40" s="324"/>
      <c r="K40" s="324"/>
      <c r="L40" s="324"/>
      <c r="M40" s="324"/>
      <c r="N40" s="324"/>
      <c r="O40" s="324"/>
      <c r="P40" s="297"/>
      <c r="Q40" s="297"/>
      <c r="R40" s="297"/>
      <c r="S40" s="297"/>
      <c r="T40" s="297"/>
      <c r="U40" s="297"/>
      <c r="V40" s="297"/>
      <c r="W40" s="297"/>
      <c r="X40" s="297"/>
      <c r="Y40" s="297"/>
      <c r="Z40" s="297"/>
      <c r="AA40" s="297"/>
      <c r="AB40" s="297"/>
      <c r="AC40" s="297"/>
      <c r="AD40" s="297"/>
      <c r="AE40" s="297"/>
      <c r="AF40" s="297"/>
      <c r="AG40" s="297"/>
      <c r="AH40" s="297"/>
      <c r="AI40" s="297">
        <v>200</v>
      </c>
      <c r="AJ40" s="297"/>
      <c r="AK40" s="279"/>
      <c r="AL40" s="279"/>
      <c r="AM40" s="279"/>
      <c r="AN40" s="279"/>
      <c r="AO40" s="297"/>
    </row>
    <row r="41" customFormat="1" ht="15.75" customHeight="1" spans="1:41">
      <c r="A41" s="277">
        <v>45389</v>
      </c>
      <c r="B41" s="278">
        <v>1000019352</v>
      </c>
      <c r="C41" s="279" t="s">
        <v>4740</v>
      </c>
      <c r="D41" s="279">
        <v>77515</v>
      </c>
      <c r="E41" s="279">
        <v>160000</v>
      </c>
      <c r="F41" s="280" t="s">
        <v>4741</v>
      </c>
      <c r="G41" s="281" t="s">
        <v>4742</v>
      </c>
      <c r="H41" s="282" t="s">
        <v>4750</v>
      </c>
      <c r="I41" s="297">
        <f>E41</f>
        <v>160000</v>
      </c>
      <c r="J41" s="324"/>
      <c r="K41" s="324"/>
      <c r="L41" s="324"/>
      <c r="M41" s="324"/>
      <c r="N41" s="324"/>
      <c r="O41" s="324"/>
      <c r="P41" s="297"/>
      <c r="Q41" s="297"/>
      <c r="R41" s="297"/>
      <c r="S41" s="297"/>
      <c r="T41" s="297"/>
      <c r="U41" s="297"/>
      <c r="V41" s="297"/>
      <c r="W41" s="297"/>
      <c r="X41" s="297"/>
      <c r="Y41" s="297"/>
      <c r="Z41" s="297"/>
      <c r="AA41" s="297"/>
      <c r="AB41" s="297"/>
      <c r="AC41" s="297"/>
      <c r="AD41" s="297"/>
      <c r="AE41" s="297"/>
      <c r="AF41" s="297"/>
      <c r="AG41" s="297"/>
      <c r="AH41" s="297"/>
      <c r="AI41" s="297"/>
      <c r="AJ41" s="297"/>
      <c r="AK41" s="279"/>
      <c r="AL41" s="279"/>
      <c r="AM41" s="279"/>
      <c r="AN41" s="279"/>
      <c r="AO41" s="297"/>
    </row>
    <row r="42" s="261" customFormat="1" ht="15.75" customHeight="1" spans="1:41">
      <c r="A42" s="277">
        <v>45389</v>
      </c>
      <c r="B42" s="958">
        <v>1000019355</v>
      </c>
      <c r="C42" s="279" t="s">
        <v>4740</v>
      </c>
      <c r="D42" s="279" t="s">
        <v>4705</v>
      </c>
      <c r="E42" s="279">
        <v>500</v>
      </c>
      <c r="F42" s="958" t="s">
        <v>4745</v>
      </c>
      <c r="G42" s="959" t="s">
        <v>4749</v>
      </c>
      <c r="H42" s="961" t="s">
        <v>4743</v>
      </c>
      <c r="I42" s="959"/>
      <c r="J42" s="967"/>
      <c r="K42" s="967"/>
      <c r="L42" s="967"/>
      <c r="M42" s="967"/>
      <c r="N42" s="967"/>
      <c r="O42" s="967"/>
      <c r="P42" s="279"/>
      <c r="Q42" s="279"/>
      <c r="R42" s="279"/>
      <c r="S42" s="279"/>
      <c r="T42" s="279">
        <f>E42</f>
        <v>500</v>
      </c>
      <c r="U42" s="279"/>
      <c r="V42" s="279"/>
      <c r="W42" s="279"/>
      <c r="X42" s="279"/>
      <c r="Y42" s="279"/>
      <c r="Z42" s="279"/>
      <c r="AA42" s="279"/>
      <c r="AB42" s="279"/>
      <c r="AC42" s="279"/>
      <c r="AD42" s="279"/>
      <c r="AE42" s="279"/>
      <c r="AF42" s="279"/>
      <c r="AG42" s="279"/>
      <c r="AH42" s="279"/>
      <c r="AI42" s="279"/>
      <c r="AJ42" s="279"/>
      <c r="AK42" s="279"/>
      <c r="AL42" s="279"/>
      <c r="AM42" s="279"/>
      <c r="AN42" s="279"/>
      <c r="AO42" s="979"/>
    </row>
    <row r="43" s="261" customFormat="1" ht="15.75" customHeight="1" spans="1:41">
      <c r="A43" s="277">
        <v>45389</v>
      </c>
      <c r="B43" s="958">
        <v>1000019364</v>
      </c>
      <c r="C43" s="279" t="s">
        <v>4764</v>
      </c>
      <c r="D43" s="279" t="s">
        <v>4754</v>
      </c>
      <c r="E43" s="279">
        <v>7314</v>
      </c>
      <c r="F43" s="958" t="s">
        <v>4745</v>
      </c>
      <c r="G43" s="959" t="s">
        <v>4742</v>
      </c>
      <c r="H43" s="962" t="s">
        <v>4717</v>
      </c>
      <c r="I43" s="959"/>
      <c r="J43" s="967"/>
      <c r="K43" s="967"/>
      <c r="L43" s="967"/>
      <c r="M43" s="967"/>
      <c r="N43" s="967"/>
      <c r="O43" s="967"/>
      <c r="P43" s="279"/>
      <c r="Q43" s="279"/>
      <c r="R43" s="279"/>
      <c r="S43" s="279"/>
      <c r="T43" s="279"/>
      <c r="U43" s="279"/>
      <c r="V43" s="279"/>
      <c r="W43" s="279"/>
      <c r="X43" s="279">
        <f>E43</f>
        <v>7314</v>
      </c>
      <c r="Y43" s="279"/>
      <c r="Z43" s="279"/>
      <c r="AA43" s="279"/>
      <c r="AB43" s="279"/>
      <c r="AC43" s="279"/>
      <c r="AD43" s="279"/>
      <c r="AE43" s="279"/>
      <c r="AF43" s="279"/>
      <c r="AG43" s="279"/>
      <c r="AH43" s="279"/>
      <c r="AI43" s="279"/>
      <c r="AJ43" s="279"/>
      <c r="AK43" s="279"/>
      <c r="AL43" s="279"/>
      <c r="AM43" s="279"/>
      <c r="AN43" s="279"/>
      <c r="AO43" s="1689" t="s">
        <v>4767</v>
      </c>
    </row>
    <row r="44" s="261" customFormat="1" ht="15.75" customHeight="1" spans="1:41">
      <c r="A44" s="277">
        <v>45389</v>
      </c>
      <c r="B44" s="958">
        <v>1000019365</v>
      </c>
      <c r="C44" s="279" t="s">
        <v>4764</v>
      </c>
      <c r="D44" s="279" t="s">
        <v>4754</v>
      </c>
      <c r="E44" s="279">
        <v>87768</v>
      </c>
      <c r="F44" s="958" t="s">
        <v>4768</v>
      </c>
      <c r="G44" s="959" t="s">
        <v>4747</v>
      </c>
      <c r="H44" s="962" t="s">
        <v>4717</v>
      </c>
      <c r="I44" s="959"/>
      <c r="J44" s="967"/>
      <c r="K44" s="967"/>
      <c r="L44" s="967"/>
      <c r="M44" s="967"/>
      <c r="N44" s="967"/>
      <c r="O44" s="967"/>
      <c r="P44" s="279"/>
      <c r="Q44" s="279"/>
      <c r="R44" s="279">
        <f>E44</f>
        <v>87768</v>
      </c>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1689" t="s">
        <v>4767</v>
      </c>
    </row>
    <row r="45" s="261" customFormat="1" ht="15.75" customHeight="1" spans="1:42">
      <c r="A45" s="277">
        <v>45392</v>
      </c>
      <c r="B45" s="958" t="s">
        <v>4769</v>
      </c>
      <c r="C45" s="279" t="s">
        <v>4770</v>
      </c>
      <c r="D45" s="279">
        <v>77516</v>
      </c>
      <c r="E45" s="279">
        <v>3996</v>
      </c>
      <c r="F45" s="958" t="s">
        <v>4760</v>
      </c>
      <c r="G45" s="959" t="s">
        <v>4771</v>
      </c>
      <c r="H45" s="962" t="s">
        <v>4717</v>
      </c>
      <c r="I45" s="959"/>
      <c r="J45" s="967"/>
      <c r="K45" s="967"/>
      <c r="L45" s="967"/>
      <c r="M45" s="967"/>
      <c r="N45" s="967"/>
      <c r="O45" s="967"/>
      <c r="P45" s="279"/>
      <c r="Q45" s="279"/>
      <c r="R45" s="279"/>
      <c r="S45" s="279"/>
      <c r="T45" s="279"/>
      <c r="U45" s="279"/>
      <c r="V45" s="279"/>
      <c r="W45" s="279"/>
      <c r="X45" s="279"/>
      <c r="Y45" s="279"/>
      <c r="Z45" s="279"/>
      <c r="AA45" s="279"/>
      <c r="AB45" s="279"/>
      <c r="AC45" s="279"/>
      <c r="AD45" s="279"/>
      <c r="AE45" s="279"/>
      <c r="AF45" s="279"/>
      <c r="AG45" s="279"/>
      <c r="AH45" s="279"/>
      <c r="AI45" s="279"/>
      <c r="AJ45" s="279"/>
      <c r="AK45" s="279">
        <f>E45</f>
        <v>3996</v>
      </c>
      <c r="AL45" s="279"/>
      <c r="AM45" s="279"/>
      <c r="AN45" s="279"/>
      <c r="AO45" s="1689" t="s">
        <v>4772</v>
      </c>
      <c r="AP45" s="957" t="s">
        <v>4335</v>
      </c>
    </row>
    <row r="46" s="261" customFormat="1" ht="15.75" customHeight="1" spans="1:42">
      <c r="A46" s="277">
        <v>45392</v>
      </c>
      <c r="B46" s="958" t="s">
        <v>4769</v>
      </c>
      <c r="C46" s="279" t="s">
        <v>4770</v>
      </c>
      <c r="D46" s="279">
        <v>77516</v>
      </c>
      <c r="E46" s="279">
        <v>3996</v>
      </c>
      <c r="F46" s="958" t="s">
        <v>4763</v>
      </c>
      <c r="G46" s="959" t="s">
        <v>4742</v>
      </c>
      <c r="H46" s="962" t="s">
        <v>4717</v>
      </c>
      <c r="I46" s="959"/>
      <c r="J46" s="967"/>
      <c r="K46" s="967"/>
      <c r="L46" s="967"/>
      <c r="M46" s="967"/>
      <c r="N46" s="967"/>
      <c r="O46" s="967"/>
      <c r="P46" s="279"/>
      <c r="Q46" s="279"/>
      <c r="R46" s="279"/>
      <c r="S46" s="279"/>
      <c r="T46" s="279"/>
      <c r="U46" s="279"/>
      <c r="V46" s="279"/>
      <c r="W46" s="279"/>
      <c r="X46" s="279"/>
      <c r="Y46" s="279"/>
      <c r="Z46" s="279"/>
      <c r="AA46" s="279"/>
      <c r="AB46" s="279"/>
      <c r="AC46" s="279"/>
      <c r="AD46" s="279"/>
      <c r="AE46" s="279"/>
      <c r="AF46" s="279"/>
      <c r="AG46" s="279"/>
      <c r="AH46" s="279"/>
      <c r="AI46" s="279"/>
      <c r="AJ46" s="279"/>
      <c r="AK46" s="279"/>
      <c r="AL46" s="279"/>
      <c r="AM46" s="279"/>
      <c r="AN46" s="279">
        <f>E46</f>
        <v>3996</v>
      </c>
      <c r="AO46" s="1689" t="s">
        <v>4772</v>
      </c>
      <c r="AP46" s="957" t="s">
        <v>4335</v>
      </c>
    </row>
    <row r="47" s="261" customFormat="1" ht="15.75" customHeight="1" spans="1:42">
      <c r="A47" s="277">
        <v>45392</v>
      </c>
      <c r="B47" s="958" t="s">
        <v>4769</v>
      </c>
      <c r="C47" s="279" t="s">
        <v>4770</v>
      </c>
      <c r="D47" s="279">
        <v>77516</v>
      </c>
      <c r="E47" s="279">
        <v>3996</v>
      </c>
      <c r="F47" s="958" t="s">
        <v>4773</v>
      </c>
      <c r="G47" s="959" t="s">
        <v>4771</v>
      </c>
      <c r="H47" s="962" t="s">
        <v>4717</v>
      </c>
      <c r="I47" s="959"/>
      <c r="J47" s="967"/>
      <c r="K47" s="967"/>
      <c r="L47" s="967"/>
      <c r="M47" s="967"/>
      <c r="N47" s="967"/>
      <c r="O47" s="967"/>
      <c r="P47" s="279"/>
      <c r="Q47" s="279"/>
      <c r="R47" s="279"/>
      <c r="S47" s="279"/>
      <c r="T47" s="279"/>
      <c r="U47" s="279"/>
      <c r="V47" s="279"/>
      <c r="W47" s="279"/>
      <c r="X47" s="279"/>
      <c r="Y47" s="279"/>
      <c r="Z47" s="279"/>
      <c r="AA47" s="279"/>
      <c r="AB47" s="279"/>
      <c r="AC47" s="279"/>
      <c r="AD47" s="279"/>
      <c r="AE47" s="279"/>
      <c r="AF47" s="279"/>
      <c r="AG47" s="279"/>
      <c r="AH47" s="279"/>
      <c r="AI47" s="279"/>
      <c r="AJ47" s="279"/>
      <c r="AK47" s="279"/>
      <c r="AL47" s="279">
        <f>E47</f>
        <v>3996</v>
      </c>
      <c r="AM47" s="279"/>
      <c r="AN47" s="279"/>
      <c r="AO47" s="1689" t="s">
        <v>4772</v>
      </c>
      <c r="AP47" s="957" t="s">
        <v>4335</v>
      </c>
    </row>
    <row r="48" s="261" customFormat="1" ht="15.75" customHeight="1" spans="1:41">
      <c r="A48" s="277">
        <v>45392</v>
      </c>
      <c r="B48" s="958" t="s">
        <v>1861</v>
      </c>
      <c r="C48" s="279" t="s">
        <v>4770</v>
      </c>
      <c r="D48" s="279">
        <v>77516</v>
      </c>
      <c r="E48" s="279">
        <v>20000</v>
      </c>
      <c r="F48" s="958" t="s">
        <v>4774</v>
      </c>
      <c r="G48" s="959" t="s">
        <v>4742</v>
      </c>
      <c r="H48" s="962" t="s">
        <v>4717</v>
      </c>
      <c r="I48" s="959"/>
      <c r="J48" s="967"/>
      <c r="K48" s="967"/>
      <c r="L48" s="967"/>
      <c r="M48" s="967">
        <f>E48</f>
        <v>20000</v>
      </c>
      <c r="N48" s="967"/>
      <c r="O48" s="967"/>
      <c r="P48" s="279"/>
      <c r="Q48" s="279"/>
      <c r="R48" s="279"/>
      <c r="S48" s="279"/>
      <c r="T48" s="279"/>
      <c r="U48" s="279"/>
      <c r="V48" s="279"/>
      <c r="W48" s="279"/>
      <c r="X48" s="279"/>
      <c r="Y48" s="279"/>
      <c r="Z48" s="279"/>
      <c r="AA48" s="279"/>
      <c r="AB48" s="279"/>
      <c r="AC48" s="279"/>
      <c r="AD48" s="279"/>
      <c r="AE48" s="279"/>
      <c r="AF48" s="279"/>
      <c r="AG48" s="279"/>
      <c r="AH48" s="279"/>
      <c r="AI48" s="279"/>
      <c r="AJ48" s="279"/>
      <c r="AK48" s="279"/>
      <c r="AL48" s="279"/>
      <c r="AM48" s="279"/>
      <c r="AN48" s="279"/>
      <c r="AO48" s="1689" t="s">
        <v>4775</v>
      </c>
    </row>
    <row r="49" s="261" customFormat="1" ht="15.75" customHeight="1" spans="1:41">
      <c r="A49" s="277">
        <v>45405</v>
      </c>
      <c r="B49" s="958">
        <v>1000019736</v>
      </c>
      <c r="C49" s="279" t="s">
        <v>4740</v>
      </c>
      <c r="D49" s="279" t="s">
        <v>4752</v>
      </c>
      <c r="E49" s="279">
        <v>2100</v>
      </c>
      <c r="F49" s="958" t="s">
        <v>4745</v>
      </c>
      <c r="G49" s="959" t="s">
        <v>4742</v>
      </c>
      <c r="H49" s="962" t="s">
        <v>4743</v>
      </c>
      <c r="I49" s="959"/>
      <c r="J49" s="967"/>
      <c r="K49" s="967"/>
      <c r="L49" s="967"/>
      <c r="M49" s="967"/>
      <c r="N49" s="967"/>
      <c r="O49" s="967"/>
      <c r="P49" s="279"/>
      <c r="Q49" s="279"/>
      <c r="R49" s="279"/>
      <c r="S49" s="279"/>
      <c r="T49" s="279"/>
      <c r="U49" s="279"/>
      <c r="V49" s="279"/>
      <c r="W49" s="279"/>
      <c r="X49" s="279"/>
      <c r="Y49" s="279">
        <f>E49</f>
        <v>2100</v>
      </c>
      <c r="Z49" s="279"/>
      <c r="AA49" s="279"/>
      <c r="AB49" s="279"/>
      <c r="AC49" s="279"/>
      <c r="AD49" s="279"/>
      <c r="AE49" s="279"/>
      <c r="AF49" s="279"/>
      <c r="AG49" s="279"/>
      <c r="AH49" s="279"/>
      <c r="AI49" s="279"/>
      <c r="AJ49" s="279"/>
      <c r="AK49" s="279"/>
      <c r="AL49" s="279"/>
      <c r="AM49" s="279"/>
      <c r="AN49" s="279"/>
      <c r="AO49" s="979"/>
    </row>
    <row r="50" s="261" customFormat="1" ht="15.75" customHeight="1" spans="1:41">
      <c r="A50" s="277">
        <v>45405</v>
      </c>
      <c r="B50" s="958">
        <v>1000019737</v>
      </c>
      <c r="C50" s="279" t="s">
        <v>4740</v>
      </c>
      <c r="D50" s="279" t="s">
        <v>4753</v>
      </c>
      <c r="E50" s="279">
        <v>1300</v>
      </c>
      <c r="F50" s="958" t="s">
        <v>4745</v>
      </c>
      <c r="G50" s="959" t="s">
        <v>4742</v>
      </c>
      <c r="H50" s="962" t="s">
        <v>4743</v>
      </c>
      <c r="I50" s="959"/>
      <c r="J50" s="967"/>
      <c r="K50" s="967"/>
      <c r="L50" s="967"/>
      <c r="M50" s="967"/>
      <c r="N50" s="967"/>
      <c r="O50" s="967"/>
      <c r="P50" s="279"/>
      <c r="Q50" s="279"/>
      <c r="R50" s="279"/>
      <c r="S50" s="279"/>
      <c r="T50" s="279"/>
      <c r="U50" s="279"/>
      <c r="V50" s="279"/>
      <c r="W50" s="279"/>
      <c r="X50" s="279"/>
      <c r="Y50" s="279"/>
      <c r="Z50" s="279"/>
      <c r="AA50" s="279"/>
      <c r="AB50" s="279"/>
      <c r="AC50" s="279">
        <f>E50</f>
        <v>1300</v>
      </c>
      <c r="AD50" s="279"/>
      <c r="AE50" s="279"/>
      <c r="AF50" s="279"/>
      <c r="AG50" s="279"/>
      <c r="AH50" s="279"/>
      <c r="AI50" s="279"/>
      <c r="AJ50" s="279"/>
      <c r="AK50" s="279"/>
      <c r="AL50" s="279"/>
      <c r="AM50" s="279"/>
      <c r="AN50" s="279"/>
      <c r="AO50" s="979"/>
    </row>
    <row r="51" s="261" customFormat="1" ht="15.75" customHeight="1" spans="1:41">
      <c r="A51" s="277">
        <v>45405</v>
      </c>
      <c r="B51" s="958">
        <v>1000019738</v>
      </c>
      <c r="C51" s="279" t="s">
        <v>4740</v>
      </c>
      <c r="D51" s="279" t="s">
        <v>4705</v>
      </c>
      <c r="E51" s="279">
        <v>2000</v>
      </c>
      <c r="F51" s="958" t="s">
        <v>4745</v>
      </c>
      <c r="G51" s="959" t="s">
        <v>4742</v>
      </c>
      <c r="H51" s="962" t="s">
        <v>4743</v>
      </c>
      <c r="I51" s="959"/>
      <c r="J51" s="967"/>
      <c r="K51" s="967"/>
      <c r="L51" s="967"/>
      <c r="M51" s="967"/>
      <c r="N51" s="967"/>
      <c r="O51" s="967"/>
      <c r="P51" s="279"/>
      <c r="Q51" s="279"/>
      <c r="R51" s="279"/>
      <c r="S51" s="279">
        <f>E51</f>
        <v>2000</v>
      </c>
      <c r="T51" s="279"/>
      <c r="U51" s="279"/>
      <c r="V51" s="279"/>
      <c r="W51" s="279"/>
      <c r="X51" s="279"/>
      <c r="Y51" s="279"/>
      <c r="Z51" s="279"/>
      <c r="AA51" s="279"/>
      <c r="AB51" s="279"/>
      <c r="AC51" s="279"/>
      <c r="AD51" s="279"/>
      <c r="AE51" s="279"/>
      <c r="AF51" s="279"/>
      <c r="AG51" s="279"/>
      <c r="AH51" s="279"/>
      <c r="AI51" s="279"/>
      <c r="AJ51" s="279"/>
      <c r="AK51" s="279"/>
      <c r="AL51" s="279"/>
      <c r="AM51" s="279"/>
      <c r="AN51" s="279"/>
      <c r="AO51" s="979"/>
    </row>
    <row r="52" s="261" customFormat="1" ht="15.75" customHeight="1" spans="1:41">
      <c r="A52" s="277">
        <v>45405</v>
      </c>
      <c r="B52" s="958">
        <v>1000019739</v>
      </c>
      <c r="C52" s="279" t="s">
        <v>4740</v>
      </c>
      <c r="D52" s="279" t="s">
        <v>4757</v>
      </c>
      <c r="E52" s="279">
        <v>300</v>
      </c>
      <c r="F52" s="958" t="s">
        <v>4756</v>
      </c>
      <c r="G52" s="959" t="s">
        <v>4742</v>
      </c>
      <c r="H52" s="962" t="s">
        <v>4743</v>
      </c>
      <c r="I52" s="959"/>
      <c r="J52" s="967"/>
      <c r="K52" s="967"/>
      <c r="L52" s="967"/>
      <c r="M52" s="967"/>
      <c r="N52" s="967"/>
      <c r="O52" s="967"/>
      <c r="P52" s="279"/>
      <c r="Q52" s="279"/>
      <c r="R52" s="279"/>
      <c r="S52" s="279"/>
      <c r="T52" s="279"/>
      <c r="U52" s="279"/>
      <c r="V52" s="279"/>
      <c r="W52" s="279"/>
      <c r="X52" s="279"/>
      <c r="Y52" s="279"/>
      <c r="Z52" s="279"/>
      <c r="AA52" s="279"/>
      <c r="AB52" s="279"/>
      <c r="AC52" s="279"/>
      <c r="AD52" s="279"/>
      <c r="AE52" s="279">
        <f>E52</f>
        <v>300</v>
      </c>
      <c r="AF52" s="279"/>
      <c r="AG52" s="279"/>
      <c r="AH52" s="279"/>
      <c r="AI52" s="279"/>
      <c r="AJ52" s="279"/>
      <c r="AK52" s="279"/>
      <c r="AL52" s="279"/>
      <c r="AM52" s="279"/>
      <c r="AN52" s="279"/>
      <c r="AO52" s="979"/>
    </row>
    <row r="53" s="261" customFormat="1" ht="15.75" customHeight="1" spans="1:41">
      <c r="A53" s="277">
        <v>45405</v>
      </c>
      <c r="B53" s="958">
        <v>1000019740</v>
      </c>
      <c r="C53" s="279" t="s">
        <v>4740</v>
      </c>
      <c r="D53" s="279">
        <v>77515</v>
      </c>
      <c r="E53" s="279">
        <v>40000</v>
      </c>
      <c r="F53" s="958" t="s">
        <v>4741</v>
      </c>
      <c r="G53" s="959" t="s">
        <v>4749</v>
      </c>
      <c r="H53" s="962" t="s">
        <v>4750</v>
      </c>
      <c r="I53" s="959"/>
      <c r="J53" s="966">
        <f>E53</f>
        <v>40000</v>
      </c>
      <c r="K53" s="966"/>
      <c r="L53" s="966"/>
      <c r="M53" s="967"/>
      <c r="N53" s="967"/>
      <c r="O53" s="967"/>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979"/>
    </row>
    <row r="54" s="261" customFormat="1" ht="15.75" customHeight="1" spans="1:41">
      <c r="A54" s="277">
        <v>45405</v>
      </c>
      <c r="B54" s="958">
        <v>1000019741</v>
      </c>
      <c r="C54" s="279" t="s">
        <v>4740</v>
      </c>
      <c r="D54" s="279" t="s">
        <v>4753</v>
      </c>
      <c r="E54" s="279">
        <v>1200</v>
      </c>
      <c r="F54" s="958" t="s">
        <v>4745</v>
      </c>
      <c r="G54" s="959" t="s">
        <v>4749</v>
      </c>
      <c r="H54" s="962" t="s">
        <v>4743</v>
      </c>
      <c r="I54" s="959"/>
      <c r="J54" s="967"/>
      <c r="K54" s="967"/>
      <c r="L54" s="967"/>
      <c r="M54" s="967"/>
      <c r="N54" s="967"/>
      <c r="O54" s="967"/>
      <c r="P54" s="279"/>
      <c r="Q54" s="279"/>
      <c r="R54" s="279"/>
      <c r="S54" s="279"/>
      <c r="T54" s="279"/>
      <c r="U54" s="279"/>
      <c r="V54" s="279"/>
      <c r="W54" s="279"/>
      <c r="X54" s="279"/>
      <c r="Y54" s="279"/>
      <c r="Z54" s="279"/>
      <c r="AA54" s="279"/>
      <c r="AB54" s="279"/>
      <c r="AC54" s="279"/>
      <c r="AD54" s="279">
        <f>E54</f>
        <v>1200</v>
      </c>
      <c r="AE54" s="279"/>
      <c r="AF54" s="279"/>
      <c r="AG54" s="279"/>
      <c r="AH54" s="279"/>
      <c r="AI54" s="279"/>
      <c r="AJ54" s="279"/>
      <c r="AK54" s="279"/>
      <c r="AL54" s="279"/>
      <c r="AM54" s="279"/>
      <c r="AN54" s="279"/>
      <c r="AO54" s="979"/>
    </row>
    <row r="55" s="261" customFormat="1" ht="15.75" customHeight="1" spans="1:41">
      <c r="A55" s="277">
        <v>45405</v>
      </c>
      <c r="B55" s="958">
        <v>1000019742</v>
      </c>
      <c r="C55" s="279" t="s">
        <v>4740</v>
      </c>
      <c r="D55" s="279" t="s">
        <v>4757</v>
      </c>
      <c r="E55" s="279">
        <v>300</v>
      </c>
      <c r="F55" s="958" t="s">
        <v>4758</v>
      </c>
      <c r="G55" s="959" t="s">
        <v>4776</v>
      </c>
      <c r="H55" s="962" t="s">
        <v>4743</v>
      </c>
      <c r="I55" s="959"/>
      <c r="J55" s="967"/>
      <c r="K55" s="967"/>
      <c r="L55" s="967"/>
      <c r="M55" s="967"/>
      <c r="N55" s="967"/>
      <c r="O55" s="967"/>
      <c r="P55" s="279"/>
      <c r="Q55" s="279"/>
      <c r="R55" s="279"/>
      <c r="S55" s="279"/>
      <c r="T55" s="279"/>
      <c r="U55" s="279"/>
      <c r="V55" s="279"/>
      <c r="W55" s="279"/>
      <c r="X55" s="279"/>
      <c r="Y55" s="279"/>
      <c r="Z55" s="279"/>
      <c r="AA55" s="279"/>
      <c r="AB55" s="279"/>
      <c r="AC55" s="279"/>
      <c r="AD55" s="279"/>
      <c r="AE55" s="279"/>
      <c r="AF55" s="279"/>
      <c r="AG55" s="279">
        <f>E55</f>
        <v>300</v>
      </c>
      <c r="AH55" s="279"/>
      <c r="AI55" s="279"/>
      <c r="AJ55" s="279"/>
      <c r="AK55" s="279"/>
      <c r="AL55" s="279"/>
      <c r="AM55" s="279"/>
      <c r="AN55" s="279"/>
      <c r="AO55" s="979"/>
    </row>
    <row r="56" s="261" customFormat="1" ht="15.75" customHeight="1" spans="1:41">
      <c r="A56" s="277">
        <v>45405</v>
      </c>
      <c r="B56" s="958">
        <v>1000019743</v>
      </c>
      <c r="C56" s="279" t="s">
        <v>4740</v>
      </c>
      <c r="D56" s="279">
        <v>77515</v>
      </c>
      <c r="E56" s="279">
        <v>150000</v>
      </c>
      <c r="F56" s="958" t="s">
        <v>4746</v>
      </c>
      <c r="G56" s="959" t="s">
        <v>4747</v>
      </c>
      <c r="H56" s="962" t="s">
        <v>4743</v>
      </c>
      <c r="I56" s="959"/>
      <c r="J56" s="967"/>
      <c r="K56" s="967"/>
      <c r="L56" s="967"/>
      <c r="M56" s="967"/>
      <c r="N56" s="967"/>
      <c r="O56" s="967"/>
      <c r="P56" s="279">
        <f>E56</f>
        <v>150000</v>
      </c>
      <c r="Q56" s="279"/>
      <c r="R56" s="279"/>
      <c r="S56" s="279"/>
      <c r="T56" s="279"/>
      <c r="U56" s="279"/>
      <c r="V56" s="279"/>
      <c r="W56" s="279"/>
      <c r="X56" s="279"/>
      <c r="Y56" s="279"/>
      <c r="Z56" s="279"/>
      <c r="AA56" s="279"/>
      <c r="AB56" s="279"/>
      <c r="AC56" s="279"/>
      <c r="AD56" s="279"/>
      <c r="AE56" s="279"/>
      <c r="AF56" s="279"/>
      <c r="AG56" s="279"/>
      <c r="AH56" s="279"/>
      <c r="AI56" s="279"/>
      <c r="AJ56" s="279"/>
      <c r="AK56" s="279"/>
      <c r="AL56" s="279"/>
      <c r="AM56" s="279"/>
      <c r="AN56" s="279"/>
      <c r="AO56" s="979" t="s">
        <v>4777</v>
      </c>
    </row>
    <row r="57" s="261" customFormat="1" ht="15.75" customHeight="1" spans="1:41">
      <c r="A57" s="277">
        <v>45408</v>
      </c>
      <c r="B57" s="958">
        <v>1000019856</v>
      </c>
      <c r="C57" s="279" t="s">
        <v>4778</v>
      </c>
      <c r="D57" s="279" t="s">
        <v>4754</v>
      </c>
      <c r="E57" s="279">
        <v>1824</v>
      </c>
      <c r="F57" s="958" t="s">
        <v>4745</v>
      </c>
      <c r="G57" s="959" t="s">
        <v>4742</v>
      </c>
      <c r="H57" s="962" t="s">
        <v>4743</v>
      </c>
      <c r="I57" s="959"/>
      <c r="J57" s="967"/>
      <c r="K57" s="967"/>
      <c r="L57" s="967"/>
      <c r="M57" s="967"/>
      <c r="N57" s="967"/>
      <c r="O57" s="967"/>
      <c r="P57" s="279"/>
      <c r="Q57" s="279"/>
      <c r="R57" s="279"/>
      <c r="S57" s="279"/>
      <c r="T57" s="279"/>
      <c r="U57" s="279"/>
      <c r="V57" s="279"/>
      <c r="W57" s="279"/>
      <c r="X57" s="279">
        <f>E57</f>
        <v>1824</v>
      </c>
      <c r="Y57" s="279"/>
      <c r="Z57" s="279"/>
      <c r="AA57" s="279"/>
      <c r="AB57" s="279"/>
      <c r="AC57" s="279"/>
      <c r="AD57" s="279"/>
      <c r="AE57" s="279"/>
      <c r="AF57" s="279"/>
      <c r="AG57" s="279"/>
      <c r="AH57" s="279"/>
      <c r="AI57" s="279"/>
      <c r="AJ57" s="279"/>
      <c r="AK57" s="279"/>
      <c r="AL57" s="279"/>
      <c r="AM57" s="279"/>
      <c r="AN57" s="279"/>
      <c r="AO57" s="1689" t="s">
        <v>4779</v>
      </c>
    </row>
    <row r="58" s="261" customFormat="1" ht="15.75" customHeight="1" spans="1:41">
      <c r="A58" s="277">
        <v>45408</v>
      </c>
      <c r="B58" s="958">
        <v>1000019857</v>
      </c>
      <c r="C58" s="279" t="s">
        <v>4778</v>
      </c>
      <c r="D58" s="279" t="s">
        <v>4754</v>
      </c>
      <c r="E58" s="279">
        <v>21888</v>
      </c>
      <c r="F58" s="958" t="s">
        <v>4768</v>
      </c>
      <c r="G58" s="959" t="s">
        <v>4747</v>
      </c>
      <c r="H58" s="962" t="s">
        <v>4743</v>
      </c>
      <c r="I58" s="959"/>
      <c r="J58" s="967"/>
      <c r="K58" s="967"/>
      <c r="L58" s="967"/>
      <c r="M58" s="967"/>
      <c r="N58" s="967"/>
      <c r="O58" s="967"/>
      <c r="P58" s="279"/>
      <c r="Q58" s="279"/>
      <c r="R58" s="279">
        <f>E58</f>
        <v>21888</v>
      </c>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1689" t="s">
        <v>4779</v>
      </c>
    </row>
    <row r="59" s="261" customFormat="1" ht="15.75" customHeight="1" spans="1:42">
      <c r="A59" s="277">
        <v>45412</v>
      </c>
      <c r="B59" s="958">
        <v>1000020059</v>
      </c>
      <c r="C59" s="279" t="s">
        <v>4778</v>
      </c>
      <c r="D59" s="279">
        <v>77516</v>
      </c>
      <c r="E59" s="279">
        <v>6097</v>
      </c>
      <c r="F59" s="958" t="s">
        <v>4760</v>
      </c>
      <c r="G59" s="959" t="s">
        <v>4771</v>
      </c>
      <c r="H59" s="962" t="s">
        <v>4717</v>
      </c>
      <c r="I59" s="959"/>
      <c r="J59" s="967"/>
      <c r="K59" s="967"/>
      <c r="L59" s="967"/>
      <c r="M59" s="967"/>
      <c r="N59" s="967"/>
      <c r="O59" s="967"/>
      <c r="P59" s="279"/>
      <c r="Q59" s="279"/>
      <c r="R59" s="279"/>
      <c r="S59" s="279"/>
      <c r="T59" s="279"/>
      <c r="U59" s="279"/>
      <c r="V59" s="279"/>
      <c r="W59" s="279"/>
      <c r="X59" s="279"/>
      <c r="Y59" s="279"/>
      <c r="Z59" s="279"/>
      <c r="AA59" s="279"/>
      <c r="AB59" s="279"/>
      <c r="AC59" s="279"/>
      <c r="AD59" s="279"/>
      <c r="AE59" s="279"/>
      <c r="AF59" s="279"/>
      <c r="AG59" s="279"/>
      <c r="AH59" s="279"/>
      <c r="AI59" s="279"/>
      <c r="AJ59" s="279"/>
      <c r="AK59" s="279">
        <f>E59</f>
        <v>6097</v>
      </c>
      <c r="AL59" s="279"/>
      <c r="AM59" s="279"/>
      <c r="AN59" s="279"/>
      <c r="AO59" s="1689" t="s">
        <v>4780</v>
      </c>
      <c r="AP59" s="957" t="s">
        <v>4335</v>
      </c>
    </row>
    <row r="60" s="261" customFormat="1" ht="15.75" customHeight="1" spans="1:42">
      <c r="A60" s="277">
        <v>45412</v>
      </c>
      <c r="B60" s="958">
        <v>1000020060</v>
      </c>
      <c r="C60" s="279" t="s">
        <v>4778</v>
      </c>
      <c r="D60" s="279">
        <v>77516</v>
      </c>
      <c r="E60" s="279">
        <v>6097</v>
      </c>
      <c r="F60" s="958" t="s">
        <v>4781</v>
      </c>
      <c r="G60" s="959" t="s">
        <v>4749</v>
      </c>
      <c r="H60" s="962" t="s">
        <v>4717</v>
      </c>
      <c r="I60" s="959"/>
      <c r="J60" s="967"/>
      <c r="K60" s="967"/>
      <c r="L60" s="967"/>
      <c r="M60" s="967"/>
      <c r="N60" s="967"/>
      <c r="O60" s="967"/>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f>E60</f>
        <v>6097</v>
      </c>
      <c r="AO60" s="1689" t="s">
        <v>4780</v>
      </c>
      <c r="AP60" s="957" t="s">
        <v>4335</v>
      </c>
    </row>
    <row r="61" s="261" customFormat="1" ht="15.75" customHeight="1" spans="1:42">
      <c r="A61" s="277">
        <v>45412</v>
      </c>
      <c r="B61" s="958">
        <v>1000020067</v>
      </c>
      <c r="C61" s="279" t="s">
        <v>4778</v>
      </c>
      <c r="D61" s="279">
        <v>77516</v>
      </c>
      <c r="E61" s="279">
        <v>6097</v>
      </c>
      <c r="F61" s="958" t="s">
        <v>4773</v>
      </c>
      <c r="G61" s="959" t="s">
        <v>4771</v>
      </c>
      <c r="H61" s="962" t="s">
        <v>4717</v>
      </c>
      <c r="I61" s="959"/>
      <c r="J61" s="967"/>
      <c r="K61" s="967"/>
      <c r="L61" s="967"/>
      <c r="M61" s="967"/>
      <c r="N61" s="967"/>
      <c r="O61" s="967"/>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f>E61</f>
        <v>6097</v>
      </c>
      <c r="AM61" s="279"/>
      <c r="AN61" s="279"/>
      <c r="AO61" s="1689" t="s">
        <v>4780</v>
      </c>
      <c r="AP61" s="957" t="s">
        <v>4335</v>
      </c>
    </row>
    <row r="62" s="261" customFormat="1" ht="15.75" customHeight="1" spans="1:41">
      <c r="A62" s="277">
        <v>45422</v>
      </c>
      <c r="B62" s="958">
        <v>1000020003</v>
      </c>
      <c r="C62" s="279" t="s">
        <v>4740</v>
      </c>
      <c r="D62" s="279">
        <v>77515</v>
      </c>
      <c r="E62" s="279">
        <v>200000</v>
      </c>
      <c r="F62" s="958" t="s">
        <v>4741</v>
      </c>
      <c r="G62" s="959" t="s">
        <v>4742</v>
      </c>
      <c r="H62" s="962" t="s">
        <v>4750</v>
      </c>
      <c r="I62" s="959">
        <f>E62</f>
        <v>200000</v>
      </c>
      <c r="J62" s="967"/>
      <c r="K62" s="967"/>
      <c r="L62" s="967"/>
      <c r="M62" s="967"/>
      <c r="N62" s="967"/>
      <c r="O62" s="967"/>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979"/>
    </row>
    <row r="63" s="261" customFormat="1" ht="15.75" customHeight="1" spans="1:41">
      <c r="A63" s="277">
        <v>45422</v>
      </c>
      <c r="B63" s="958">
        <v>1000020004</v>
      </c>
      <c r="C63" s="279" t="s">
        <v>4740</v>
      </c>
      <c r="D63" s="279" t="s">
        <v>4752</v>
      </c>
      <c r="E63" s="279">
        <v>4500</v>
      </c>
      <c r="F63" s="958" t="s">
        <v>4745</v>
      </c>
      <c r="G63" s="959" t="s">
        <v>4742</v>
      </c>
      <c r="H63" s="962" t="s">
        <v>4743</v>
      </c>
      <c r="I63" s="959"/>
      <c r="J63" s="967"/>
      <c r="K63" s="967"/>
      <c r="L63" s="967"/>
      <c r="M63" s="967"/>
      <c r="N63" s="967"/>
      <c r="O63" s="967"/>
      <c r="P63" s="279"/>
      <c r="Q63" s="279"/>
      <c r="R63" s="279"/>
      <c r="S63" s="279"/>
      <c r="T63" s="279"/>
      <c r="U63" s="279"/>
      <c r="V63" s="279"/>
      <c r="W63" s="279"/>
      <c r="X63" s="279"/>
      <c r="Y63" s="279">
        <f>E63</f>
        <v>4500</v>
      </c>
      <c r="Z63" s="279"/>
      <c r="AA63" s="279"/>
      <c r="AB63" s="279"/>
      <c r="AC63" s="279"/>
      <c r="AD63" s="279"/>
      <c r="AE63" s="279"/>
      <c r="AF63" s="279"/>
      <c r="AG63" s="279"/>
      <c r="AH63" s="279"/>
      <c r="AI63" s="279"/>
      <c r="AJ63" s="279"/>
      <c r="AK63" s="279"/>
      <c r="AL63" s="279"/>
      <c r="AM63" s="279"/>
      <c r="AN63" s="279"/>
      <c r="AO63" s="979"/>
    </row>
    <row r="64" s="261" customFormat="1" ht="15.75" customHeight="1" spans="1:41">
      <c r="A64" s="277">
        <v>45422</v>
      </c>
      <c r="B64" s="958">
        <v>1000020005</v>
      </c>
      <c r="C64" s="279" t="s">
        <v>4740</v>
      </c>
      <c r="D64" s="279" t="s">
        <v>4753</v>
      </c>
      <c r="E64" s="279">
        <v>605</v>
      </c>
      <c r="F64" s="958" t="s">
        <v>4745</v>
      </c>
      <c r="G64" s="959" t="s">
        <v>4742</v>
      </c>
      <c r="H64" s="962" t="s">
        <v>4743</v>
      </c>
      <c r="I64" s="959"/>
      <c r="J64" s="967"/>
      <c r="K64" s="967"/>
      <c r="L64" s="967"/>
      <c r="M64" s="967"/>
      <c r="N64" s="967"/>
      <c r="O64" s="967"/>
      <c r="P64" s="279"/>
      <c r="Q64" s="279"/>
      <c r="R64" s="279"/>
      <c r="S64" s="279"/>
      <c r="T64" s="279"/>
      <c r="U64" s="279"/>
      <c r="V64" s="279"/>
      <c r="W64" s="279"/>
      <c r="X64" s="279"/>
      <c r="Y64" s="279"/>
      <c r="Z64" s="279"/>
      <c r="AA64" s="279"/>
      <c r="AB64" s="279"/>
      <c r="AC64" s="279">
        <f>E64</f>
        <v>605</v>
      </c>
      <c r="AD64" s="279"/>
      <c r="AE64" s="279"/>
      <c r="AF64" s="279"/>
      <c r="AG64" s="279"/>
      <c r="AH64" s="279"/>
      <c r="AI64" s="279"/>
      <c r="AJ64" s="279"/>
      <c r="AK64" s="279"/>
      <c r="AL64" s="279"/>
      <c r="AM64" s="279"/>
      <c r="AN64" s="279"/>
      <c r="AO64" s="979"/>
    </row>
    <row r="65" s="261" customFormat="1" ht="15.75" customHeight="1" spans="1:41">
      <c r="A65" s="277">
        <v>45422</v>
      </c>
      <c r="B65" s="958">
        <v>1000020006</v>
      </c>
      <c r="C65" s="279" t="s">
        <v>4740</v>
      </c>
      <c r="D65" s="279" t="s">
        <v>4757</v>
      </c>
      <c r="E65" s="279">
        <v>355</v>
      </c>
      <c r="F65" s="958" t="s">
        <v>4756</v>
      </c>
      <c r="G65" s="959" t="s">
        <v>4742</v>
      </c>
      <c r="H65" s="962" t="s">
        <v>4743</v>
      </c>
      <c r="I65" s="959"/>
      <c r="J65" s="967"/>
      <c r="K65" s="967"/>
      <c r="L65" s="967"/>
      <c r="M65" s="967"/>
      <c r="N65" s="967"/>
      <c r="O65" s="967"/>
      <c r="P65" s="279"/>
      <c r="Q65" s="279"/>
      <c r="R65" s="279"/>
      <c r="S65" s="279"/>
      <c r="T65" s="279"/>
      <c r="U65" s="279"/>
      <c r="V65" s="279"/>
      <c r="W65" s="279"/>
      <c r="X65" s="279"/>
      <c r="Y65" s="279"/>
      <c r="Z65" s="279"/>
      <c r="AA65" s="279"/>
      <c r="AB65" s="279"/>
      <c r="AC65" s="279"/>
      <c r="AD65" s="279"/>
      <c r="AE65" s="279">
        <f>E65</f>
        <v>355</v>
      </c>
      <c r="AF65" s="279"/>
      <c r="AG65" s="279"/>
      <c r="AH65" s="279"/>
      <c r="AI65" s="279"/>
      <c r="AJ65" s="279"/>
      <c r="AK65" s="279"/>
      <c r="AL65" s="279"/>
      <c r="AM65" s="279"/>
      <c r="AN65" s="279"/>
      <c r="AO65" s="979"/>
    </row>
    <row r="66" s="261" customFormat="1" ht="15.75" customHeight="1" spans="1:41">
      <c r="A66" s="277">
        <v>45422</v>
      </c>
      <c r="B66" s="958">
        <v>1000020007</v>
      </c>
      <c r="C66" s="279" t="s">
        <v>4740</v>
      </c>
      <c r="D66" s="279">
        <v>77515</v>
      </c>
      <c r="E66" s="279">
        <v>30000</v>
      </c>
      <c r="F66" s="958" t="s">
        <v>4741</v>
      </c>
      <c r="G66" s="959" t="s">
        <v>4749</v>
      </c>
      <c r="H66" s="962" t="s">
        <v>4750</v>
      </c>
      <c r="I66" s="959"/>
      <c r="J66" s="966">
        <f>E66</f>
        <v>30000</v>
      </c>
      <c r="K66" s="966"/>
      <c r="L66" s="966"/>
      <c r="M66" s="967"/>
      <c r="N66" s="967"/>
      <c r="O66" s="967"/>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979"/>
    </row>
    <row r="67" s="261" customFormat="1" ht="15.75" customHeight="1" spans="1:41">
      <c r="A67" s="277">
        <v>45422</v>
      </c>
      <c r="B67" s="958">
        <v>1000020008</v>
      </c>
      <c r="C67" s="279" t="s">
        <v>4740</v>
      </c>
      <c r="D67" s="279" t="s">
        <v>4752</v>
      </c>
      <c r="E67" s="279">
        <v>593</v>
      </c>
      <c r="F67" s="958" t="s">
        <v>4745</v>
      </c>
      <c r="G67" s="959" t="s">
        <v>4749</v>
      </c>
      <c r="H67" s="962" t="s">
        <v>4743</v>
      </c>
      <c r="I67" s="959"/>
      <c r="J67" s="967"/>
      <c r="K67" s="967"/>
      <c r="L67" s="967"/>
      <c r="M67" s="967"/>
      <c r="N67" s="967"/>
      <c r="O67" s="967"/>
      <c r="P67" s="279"/>
      <c r="Q67" s="279"/>
      <c r="R67" s="279"/>
      <c r="S67" s="279"/>
      <c r="T67" s="279"/>
      <c r="U67" s="279"/>
      <c r="V67" s="279"/>
      <c r="W67" s="279"/>
      <c r="X67" s="279"/>
      <c r="Y67" s="279"/>
      <c r="Z67" s="279">
        <f>E67</f>
        <v>593</v>
      </c>
      <c r="AA67" s="279"/>
      <c r="AB67" s="279"/>
      <c r="AC67" s="279"/>
      <c r="AD67" s="279"/>
      <c r="AE67" s="279"/>
      <c r="AF67" s="279"/>
      <c r="AG67" s="279"/>
      <c r="AH67" s="279"/>
      <c r="AI67" s="279"/>
      <c r="AJ67" s="279"/>
      <c r="AK67" s="279"/>
      <c r="AL67" s="279"/>
      <c r="AM67" s="279"/>
      <c r="AN67" s="279"/>
      <c r="AO67" s="979"/>
    </row>
    <row r="68" s="261" customFormat="1" ht="15.75" customHeight="1" spans="1:41">
      <c r="A68" s="277">
        <v>45422</v>
      </c>
      <c r="B68" s="958">
        <v>1000020009</v>
      </c>
      <c r="C68" s="279" t="s">
        <v>4740</v>
      </c>
      <c r="D68" s="279" t="s">
        <v>4753</v>
      </c>
      <c r="E68" s="279">
        <v>2000</v>
      </c>
      <c r="F68" s="958" t="s">
        <v>4745</v>
      </c>
      <c r="G68" s="959" t="s">
        <v>4749</v>
      </c>
      <c r="H68" s="962" t="s">
        <v>4743</v>
      </c>
      <c r="I68" s="959"/>
      <c r="J68" s="967"/>
      <c r="K68" s="967"/>
      <c r="L68" s="967"/>
      <c r="M68" s="967"/>
      <c r="N68" s="967"/>
      <c r="O68" s="967"/>
      <c r="P68" s="279"/>
      <c r="Q68" s="279"/>
      <c r="R68" s="279"/>
      <c r="S68" s="279"/>
      <c r="T68" s="279"/>
      <c r="U68" s="279"/>
      <c r="V68" s="279"/>
      <c r="W68" s="279"/>
      <c r="X68" s="279"/>
      <c r="Y68" s="279"/>
      <c r="Z68" s="279"/>
      <c r="AA68" s="279"/>
      <c r="AB68" s="279"/>
      <c r="AC68" s="279"/>
      <c r="AD68" s="279">
        <f>E68</f>
        <v>2000</v>
      </c>
      <c r="AE68" s="279"/>
      <c r="AF68" s="279"/>
      <c r="AG68" s="279"/>
      <c r="AH68" s="279"/>
      <c r="AI68" s="279"/>
      <c r="AJ68" s="279"/>
      <c r="AK68" s="279"/>
      <c r="AL68" s="279"/>
      <c r="AM68" s="279"/>
      <c r="AN68" s="279"/>
      <c r="AO68" s="979"/>
    </row>
    <row r="69" s="261" customFormat="1" ht="15.75" customHeight="1" spans="1:41">
      <c r="A69" s="277">
        <v>45422</v>
      </c>
      <c r="B69" s="958">
        <v>1000020010</v>
      </c>
      <c r="C69" s="279" t="s">
        <v>4740</v>
      </c>
      <c r="D69" s="279" t="s">
        <v>4757</v>
      </c>
      <c r="E69" s="279">
        <v>300</v>
      </c>
      <c r="F69" s="958" t="s">
        <v>4756</v>
      </c>
      <c r="G69" s="959" t="s">
        <v>4749</v>
      </c>
      <c r="H69" s="962" t="s">
        <v>4743</v>
      </c>
      <c r="I69" s="959"/>
      <c r="J69" s="967"/>
      <c r="K69" s="967"/>
      <c r="L69" s="967"/>
      <c r="M69" s="967"/>
      <c r="N69" s="967"/>
      <c r="O69" s="967"/>
      <c r="P69" s="279"/>
      <c r="Q69" s="279"/>
      <c r="R69" s="279"/>
      <c r="S69" s="279"/>
      <c r="T69" s="279"/>
      <c r="U69" s="279"/>
      <c r="V69" s="279"/>
      <c r="W69" s="279"/>
      <c r="X69" s="279"/>
      <c r="Y69" s="279"/>
      <c r="Z69" s="279"/>
      <c r="AA69" s="279"/>
      <c r="AB69" s="279"/>
      <c r="AC69" s="279"/>
      <c r="AD69" s="279"/>
      <c r="AE69" s="279"/>
      <c r="AF69" s="279">
        <f>E69</f>
        <v>300</v>
      </c>
      <c r="AG69" s="279"/>
      <c r="AH69" s="279"/>
      <c r="AI69" s="279"/>
      <c r="AJ69" s="279"/>
      <c r="AK69" s="279"/>
      <c r="AL69" s="279"/>
      <c r="AM69" s="279"/>
      <c r="AN69" s="279"/>
      <c r="AO69" s="979"/>
    </row>
    <row r="70" s="261" customFormat="1" ht="15.75" customHeight="1" spans="1:41">
      <c r="A70" s="277">
        <v>45422</v>
      </c>
      <c r="B70" s="958">
        <v>1000020011</v>
      </c>
      <c r="C70" s="279" t="s">
        <v>4740</v>
      </c>
      <c r="D70" s="279" t="s">
        <v>4755</v>
      </c>
      <c r="E70" s="279">
        <v>300</v>
      </c>
      <c r="F70" s="958" t="s">
        <v>4758</v>
      </c>
      <c r="G70" s="959" t="s">
        <v>4776</v>
      </c>
      <c r="H70" s="962" t="s">
        <v>4743</v>
      </c>
      <c r="I70" s="959"/>
      <c r="J70" s="967"/>
      <c r="K70" s="967"/>
      <c r="L70" s="967"/>
      <c r="M70" s="967"/>
      <c r="N70" s="967"/>
      <c r="O70" s="967"/>
      <c r="P70" s="279"/>
      <c r="Q70" s="279"/>
      <c r="R70" s="279"/>
      <c r="S70" s="279"/>
      <c r="T70" s="279"/>
      <c r="U70" s="279"/>
      <c r="V70" s="279"/>
      <c r="W70" s="279"/>
      <c r="X70" s="279"/>
      <c r="Y70" s="279"/>
      <c r="Z70" s="279"/>
      <c r="AA70" s="279"/>
      <c r="AB70" s="279"/>
      <c r="AC70" s="279"/>
      <c r="AD70" s="279"/>
      <c r="AE70" s="279"/>
      <c r="AF70" s="279"/>
      <c r="AG70" s="279"/>
      <c r="AH70" s="279"/>
      <c r="AI70" s="279"/>
      <c r="AJ70" s="279">
        <f>E70</f>
        <v>300</v>
      </c>
      <c r="AK70" s="279"/>
      <c r="AL70" s="279"/>
      <c r="AM70" s="279"/>
      <c r="AN70" s="279"/>
      <c r="AO70" s="979"/>
    </row>
    <row r="71" s="261" customFormat="1" ht="15.75" customHeight="1" spans="1:41">
      <c r="A71" s="277">
        <v>45422</v>
      </c>
      <c r="B71" s="958">
        <v>1000020012</v>
      </c>
      <c r="C71" s="279" t="s">
        <v>4740</v>
      </c>
      <c r="D71" s="279" t="s">
        <v>4757</v>
      </c>
      <c r="E71" s="279">
        <v>399</v>
      </c>
      <c r="F71" s="958" t="s">
        <v>4758</v>
      </c>
      <c r="G71" s="959" t="s">
        <v>4776</v>
      </c>
      <c r="H71" s="962" t="s">
        <v>4743</v>
      </c>
      <c r="I71" s="959"/>
      <c r="J71" s="967"/>
      <c r="K71" s="967"/>
      <c r="L71" s="967"/>
      <c r="M71" s="967"/>
      <c r="N71" s="967"/>
      <c r="O71" s="967"/>
      <c r="P71" s="279"/>
      <c r="Q71" s="279"/>
      <c r="R71" s="279"/>
      <c r="S71" s="279"/>
      <c r="T71" s="279"/>
      <c r="U71" s="279"/>
      <c r="V71" s="279"/>
      <c r="W71" s="279"/>
      <c r="X71" s="279"/>
      <c r="Y71" s="279"/>
      <c r="Z71" s="279"/>
      <c r="AA71" s="279"/>
      <c r="AB71" s="279"/>
      <c r="AC71" s="279"/>
      <c r="AD71" s="279"/>
      <c r="AE71" s="279"/>
      <c r="AF71" s="279"/>
      <c r="AG71" s="279">
        <f>E71</f>
        <v>399</v>
      </c>
      <c r="AH71" s="279"/>
      <c r="AI71" s="279"/>
      <c r="AJ71" s="279"/>
      <c r="AK71" s="279"/>
      <c r="AL71" s="279"/>
      <c r="AM71" s="279"/>
      <c r="AN71" s="279"/>
      <c r="AO71" s="979"/>
    </row>
    <row r="72" s="261" customFormat="1" ht="15.75" customHeight="1" spans="1:41">
      <c r="A72" s="277">
        <v>45422</v>
      </c>
      <c r="B72" s="958">
        <v>1000020013</v>
      </c>
      <c r="C72" s="279" t="s">
        <v>4740</v>
      </c>
      <c r="D72" s="279">
        <v>77515</v>
      </c>
      <c r="E72" s="279">
        <v>200000</v>
      </c>
      <c r="F72" s="958" t="s">
        <v>4746</v>
      </c>
      <c r="G72" s="959" t="s">
        <v>4747</v>
      </c>
      <c r="H72" s="962" t="s">
        <v>4743</v>
      </c>
      <c r="I72" s="959"/>
      <c r="J72" s="967"/>
      <c r="K72" s="967"/>
      <c r="L72" s="967"/>
      <c r="M72" s="967"/>
      <c r="N72" s="967"/>
      <c r="O72" s="967"/>
      <c r="P72" s="279">
        <f>E72</f>
        <v>200000</v>
      </c>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979" t="s">
        <v>4777</v>
      </c>
    </row>
    <row r="73" s="261" customFormat="1" ht="15.75" customHeight="1" spans="1:42">
      <c r="A73" s="277">
        <v>45427</v>
      </c>
      <c r="B73" s="958">
        <v>1000020300</v>
      </c>
      <c r="C73" s="279" t="s">
        <v>4782</v>
      </c>
      <c r="D73" s="279">
        <v>77516</v>
      </c>
      <c r="E73" s="279">
        <v>7440</v>
      </c>
      <c r="F73" s="958" t="s">
        <v>4781</v>
      </c>
      <c r="G73" s="959" t="s">
        <v>4749</v>
      </c>
      <c r="H73" s="962"/>
      <c r="I73" s="959"/>
      <c r="J73" s="967"/>
      <c r="K73" s="967"/>
      <c r="L73" s="967"/>
      <c r="M73" s="967"/>
      <c r="N73" s="967"/>
      <c r="O73" s="967"/>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f>E73</f>
        <v>7440</v>
      </c>
      <c r="AO73" s="979" t="s">
        <v>4783</v>
      </c>
      <c r="AP73" s="261" t="s">
        <v>4784</v>
      </c>
    </row>
    <row r="74" s="261" customFormat="1" ht="15.75" customHeight="1" spans="1:42">
      <c r="A74" s="277">
        <v>45427</v>
      </c>
      <c r="B74" s="958">
        <v>1000020301</v>
      </c>
      <c r="C74" s="279" t="s">
        <v>4782</v>
      </c>
      <c r="D74" s="279">
        <v>77516</v>
      </c>
      <c r="E74" s="279">
        <v>7440</v>
      </c>
      <c r="F74" s="958" t="s">
        <v>4760</v>
      </c>
      <c r="G74" s="959" t="s">
        <v>4771</v>
      </c>
      <c r="H74" s="962"/>
      <c r="I74" s="959"/>
      <c r="J74" s="967"/>
      <c r="K74" s="967"/>
      <c r="L74" s="967"/>
      <c r="M74" s="967"/>
      <c r="N74" s="967"/>
      <c r="O74" s="967"/>
      <c r="P74" s="279"/>
      <c r="Q74" s="279"/>
      <c r="R74" s="279"/>
      <c r="S74" s="279"/>
      <c r="T74" s="279"/>
      <c r="U74" s="279"/>
      <c r="V74" s="279"/>
      <c r="W74" s="279"/>
      <c r="X74" s="279"/>
      <c r="Y74" s="279"/>
      <c r="Z74" s="279"/>
      <c r="AA74" s="279"/>
      <c r="AB74" s="279"/>
      <c r="AC74" s="279"/>
      <c r="AD74" s="279"/>
      <c r="AE74" s="279"/>
      <c r="AF74" s="279"/>
      <c r="AG74" s="279"/>
      <c r="AH74" s="279"/>
      <c r="AI74" s="279"/>
      <c r="AJ74" s="279"/>
      <c r="AK74" s="279">
        <f>E74</f>
        <v>7440</v>
      </c>
      <c r="AL74" s="279"/>
      <c r="AM74" s="279"/>
      <c r="AN74" s="279"/>
      <c r="AO74" s="979" t="s">
        <v>4783</v>
      </c>
      <c r="AP74" s="261" t="s">
        <v>4784</v>
      </c>
    </row>
    <row r="75" s="261" customFormat="1" ht="15.75" customHeight="1" spans="1:42">
      <c r="A75" s="277">
        <v>45427</v>
      </c>
      <c r="B75" s="958">
        <v>1000020302</v>
      </c>
      <c r="C75" s="279" t="s">
        <v>4782</v>
      </c>
      <c r="D75" s="279">
        <v>77516</v>
      </c>
      <c r="E75" s="279">
        <v>7440</v>
      </c>
      <c r="F75" s="958" t="s">
        <v>4773</v>
      </c>
      <c r="G75" s="959" t="s">
        <v>4771</v>
      </c>
      <c r="H75" s="962"/>
      <c r="I75" s="959"/>
      <c r="J75" s="967"/>
      <c r="K75" s="967"/>
      <c r="L75" s="967"/>
      <c r="M75" s="967"/>
      <c r="N75" s="967"/>
      <c r="O75" s="967"/>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f>E75</f>
        <v>7440</v>
      </c>
      <c r="AM75" s="279"/>
      <c r="AN75" s="279"/>
      <c r="AO75" s="979" t="s">
        <v>4783</v>
      </c>
      <c r="AP75" s="261" t="s">
        <v>4784</v>
      </c>
    </row>
    <row r="76" s="261" customFormat="1" ht="15.75" customHeight="1" spans="1:41">
      <c r="A76" s="277">
        <v>45427</v>
      </c>
      <c r="B76" s="958">
        <v>1000020306</v>
      </c>
      <c r="C76" s="279" t="s">
        <v>4782</v>
      </c>
      <c r="D76" s="279">
        <v>77516</v>
      </c>
      <c r="E76" s="279">
        <v>20000</v>
      </c>
      <c r="F76" s="958" t="s">
        <v>4774</v>
      </c>
      <c r="G76" s="959" t="s">
        <v>4749</v>
      </c>
      <c r="H76" s="962"/>
      <c r="I76" s="959"/>
      <c r="J76" s="967"/>
      <c r="K76" s="967"/>
      <c r="L76" s="967"/>
      <c r="M76" s="967">
        <f>E76</f>
        <v>20000</v>
      </c>
      <c r="N76" s="967"/>
      <c r="O76" s="967"/>
      <c r="P76" s="279"/>
      <c r="Q76" s="279"/>
      <c r="R76" s="279"/>
      <c r="S76" s="279"/>
      <c r="T76" s="279"/>
      <c r="U76" s="279"/>
      <c r="V76" s="279"/>
      <c r="W76" s="279"/>
      <c r="X76" s="279"/>
      <c r="Y76" s="279"/>
      <c r="Z76" s="279"/>
      <c r="AA76" s="279"/>
      <c r="AB76" s="279"/>
      <c r="AC76" s="279"/>
      <c r="AD76" s="279"/>
      <c r="AE76" s="279"/>
      <c r="AF76" s="279"/>
      <c r="AG76" s="279"/>
      <c r="AH76" s="279"/>
      <c r="AI76" s="279"/>
      <c r="AJ76" s="279"/>
      <c r="AK76" s="279"/>
      <c r="AL76" s="279"/>
      <c r="AM76" s="279"/>
      <c r="AN76" s="279"/>
      <c r="AO76" s="979" t="s">
        <v>4783</v>
      </c>
    </row>
    <row r="77" s="261" customFormat="1" ht="15.75" customHeight="1" spans="1:41">
      <c r="A77" s="277">
        <v>45429</v>
      </c>
      <c r="B77" s="958" t="s">
        <v>4785</v>
      </c>
      <c r="C77" s="279" t="s">
        <v>4740</v>
      </c>
      <c r="D77" s="279">
        <v>77515</v>
      </c>
      <c r="E77" s="279">
        <v>80000</v>
      </c>
      <c r="F77" s="958" t="s">
        <v>4741</v>
      </c>
      <c r="G77" s="959" t="s">
        <v>4742</v>
      </c>
      <c r="H77" s="962" t="s">
        <v>4750</v>
      </c>
      <c r="I77" s="959">
        <f>E77</f>
        <v>80000</v>
      </c>
      <c r="J77" s="967"/>
      <c r="K77" s="967"/>
      <c r="L77" s="967"/>
      <c r="M77" s="967"/>
      <c r="N77" s="967"/>
      <c r="O77" s="967"/>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979"/>
    </row>
    <row r="78" s="261" customFormat="1" ht="15.75" customHeight="1" spans="1:41">
      <c r="A78" s="277">
        <v>45429</v>
      </c>
      <c r="B78" s="958">
        <v>1000020376</v>
      </c>
      <c r="C78" s="279" t="s">
        <v>4740</v>
      </c>
      <c r="D78" s="279" t="s">
        <v>4752</v>
      </c>
      <c r="E78" s="279">
        <v>2500</v>
      </c>
      <c r="F78" s="958" t="s">
        <v>4745</v>
      </c>
      <c r="G78" s="959" t="s">
        <v>4742</v>
      </c>
      <c r="H78" s="962" t="s">
        <v>4743</v>
      </c>
      <c r="I78" s="959"/>
      <c r="J78" s="967"/>
      <c r="K78" s="967"/>
      <c r="L78" s="967"/>
      <c r="M78" s="967"/>
      <c r="N78" s="967"/>
      <c r="O78" s="967"/>
      <c r="P78" s="279"/>
      <c r="Q78" s="279"/>
      <c r="R78" s="279"/>
      <c r="S78" s="279"/>
      <c r="T78" s="279"/>
      <c r="U78" s="279"/>
      <c r="V78" s="279"/>
      <c r="W78" s="279"/>
      <c r="X78" s="279"/>
      <c r="Y78" s="279">
        <f>E78</f>
        <v>2500</v>
      </c>
      <c r="Z78" s="279"/>
      <c r="AA78" s="279"/>
      <c r="AB78" s="279"/>
      <c r="AC78" s="279"/>
      <c r="AD78" s="279"/>
      <c r="AE78" s="279"/>
      <c r="AF78" s="279"/>
      <c r="AG78" s="279"/>
      <c r="AH78" s="279"/>
      <c r="AI78" s="279"/>
      <c r="AJ78" s="279"/>
      <c r="AK78" s="279"/>
      <c r="AL78" s="279"/>
      <c r="AM78" s="279"/>
      <c r="AN78" s="279"/>
      <c r="AO78" s="979"/>
    </row>
    <row r="79" s="261" customFormat="1" ht="15.75" customHeight="1" spans="1:41">
      <c r="A79" s="277">
        <v>45429</v>
      </c>
      <c r="B79" s="958">
        <v>1000020377</v>
      </c>
      <c r="C79" s="279" t="s">
        <v>4740</v>
      </c>
      <c r="D79" s="279" t="s">
        <v>4753</v>
      </c>
      <c r="E79" s="279">
        <v>500</v>
      </c>
      <c r="F79" s="958" t="s">
        <v>4745</v>
      </c>
      <c r="G79" s="959" t="s">
        <v>4742</v>
      </c>
      <c r="H79" s="962" t="s">
        <v>4743</v>
      </c>
      <c r="I79" s="959"/>
      <c r="J79" s="967"/>
      <c r="K79" s="967"/>
      <c r="L79" s="967"/>
      <c r="M79" s="967"/>
      <c r="N79" s="967"/>
      <c r="O79" s="967"/>
      <c r="P79" s="279"/>
      <c r="Q79" s="279"/>
      <c r="R79" s="279"/>
      <c r="S79" s="279"/>
      <c r="T79" s="279"/>
      <c r="U79" s="279"/>
      <c r="V79" s="279"/>
      <c r="W79" s="279"/>
      <c r="X79" s="279"/>
      <c r="Y79" s="279"/>
      <c r="Z79" s="279"/>
      <c r="AA79" s="279"/>
      <c r="AB79" s="279"/>
      <c r="AC79" s="279">
        <f>E79</f>
        <v>500</v>
      </c>
      <c r="AD79" s="279"/>
      <c r="AE79" s="279"/>
      <c r="AF79" s="279"/>
      <c r="AG79" s="279"/>
      <c r="AH79" s="279"/>
      <c r="AI79" s="279"/>
      <c r="AJ79" s="279"/>
      <c r="AK79" s="279"/>
      <c r="AL79" s="279"/>
      <c r="AM79" s="279"/>
      <c r="AN79" s="279"/>
      <c r="AO79" s="979"/>
    </row>
    <row r="80" s="261" customFormat="1" ht="15.75" customHeight="1" spans="1:41">
      <c r="A80" s="277">
        <v>45429</v>
      </c>
      <c r="B80" s="958" t="s">
        <v>4785</v>
      </c>
      <c r="C80" s="279" t="s">
        <v>4740</v>
      </c>
      <c r="D80" s="279">
        <v>77515</v>
      </c>
      <c r="E80" s="279">
        <v>50000</v>
      </c>
      <c r="F80" s="958" t="s">
        <v>4741</v>
      </c>
      <c r="G80" s="959" t="s">
        <v>4749</v>
      </c>
      <c r="H80" s="962" t="s">
        <v>4750</v>
      </c>
      <c r="I80" s="959"/>
      <c r="J80" s="966">
        <f>E80</f>
        <v>50000</v>
      </c>
      <c r="K80" s="966"/>
      <c r="L80" s="966"/>
      <c r="M80" s="967"/>
      <c r="N80" s="967"/>
      <c r="O80" s="967"/>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979"/>
    </row>
    <row r="81" s="261" customFormat="1" ht="15.75" customHeight="1" spans="1:41">
      <c r="A81" s="277">
        <v>45429</v>
      </c>
      <c r="B81" s="958">
        <v>1000020379</v>
      </c>
      <c r="C81" s="279" t="s">
        <v>4740</v>
      </c>
      <c r="D81" s="279" t="s">
        <v>4752</v>
      </c>
      <c r="E81" s="279">
        <v>812</v>
      </c>
      <c r="F81" s="958" t="s">
        <v>4745</v>
      </c>
      <c r="G81" s="959" t="s">
        <v>4749</v>
      </c>
      <c r="H81" s="962" t="s">
        <v>4743</v>
      </c>
      <c r="I81" s="959"/>
      <c r="J81" s="967"/>
      <c r="K81" s="967"/>
      <c r="L81" s="967"/>
      <c r="M81" s="967"/>
      <c r="N81" s="967"/>
      <c r="O81" s="967"/>
      <c r="P81" s="279"/>
      <c r="Q81" s="279"/>
      <c r="R81" s="279"/>
      <c r="S81" s="279"/>
      <c r="T81" s="279"/>
      <c r="U81" s="279"/>
      <c r="V81" s="279"/>
      <c r="W81" s="279"/>
      <c r="X81" s="279"/>
      <c r="Y81" s="279"/>
      <c r="Z81" s="309">
        <f>E81</f>
        <v>812</v>
      </c>
      <c r="AA81" s="309"/>
      <c r="AB81" s="309"/>
      <c r="AC81" s="279"/>
      <c r="AE81" s="279"/>
      <c r="AF81" s="279"/>
      <c r="AG81" s="279"/>
      <c r="AH81" s="279"/>
      <c r="AI81" s="279"/>
      <c r="AJ81" s="279"/>
      <c r="AK81" s="279"/>
      <c r="AL81" s="279"/>
      <c r="AM81" s="279"/>
      <c r="AN81" s="279"/>
      <c r="AO81" s="979"/>
    </row>
    <row r="82" s="261" customFormat="1" ht="15.75" customHeight="1" spans="1:41">
      <c r="A82" s="277">
        <v>45429</v>
      </c>
      <c r="B82" s="958" t="s">
        <v>4785</v>
      </c>
      <c r="C82" s="279" t="s">
        <v>4740</v>
      </c>
      <c r="D82" s="279">
        <v>77515</v>
      </c>
      <c r="E82" s="279">
        <v>80000</v>
      </c>
      <c r="F82" s="958" t="s">
        <v>4746</v>
      </c>
      <c r="G82" s="959" t="s">
        <v>4747</v>
      </c>
      <c r="H82" s="962" t="s">
        <v>4743</v>
      </c>
      <c r="I82" s="959"/>
      <c r="J82" s="967"/>
      <c r="K82" s="967"/>
      <c r="L82" s="967"/>
      <c r="M82" s="967"/>
      <c r="N82" s="967"/>
      <c r="O82" s="967"/>
      <c r="P82" s="279">
        <f>E82</f>
        <v>80000</v>
      </c>
      <c r="Q82" s="279"/>
      <c r="R82" s="279"/>
      <c r="S82" s="279"/>
      <c r="T82" s="279"/>
      <c r="U82" s="279"/>
      <c r="V82" s="279"/>
      <c r="W82" s="279"/>
      <c r="X82" s="279"/>
      <c r="Y82" s="279"/>
      <c r="Z82" s="279"/>
      <c r="AA82" s="279"/>
      <c r="AB82" s="279"/>
      <c r="AC82" s="279"/>
      <c r="AD82" s="279"/>
      <c r="AE82" s="279"/>
      <c r="AF82" s="279"/>
      <c r="AG82" s="279"/>
      <c r="AH82" s="279"/>
      <c r="AI82" s="279"/>
      <c r="AJ82" s="279"/>
      <c r="AK82" s="279"/>
      <c r="AL82" s="279"/>
      <c r="AM82" s="279"/>
      <c r="AN82" s="279"/>
      <c r="AO82" s="979"/>
    </row>
    <row r="83" s="261" customFormat="1" ht="15.75" customHeight="1" spans="1:41">
      <c r="A83" s="277">
        <v>45440</v>
      </c>
      <c r="B83" s="958">
        <v>1000020611</v>
      </c>
      <c r="C83" s="279" t="s">
        <v>4778</v>
      </c>
      <c r="D83" s="279" t="s">
        <v>4754</v>
      </c>
      <c r="E83" s="279">
        <v>1824</v>
      </c>
      <c r="F83" s="958" t="s">
        <v>4745</v>
      </c>
      <c r="G83" s="959" t="s">
        <v>4742</v>
      </c>
      <c r="H83" s="962" t="s">
        <v>4743</v>
      </c>
      <c r="I83" s="959"/>
      <c r="J83" s="967"/>
      <c r="K83" s="967"/>
      <c r="L83" s="967"/>
      <c r="M83" s="967"/>
      <c r="N83" s="967"/>
      <c r="O83" s="967"/>
      <c r="P83" s="279"/>
      <c r="Q83" s="279"/>
      <c r="R83" s="279"/>
      <c r="S83" s="279"/>
      <c r="T83" s="279"/>
      <c r="U83" s="279"/>
      <c r="V83" s="279"/>
      <c r="W83" s="279"/>
      <c r="X83" s="279">
        <f>E83</f>
        <v>1824</v>
      </c>
      <c r="Y83" s="279"/>
      <c r="Z83" s="279"/>
      <c r="AA83" s="279"/>
      <c r="AB83" s="279"/>
      <c r="AC83" s="279"/>
      <c r="AD83" s="279"/>
      <c r="AE83" s="279"/>
      <c r="AF83" s="279"/>
      <c r="AG83" s="279"/>
      <c r="AH83" s="279"/>
      <c r="AI83" s="279"/>
      <c r="AJ83" s="279"/>
      <c r="AK83" s="279"/>
      <c r="AL83" s="279"/>
      <c r="AM83" s="279"/>
      <c r="AN83" s="279"/>
      <c r="AO83" s="1689" t="s">
        <v>4786</v>
      </c>
    </row>
    <row r="84" s="261" customFormat="1" ht="15.75" customHeight="1" spans="1:41">
      <c r="A84" s="277">
        <v>45440</v>
      </c>
      <c r="B84" s="958">
        <v>1000020612</v>
      </c>
      <c r="C84" s="279" t="s">
        <v>4778</v>
      </c>
      <c r="D84" s="279" t="s">
        <v>4754</v>
      </c>
      <c r="E84" s="279">
        <v>21888</v>
      </c>
      <c r="F84" s="958" t="s">
        <v>4768</v>
      </c>
      <c r="G84" s="959" t="s">
        <v>4747</v>
      </c>
      <c r="H84" s="962" t="s">
        <v>4743</v>
      </c>
      <c r="I84" s="959"/>
      <c r="J84" s="967"/>
      <c r="K84" s="967"/>
      <c r="L84" s="967"/>
      <c r="M84" s="967"/>
      <c r="N84" s="967"/>
      <c r="O84" s="967"/>
      <c r="P84" s="279"/>
      <c r="Q84" s="279"/>
      <c r="R84" s="279">
        <f>E84</f>
        <v>21888</v>
      </c>
      <c r="S84" s="279"/>
      <c r="T84" s="279"/>
      <c r="U84" s="279"/>
      <c r="V84" s="279"/>
      <c r="W84" s="279"/>
      <c r="X84" s="279"/>
      <c r="Y84" s="279"/>
      <c r="Z84" s="279"/>
      <c r="AA84" s="279"/>
      <c r="AB84" s="279"/>
      <c r="AC84" s="279"/>
      <c r="AD84" s="279"/>
      <c r="AE84" s="279"/>
      <c r="AF84" s="279"/>
      <c r="AG84" s="279"/>
      <c r="AH84" s="279"/>
      <c r="AI84" s="279"/>
      <c r="AJ84" s="279"/>
      <c r="AK84" s="279"/>
      <c r="AL84" s="279"/>
      <c r="AM84" s="279"/>
      <c r="AN84" s="279"/>
      <c r="AO84" s="1689" t="s">
        <v>4786</v>
      </c>
    </row>
    <row r="85" s="261" customFormat="1" ht="15.75" customHeight="1" spans="1:41">
      <c r="A85" s="277">
        <v>45450</v>
      </c>
      <c r="B85" s="958">
        <v>100020916</v>
      </c>
      <c r="C85" s="279" t="s">
        <v>4778</v>
      </c>
      <c r="D85" s="279" t="s">
        <v>4754</v>
      </c>
      <c r="E85" s="279">
        <v>960</v>
      </c>
      <c r="F85" s="958" t="s">
        <v>4745</v>
      </c>
      <c r="G85" s="959" t="s">
        <v>4742</v>
      </c>
      <c r="H85" s="962"/>
      <c r="I85" s="959"/>
      <c r="J85" s="967"/>
      <c r="K85" s="967"/>
      <c r="L85" s="967"/>
      <c r="M85" s="967"/>
      <c r="N85" s="967"/>
      <c r="O85" s="967"/>
      <c r="P85" s="279"/>
      <c r="Q85" s="279"/>
      <c r="R85" s="279"/>
      <c r="S85" s="279"/>
      <c r="T85" s="279"/>
      <c r="U85" s="279"/>
      <c r="V85" s="279"/>
      <c r="W85" s="279"/>
      <c r="X85" s="279">
        <f>E85</f>
        <v>960</v>
      </c>
      <c r="Y85" s="279"/>
      <c r="Z85" s="279"/>
      <c r="AA85" s="279"/>
      <c r="AB85" s="279"/>
      <c r="AC85" s="279"/>
      <c r="AD85" s="279"/>
      <c r="AE85" s="279"/>
      <c r="AF85" s="279"/>
      <c r="AG85" s="279"/>
      <c r="AH85" s="279"/>
      <c r="AI85" s="279"/>
      <c r="AJ85" s="279"/>
      <c r="AK85" s="279"/>
      <c r="AL85" s="279"/>
      <c r="AM85" s="279"/>
      <c r="AN85" s="279"/>
      <c r="AO85" s="1689" t="s">
        <v>4787</v>
      </c>
    </row>
    <row r="86" s="261" customFormat="1" ht="15.75" customHeight="1" spans="1:41">
      <c r="A86" s="277">
        <v>45450</v>
      </c>
      <c r="B86" s="958">
        <v>100020917</v>
      </c>
      <c r="C86" s="279" t="s">
        <v>4778</v>
      </c>
      <c r="D86" s="279" t="s">
        <v>4754</v>
      </c>
      <c r="E86" s="279">
        <v>11520</v>
      </c>
      <c r="F86" s="958" t="s">
        <v>4768</v>
      </c>
      <c r="G86" s="959" t="s">
        <v>4747</v>
      </c>
      <c r="H86" s="962"/>
      <c r="I86" s="959"/>
      <c r="J86" s="967"/>
      <c r="K86" s="967"/>
      <c r="L86" s="967"/>
      <c r="M86" s="967"/>
      <c r="N86" s="967"/>
      <c r="O86" s="967"/>
      <c r="P86" s="279"/>
      <c r="Q86" s="279"/>
      <c r="R86" s="279">
        <f>E86</f>
        <v>11520</v>
      </c>
      <c r="S86" s="279"/>
      <c r="T86" s="279"/>
      <c r="U86" s="279"/>
      <c r="V86" s="279"/>
      <c r="W86" s="279"/>
      <c r="X86" s="279"/>
      <c r="Y86" s="279"/>
      <c r="Z86" s="279"/>
      <c r="AA86" s="279"/>
      <c r="AB86" s="279"/>
      <c r="AC86" s="279"/>
      <c r="AD86" s="279"/>
      <c r="AE86" s="279"/>
      <c r="AF86" s="279"/>
      <c r="AG86" s="279"/>
      <c r="AH86" s="279"/>
      <c r="AI86" s="279"/>
      <c r="AJ86" s="279"/>
      <c r="AK86" s="279"/>
      <c r="AL86" s="279"/>
      <c r="AM86" s="279"/>
      <c r="AN86" s="279"/>
      <c r="AO86" s="1689" t="s">
        <v>4787</v>
      </c>
    </row>
    <row r="87" s="261" customFormat="1" ht="15.75" customHeight="1" spans="1:41">
      <c r="A87" s="277">
        <v>45457</v>
      </c>
      <c r="B87" s="958">
        <v>1000021107</v>
      </c>
      <c r="C87" s="279" t="s">
        <v>4778</v>
      </c>
      <c r="D87" s="279" t="s">
        <v>4754</v>
      </c>
      <c r="E87" s="309">
        <v>50400</v>
      </c>
      <c r="F87" s="958" t="s">
        <v>4768</v>
      </c>
      <c r="G87" s="959" t="s">
        <v>4747</v>
      </c>
      <c r="H87" s="962"/>
      <c r="I87" s="959"/>
      <c r="J87" s="967"/>
      <c r="K87" s="967"/>
      <c r="L87" s="967"/>
      <c r="M87" s="967"/>
      <c r="N87" s="967"/>
      <c r="O87" s="967"/>
      <c r="P87" s="279"/>
      <c r="Q87" s="279"/>
      <c r="R87" s="309">
        <v>50400</v>
      </c>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1689" t="s">
        <v>4788</v>
      </c>
    </row>
    <row r="88" s="261" customFormat="1" ht="15.75" customHeight="1" spans="1:41">
      <c r="A88" s="277">
        <v>45456</v>
      </c>
      <c r="B88" s="958">
        <v>1000021036</v>
      </c>
      <c r="C88" s="279" t="s">
        <v>4740</v>
      </c>
      <c r="D88" s="279" t="s">
        <v>4705</v>
      </c>
      <c r="E88" s="279">
        <v>3000</v>
      </c>
      <c r="F88" s="958" t="s">
        <v>4745</v>
      </c>
      <c r="G88" s="959" t="s">
        <v>4742</v>
      </c>
      <c r="H88" s="962" t="s">
        <v>4743</v>
      </c>
      <c r="I88" s="959"/>
      <c r="J88" s="967"/>
      <c r="K88" s="967"/>
      <c r="L88" s="967"/>
      <c r="M88" s="967"/>
      <c r="N88" s="967"/>
      <c r="O88" s="967"/>
      <c r="P88" s="279"/>
      <c r="Q88" s="279"/>
      <c r="R88" s="279"/>
      <c r="S88" s="279">
        <f>E88</f>
        <v>3000</v>
      </c>
      <c r="T88" s="279"/>
      <c r="U88" s="279"/>
      <c r="V88" s="279"/>
      <c r="W88" s="279"/>
      <c r="X88" s="279"/>
      <c r="Y88" s="279"/>
      <c r="Z88" s="279"/>
      <c r="AA88" s="279"/>
      <c r="AB88" s="279"/>
      <c r="AC88" s="279"/>
      <c r="AD88" s="279"/>
      <c r="AE88" s="279"/>
      <c r="AF88" s="279"/>
      <c r="AG88" s="279"/>
      <c r="AH88" s="279"/>
      <c r="AI88" s="279"/>
      <c r="AJ88" s="279"/>
      <c r="AK88" s="279"/>
      <c r="AL88" s="279"/>
      <c r="AM88" s="279"/>
      <c r="AN88" s="279"/>
      <c r="AO88" s="979"/>
    </row>
    <row r="89" s="261" customFormat="1" ht="15.75" customHeight="1" spans="1:41">
      <c r="A89" s="277">
        <v>45456</v>
      </c>
      <c r="B89" s="958" t="s">
        <v>4785</v>
      </c>
      <c r="C89" s="279" t="s">
        <v>4740</v>
      </c>
      <c r="D89" s="279">
        <v>77515</v>
      </c>
      <c r="E89" s="279">
        <v>40000</v>
      </c>
      <c r="F89" s="958" t="s">
        <v>4741</v>
      </c>
      <c r="G89" s="959" t="s">
        <v>4749</v>
      </c>
      <c r="H89" s="962" t="s">
        <v>4750</v>
      </c>
      <c r="I89" s="959"/>
      <c r="J89" s="966">
        <f>E89</f>
        <v>40000</v>
      </c>
      <c r="K89" s="966"/>
      <c r="L89" s="966"/>
      <c r="M89" s="967"/>
      <c r="N89" s="967"/>
      <c r="O89" s="967"/>
      <c r="P89" s="279"/>
      <c r="Q89" s="279"/>
      <c r="R89" s="279"/>
      <c r="S89" s="279"/>
      <c r="T89" s="279"/>
      <c r="U89" s="279"/>
      <c r="V89" s="279"/>
      <c r="W89" s="279"/>
      <c r="X89" s="279"/>
      <c r="Y89" s="279"/>
      <c r="Z89" s="279"/>
      <c r="AA89" s="279"/>
      <c r="AB89" s="279"/>
      <c r="AC89" s="279"/>
      <c r="AD89" s="279"/>
      <c r="AE89" s="279"/>
      <c r="AF89" s="279"/>
      <c r="AG89" s="279"/>
      <c r="AH89" s="279"/>
      <c r="AI89" s="279"/>
      <c r="AJ89" s="279"/>
      <c r="AK89" s="279"/>
      <c r="AL89" s="279"/>
      <c r="AM89" s="279"/>
      <c r="AN89" s="279"/>
      <c r="AO89" s="979"/>
    </row>
    <row r="90" s="261" customFormat="1" ht="15.75" customHeight="1" spans="1:41">
      <c r="A90" s="277">
        <v>45456</v>
      </c>
      <c r="B90" s="958">
        <v>1000021037</v>
      </c>
      <c r="C90" s="279" t="s">
        <v>4740</v>
      </c>
      <c r="D90" s="279" t="s">
        <v>4752</v>
      </c>
      <c r="E90" s="279">
        <v>1378</v>
      </c>
      <c r="F90" s="958" t="s">
        <v>4745</v>
      </c>
      <c r="G90" s="959" t="s">
        <v>4749</v>
      </c>
      <c r="H90" s="962" t="s">
        <v>4743</v>
      </c>
      <c r="I90" s="959"/>
      <c r="J90" s="967"/>
      <c r="K90" s="967"/>
      <c r="L90" s="967"/>
      <c r="M90" s="967"/>
      <c r="N90" s="967"/>
      <c r="O90" s="967"/>
      <c r="P90" s="279"/>
      <c r="Q90" s="279"/>
      <c r="R90" s="279"/>
      <c r="S90" s="279"/>
      <c r="T90" s="279"/>
      <c r="U90" s="279"/>
      <c r="V90" s="279"/>
      <c r="W90" s="279"/>
      <c r="X90" s="279"/>
      <c r="Y90" s="279"/>
      <c r="Z90" s="279">
        <f>E90</f>
        <v>1378</v>
      </c>
      <c r="AA90" s="279"/>
      <c r="AB90" s="279"/>
      <c r="AC90" s="279"/>
      <c r="AD90" s="279"/>
      <c r="AE90" s="279"/>
      <c r="AF90" s="279"/>
      <c r="AG90" s="279"/>
      <c r="AH90" s="279"/>
      <c r="AI90" s="279"/>
      <c r="AJ90" s="279"/>
      <c r="AK90" s="279"/>
      <c r="AL90" s="279"/>
      <c r="AM90" s="279"/>
      <c r="AN90" s="279"/>
      <c r="AO90" s="979"/>
    </row>
    <row r="91" s="261" customFormat="1" ht="15.75" customHeight="1" spans="1:41">
      <c r="A91" s="277">
        <v>45456</v>
      </c>
      <c r="B91" s="958">
        <v>1000021038</v>
      </c>
      <c r="C91" s="279" t="s">
        <v>4740</v>
      </c>
      <c r="D91" s="279" t="s">
        <v>4757</v>
      </c>
      <c r="E91" s="279">
        <v>200</v>
      </c>
      <c r="F91" s="958" t="s">
        <v>4758</v>
      </c>
      <c r="G91" s="959" t="s">
        <v>4776</v>
      </c>
      <c r="H91" s="962" t="s">
        <v>4743</v>
      </c>
      <c r="I91" s="959"/>
      <c r="J91" s="967"/>
      <c r="K91" s="967"/>
      <c r="L91" s="967"/>
      <c r="M91" s="967"/>
      <c r="N91" s="967"/>
      <c r="O91" s="967"/>
      <c r="P91" s="279"/>
      <c r="Q91" s="279"/>
      <c r="R91" s="279"/>
      <c r="S91" s="279"/>
      <c r="T91" s="279"/>
      <c r="U91" s="279"/>
      <c r="V91" s="279"/>
      <c r="W91" s="279"/>
      <c r="X91" s="279"/>
      <c r="Y91" s="279"/>
      <c r="Z91" s="279"/>
      <c r="AA91" s="279"/>
      <c r="AB91" s="279"/>
      <c r="AC91" s="279"/>
      <c r="AD91" s="279"/>
      <c r="AE91" s="279"/>
      <c r="AF91" s="279"/>
      <c r="AG91" s="279">
        <f>E91</f>
        <v>200</v>
      </c>
      <c r="AH91" s="279"/>
      <c r="AI91" s="279"/>
      <c r="AJ91" s="279"/>
      <c r="AK91" s="279"/>
      <c r="AL91" s="279"/>
      <c r="AM91" s="279"/>
      <c r="AN91" s="279"/>
      <c r="AO91" s="979"/>
    </row>
    <row r="92" s="261" customFormat="1" ht="15.75" customHeight="1" spans="1:41">
      <c r="A92" s="277">
        <v>45456</v>
      </c>
      <c r="B92" s="958" t="s">
        <v>4785</v>
      </c>
      <c r="C92" s="279" t="s">
        <v>4740</v>
      </c>
      <c r="D92" s="279">
        <v>77515</v>
      </c>
      <c r="E92" s="279">
        <v>350000</v>
      </c>
      <c r="F92" s="958" t="s">
        <v>4746</v>
      </c>
      <c r="G92" s="959" t="s">
        <v>4747</v>
      </c>
      <c r="H92" s="962" t="s">
        <v>4743</v>
      </c>
      <c r="I92" s="959"/>
      <c r="J92" s="967"/>
      <c r="K92" s="967"/>
      <c r="L92" s="967"/>
      <c r="M92" s="967"/>
      <c r="N92" s="967"/>
      <c r="O92" s="967"/>
      <c r="P92" s="279">
        <f>E92</f>
        <v>350000</v>
      </c>
      <c r="Q92" s="279"/>
      <c r="R92" s="279"/>
      <c r="S92" s="279"/>
      <c r="T92" s="279"/>
      <c r="U92" s="279"/>
      <c r="V92" s="279"/>
      <c r="W92" s="279"/>
      <c r="X92" s="279"/>
      <c r="Y92" s="279"/>
      <c r="Z92" s="279"/>
      <c r="AA92" s="279"/>
      <c r="AB92" s="279"/>
      <c r="AC92" s="279"/>
      <c r="AD92" s="279"/>
      <c r="AE92" s="279"/>
      <c r="AF92" s="279"/>
      <c r="AG92" s="279"/>
      <c r="AH92" s="279"/>
      <c r="AI92" s="279"/>
      <c r="AJ92" s="279"/>
      <c r="AK92" s="279"/>
      <c r="AL92" s="279"/>
      <c r="AM92" s="279"/>
      <c r="AN92" s="279"/>
      <c r="AO92" s="979"/>
    </row>
    <row r="93" s="261" customFormat="1" ht="15.75" customHeight="1" spans="1:41">
      <c r="A93" s="277">
        <v>45456</v>
      </c>
      <c r="B93" s="958" t="s">
        <v>4785</v>
      </c>
      <c r="C93" s="279" t="s">
        <v>4740</v>
      </c>
      <c r="D93" s="279">
        <v>77515</v>
      </c>
      <c r="E93" s="279">
        <v>300000</v>
      </c>
      <c r="F93" s="958" t="s">
        <v>4741</v>
      </c>
      <c r="G93" s="959" t="s">
        <v>4742</v>
      </c>
      <c r="H93" s="962" t="s">
        <v>4750</v>
      </c>
      <c r="I93" s="959">
        <f>E93</f>
        <v>300000</v>
      </c>
      <c r="J93" s="967"/>
      <c r="K93" s="967"/>
      <c r="L93" s="967"/>
      <c r="M93" s="967"/>
      <c r="N93" s="967"/>
      <c r="O93" s="967"/>
      <c r="P93" s="279"/>
      <c r="Q93" s="279"/>
      <c r="R93" s="279"/>
      <c r="S93" s="279"/>
      <c r="T93" s="279"/>
      <c r="U93" s="279"/>
      <c r="V93" s="279"/>
      <c r="W93" s="279"/>
      <c r="X93" s="279"/>
      <c r="Y93" s="279"/>
      <c r="Z93" s="279"/>
      <c r="AA93" s="279"/>
      <c r="AB93" s="279"/>
      <c r="AC93" s="279"/>
      <c r="AD93" s="279"/>
      <c r="AE93" s="279"/>
      <c r="AF93" s="279"/>
      <c r="AG93" s="279"/>
      <c r="AH93" s="279"/>
      <c r="AI93" s="279"/>
      <c r="AJ93" s="279"/>
      <c r="AK93" s="279"/>
      <c r="AL93" s="279"/>
      <c r="AM93" s="279"/>
      <c r="AN93" s="279"/>
      <c r="AO93" s="979"/>
    </row>
    <row r="94" s="261" customFormat="1" ht="15.75" customHeight="1" spans="1:41">
      <c r="A94" s="277">
        <v>45456</v>
      </c>
      <c r="B94" s="958">
        <v>1000021034</v>
      </c>
      <c r="C94" s="279" t="s">
        <v>4740</v>
      </c>
      <c r="D94" s="279" t="s">
        <v>4752</v>
      </c>
      <c r="E94" s="279">
        <v>1000</v>
      </c>
      <c r="F94" s="958" t="s">
        <v>4745</v>
      </c>
      <c r="G94" s="959" t="s">
        <v>4742</v>
      </c>
      <c r="H94" s="962" t="s">
        <v>4743</v>
      </c>
      <c r="I94" s="959"/>
      <c r="J94" s="967"/>
      <c r="K94" s="967"/>
      <c r="L94" s="967"/>
      <c r="M94" s="967"/>
      <c r="N94" s="967"/>
      <c r="O94" s="967"/>
      <c r="P94" s="279"/>
      <c r="Q94" s="279"/>
      <c r="R94" s="279"/>
      <c r="S94" s="279"/>
      <c r="T94" s="279"/>
      <c r="U94" s="279"/>
      <c r="V94" s="279"/>
      <c r="W94" s="279"/>
      <c r="X94" s="279"/>
      <c r="Y94" s="279">
        <f>E94</f>
        <v>1000</v>
      </c>
      <c r="Z94" s="279"/>
      <c r="AA94" s="279"/>
      <c r="AB94" s="279"/>
      <c r="AC94" s="279"/>
      <c r="AD94" s="279"/>
      <c r="AE94" s="279"/>
      <c r="AF94" s="279"/>
      <c r="AG94" s="279"/>
      <c r="AH94" s="279"/>
      <c r="AI94" s="279"/>
      <c r="AJ94" s="279"/>
      <c r="AK94" s="279"/>
      <c r="AL94" s="279"/>
      <c r="AM94" s="279"/>
      <c r="AN94" s="279"/>
      <c r="AO94" s="979"/>
    </row>
    <row r="95" s="261" customFormat="1" ht="15.75" customHeight="1" spans="1:41">
      <c r="A95" s="277">
        <v>45456</v>
      </c>
      <c r="B95" s="958">
        <v>1000021035</v>
      </c>
      <c r="C95" s="279" t="s">
        <v>4740</v>
      </c>
      <c r="D95" s="279" t="s">
        <v>4753</v>
      </c>
      <c r="E95" s="279">
        <v>2442</v>
      </c>
      <c r="F95" s="958" t="s">
        <v>4745</v>
      </c>
      <c r="G95" s="959" t="s">
        <v>4742</v>
      </c>
      <c r="H95" s="962" t="s">
        <v>4743</v>
      </c>
      <c r="I95" s="959"/>
      <c r="J95" s="967"/>
      <c r="K95" s="967"/>
      <c r="L95" s="967"/>
      <c r="M95" s="967"/>
      <c r="N95" s="967"/>
      <c r="O95" s="967"/>
      <c r="P95" s="279"/>
      <c r="Q95" s="279"/>
      <c r="R95" s="279"/>
      <c r="S95" s="279"/>
      <c r="T95" s="279"/>
      <c r="U95" s="279"/>
      <c r="V95" s="279"/>
      <c r="W95" s="279"/>
      <c r="X95" s="279"/>
      <c r="Y95" s="279"/>
      <c r="Z95" s="279"/>
      <c r="AA95" s="279"/>
      <c r="AB95" s="279"/>
      <c r="AC95" s="279">
        <f>E95</f>
        <v>2442</v>
      </c>
      <c r="AD95" s="279"/>
      <c r="AE95" s="279"/>
      <c r="AF95" s="279"/>
      <c r="AG95" s="279"/>
      <c r="AH95" s="279"/>
      <c r="AI95" s="279"/>
      <c r="AJ95" s="279"/>
      <c r="AK95" s="279"/>
      <c r="AL95" s="279"/>
      <c r="AM95" s="279"/>
      <c r="AN95" s="279"/>
      <c r="AO95" s="979"/>
    </row>
    <row r="96" s="261" customFormat="1" ht="15.75" customHeight="1" spans="1:41">
      <c r="A96" s="277">
        <v>45464</v>
      </c>
      <c r="B96" s="958" t="s">
        <v>4785</v>
      </c>
      <c r="C96" s="279" t="s">
        <v>4740</v>
      </c>
      <c r="D96" s="279">
        <v>77515</v>
      </c>
      <c r="E96" s="279">
        <v>200000</v>
      </c>
      <c r="F96" s="958" t="s">
        <v>4741</v>
      </c>
      <c r="G96" s="959" t="s">
        <v>4749</v>
      </c>
      <c r="H96" s="962" t="s">
        <v>4750</v>
      </c>
      <c r="I96" s="959"/>
      <c r="J96" s="966">
        <f>E96</f>
        <v>200000</v>
      </c>
      <c r="K96" s="966"/>
      <c r="L96" s="966"/>
      <c r="M96" s="967"/>
      <c r="N96" s="967"/>
      <c r="O96" s="967"/>
      <c r="P96" s="279"/>
      <c r="Q96" s="279"/>
      <c r="R96" s="279"/>
      <c r="S96" s="279"/>
      <c r="T96" s="279"/>
      <c r="U96" s="279"/>
      <c r="V96" s="279"/>
      <c r="W96" s="279"/>
      <c r="X96" s="279"/>
      <c r="Y96" s="279"/>
      <c r="Z96" s="279"/>
      <c r="AA96" s="279"/>
      <c r="AB96" s="279"/>
      <c r="AC96" s="279"/>
      <c r="AD96" s="279"/>
      <c r="AE96" s="279"/>
      <c r="AF96" s="279"/>
      <c r="AG96" s="279"/>
      <c r="AH96" s="279"/>
      <c r="AI96" s="279"/>
      <c r="AJ96" s="279"/>
      <c r="AK96" s="279"/>
      <c r="AL96" s="279"/>
      <c r="AM96" s="279"/>
      <c r="AN96" s="279"/>
      <c r="AO96" s="979" t="s">
        <v>4789</v>
      </c>
    </row>
    <row r="97" s="261" customFormat="1" ht="15.75" customHeight="1" spans="1:41">
      <c r="A97" s="277">
        <v>45464</v>
      </c>
      <c r="B97" s="958">
        <v>1000021230</v>
      </c>
      <c r="C97" s="279" t="s">
        <v>4740</v>
      </c>
      <c r="D97" s="279" t="s">
        <v>4754</v>
      </c>
      <c r="E97" s="279">
        <v>524</v>
      </c>
      <c r="F97" s="958" t="s">
        <v>4745</v>
      </c>
      <c r="G97" s="959" t="s">
        <v>4742</v>
      </c>
      <c r="H97" s="962" t="s">
        <v>4743</v>
      </c>
      <c r="I97" s="959"/>
      <c r="J97" s="967"/>
      <c r="K97" s="967"/>
      <c r="L97" s="967"/>
      <c r="M97" s="967"/>
      <c r="N97" s="967"/>
      <c r="O97" s="967"/>
      <c r="P97" s="279"/>
      <c r="Q97" s="279"/>
      <c r="R97" s="279"/>
      <c r="S97" s="279"/>
      <c r="T97" s="279"/>
      <c r="U97" s="279"/>
      <c r="V97" s="279">
        <f>E97</f>
        <v>524</v>
      </c>
      <c r="W97" s="279"/>
      <c r="X97" s="279"/>
      <c r="Y97" s="279"/>
      <c r="Z97" s="279"/>
      <c r="AA97" s="279"/>
      <c r="AB97" s="279"/>
      <c r="AC97" s="279"/>
      <c r="AD97" s="279"/>
      <c r="AE97" s="279"/>
      <c r="AF97" s="279"/>
      <c r="AG97" s="279"/>
      <c r="AH97" s="279"/>
      <c r="AI97" s="279"/>
      <c r="AJ97" s="279"/>
      <c r="AK97" s="279"/>
      <c r="AL97" s="279"/>
      <c r="AM97" s="279"/>
      <c r="AN97" s="279"/>
      <c r="AO97" s="979"/>
    </row>
    <row r="98" s="261" customFormat="1" ht="15.75" customHeight="1" spans="1:41">
      <c r="A98" s="277">
        <v>45464</v>
      </c>
      <c r="B98" s="958">
        <v>1000021231</v>
      </c>
      <c r="C98" s="279" t="s">
        <v>4740</v>
      </c>
      <c r="D98" s="279" t="s">
        <v>4755</v>
      </c>
      <c r="E98" s="279">
        <v>1771</v>
      </c>
      <c r="F98" s="958" t="s">
        <v>4756</v>
      </c>
      <c r="G98" s="959" t="s">
        <v>4742</v>
      </c>
      <c r="H98" s="962" t="s">
        <v>4743</v>
      </c>
      <c r="I98" s="959"/>
      <c r="J98" s="967"/>
      <c r="K98" s="967"/>
      <c r="L98" s="967"/>
      <c r="M98" s="967"/>
      <c r="N98" s="967"/>
      <c r="O98" s="967"/>
      <c r="P98" s="279"/>
      <c r="Q98" s="279"/>
      <c r="R98" s="279"/>
      <c r="S98" s="279"/>
      <c r="T98" s="279"/>
      <c r="U98" s="279"/>
      <c r="V98" s="279"/>
      <c r="W98" s="279"/>
      <c r="X98" s="279"/>
      <c r="Y98" s="279"/>
      <c r="Z98" s="279"/>
      <c r="AA98" s="279"/>
      <c r="AB98" s="279"/>
      <c r="AC98" s="279"/>
      <c r="AD98" s="279"/>
      <c r="AE98" s="279"/>
      <c r="AF98" s="279"/>
      <c r="AG98" s="279"/>
      <c r="AH98" s="279">
        <f>E98</f>
        <v>1771</v>
      </c>
      <c r="AI98" s="279"/>
      <c r="AJ98" s="279"/>
      <c r="AK98" s="279"/>
      <c r="AL98" s="279"/>
      <c r="AM98" s="279"/>
      <c r="AN98" s="279"/>
      <c r="AO98" s="979"/>
    </row>
    <row r="99" s="261" customFormat="1" ht="15.75" customHeight="1" spans="1:41">
      <c r="A99" s="277">
        <v>45464</v>
      </c>
      <c r="B99" s="958">
        <v>1000021232</v>
      </c>
      <c r="C99" s="279" t="s">
        <v>4740</v>
      </c>
      <c r="D99" s="279" t="s">
        <v>4705</v>
      </c>
      <c r="E99" s="279">
        <v>500</v>
      </c>
      <c r="F99" s="958" t="s">
        <v>4745</v>
      </c>
      <c r="G99" s="959" t="s">
        <v>4749</v>
      </c>
      <c r="H99" s="962" t="s">
        <v>4743</v>
      </c>
      <c r="I99" s="959"/>
      <c r="J99" s="967"/>
      <c r="K99" s="967"/>
      <c r="L99" s="967"/>
      <c r="M99" s="967"/>
      <c r="N99" s="967"/>
      <c r="O99" s="967"/>
      <c r="P99" s="279"/>
      <c r="Q99" s="279"/>
      <c r="R99" s="279"/>
      <c r="S99" s="279"/>
      <c r="T99" s="279">
        <f>E99</f>
        <v>500</v>
      </c>
      <c r="U99" s="279"/>
      <c r="V99" s="279"/>
      <c r="W99" s="279"/>
      <c r="X99" s="279"/>
      <c r="Y99" s="279"/>
      <c r="Z99" s="279"/>
      <c r="AA99" s="279"/>
      <c r="AB99" s="279"/>
      <c r="AC99" s="279"/>
      <c r="AD99" s="279"/>
      <c r="AE99" s="279"/>
      <c r="AF99" s="279"/>
      <c r="AG99" s="279"/>
      <c r="AH99" s="279"/>
      <c r="AI99" s="279"/>
      <c r="AJ99" s="279"/>
      <c r="AK99" s="279"/>
      <c r="AL99" s="279"/>
      <c r="AM99" s="279"/>
      <c r="AN99" s="279"/>
      <c r="AO99" s="979"/>
    </row>
    <row r="100" s="261" customFormat="1" ht="15.75" customHeight="1" spans="1:41">
      <c r="A100" s="277">
        <v>45464</v>
      </c>
      <c r="B100" s="958" t="s">
        <v>4785</v>
      </c>
      <c r="C100" s="279" t="s">
        <v>4740</v>
      </c>
      <c r="D100" s="279">
        <v>77515</v>
      </c>
      <c r="E100" s="279">
        <v>100000</v>
      </c>
      <c r="F100" s="958" t="s">
        <v>4746</v>
      </c>
      <c r="G100" s="959" t="s">
        <v>4747</v>
      </c>
      <c r="H100" s="962" t="s">
        <v>4743</v>
      </c>
      <c r="I100" s="959"/>
      <c r="J100" s="967"/>
      <c r="K100" s="967"/>
      <c r="L100" s="967"/>
      <c r="M100" s="967"/>
      <c r="N100" s="967"/>
      <c r="O100" s="967"/>
      <c r="P100" s="279">
        <f>E100</f>
        <v>100000</v>
      </c>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979" t="s">
        <v>4789</v>
      </c>
    </row>
    <row r="101" s="261" customFormat="1" ht="15.75" customHeight="1" spans="1:42">
      <c r="A101" s="277">
        <v>45467</v>
      </c>
      <c r="B101" s="958">
        <v>1000021264</v>
      </c>
      <c r="C101" s="279" t="s">
        <v>4782</v>
      </c>
      <c r="D101" s="279">
        <v>77516</v>
      </c>
      <c r="E101" s="279">
        <v>15000</v>
      </c>
      <c r="F101" s="958" t="s">
        <v>4781</v>
      </c>
      <c r="G101" s="959" t="s">
        <v>4749</v>
      </c>
      <c r="H101" s="962"/>
      <c r="I101" s="959"/>
      <c r="J101" s="967"/>
      <c r="K101" s="967"/>
      <c r="L101" s="967"/>
      <c r="M101" s="967"/>
      <c r="N101" s="967"/>
      <c r="O101" s="967"/>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f>E101</f>
        <v>15000</v>
      </c>
      <c r="AO101" s="1689" t="s">
        <v>4790</v>
      </c>
      <c r="AP101" s="957" t="s">
        <v>4335</v>
      </c>
    </row>
    <row r="102" s="261" customFormat="1" ht="15.75" customHeight="1" spans="1:42">
      <c r="A102" s="277">
        <v>45467</v>
      </c>
      <c r="B102" s="958">
        <v>1000021265</v>
      </c>
      <c r="C102" s="279" t="s">
        <v>4782</v>
      </c>
      <c r="D102" s="279">
        <v>77516</v>
      </c>
      <c r="E102" s="279">
        <v>15000</v>
      </c>
      <c r="F102" s="958" t="s">
        <v>4760</v>
      </c>
      <c r="G102" s="959" t="s">
        <v>4771</v>
      </c>
      <c r="H102" s="962"/>
      <c r="I102" s="959"/>
      <c r="J102" s="967"/>
      <c r="K102" s="967"/>
      <c r="L102" s="967"/>
      <c r="M102" s="967"/>
      <c r="N102" s="967"/>
      <c r="O102" s="967"/>
      <c r="P102" s="279"/>
      <c r="Q102" s="279"/>
      <c r="R102" s="279"/>
      <c r="S102" s="279"/>
      <c r="T102" s="279"/>
      <c r="U102" s="279"/>
      <c r="V102" s="279"/>
      <c r="W102" s="279"/>
      <c r="X102" s="279"/>
      <c r="Y102" s="279"/>
      <c r="Z102" s="279"/>
      <c r="AA102" s="279"/>
      <c r="AB102" s="279"/>
      <c r="AC102" s="279"/>
      <c r="AD102" s="279"/>
      <c r="AE102" s="279"/>
      <c r="AF102" s="279"/>
      <c r="AG102" s="279"/>
      <c r="AH102" s="279"/>
      <c r="AI102" s="279"/>
      <c r="AJ102" s="279"/>
      <c r="AK102" s="279">
        <f>E102</f>
        <v>15000</v>
      </c>
      <c r="AL102" s="279"/>
      <c r="AM102" s="279"/>
      <c r="AN102" s="279"/>
      <c r="AO102" s="1689" t="s">
        <v>4790</v>
      </c>
      <c r="AP102" s="957" t="s">
        <v>4335</v>
      </c>
    </row>
    <row r="103" s="261" customFormat="1" ht="15.75" customHeight="1" spans="1:42">
      <c r="A103" s="277">
        <v>45467</v>
      </c>
      <c r="B103" s="958">
        <v>1000021266</v>
      </c>
      <c r="C103" s="279" t="s">
        <v>4782</v>
      </c>
      <c r="D103" s="279">
        <v>77516</v>
      </c>
      <c r="E103" s="279">
        <v>15000</v>
      </c>
      <c r="F103" s="958" t="s">
        <v>4773</v>
      </c>
      <c r="G103" s="959" t="s">
        <v>4771</v>
      </c>
      <c r="H103" s="962"/>
      <c r="I103" s="959"/>
      <c r="J103" s="967"/>
      <c r="K103" s="967"/>
      <c r="L103" s="967"/>
      <c r="M103" s="967"/>
      <c r="N103" s="967"/>
      <c r="O103" s="967"/>
      <c r="P103" s="279"/>
      <c r="Q103" s="279"/>
      <c r="R103" s="279"/>
      <c r="S103" s="279"/>
      <c r="T103" s="279"/>
      <c r="U103" s="279"/>
      <c r="V103" s="279"/>
      <c r="W103" s="279"/>
      <c r="X103" s="279"/>
      <c r="Y103" s="279"/>
      <c r="Z103" s="279"/>
      <c r="AA103" s="279"/>
      <c r="AB103" s="279"/>
      <c r="AC103" s="279"/>
      <c r="AD103" s="279"/>
      <c r="AE103" s="279"/>
      <c r="AF103" s="279"/>
      <c r="AG103" s="279"/>
      <c r="AH103" s="279"/>
      <c r="AI103" s="279"/>
      <c r="AJ103" s="279"/>
      <c r="AK103" s="279"/>
      <c r="AL103" s="279">
        <f>E103</f>
        <v>15000</v>
      </c>
      <c r="AM103" s="279"/>
      <c r="AN103" s="279"/>
      <c r="AO103" s="1689" t="s">
        <v>4790</v>
      </c>
      <c r="AP103" s="957" t="s">
        <v>4335</v>
      </c>
    </row>
    <row r="104" s="261" customFormat="1" ht="15.75" customHeight="1" spans="1:41">
      <c r="A104" s="277">
        <v>45467</v>
      </c>
      <c r="B104" s="958">
        <v>1000021267</v>
      </c>
      <c r="C104" s="279" t="s">
        <v>4782</v>
      </c>
      <c r="D104" s="279">
        <v>77516</v>
      </c>
      <c r="E104" s="279">
        <v>30000</v>
      </c>
      <c r="F104" s="958" t="s">
        <v>4774</v>
      </c>
      <c r="G104" s="959" t="s">
        <v>4749</v>
      </c>
      <c r="H104" s="962"/>
      <c r="I104" s="959"/>
      <c r="J104" s="967"/>
      <c r="K104" s="967"/>
      <c r="L104" s="967"/>
      <c r="M104" s="967">
        <f>E104</f>
        <v>30000</v>
      </c>
      <c r="N104" s="967"/>
      <c r="O104" s="967"/>
      <c r="P104" s="279"/>
      <c r="Q104" s="279"/>
      <c r="R104" s="279"/>
      <c r="S104" s="279"/>
      <c r="T104" s="279"/>
      <c r="U104" s="279"/>
      <c r="V104" s="279"/>
      <c r="W104" s="279"/>
      <c r="X104" s="279"/>
      <c r="Y104" s="279"/>
      <c r="Z104" s="279"/>
      <c r="AA104" s="279"/>
      <c r="AB104" s="279"/>
      <c r="AC104" s="279"/>
      <c r="AD104" s="279"/>
      <c r="AE104" s="279"/>
      <c r="AF104" s="279"/>
      <c r="AG104" s="279"/>
      <c r="AH104" s="279"/>
      <c r="AI104" s="279"/>
      <c r="AJ104" s="279"/>
      <c r="AK104" s="279"/>
      <c r="AL104" s="279"/>
      <c r="AM104" s="279"/>
      <c r="AN104" s="279"/>
      <c r="AO104" s="1689" t="s">
        <v>4790</v>
      </c>
    </row>
    <row r="105" s="261" customFormat="1" ht="15.75" customHeight="1" spans="1:41">
      <c r="A105" s="277">
        <v>45468</v>
      </c>
      <c r="B105" s="958">
        <v>1000021305</v>
      </c>
      <c r="C105" s="279" t="s">
        <v>4778</v>
      </c>
      <c r="D105" s="279" t="s">
        <v>4754</v>
      </c>
      <c r="E105" s="279">
        <v>2112</v>
      </c>
      <c r="F105" s="958" t="s">
        <v>4745</v>
      </c>
      <c r="G105" s="959" t="s">
        <v>4742</v>
      </c>
      <c r="H105" s="962"/>
      <c r="I105" s="959"/>
      <c r="J105" s="967"/>
      <c r="K105" s="967"/>
      <c r="L105" s="967"/>
      <c r="M105" s="967"/>
      <c r="N105" s="967"/>
      <c r="O105" s="967"/>
      <c r="P105" s="279"/>
      <c r="Q105" s="279"/>
      <c r="R105" s="279">
        <f>25344+2520</f>
        <v>27864</v>
      </c>
      <c r="S105" s="279"/>
      <c r="T105" s="279"/>
      <c r="U105" s="279"/>
      <c r="V105" s="279"/>
      <c r="W105" s="279"/>
      <c r="X105" s="279">
        <f>E105</f>
        <v>2112</v>
      </c>
      <c r="Y105" s="279"/>
      <c r="Z105" s="279"/>
      <c r="AA105" s="279"/>
      <c r="AB105" s="279"/>
      <c r="AC105" s="279"/>
      <c r="AD105" s="279"/>
      <c r="AE105" s="279"/>
      <c r="AF105" s="279"/>
      <c r="AG105" s="279"/>
      <c r="AH105" s="279"/>
      <c r="AI105" s="279"/>
      <c r="AJ105" s="279"/>
      <c r="AK105" s="279"/>
      <c r="AL105" s="279"/>
      <c r="AM105" s="279"/>
      <c r="AN105" s="279"/>
      <c r="AO105" s="1689" t="s">
        <v>4791</v>
      </c>
    </row>
    <row r="106" s="261" customFormat="1" ht="15.75" customHeight="1" spans="1:42">
      <c r="A106" s="277">
        <v>45470</v>
      </c>
      <c r="B106" s="958">
        <v>1000021375</v>
      </c>
      <c r="C106" s="279" t="s">
        <v>4782</v>
      </c>
      <c r="D106" s="279">
        <v>77516</v>
      </c>
      <c r="E106" s="279">
        <v>3996</v>
      </c>
      <c r="F106" s="958" t="s">
        <v>4760</v>
      </c>
      <c r="G106" s="959" t="s">
        <v>4771</v>
      </c>
      <c r="H106" s="962"/>
      <c r="I106" s="959"/>
      <c r="J106" s="967"/>
      <c r="K106" s="967"/>
      <c r="L106" s="967"/>
      <c r="M106" s="967"/>
      <c r="N106" s="967"/>
      <c r="O106" s="967"/>
      <c r="P106" s="279"/>
      <c r="Q106" s="279"/>
      <c r="R106" s="279"/>
      <c r="S106" s="279"/>
      <c r="T106" s="279"/>
      <c r="U106" s="279"/>
      <c r="V106" s="279"/>
      <c r="W106" s="279"/>
      <c r="X106" s="279"/>
      <c r="Y106" s="279"/>
      <c r="Z106" s="279"/>
      <c r="AA106" s="279"/>
      <c r="AB106" s="279"/>
      <c r="AC106" s="279"/>
      <c r="AD106" s="279"/>
      <c r="AE106" s="279"/>
      <c r="AF106" s="279"/>
      <c r="AG106" s="279"/>
      <c r="AH106" s="279"/>
      <c r="AI106" s="279"/>
      <c r="AJ106" s="279"/>
      <c r="AK106" s="279">
        <f>E106</f>
        <v>3996</v>
      </c>
      <c r="AL106" s="279"/>
      <c r="AM106" s="279"/>
      <c r="AN106" s="279"/>
      <c r="AO106" s="1689" t="s">
        <v>4792</v>
      </c>
      <c r="AP106" s="957" t="s">
        <v>4335</v>
      </c>
    </row>
    <row r="107" s="261" customFormat="1" ht="15.75" customHeight="1" spans="1:42">
      <c r="A107" s="277">
        <v>45470</v>
      </c>
      <c r="B107" s="958">
        <v>1000021376</v>
      </c>
      <c r="C107" s="279" t="s">
        <v>4782</v>
      </c>
      <c r="D107" s="279">
        <v>77516</v>
      </c>
      <c r="E107" s="279">
        <v>3996</v>
      </c>
      <c r="F107" s="958" t="s">
        <v>4773</v>
      </c>
      <c r="G107" s="959" t="s">
        <v>4771</v>
      </c>
      <c r="H107" s="962"/>
      <c r="I107" s="959"/>
      <c r="J107" s="967"/>
      <c r="K107" s="967"/>
      <c r="L107" s="967"/>
      <c r="M107" s="967"/>
      <c r="N107" s="967"/>
      <c r="O107" s="967"/>
      <c r="P107" s="279"/>
      <c r="Q107" s="279"/>
      <c r="R107" s="279"/>
      <c r="S107" s="279"/>
      <c r="T107" s="279"/>
      <c r="U107" s="279"/>
      <c r="V107" s="279"/>
      <c r="W107" s="279"/>
      <c r="X107" s="279"/>
      <c r="Y107" s="279"/>
      <c r="Z107" s="279"/>
      <c r="AA107" s="279"/>
      <c r="AB107" s="279"/>
      <c r="AC107" s="279"/>
      <c r="AD107" s="279"/>
      <c r="AE107" s="279"/>
      <c r="AF107" s="279"/>
      <c r="AG107" s="279"/>
      <c r="AH107" s="279"/>
      <c r="AI107" s="279"/>
      <c r="AJ107" s="279"/>
      <c r="AK107" s="279"/>
      <c r="AL107" s="279">
        <f>E107</f>
        <v>3996</v>
      </c>
      <c r="AM107" s="279"/>
      <c r="AN107" s="279"/>
      <c r="AO107" s="1689" t="s">
        <v>4792</v>
      </c>
      <c r="AP107" s="957" t="s">
        <v>4335</v>
      </c>
    </row>
    <row r="108" s="261" customFormat="1" ht="15.75" customHeight="1" spans="1:42">
      <c r="A108" s="277">
        <v>45470</v>
      </c>
      <c r="B108" s="958">
        <v>1000021377</v>
      </c>
      <c r="C108" s="279" t="s">
        <v>4782</v>
      </c>
      <c r="D108" s="279">
        <v>77516</v>
      </c>
      <c r="E108" s="279">
        <v>3996</v>
      </c>
      <c r="F108" s="958" t="s">
        <v>4781</v>
      </c>
      <c r="G108" s="959" t="s">
        <v>4749</v>
      </c>
      <c r="H108" s="962"/>
      <c r="I108" s="959"/>
      <c r="J108" s="967"/>
      <c r="K108" s="967"/>
      <c r="L108" s="967"/>
      <c r="M108" s="967"/>
      <c r="N108" s="967"/>
      <c r="O108" s="967"/>
      <c r="P108" s="279"/>
      <c r="Q108" s="279"/>
      <c r="R108" s="279"/>
      <c r="S108" s="279"/>
      <c r="T108" s="279"/>
      <c r="U108" s="279"/>
      <c r="V108" s="279"/>
      <c r="W108" s="279"/>
      <c r="X108" s="279"/>
      <c r="Y108" s="279"/>
      <c r="Z108" s="279"/>
      <c r="AA108" s="279"/>
      <c r="AB108" s="279"/>
      <c r="AC108" s="279"/>
      <c r="AD108" s="279"/>
      <c r="AE108" s="279"/>
      <c r="AF108" s="279"/>
      <c r="AG108" s="279"/>
      <c r="AH108" s="279"/>
      <c r="AI108" s="279"/>
      <c r="AJ108" s="279"/>
      <c r="AK108" s="279"/>
      <c r="AL108" s="279"/>
      <c r="AM108" s="279"/>
      <c r="AN108" s="279">
        <f>E108</f>
        <v>3996</v>
      </c>
      <c r="AO108" s="1689" t="s">
        <v>4792</v>
      </c>
      <c r="AP108" s="957" t="s">
        <v>4335</v>
      </c>
    </row>
    <row r="109" s="261" customFormat="1" ht="15.75" customHeight="1" spans="1:41">
      <c r="A109" s="277">
        <v>45474</v>
      </c>
      <c r="B109" s="958">
        <v>1000021468</v>
      </c>
      <c r="C109" s="279" t="s">
        <v>4740</v>
      </c>
      <c r="D109" s="279" t="s">
        <v>4705</v>
      </c>
      <c r="E109" s="279">
        <v>1500</v>
      </c>
      <c r="F109" s="958" t="s">
        <v>4745</v>
      </c>
      <c r="G109" s="959" t="s">
        <v>4742</v>
      </c>
      <c r="H109" s="962" t="s">
        <v>4743</v>
      </c>
      <c r="I109" s="959"/>
      <c r="J109" s="967"/>
      <c r="K109" s="967"/>
      <c r="L109" s="967"/>
      <c r="M109" s="967"/>
      <c r="N109" s="967"/>
      <c r="O109" s="967"/>
      <c r="P109" s="279"/>
      <c r="Q109" s="279"/>
      <c r="R109" s="279"/>
      <c r="S109" s="279">
        <f>E109</f>
        <v>1500</v>
      </c>
      <c r="T109" s="279"/>
      <c r="U109" s="279"/>
      <c r="V109" s="279"/>
      <c r="W109" s="279"/>
      <c r="X109" s="279"/>
      <c r="Y109" s="279"/>
      <c r="Z109" s="279"/>
      <c r="AA109" s="279"/>
      <c r="AB109" s="279"/>
      <c r="AC109" s="279"/>
      <c r="AD109" s="279"/>
      <c r="AE109" s="279"/>
      <c r="AF109" s="279"/>
      <c r="AG109" s="279"/>
      <c r="AH109" s="279"/>
      <c r="AI109" s="279"/>
      <c r="AJ109" s="279"/>
      <c r="AK109" s="279"/>
      <c r="AL109" s="279"/>
      <c r="AM109" s="279"/>
      <c r="AN109" s="279"/>
      <c r="AO109" s="979"/>
    </row>
    <row r="110" s="261" customFormat="1" ht="15.75" customHeight="1" spans="1:41">
      <c r="A110" s="277">
        <v>45474</v>
      </c>
      <c r="B110" s="958" t="s">
        <v>4785</v>
      </c>
      <c r="C110" s="279" t="s">
        <v>4740</v>
      </c>
      <c r="D110" s="279">
        <v>77515</v>
      </c>
      <c r="E110" s="279">
        <v>30000</v>
      </c>
      <c r="F110" s="958" t="s">
        <v>4741</v>
      </c>
      <c r="G110" s="959" t="s">
        <v>4749</v>
      </c>
      <c r="H110" s="962" t="s">
        <v>4750</v>
      </c>
      <c r="I110" s="959"/>
      <c r="J110" s="966">
        <f>E110</f>
        <v>30000</v>
      </c>
      <c r="K110" s="966"/>
      <c r="L110" s="966"/>
      <c r="M110" s="967"/>
      <c r="N110" s="967"/>
      <c r="O110" s="967"/>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979" t="s">
        <v>4789</v>
      </c>
    </row>
    <row r="111" s="261" customFormat="1" ht="15.75" customHeight="1" spans="1:41">
      <c r="A111" s="277">
        <v>45474</v>
      </c>
      <c r="B111" s="958">
        <v>1000021469</v>
      </c>
      <c r="C111" s="279" t="s">
        <v>4740</v>
      </c>
      <c r="D111" s="279" t="s">
        <v>4752</v>
      </c>
      <c r="E111" s="279">
        <v>760</v>
      </c>
      <c r="F111" s="958" t="s">
        <v>4745</v>
      </c>
      <c r="G111" s="959" t="s">
        <v>4749</v>
      </c>
      <c r="H111" s="962" t="s">
        <v>4743</v>
      </c>
      <c r="I111" s="959"/>
      <c r="J111" s="967"/>
      <c r="K111" s="967"/>
      <c r="L111" s="967"/>
      <c r="M111" s="967"/>
      <c r="N111" s="967"/>
      <c r="O111" s="967"/>
      <c r="P111" s="279"/>
      <c r="Q111" s="279"/>
      <c r="R111" s="279"/>
      <c r="S111" s="279"/>
      <c r="T111" s="279"/>
      <c r="U111" s="279"/>
      <c r="V111" s="279"/>
      <c r="W111" s="279"/>
      <c r="X111" s="279"/>
      <c r="Y111" s="279"/>
      <c r="Z111" s="279">
        <f>E111</f>
        <v>760</v>
      </c>
      <c r="AA111" s="279"/>
      <c r="AB111" s="279"/>
      <c r="AC111" s="279"/>
      <c r="AD111" s="279"/>
      <c r="AE111" s="279"/>
      <c r="AF111" s="279"/>
      <c r="AG111" s="279"/>
      <c r="AH111" s="279"/>
      <c r="AI111" s="279"/>
      <c r="AJ111" s="279"/>
      <c r="AK111" s="279"/>
      <c r="AL111" s="279"/>
      <c r="AM111" s="279"/>
      <c r="AN111" s="279"/>
      <c r="AO111" s="979"/>
    </row>
    <row r="112" s="261" customFormat="1" ht="15.75" customHeight="1" spans="1:41">
      <c r="A112" s="277">
        <v>45474</v>
      </c>
      <c r="B112" s="958">
        <v>1000021470</v>
      </c>
      <c r="C112" s="279" t="s">
        <v>4740</v>
      </c>
      <c r="D112" s="279" t="s">
        <v>4753</v>
      </c>
      <c r="E112" s="279">
        <v>710</v>
      </c>
      <c r="F112" s="958" t="s">
        <v>4745</v>
      </c>
      <c r="G112" s="959" t="s">
        <v>4749</v>
      </c>
      <c r="H112" s="962" t="s">
        <v>4743</v>
      </c>
      <c r="I112" s="959"/>
      <c r="J112" s="967"/>
      <c r="K112" s="967"/>
      <c r="L112" s="967"/>
      <c r="M112" s="967"/>
      <c r="N112" s="967"/>
      <c r="O112" s="967"/>
      <c r="P112" s="279"/>
      <c r="Q112" s="279"/>
      <c r="R112" s="279"/>
      <c r="S112" s="279"/>
      <c r="T112" s="279"/>
      <c r="U112" s="279"/>
      <c r="V112" s="279"/>
      <c r="W112" s="279"/>
      <c r="X112" s="279"/>
      <c r="Y112" s="279"/>
      <c r="Z112" s="279"/>
      <c r="AA112" s="279"/>
      <c r="AB112" s="279"/>
      <c r="AC112" s="279"/>
      <c r="AD112" s="279">
        <f>E112</f>
        <v>710</v>
      </c>
      <c r="AE112" s="279"/>
      <c r="AF112" s="279"/>
      <c r="AG112" s="279"/>
      <c r="AH112" s="279"/>
      <c r="AI112" s="279"/>
      <c r="AJ112" s="279"/>
      <c r="AK112" s="279"/>
      <c r="AL112" s="279"/>
      <c r="AM112" s="279"/>
      <c r="AN112" s="279"/>
      <c r="AO112" s="979"/>
    </row>
    <row r="113" s="261" customFormat="1" ht="15.75" customHeight="1" spans="1:41">
      <c r="A113" s="277">
        <v>45474</v>
      </c>
      <c r="B113" s="958">
        <v>1000021471</v>
      </c>
      <c r="C113" s="279" t="s">
        <v>4740</v>
      </c>
      <c r="D113" s="279" t="s">
        <v>4754</v>
      </c>
      <c r="E113" s="279">
        <v>500</v>
      </c>
      <c r="F113" s="958" t="s">
        <v>4745</v>
      </c>
      <c r="G113" s="959" t="s">
        <v>4749</v>
      </c>
      <c r="H113" s="962" t="s">
        <v>4743</v>
      </c>
      <c r="I113" s="959"/>
      <c r="J113" s="967"/>
      <c r="K113" s="967"/>
      <c r="L113" s="967"/>
      <c r="M113" s="967"/>
      <c r="N113" s="967"/>
      <c r="O113" s="967"/>
      <c r="P113" s="279"/>
      <c r="Q113" s="279"/>
      <c r="R113" s="279"/>
      <c r="S113" s="279"/>
      <c r="T113" s="279"/>
      <c r="U113" s="279"/>
      <c r="V113" s="279"/>
      <c r="W113" s="279">
        <f>E113</f>
        <v>500</v>
      </c>
      <c r="X113" s="279"/>
      <c r="Y113" s="279"/>
      <c r="Z113" s="279"/>
      <c r="AA113" s="279"/>
      <c r="AB113" s="279"/>
      <c r="AC113" s="279"/>
      <c r="AD113" s="279"/>
      <c r="AE113" s="279"/>
      <c r="AF113" s="279"/>
      <c r="AG113" s="279"/>
      <c r="AH113" s="279"/>
      <c r="AI113" s="279"/>
      <c r="AJ113" s="279"/>
      <c r="AK113" s="279"/>
      <c r="AL113" s="279"/>
      <c r="AM113" s="279"/>
      <c r="AN113" s="279"/>
      <c r="AO113" s="979"/>
    </row>
    <row r="114" s="261" customFormat="1" ht="15.75" customHeight="1" spans="1:42">
      <c r="A114" s="277">
        <v>45484</v>
      </c>
      <c r="B114" s="958" t="s">
        <v>4769</v>
      </c>
      <c r="C114" s="279" t="s">
        <v>4782</v>
      </c>
      <c r="D114" s="279">
        <v>77516</v>
      </c>
      <c r="E114" s="279">
        <v>13440</v>
      </c>
      <c r="F114" s="958" t="s">
        <v>4760</v>
      </c>
      <c r="G114" s="959"/>
      <c r="H114" s="962"/>
      <c r="I114" s="959"/>
      <c r="J114" s="967"/>
      <c r="K114" s="967"/>
      <c r="L114" s="967"/>
      <c r="M114" s="967"/>
      <c r="N114" s="967"/>
      <c r="O114" s="967"/>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1689" t="s">
        <v>4793</v>
      </c>
      <c r="AP114" s="957" t="s">
        <v>4335</v>
      </c>
    </row>
    <row r="115" s="261" customFormat="1" ht="15.75" customHeight="1" spans="1:42">
      <c r="A115" s="277">
        <v>45484</v>
      </c>
      <c r="B115" s="958" t="s">
        <v>4769</v>
      </c>
      <c r="C115" s="279" t="s">
        <v>4782</v>
      </c>
      <c r="D115" s="279">
        <v>77516</v>
      </c>
      <c r="E115" s="279">
        <v>13440</v>
      </c>
      <c r="F115" s="958" t="s">
        <v>4781</v>
      </c>
      <c r="G115" s="959" t="s">
        <v>4749</v>
      </c>
      <c r="H115" s="962"/>
      <c r="I115" s="959"/>
      <c r="J115" s="967"/>
      <c r="K115" s="967"/>
      <c r="L115" s="967"/>
      <c r="M115" s="967"/>
      <c r="N115" s="967"/>
      <c r="O115" s="967"/>
      <c r="P115" s="279"/>
      <c r="Q115" s="279"/>
      <c r="R115" s="279"/>
      <c r="S115" s="279"/>
      <c r="T115" s="279"/>
      <c r="U115" s="279"/>
      <c r="V115" s="279"/>
      <c r="W115" s="279"/>
      <c r="X115" s="279"/>
      <c r="Y115" s="279"/>
      <c r="Z115" s="279"/>
      <c r="AA115" s="279"/>
      <c r="AB115" s="279"/>
      <c r="AC115" s="279"/>
      <c r="AD115" s="279"/>
      <c r="AE115" s="279"/>
      <c r="AF115" s="279"/>
      <c r="AG115" s="279"/>
      <c r="AH115" s="279"/>
      <c r="AI115" s="279"/>
      <c r="AJ115" s="279"/>
      <c r="AK115" s="279"/>
      <c r="AL115" s="279"/>
      <c r="AM115" s="279"/>
      <c r="AN115" s="279"/>
      <c r="AO115" s="1689" t="s">
        <v>4793</v>
      </c>
      <c r="AP115" s="957" t="s">
        <v>4335</v>
      </c>
    </row>
    <row r="116" s="261" customFormat="1" ht="15.75" customHeight="1" spans="1:42">
      <c r="A116" s="277">
        <v>45484</v>
      </c>
      <c r="B116" s="958" t="s">
        <v>4769</v>
      </c>
      <c r="C116" s="279" t="s">
        <v>4782</v>
      </c>
      <c r="D116" s="279">
        <v>77516</v>
      </c>
      <c r="E116" s="279">
        <v>13440</v>
      </c>
      <c r="F116" s="958" t="s">
        <v>4773</v>
      </c>
      <c r="G116" s="959"/>
      <c r="H116" s="962"/>
      <c r="I116" s="959"/>
      <c r="J116" s="967"/>
      <c r="K116" s="967"/>
      <c r="L116" s="967"/>
      <c r="M116" s="967"/>
      <c r="N116" s="967"/>
      <c r="O116" s="967"/>
      <c r="P116" s="279"/>
      <c r="Q116" s="279"/>
      <c r="R116" s="279"/>
      <c r="S116" s="279"/>
      <c r="T116" s="279"/>
      <c r="U116" s="279"/>
      <c r="V116" s="279"/>
      <c r="W116" s="279"/>
      <c r="X116" s="279"/>
      <c r="Y116" s="279"/>
      <c r="Z116" s="279"/>
      <c r="AA116" s="279"/>
      <c r="AB116" s="279"/>
      <c r="AC116" s="279"/>
      <c r="AD116" s="279"/>
      <c r="AE116" s="279"/>
      <c r="AF116" s="279"/>
      <c r="AG116" s="279"/>
      <c r="AH116" s="279"/>
      <c r="AI116" s="279"/>
      <c r="AJ116" s="279"/>
      <c r="AK116" s="279"/>
      <c r="AL116" s="279"/>
      <c r="AM116" s="279"/>
      <c r="AN116" s="279"/>
      <c r="AO116" s="1689" t="s">
        <v>4793</v>
      </c>
      <c r="AP116" s="957" t="s">
        <v>4335</v>
      </c>
    </row>
    <row r="117" s="261" customFormat="1" ht="15.75" customHeight="1" spans="1:41">
      <c r="A117" s="277">
        <v>45484</v>
      </c>
      <c r="B117" s="958" t="s">
        <v>4769</v>
      </c>
      <c r="C117" s="279" t="s">
        <v>4782</v>
      </c>
      <c r="D117" s="279">
        <v>77516</v>
      </c>
      <c r="E117" s="279">
        <v>26880</v>
      </c>
      <c r="F117" s="958" t="s">
        <v>4774</v>
      </c>
      <c r="G117" s="959"/>
      <c r="H117" s="962"/>
      <c r="I117" s="959"/>
      <c r="J117" s="967"/>
      <c r="K117" s="967"/>
      <c r="L117" s="967"/>
      <c r="M117" s="967"/>
      <c r="N117" s="967"/>
      <c r="O117" s="967"/>
      <c r="P117" s="279"/>
      <c r="Q117" s="279"/>
      <c r="R117" s="279"/>
      <c r="S117" s="279"/>
      <c r="T117" s="279"/>
      <c r="U117" s="279"/>
      <c r="V117" s="279"/>
      <c r="W117" s="279"/>
      <c r="X117" s="279"/>
      <c r="Y117" s="279"/>
      <c r="Z117" s="279"/>
      <c r="AA117" s="279"/>
      <c r="AB117" s="279"/>
      <c r="AC117" s="279"/>
      <c r="AD117" s="279"/>
      <c r="AE117" s="279"/>
      <c r="AF117" s="279"/>
      <c r="AG117" s="279"/>
      <c r="AH117" s="279"/>
      <c r="AI117" s="279"/>
      <c r="AJ117" s="279"/>
      <c r="AK117" s="279"/>
      <c r="AL117" s="279"/>
      <c r="AM117" s="279"/>
      <c r="AN117" s="279"/>
      <c r="AO117" s="1689" t="s">
        <v>4793</v>
      </c>
    </row>
    <row r="118" s="261" customFormat="1" ht="15.75" customHeight="1" spans="1:41">
      <c r="A118" s="277">
        <v>45483</v>
      </c>
      <c r="B118" s="958" t="s">
        <v>4785</v>
      </c>
      <c r="C118" s="279" t="s">
        <v>4740</v>
      </c>
      <c r="D118" s="279">
        <v>77515</v>
      </c>
      <c r="E118" s="279">
        <v>250000</v>
      </c>
      <c r="F118" s="958" t="s">
        <v>4741</v>
      </c>
      <c r="G118" s="959" t="s">
        <v>4742</v>
      </c>
      <c r="H118" s="962" t="s">
        <v>4750</v>
      </c>
      <c r="I118" s="959">
        <f>E118</f>
        <v>250000</v>
      </c>
      <c r="J118" s="967"/>
      <c r="K118" s="967"/>
      <c r="L118" s="967"/>
      <c r="M118" s="967"/>
      <c r="N118" s="967"/>
      <c r="O118" s="967"/>
      <c r="P118" s="279"/>
      <c r="Q118" s="279"/>
      <c r="R118" s="279"/>
      <c r="S118" s="279"/>
      <c r="T118" s="279"/>
      <c r="U118" s="279"/>
      <c r="V118" s="279"/>
      <c r="W118" s="279"/>
      <c r="X118" s="279"/>
      <c r="Y118" s="279"/>
      <c r="Z118" s="279"/>
      <c r="AA118" s="279"/>
      <c r="AB118" s="279"/>
      <c r="AC118" s="279"/>
      <c r="AD118" s="279"/>
      <c r="AE118" s="279"/>
      <c r="AF118" s="279"/>
      <c r="AG118" s="279"/>
      <c r="AH118" s="279"/>
      <c r="AI118" s="279"/>
      <c r="AJ118" s="279"/>
      <c r="AK118" s="279"/>
      <c r="AL118" s="279"/>
      <c r="AM118" s="279"/>
      <c r="AN118" s="279"/>
      <c r="AO118" s="979"/>
    </row>
    <row r="119" s="261" customFormat="1" ht="15.75" customHeight="1" spans="1:41">
      <c r="A119" s="277">
        <v>45483</v>
      </c>
      <c r="B119" s="958">
        <v>1000021753</v>
      </c>
      <c r="C119" s="279" t="s">
        <v>4740</v>
      </c>
      <c r="D119" s="279" t="s">
        <v>4752</v>
      </c>
      <c r="E119" s="279">
        <v>3742</v>
      </c>
      <c r="F119" s="958" t="s">
        <v>4745</v>
      </c>
      <c r="G119" s="959" t="s">
        <v>4742</v>
      </c>
      <c r="H119" s="962" t="s">
        <v>4743</v>
      </c>
      <c r="I119" s="959"/>
      <c r="J119" s="967"/>
      <c r="K119" s="967"/>
      <c r="L119" s="967"/>
      <c r="M119" s="967"/>
      <c r="N119" s="967"/>
      <c r="O119" s="967"/>
      <c r="P119" s="279"/>
      <c r="Q119" s="279"/>
      <c r="R119" s="279"/>
      <c r="S119" s="279"/>
      <c r="T119" s="279"/>
      <c r="U119" s="279"/>
      <c r="V119" s="279"/>
      <c r="W119" s="279"/>
      <c r="X119" s="279"/>
      <c r="Y119" s="279">
        <f>E119</f>
        <v>3742</v>
      </c>
      <c r="Z119" s="279"/>
      <c r="AA119" s="279"/>
      <c r="AB119" s="279"/>
      <c r="AC119" s="279"/>
      <c r="AD119" s="279"/>
      <c r="AE119" s="279"/>
      <c r="AF119" s="279"/>
      <c r="AG119" s="279"/>
      <c r="AH119" s="279"/>
      <c r="AI119" s="279"/>
      <c r="AJ119" s="279"/>
      <c r="AK119" s="279"/>
      <c r="AL119" s="279"/>
      <c r="AM119" s="279"/>
      <c r="AN119" s="279"/>
      <c r="AO119" s="979"/>
    </row>
    <row r="120" s="261" customFormat="1" ht="15.75" customHeight="1" spans="1:41">
      <c r="A120" s="277">
        <v>45483</v>
      </c>
      <c r="B120" s="958">
        <v>1000021754</v>
      </c>
      <c r="C120" s="279" t="s">
        <v>4740</v>
      </c>
      <c r="D120" s="279" t="s">
        <v>4705</v>
      </c>
      <c r="E120" s="279">
        <v>2500</v>
      </c>
      <c r="F120" s="958" t="s">
        <v>4745</v>
      </c>
      <c r="G120" s="959" t="s">
        <v>4742</v>
      </c>
      <c r="H120" s="962" t="s">
        <v>4743</v>
      </c>
      <c r="I120" s="959"/>
      <c r="J120" s="967"/>
      <c r="K120" s="967"/>
      <c r="L120" s="967"/>
      <c r="M120" s="967"/>
      <c r="N120" s="967"/>
      <c r="O120" s="967"/>
      <c r="P120" s="279"/>
      <c r="Q120" s="279"/>
      <c r="R120" s="279"/>
      <c r="S120" s="309">
        <f>E120</f>
        <v>2500</v>
      </c>
      <c r="V120" s="279"/>
      <c r="W120" s="279"/>
      <c r="X120" s="279"/>
      <c r="Y120" s="279"/>
      <c r="Z120" s="279"/>
      <c r="AA120" s="279"/>
      <c r="AB120" s="279"/>
      <c r="AC120" s="279"/>
      <c r="AD120" s="279"/>
      <c r="AE120" s="279"/>
      <c r="AF120" s="279"/>
      <c r="AG120" s="279"/>
      <c r="AH120" s="279"/>
      <c r="AI120" s="279"/>
      <c r="AJ120" s="279"/>
      <c r="AK120" s="279"/>
      <c r="AL120" s="279"/>
      <c r="AM120" s="279"/>
      <c r="AN120" s="279"/>
      <c r="AO120" s="979"/>
    </row>
    <row r="121" s="261" customFormat="1" ht="15.75" customHeight="1" spans="1:41">
      <c r="A121" s="277">
        <v>45483</v>
      </c>
      <c r="B121" s="958" t="s">
        <v>4785</v>
      </c>
      <c r="C121" s="279" t="s">
        <v>4740</v>
      </c>
      <c r="D121" s="279">
        <v>77515</v>
      </c>
      <c r="E121" s="279">
        <v>20000</v>
      </c>
      <c r="F121" s="958" t="s">
        <v>4741</v>
      </c>
      <c r="G121" s="959" t="s">
        <v>4749</v>
      </c>
      <c r="H121" s="962" t="s">
        <v>4750</v>
      </c>
      <c r="I121" s="959"/>
      <c r="J121" s="966">
        <f>E121</f>
        <v>20000</v>
      </c>
      <c r="K121" s="966"/>
      <c r="L121" s="966"/>
      <c r="M121" s="967"/>
      <c r="N121" s="967"/>
      <c r="O121" s="967"/>
      <c r="P121" s="279"/>
      <c r="Q121" s="279"/>
      <c r="R121" s="279"/>
      <c r="S121" s="279"/>
      <c r="T121" s="279"/>
      <c r="U121" s="279"/>
      <c r="V121" s="279"/>
      <c r="W121" s="279"/>
      <c r="X121" s="279"/>
      <c r="Y121" s="279"/>
      <c r="Z121" s="279"/>
      <c r="AA121" s="279"/>
      <c r="AB121" s="279"/>
      <c r="AC121" s="279"/>
      <c r="AD121" s="279"/>
      <c r="AE121" s="279"/>
      <c r="AF121" s="279"/>
      <c r="AG121" s="279"/>
      <c r="AH121" s="279"/>
      <c r="AI121" s="279"/>
      <c r="AJ121" s="279"/>
      <c r="AK121" s="279"/>
      <c r="AL121" s="279"/>
      <c r="AM121" s="279"/>
      <c r="AN121" s="279"/>
      <c r="AO121" s="979"/>
    </row>
    <row r="122" s="261" customFormat="1" ht="15.75" customHeight="1" spans="1:41">
      <c r="A122" s="277">
        <v>45483</v>
      </c>
      <c r="B122" s="958">
        <v>1000021755</v>
      </c>
      <c r="C122" s="279" t="s">
        <v>4740</v>
      </c>
      <c r="D122" s="279" t="s">
        <v>4755</v>
      </c>
      <c r="E122" s="279">
        <v>300</v>
      </c>
      <c r="F122" s="958" t="s">
        <v>4756</v>
      </c>
      <c r="G122" s="959" t="s">
        <v>4749</v>
      </c>
      <c r="H122" s="962" t="s">
        <v>4743</v>
      </c>
      <c r="I122" s="959"/>
      <c r="J122" s="967"/>
      <c r="K122" s="967"/>
      <c r="L122" s="967"/>
      <c r="M122" s="967"/>
      <c r="N122" s="967"/>
      <c r="O122" s="967"/>
      <c r="P122" s="279"/>
      <c r="Q122" s="279"/>
      <c r="R122" s="279"/>
      <c r="S122" s="279"/>
      <c r="T122" s="279"/>
      <c r="U122" s="279"/>
      <c r="V122" s="279"/>
      <c r="W122" s="279"/>
      <c r="X122" s="279"/>
      <c r="Y122" s="279"/>
      <c r="Z122" s="279"/>
      <c r="AA122" s="279"/>
      <c r="AB122" s="279"/>
      <c r="AC122" s="279"/>
      <c r="AD122" s="279"/>
      <c r="AE122" s="279"/>
      <c r="AF122" s="279"/>
      <c r="AG122" s="279"/>
      <c r="AH122" s="279"/>
      <c r="AI122" s="279">
        <f>E122</f>
        <v>300</v>
      </c>
      <c r="AJ122" s="279"/>
      <c r="AK122" s="279"/>
      <c r="AL122" s="279"/>
      <c r="AM122" s="279"/>
      <c r="AN122" s="279"/>
      <c r="AO122" s="979"/>
    </row>
    <row r="123" s="261" customFormat="1" ht="15.75" customHeight="1" spans="1:41">
      <c r="A123" s="277">
        <v>45483</v>
      </c>
      <c r="B123" s="958" t="s">
        <v>4785</v>
      </c>
      <c r="C123" s="279" t="s">
        <v>4740</v>
      </c>
      <c r="D123" s="279">
        <v>77515</v>
      </c>
      <c r="E123" s="279">
        <v>350000</v>
      </c>
      <c r="F123" s="958" t="s">
        <v>4746</v>
      </c>
      <c r="G123" s="959" t="s">
        <v>4747</v>
      </c>
      <c r="H123" s="962" t="s">
        <v>4743</v>
      </c>
      <c r="I123" s="959"/>
      <c r="J123" s="967"/>
      <c r="K123" s="967"/>
      <c r="L123" s="967"/>
      <c r="M123" s="967"/>
      <c r="N123" s="967"/>
      <c r="O123" s="967"/>
      <c r="P123" s="279">
        <f>E123</f>
        <v>350000</v>
      </c>
      <c r="Q123" s="279"/>
      <c r="R123" s="279"/>
      <c r="S123" s="279"/>
      <c r="T123" s="279"/>
      <c r="U123" s="279"/>
      <c r="V123" s="279"/>
      <c r="W123" s="279"/>
      <c r="X123" s="279"/>
      <c r="Y123" s="279"/>
      <c r="Z123" s="279"/>
      <c r="AA123" s="279"/>
      <c r="AB123" s="279"/>
      <c r="AC123" s="279"/>
      <c r="AD123" s="279"/>
      <c r="AE123" s="279"/>
      <c r="AF123" s="279"/>
      <c r="AG123" s="279"/>
      <c r="AH123" s="279"/>
      <c r="AI123" s="279"/>
      <c r="AJ123" s="279"/>
      <c r="AK123" s="279"/>
      <c r="AL123" s="279"/>
      <c r="AM123" s="279"/>
      <c r="AN123" s="279"/>
      <c r="AO123" s="979"/>
    </row>
    <row r="124" s="261" customFormat="1" ht="15.75" customHeight="1" spans="1:41">
      <c r="A124" s="277">
        <v>45483</v>
      </c>
      <c r="B124" s="958">
        <v>1000021728</v>
      </c>
      <c r="C124" s="279" t="s">
        <v>4778</v>
      </c>
      <c r="D124" s="279" t="s">
        <v>4753</v>
      </c>
      <c r="E124" s="279">
        <v>20000</v>
      </c>
      <c r="F124" s="958" t="s">
        <v>4741</v>
      </c>
      <c r="G124" s="959" t="s">
        <v>4761</v>
      </c>
      <c r="H124" s="962"/>
      <c r="I124" s="959"/>
      <c r="J124" s="967"/>
      <c r="K124" s="967"/>
      <c r="L124" s="967"/>
      <c r="M124" s="967"/>
      <c r="N124" s="967"/>
      <c r="O124" s="967">
        <f>E124</f>
        <v>20000</v>
      </c>
      <c r="P124" s="279"/>
      <c r="Q124" s="279"/>
      <c r="R124" s="279"/>
      <c r="S124" s="279"/>
      <c r="T124" s="279"/>
      <c r="U124" s="279"/>
      <c r="V124" s="279"/>
      <c r="W124" s="279"/>
      <c r="X124" s="279"/>
      <c r="Y124" s="279"/>
      <c r="Z124" s="279"/>
      <c r="AA124" s="279"/>
      <c r="AB124" s="279"/>
      <c r="AC124" s="279"/>
      <c r="AD124" s="279"/>
      <c r="AE124" s="279"/>
      <c r="AF124" s="279"/>
      <c r="AG124" s="279"/>
      <c r="AH124" s="279"/>
      <c r="AI124" s="279"/>
      <c r="AJ124" s="279"/>
      <c r="AK124" s="279"/>
      <c r="AL124" s="279"/>
      <c r="AM124" s="279"/>
      <c r="AN124" s="279"/>
      <c r="AO124" s="1689" t="s">
        <v>4794</v>
      </c>
    </row>
    <row r="125" s="261" customFormat="1" ht="15.75" customHeight="1" spans="1:42">
      <c r="A125" s="277">
        <v>45483</v>
      </c>
      <c r="B125" s="958">
        <v>1000021705</v>
      </c>
      <c r="C125" s="279" t="s">
        <v>4782</v>
      </c>
      <c r="D125" s="279">
        <v>77516</v>
      </c>
      <c r="E125" s="279">
        <v>17736</v>
      </c>
      <c r="F125" s="958" t="s">
        <v>4774</v>
      </c>
      <c r="G125" s="959" t="s">
        <v>4749</v>
      </c>
      <c r="H125" s="962"/>
      <c r="I125" s="959"/>
      <c r="M125" s="967">
        <f>E125</f>
        <v>17736</v>
      </c>
      <c r="N125" s="967"/>
      <c r="O125" s="967"/>
      <c r="P125" s="279"/>
      <c r="Q125" s="279"/>
      <c r="R125" s="279"/>
      <c r="S125" s="279"/>
      <c r="T125" s="279"/>
      <c r="U125" s="279"/>
      <c r="V125" s="279"/>
      <c r="W125" s="279"/>
      <c r="X125" s="279"/>
      <c r="Y125" s="279"/>
      <c r="Z125" s="279"/>
      <c r="AA125" s="279"/>
      <c r="AB125" s="279"/>
      <c r="AC125" s="279"/>
      <c r="AD125" s="279"/>
      <c r="AE125" s="279"/>
      <c r="AF125" s="279"/>
      <c r="AG125" s="279"/>
      <c r="AH125" s="279"/>
      <c r="AI125" s="279"/>
      <c r="AJ125" s="279"/>
      <c r="AK125" s="279"/>
      <c r="AL125" s="279"/>
      <c r="AM125" s="279"/>
      <c r="AN125" s="279"/>
      <c r="AO125" s="1689" t="s">
        <v>4795</v>
      </c>
      <c r="AP125" s="261">
        <f>4056*2-E125+4812*2</f>
        <v>0</v>
      </c>
    </row>
    <row r="126" s="261" customFormat="1" ht="15.75" customHeight="1" spans="1:42">
      <c r="A126" s="277">
        <v>45483</v>
      </c>
      <c r="B126" s="958">
        <v>1000021706</v>
      </c>
      <c r="C126" s="279" t="s">
        <v>4782</v>
      </c>
      <c r="D126" s="279">
        <v>77516</v>
      </c>
      <c r="E126" s="279">
        <v>8868</v>
      </c>
      <c r="F126" s="958" t="s">
        <v>4781</v>
      </c>
      <c r="G126" s="959" t="s">
        <v>4749</v>
      </c>
      <c r="H126" s="962"/>
      <c r="I126" s="959"/>
      <c r="J126" s="967"/>
      <c r="K126" s="967"/>
      <c r="L126" s="967"/>
      <c r="M126" s="967"/>
      <c r="N126" s="967"/>
      <c r="O126" s="967"/>
      <c r="P126" s="279"/>
      <c r="Q126" s="279"/>
      <c r="R126" s="279"/>
      <c r="S126" s="279"/>
      <c r="T126" s="279"/>
      <c r="U126" s="279"/>
      <c r="V126" s="279"/>
      <c r="W126" s="279"/>
      <c r="X126" s="279"/>
      <c r="Y126" s="279"/>
      <c r="Z126" s="279"/>
      <c r="AA126" s="279"/>
      <c r="AB126" s="279"/>
      <c r="AC126" s="279"/>
      <c r="AD126" s="279"/>
      <c r="AE126" s="279"/>
      <c r="AF126" s="279"/>
      <c r="AG126" s="279"/>
      <c r="AH126" s="279"/>
      <c r="AI126" s="279"/>
      <c r="AJ126" s="279"/>
      <c r="AK126" s="279"/>
      <c r="AL126" s="279"/>
      <c r="AM126" s="279"/>
      <c r="AN126" s="279">
        <f>E126</f>
        <v>8868</v>
      </c>
      <c r="AO126" s="1689" t="s">
        <v>4795</v>
      </c>
      <c r="AP126" s="261">
        <f>4056-E126+4812</f>
        <v>0</v>
      </c>
    </row>
    <row r="127" s="261" customFormat="1" ht="15.75" customHeight="1" spans="1:42">
      <c r="A127" s="277">
        <v>45483</v>
      </c>
      <c r="B127" s="958">
        <v>1000021707</v>
      </c>
      <c r="C127" s="279" t="s">
        <v>4782</v>
      </c>
      <c r="D127" s="279">
        <v>77516</v>
      </c>
      <c r="E127" s="279">
        <v>8868</v>
      </c>
      <c r="F127" s="958" t="s">
        <v>4760</v>
      </c>
      <c r="G127" s="959"/>
      <c r="H127" s="962"/>
      <c r="I127" s="959"/>
      <c r="J127" s="967"/>
      <c r="K127" s="967"/>
      <c r="L127" s="967"/>
      <c r="M127" s="967"/>
      <c r="N127" s="967"/>
      <c r="O127" s="967"/>
      <c r="P127" s="279"/>
      <c r="Q127" s="279"/>
      <c r="R127" s="279"/>
      <c r="S127" s="279"/>
      <c r="T127" s="279"/>
      <c r="U127" s="279"/>
      <c r="V127" s="279"/>
      <c r="W127" s="279"/>
      <c r="X127" s="279"/>
      <c r="Y127" s="279"/>
      <c r="Z127" s="279"/>
      <c r="AA127" s="279"/>
      <c r="AB127" s="279"/>
      <c r="AC127" s="279"/>
      <c r="AD127" s="279"/>
      <c r="AE127" s="279"/>
      <c r="AF127" s="279"/>
      <c r="AG127" s="279"/>
      <c r="AH127" s="279"/>
      <c r="AI127" s="279"/>
      <c r="AJ127" s="279"/>
      <c r="AK127" s="279">
        <f>E127</f>
        <v>8868</v>
      </c>
      <c r="AL127" s="279"/>
      <c r="AM127" s="279"/>
      <c r="AN127" s="279"/>
      <c r="AO127" s="1689" t="s">
        <v>4795</v>
      </c>
      <c r="AP127" s="261">
        <f>4056-E127+4812</f>
        <v>0</v>
      </c>
    </row>
    <row r="128" s="261" customFormat="1" ht="15.75" customHeight="1" spans="1:42">
      <c r="A128" s="277">
        <v>45483</v>
      </c>
      <c r="B128" s="958">
        <v>1000021708</v>
      </c>
      <c r="C128" s="279" t="s">
        <v>4782</v>
      </c>
      <c r="D128" s="279">
        <v>77516</v>
      </c>
      <c r="E128" s="279">
        <v>8868</v>
      </c>
      <c r="F128" s="958" t="s">
        <v>4773</v>
      </c>
      <c r="G128" s="959"/>
      <c r="H128" s="962"/>
      <c r="I128" s="959"/>
      <c r="J128" s="967"/>
      <c r="K128" s="967"/>
      <c r="L128" s="967"/>
      <c r="M128" s="967"/>
      <c r="N128" s="967"/>
      <c r="O128" s="967"/>
      <c r="P128" s="279"/>
      <c r="Q128" s="279"/>
      <c r="R128" s="279"/>
      <c r="S128" s="279"/>
      <c r="T128" s="279"/>
      <c r="U128" s="279"/>
      <c r="V128" s="279"/>
      <c r="W128" s="279"/>
      <c r="X128" s="279"/>
      <c r="Y128" s="279"/>
      <c r="Z128" s="279"/>
      <c r="AA128" s="279"/>
      <c r="AB128" s="279"/>
      <c r="AC128" s="279"/>
      <c r="AD128" s="279"/>
      <c r="AE128" s="279"/>
      <c r="AF128" s="279"/>
      <c r="AG128" s="279"/>
      <c r="AH128" s="279"/>
      <c r="AI128" s="279"/>
      <c r="AJ128" s="279"/>
      <c r="AK128" s="279"/>
      <c r="AL128" s="279">
        <f>E128</f>
        <v>8868</v>
      </c>
      <c r="AM128" s="279"/>
      <c r="AN128" s="279"/>
      <c r="AO128" s="1689" t="s">
        <v>4795</v>
      </c>
      <c r="AP128" s="261">
        <f>4056-E128+4812</f>
        <v>0</v>
      </c>
    </row>
    <row r="129" s="261" customFormat="1" ht="15.75" customHeight="1" spans="1:41">
      <c r="A129" s="277">
        <v>45496</v>
      </c>
      <c r="B129" s="958">
        <v>1000022036</v>
      </c>
      <c r="C129" s="279" t="s">
        <v>4740</v>
      </c>
      <c r="D129" s="279" t="s">
        <v>4752</v>
      </c>
      <c r="E129" s="279">
        <v>800</v>
      </c>
      <c r="F129" s="958" t="s">
        <v>4745</v>
      </c>
      <c r="G129" s="959" t="s">
        <v>4742</v>
      </c>
      <c r="H129" s="962" t="s">
        <v>4743</v>
      </c>
      <c r="I129" s="959"/>
      <c r="J129" s="967"/>
      <c r="K129" s="967"/>
      <c r="L129" s="967"/>
      <c r="M129" s="967"/>
      <c r="N129" s="967"/>
      <c r="O129" s="967"/>
      <c r="P129" s="279"/>
      <c r="Q129" s="279"/>
      <c r="R129" s="279"/>
      <c r="S129" s="279"/>
      <c r="T129" s="279"/>
      <c r="U129" s="279"/>
      <c r="V129" s="279"/>
      <c r="W129" s="279"/>
      <c r="X129" s="279"/>
      <c r="Y129" s="279">
        <f>E129</f>
        <v>800</v>
      </c>
      <c r="Z129" s="279"/>
      <c r="AA129" s="279"/>
      <c r="AB129" s="279"/>
      <c r="AC129" s="279"/>
      <c r="AD129" s="279"/>
      <c r="AE129" s="279"/>
      <c r="AF129" s="279"/>
      <c r="AG129" s="279"/>
      <c r="AH129" s="279"/>
      <c r="AI129" s="279"/>
      <c r="AJ129" s="279"/>
      <c r="AK129" s="279"/>
      <c r="AL129" s="279"/>
      <c r="AM129" s="279"/>
      <c r="AN129" s="279"/>
      <c r="AO129" s="979"/>
    </row>
    <row r="130" s="261" customFormat="1" ht="15.75" customHeight="1" spans="1:41">
      <c r="A130" s="277">
        <v>45496</v>
      </c>
      <c r="B130" s="958">
        <v>1000022037</v>
      </c>
      <c r="C130" s="279" t="s">
        <v>4740</v>
      </c>
      <c r="D130" s="279" t="s">
        <v>4753</v>
      </c>
      <c r="E130" s="279">
        <v>2000</v>
      </c>
      <c r="F130" s="958" t="s">
        <v>4745</v>
      </c>
      <c r="G130" s="959" t="s">
        <v>4742</v>
      </c>
      <c r="H130" s="962" t="s">
        <v>4743</v>
      </c>
      <c r="I130" s="959"/>
      <c r="J130" s="967"/>
      <c r="K130" s="967"/>
      <c r="L130" s="967"/>
      <c r="M130" s="967"/>
      <c r="N130" s="967"/>
      <c r="O130" s="967"/>
      <c r="P130" s="279"/>
      <c r="Q130" s="279"/>
      <c r="R130" s="279"/>
      <c r="S130" s="279"/>
      <c r="T130" s="279"/>
      <c r="U130" s="279"/>
      <c r="V130" s="279"/>
      <c r="W130" s="279"/>
      <c r="X130" s="279"/>
      <c r="Y130" s="279"/>
      <c r="Z130" s="279"/>
      <c r="AA130" s="279"/>
      <c r="AB130" s="279"/>
      <c r="AC130" s="279">
        <f>E130</f>
        <v>2000</v>
      </c>
      <c r="AD130" s="279"/>
      <c r="AE130" s="279"/>
      <c r="AF130" s="279"/>
      <c r="AG130" s="279"/>
      <c r="AH130" s="279"/>
      <c r="AI130" s="279"/>
      <c r="AJ130" s="279"/>
      <c r="AK130" s="279"/>
      <c r="AL130" s="279"/>
      <c r="AM130" s="279"/>
      <c r="AN130" s="279"/>
      <c r="AO130" s="979"/>
    </row>
    <row r="131" s="261" customFormat="1" ht="15.75" customHeight="1" spans="1:41">
      <c r="A131" s="277">
        <v>45496</v>
      </c>
      <c r="B131" s="958">
        <v>1000022038</v>
      </c>
      <c r="C131" s="279" t="s">
        <v>4740</v>
      </c>
      <c r="D131" s="279" t="s">
        <v>4753</v>
      </c>
      <c r="E131" s="279">
        <v>500</v>
      </c>
      <c r="F131" s="958" t="s">
        <v>4745</v>
      </c>
      <c r="G131" s="959" t="s">
        <v>4749</v>
      </c>
      <c r="H131" s="962" t="s">
        <v>4743</v>
      </c>
      <c r="I131" s="959"/>
      <c r="J131" s="967"/>
      <c r="K131" s="967"/>
      <c r="L131" s="967"/>
      <c r="M131" s="967"/>
      <c r="N131" s="967"/>
      <c r="O131" s="967"/>
      <c r="P131" s="279"/>
      <c r="Q131" s="279"/>
      <c r="R131" s="279"/>
      <c r="S131" s="279"/>
      <c r="T131" s="279"/>
      <c r="U131" s="279"/>
      <c r="V131" s="279"/>
      <c r="W131" s="279"/>
      <c r="X131" s="279"/>
      <c r="Y131" s="279"/>
      <c r="Z131" s="279"/>
      <c r="AA131" s="279"/>
      <c r="AB131" s="279"/>
      <c r="AC131" s="279"/>
      <c r="AD131" s="279">
        <f>E131</f>
        <v>500</v>
      </c>
      <c r="AE131" s="279"/>
      <c r="AF131" s="279"/>
      <c r="AG131" s="279"/>
      <c r="AH131" s="279"/>
      <c r="AI131" s="279"/>
      <c r="AJ131" s="279"/>
      <c r="AK131" s="279"/>
      <c r="AL131" s="279"/>
      <c r="AM131" s="279"/>
      <c r="AN131" s="279"/>
      <c r="AO131" s="979"/>
    </row>
    <row r="132" s="261" customFormat="1" ht="15.75" customHeight="1" spans="1:41">
      <c r="A132" s="277">
        <v>45496</v>
      </c>
      <c r="B132" s="958">
        <v>1000022039</v>
      </c>
      <c r="C132" s="279" t="s">
        <v>4740</v>
      </c>
      <c r="D132" s="279" t="s">
        <v>4755</v>
      </c>
      <c r="E132" s="279">
        <v>300</v>
      </c>
      <c r="F132" s="958" t="s">
        <v>4758</v>
      </c>
      <c r="G132" s="959" t="s">
        <v>4776</v>
      </c>
      <c r="H132" s="962" t="s">
        <v>4743</v>
      </c>
      <c r="I132" s="959"/>
      <c r="J132" s="967"/>
      <c r="K132" s="967"/>
      <c r="L132" s="967"/>
      <c r="M132" s="967"/>
      <c r="N132" s="967"/>
      <c r="O132" s="967"/>
      <c r="P132" s="279"/>
      <c r="Q132" s="279"/>
      <c r="R132" s="279"/>
      <c r="S132" s="279"/>
      <c r="T132" s="279"/>
      <c r="U132" s="279"/>
      <c r="V132" s="279"/>
      <c r="W132" s="279"/>
      <c r="X132" s="279"/>
      <c r="Y132" s="279"/>
      <c r="Z132" s="279"/>
      <c r="AA132" s="279"/>
      <c r="AB132" s="279"/>
      <c r="AC132" s="279"/>
      <c r="AD132" s="279"/>
      <c r="AE132" s="279"/>
      <c r="AF132" s="279"/>
      <c r="AG132" s="279"/>
      <c r="AH132" s="279"/>
      <c r="AI132" s="279"/>
      <c r="AJ132" s="279">
        <f>E132</f>
        <v>300</v>
      </c>
      <c r="AK132" s="279"/>
      <c r="AL132" s="279"/>
      <c r="AM132" s="279"/>
      <c r="AN132" s="279"/>
      <c r="AO132" s="979"/>
    </row>
    <row r="133" s="261" customFormat="1" ht="15.75" customHeight="1" spans="1:41">
      <c r="A133" s="277">
        <v>45511</v>
      </c>
      <c r="B133" s="958">
        <v>1000022378</v>
      </c>
      <c r="C133" s="279" t="s">
        <v>4778</v>
      </c>
      <c r="D133" s="279" t="s">
        <v>4754</v>
      </c>
      <c r="E133" s="279">
        <v>49968</v>
      </c>
      <c r="F133" s="958" t="s">
        <v>4768</v>
      </c>
      <c r="G133" s="959" t="s">
        <v>4747</v>
      </c>
      <c r="H133" s="962" t="s">
        <v>4743</v>
      </c>
      <c r="I133" s="959"/>
      <c r="J133" s="967"/>
      <c r="K133" s="967"/>
      <c r="L133" s="967"/>
      <c r="M133" s="967"/>
      <c r="N133" s="967"/>
      <c r="O133" s="967"/>
      <c r="P133" s="279"/>
      <c r="Q133" s="279"/>
      <c r="R133" s="279">
        <f>E133</f>
        <v>49968</v>
      </c>
      <c r="S133" s="279"/>
      <c r="T133" s="279"/>
      <c r="U133" s="279"/>
      <c r="V133" s="279"/>
      <c r="W133" s="279"/>
      <c r="X133" s="279"/>
      <c r="Y133" s="279"/>
      <c r="Z133" s="279"/>
      <c r="AA133" s="279"/>
      <c r="AB133" s="279"/>
      <c r="AC133" s="279"/>
      <c r="AD133" s="279"/>
      <c r="AE133" s="279"/>
      <c r="AF133" s="279"/>
      <c r="AG133" s="279"/>
      <c r="AH133" s="279"/>
      <c r="AI133" s="279"/>
      <c r="AJ133" s="279"/>
      <c r="AK133" s="279"/>
      <c r="AL133" s="279"/>
      <c r="AM133" s="279"/>
      <c r="AN133" s="279"/>
      <c r="AO133" s="979"/>
    </row>
    <row r="134" s="261" customFormat="1" ht="15.75" customHeight="1" spans="1:41">
      <c r="A134" s="277">
        <v>45511</v>
      </c>
      <c r="B134" s="958">
        <v>1000022379</v>
      </c>
      <c r="C134" s="279" t="s">
        <v>4778</v>
      </c>
      <c r="D134" s="279" t="s">
        <v>4754</v>
      </c>
      <c r="E134" s="279">
        <v>4164</v>
      </c>
      <c r="F134" s="958" t="s">
        <v>4745</v>
      </c>
      <c r="G134" s="959" t="s">
        <v>4742</v>
      </c>
      <c r="H134" s="962" t="s">
        <v>4743</v>
      </c>
      <c r="I134" s="959"/>
      <c r="J134" s="967"/>
      <c r="K134" s="967"/>
      <c r="L134" s="967"/>
      <c r="M134" s="967"/>
      <c r="N134" s="967"/>
      <c r="O134" s="967"/>
      <c r="P134" s="279"/>
      <c r="Q134" s="279"/>
      <c r="R134" s="279"/>
      <c r="S134" s="279"/>
      <c r="T134" s="279"/>
      <c r="U134" s="279"/>
      <c r="V134" s="279"/>
      <c r="W134" s="279"/>
      <c r="X134" s="279">
        <f>E134</f>
        <v>4164</v>
      </c>
      <c r="Y134" s="279"/>
      <c r="Z134" s="279"/>
      <c r="AA134" s="279"/>
      <c r="AB134" s="279"/>
      <c r="AC134" s="279"/>
      <c r="AD134" s="279"/>
      <c r="AE134" s="279"/>
      <c r="AF134" s="279"/>
      <c r="AG134" s="279"/>
      <c r="AH134" s="279"/>
      <c r="AI134" s="279"/>
      <c r="AJ134" s="279"/>
      <c r="AK134" s="279"/>
      <c r="AL134" s="279"/>
      <c r="AM134" s="279"/>
      <c r="AN134" s="279"/>
      <c r="AO134" s="979"/>
    </row>
    <row r="135" s="261" customFormat="1" ht="15.75" customHeight="1" spans="1:42">
      <c r="A135" s="277">
        <v>45504</v>
      </c>
      <c r="B135" s="958">
        <v>1000022194</v>
      </c>
      <c r="C135" s="279" t="s">
        <v>4782</v>
      </c>
      <c r="D135" s="279">
        <v>77516</v>
      </c>
      <c r="E135" s="279">
        <v>6792</v>
      </c>
      <c r="F135" s="958" t="s">
        <v>4760</v>
      </c>
      <c r="G135" s="959" t="s">
        <v>4771</v>
      </c>
      <c r="H135" s="962"/>
      <c r="I135" s="959"/>
      <c r="J135" s="967"/>
      <c r="K135" s="967"/>
      <c r="L135" s="967"/>
      <c r="M135" s="967"/>
      <c r="N135" s="967"/>
      <c r="O135" s="967"/>
      <c r="P135" s="279"/>
      <c r="Q135" s="279"/>
      <c r="R135" s="279"/>
      <c r="S135" s="279"/>
      <c r="T135" s="279"/>
      <c r="U135" s="279"/>
      <c r="V135" s="279"/>
      <c r="W135" s="279"/>
      <c r="X135" s="279"/>
      <c r="Y135" s="279"/>
      <c r="Z135" s="279"/>
      <c r="AA135" s="279"/>
      <c r="AB135" s="279"/>
      <c r="AC135" s="279"/>
      <c r="AD135" s="279"/>
      <c r="AE135" s="279"/>
      <c r="AF135" s="279"/>
      <c r="AG135" s="279"/>
      <c r="AH135" s="279"/>
      <c r="AI135" s="279"/>
      <c r="AJ135" s="279"/>
      <c r="AK135" s="279">
        <f>E135</f>
        <v>6792</v>
      </c>
      <c r="AL135" s="279"/>
      <c r="AM135" s="279"/>
      <c r="AN135" s="279"/>
      <c r="AO135" s="1689" t="s">
        <v>4796</v>
      </c>
      <c r="AP135" s="261">
        <f>6492-E135</f>
        <v>-300</v>
      </c>
    </row>
    <row r="136" s="261" customFormat="1" ht="15.75" customHeight="1" spans="1:42">
      <c r="A136" s="277">
        <v>45504</v>
      </c>
      <c r="B136" s="958">
        <v>1000022199</v>
      </c>
      <c r="C136" s="279" t="s">
        <v>4782</v>
      </c>
      <c r="D136" s="279">
        <v>77516</v>
      </c>
      <c r="E136" s="279">
        <v>6792</v>
      </c>
      <c r="F136" s="958" t="s">
        <v>4781</v>
      </c>
      <c r="G136" s="959" t="s">
        <v>4749</v>
      </c>
      <c r="H136" s="962"/>
      <c r="I136" s="959"/>
      <c r="J136" s="967"/>
      <c r="K136" s="967"/>
      <c r="L136" s="967"/>
      <c r="M136" s="967"/>
      <c r="N136" s="967"/>
      <c r="O136" s="967"/>
      <c r="P136" s="279"/>
      <c r="Q136" s="279"/>
      <c r="R136" s="279"/>
      <c r="S136" s="279"/>
      <c r="T136" s="279"/>
      <c r="U136" s="279"/>
      <c r="V136" s="279"/>
      <c r="W136" s="279"/>
      <c r="X136" s="279"/>
      <c r="Y136" s="279"/>
      <c r="Z136" s="279"/>
      <c r="AA136" s="279"/>
      <c r="AB136" s="279"/>
      <c r="AC136" s="279"/>
      <c r="AD136" s="279"/>
      <c r="AE136" s="279"/>
      <c r="AF136" s="279"/>
      <c r="AG136" s="279"/>
      <c r="AH136" s="279"/>
      <c r="AI136" s="279"/>
      <c r="AJ136" s="279"/>
      <c r="AK136" s="279"/>
      <c r="AL136" s="279"/>
      <c r="AM136" s="279"/>
      <c r="AN136" s="279">
        <f>E136</f>
        <v>6792</v>
      </c>
      <c r="AO136" s="1689" t="s">
        <v>4796</v>
      </c>
      <c r="AP136" s="261">
        <f>6492-E136</f>
        <v>-300</v>
      </c>
    </row>
    <row r="137" customFormat="1" ht="15.75" customHeight="1" spans="1:42">
      <c r="A137" s="277">
        <v>45504</v>
      </c>
      <c r="B137" s="278">
        <v>1000022195</v>
      </c>
      <c r="C137" s="279" t="s">
        <v>4782</v>
      </c>
      <c r="D137" s="279">
        <v>77516</v>
      </c>
      <c r="E137" s="279">
        <v>6792</v>
      </c>
      <c r="F137" s="280" t="s">
        <v>4773</v>
      </c>
      <c r="G137" s="959" t="s">
        <v>4771</v>
      </c>
      <c r="H137" s="959"/>
      <c r="I137" s="297"/>
      <c r="J137" s="324"/>
      <c r="K137" s="324"/>
      <c r="L137" s="324"/>
      <c r="M137" s="324"/>
      <c r="N137" s="324"/>
      <c r="O137" s="324"/>
      <c r="P137" s="297"/>
      <c r="Q137" s="297"/>
      <c r="R137" s="297"/>
      <c r="S137" s="297"/>
      <c r="T137" s="297"/>
      <c r="U137" s="297"/>
      <c r="V137" s="297"/>
      <c r="W137" s="297"/>
      <c r="X137" s="297"/>
      <c r="Y137" s="297"/>
      <c r="Z137" s="297"/>
      <c r="AA137" s="297"/>
      <c r="AB137" s="297"/>
      <c r="AC137" s="297"/>
      <c r="AD137" s="297"/>
      <c r="AE137" s="297"/>
      <c r="AF137" s="297"/>
      <c r="AG137" s="297"/>
      <c r="AH137" s="297"/>
      <c r="AI137" s="297"/>
      <c r="AJ137" s="297"/>
      <c r="AK137" s="279"/>
      <c r="AL137" s="279">
        <f>E137</f>
        <v>6792</v>
      </c>
      <c r="AM137" s="279"/>
      <c r="AN137" s="279"/>
      <c r="AO137" s="1690" t="s">
        <v>4796</v>
      </c>
      <c r="AP137" s="261">
        <f>6492-E137</f>
        <v>-300</v>
      </c>
    </row>
    <row r="138" customFormat="1" ht="15.75" customHeight="1" spans="1:41">
      <c r="A138" s="277">
        <v>45512</v>
      </c>
      <c r="B138" s="278" t="s">
        <v>4785</v>
      </c>
      <c r="C138" s="279" t="s">
        <v>4740</v>
      </c>
      <c r="D138" s="279">
        <v>77515</v>
      </c>
      <c r="E138" s="279">
        <v>200000</v>
      </c>
      <c r="F138" s="280" t="s">
        <v>4741</v>
      </c>
      <c r="G138" s="959" t="s">
        <v>4742</v>
      </c>
      <c r="H138" s="959" t="s">
        <v>4750</v>
      </c>
      <c r="I138" s="297">
        <f>E138</f>
        <v>200000</v>
      </c>
      <c r="J138" s="324"/>
      <c r="K138" s="324"/>
      <c r="L138" s="324"/>
      <c r="M138" s="324"/>
      <c r="N138" s="324"/>
      <c r="O138" s="324"/>
      <c r="P138" s="297"/>
      <c r="Q138" s="297"/>
      <c r="R138" s="297"/>
      <c r="S138" s="297"/>
      <c r="T138" s="297"/>
      <c r="U138" s="297"/>
      <c r="V138" s="297"/>
      <c r="W138" s="297"/>
      <c r="X138" s="297"/>
      <c r="Y138" s="297"/>
      <c r="Z138" s="297"/>
      <c r="AA138" s="297"/>
      <c r="AB138" s="297"/>
      <c r="AC138" s="297"/>
      <c r="AD138" s="297"/>
      <c r="AE138" s="297"/>
      <c r="AF138" s="297"/>
      <c r="AG138" s="297"/>
      <c r="AH138" s="297"/>
      <c r="AI138" s="297"/>
      <c r="AJ138" s="297"/>
      <c r="AK138" s="279"/>
      <c r="AL138" s="279"/>
      <c r="AM138" s="279"/>
      <c r="AN138" s="279"/>
      <c r="AO138" s="297" t="s">
        <v>4789</v>
      </c>
    </row>
    <row r="139" customFormat="1" ht="15.75" customHeight="1" spans="1:41">
      <c r="A139" s="277">
        <v>45512</v>
      </c>
      <c r="B139" s="278">
        <v>1000022389</v>
      </c>
      <c r="C139" s="279" t="s">
        <v>4740</v>
      </c>
      <c r="D139" s="279" t="s">
        <v>4752</v>
      </c>
      <c r="E139" s="279">
        <v>867</v>
      </c>
      <c r="F139" s="280" t="s">
        <v>4745</v>
      </c>
      <c r="G139" s="959" t="s">
        <v>4742</v>
      </c>
      <c r="H139" s="959" t="s">
        <v>4743</v>
      </c>
      <c r="I139" s="297"/>
      <c r="J139" s="324"/>
      <c r="K139" s="324"/>
      <c r="L139" s="324"/>
      <c r="M139" s="324"/>
      <c r="N139" s="324"/>
      <c r="O139" s="324"/>
      <c r="P139" s="297"/>
      <c r="Q139" s="297"/>
      <c r="R139" s="297"/>
      <c r="S139" s="297"/>
      <c r="T139" s="297"/>
      <c r="U139" s="297"/>
      <c r="V139" s="297"/>
      <c r="W139" s="297"/>
      <c r="X139" s="297"/>
      <c r="Y139" s="297">
        <f>E139</f>
        <v>867</v>
      </c>
      <c r="Z139" s="297"/>
      <c r="AA139" s="297"/>
      <c r="AB139" s="297"/>
      <c r="AC139" s="297"/>
      <c r="AD139" s="297"/>
      <c r="AE139" s="297"/>
      <c r="AF139" s="297"/>
      <c r="AG139" s="297"/>
      <c r="AH139" s="297"/>
      <c r="AI139" s="297"/>
      <c r="AJ139" s="297"/>
      <c r="AK139" s="279"/>
      <c r="AL139" s="279"/>
      <c r="AM139" s="279"/>
      <c r="AN139" s="279"/>
      <c r="AO139" s="297"/>
    </row>
    <row r="140" customFormat="1" ht="15.75" customHeight="1" spans="1:41">
      <c r="A140" s="277">
        <v>45512</v>
      </c>
      <c r="B140" s="278">
        <v>1000022390</v>
      </c>
      <c r="C140" s="279" t="s">
        <v>4740</v>
      </c>
      <c r="D140" s="279" t="s">
        <v>4753</v>
      </c>
      <c r="E140" s="279">
        <v>1350</v>
      </c>
      <c r="F140" s="280" t="s">
        <v>4745</v>
      </c>
      <c r="G140" s="959" t="s">
        <v>4742</v>
      </c>
      <c r="H140" s="959" t="s">
        <v>4743</v>
      </c>
      <c r="I140" s="297"/>
      <c r="J140" s="324"/>
      <c r="K140" s="324"/>
      <c r="L140" s="324"/>
      <c r="M140" s="324"/>
      <c r="N140" s="324"/>
      <c r="O140" s="324"/>
      <c r="P140" s="297"/>
      <c r="Q140" s="297"/>
      <c r="R140" s="297"/>
      <c r="S140" s="297"/>
      <c r="T140" s="297"/>
      <c r="U140" s="297"/>
      <c r="V140" s="297"/>
      <c r="W140" s="297"/>
      <c r="X140" s="297"/>
      <c r="Y140" s="297"/>
      <c r="Z140" s="297"/>
      <c r="AA140" s="297"/>
      <c r="AB140" s="297"/>
      <c r="AC140" s="297">
        <f>E140</f>
        <v>1350</v>
      </c>
      <c r="AD140" s="297"/>
      <c r="AE140" s="297"/>
      <c r="AF140" s="297"/>
      <c r="AG140" s="297"/>
      <c r="AH140" s="297"/>
      <c r="AI140" s="297"/>
      <c r="AJ140" s="297"/>
      <c r="AK140" s="279"/>
      <c r="AL140" s="279"/>
      <c r="AM140" s="279"/>
      <c r="AN140" s="279"/>
      <c r="AO140" s="297"/>
    </row>
    <row r="141" customFormat="1" ht="15.75" customHeight="1" spans="1:41">
      <c r="A141" s="277">
        <v>45523</v>
      </c>
      <c r="B141" s="278" t="s">
        <v>4785</v>
      </c>
      <c r="C141" s="279" t="s">
        <v>4740</v>
      </c>
      <c r="D141" s="279">
        <v>77515</v>
      </c>
      <c r="E141" s="279">
        <v>150000</v>
      </c>
      <c r="F141" s="280" t="s">
        <v>4746</v>
      </c>
      <c r="G141" s="959" t="s">
        <v>4747</v>
      </c>
      <c r="H141" s="959" t="s">
        <v>4743</v>
      </c>
      <c r="I141" s="297"/>
      <c r="J141" s="324"/>
      <c r="K141" s="324"/>
      <c r="L141" s="324"/>
      <c r="M141" s="324"/>
      <c r="N141" s="324"/>
      <c r="O141" s="324"/>
      <c r="P141" s="297">
        <f>E141</f>
        <v>150000</v>
      </c>
      <c r="Q141" s="297"/>
      <c r="R141" s="297"/>
      <c r="S141" s="297"/>
      <c r="T141" s="297"/>
      <c r="U141" s="297"/>
      <c r="V141" s="297"/>
      <c r="W141" s="297"/>
      <c r="X141" s="297"/>
      <c r="Y141" s="297"/>
      <c r="Z141" s="297"/>
      <c r="AA141" s="297"/>
      <c r="AB141" s="297"/>
      <c r="AC141" s="297"/>
      <c r="AD141" s="297"/>
      <c r="AE141" s="297"/>
      <c r="AF141" s="297"/>
      <c r="AG141" s="297"/>
      <c r="AH141" s="297"/>
      <c r="AI141" s="297"/>
      <c r="AJ141" s="297"/>
      <c r="AK141" s="279"/>
      <c r="AL141" s="279"/>
      <c r="AM141" s="279"/>
      <c r="AN141" s="279"/>
      <c r="AO141" s="297" t="s">
        <v>4789</v>
      </c>
    </row>
    <row r="142" customFormat="1" ht="15.75" customHeight="1" spans="1:41">
      <c r="A142" s="277">
        <v>45523</v>
      </c>
      <c r="B142" s="278">
        <v>1000022643</v>
      </c>
      <c r="C142" s="279" t="s">
        <v>4740</v>
      </c>
      <c r="D142" s="279" t="s">
        <v>4753</v>
      </c>
      <c r="E142" s="279">
        <v>2500</v>
      </c>
      <c r="F142" s="280" t="s">
        <v>4745</v>
      </c>
      <c r="G142" s="959" t="s">
        <v>4749</v>
      </c>
      <c r="H142" s="959" t="s">
        <v>4743</v>
      </c>
      <c r="I142" s="297"/>
      <c r="J142" s="324"/>
      <c r="K142" s="324"/>
      <c r="L142" s="324"/>
      <c r="M142" s="324"/>
      <c r="N142" s="324"/>
      <c r="O142" s="324"/>
      <c r="P142" s="297"/>
      <c r="Q142" s="297"/>
      <c r="R142" s="297"/>
      <c r="S142" s="297"/>
      <c r="T142" s="297"/>
      <c r="U142" s="297"/>
      <c r="V142" s="297"/>
      <c r="W142" s="297"/>
      <c r="X142" s="297"/>
      <c r="Y142" s="297"/>
      <c r="Z142" s="297"/>
      <c r="AA142" s="297"/>
      <c r="AB142" s="297"/>
      <c r="AC142" s="297"/>
      <c r="AD142" s="297">
        <f>E142</f>
        <v>2500</v>
      </c>
      <c r="AE142" s="297"/>
      <c r="AF142" s="297"/>
      <c r="AG142" s="297"/>
      <c r="AH142" s="297"/>
      <c r="AI142" s="297"/>
      <c r="AJ142" s="297"/>
      <c r="AK142" s="279"/>
      <c r="AL142" s="279"/>
      <c r="AM142" s="279"/>
      <c r="AN142" s="279"/>
      <c r="AO142" s="297"/>
    </row>
    <row r="143" customFormat="1" ht="15.75" customHeight="1" spans="1:42">
      <c r="A143" s="277">
        <v>45537</v>
      </c>
      <c r="B143" s="278">
        <v>1000022840</v>
      </c>
      <c r="C143" s="279" t="s">
        <v>4782</v>
      </c>
      <c r="D143" s="279">
        <v>77516</v>
      </c>
      <c r="E143" s="279">
        <v>3216</v>
      </c>
      <c r="F143" s="280" t="s">
        <v>4760</v>
      </c>
      <c r="G143" s="959" t="s">
        <v>4771</v>
      </c>
      <c r="H143" s="959"/>
      <c r="I143" s="297"/>
      <c r="J143" s="324"/>
      <c r="K143" s="324"/>
      <c r="L143" s="324"/>
      <c r="M143" s="324"/>
      <c r="N143" s="324"/>
      <c r="O143" s="324"/>
      <c r="P143" s="297"/>
      <c r="Q143" s="297"/>
      <c r="R143" s="297"/>
      <c r="S143" s="297"/>
      <c r="T143" s="297"/>
      <c r="U143" s="297"/>
      <c r="V143" s="297"/>
      <c r="W143" s="297"/>
      <c r="X143" s="297"/>
      <c r="Y143" s="297"/>
      <c r="Z143" s="297"/>
      <c r="AA143" s="297"/>
      <c r="AB143" s="297"/>
      <c r="AC143" s="297"/>
      <c r="AD143" s="297"/>
      <c r="AE143" s="297"/>
      <c r="AF143" s="297"/>
      <c r="AG143" s="297"/>
      <c r="AH143" s="297"/>
      <c r="AI143" s="297"/>
      <c r="AJ143" s="297"/>
      <c r="AK143" s="279"/>
      <c r="AL143" s="279"/>
      <c r="AM143" s="279"/>
      <c r="AN143" s="279"/>
      <c r="AO143" s="1691" t="s">
        <v>4797</v>
      </c>
      <c r="AP143">
        <f>3216-E143</f>
        <v>0</v>
      </c>
    </row>
    <row r="144" customFormat="1" ht="15.75" customHeight="1" spans="1:42">
      <c r="A144" s="277">
        <v>45537</v>
      </c>
      <c r="B144" s="278">
        <v>1000022841</v>
      </c>
      <c r="C144" s="279" t="s">
        <v>4782</v>
      </c>
      <c r="D144" s="279">
        <v>77516</v>
      </c>
      <c r="E144" s="279">
        <v>5000</v>
      </c>
      <c r="F144" s="280" t="s">
        <v>4781</v>
      </c>
      <c r="G144" s="959" t="s">
        <v>4749</v>
      </c>
      <c r="H144" s="959"/>
      <c r="I144" s="297"/>
      <c r="J144" s="324"/>
      <c r="K144" s="324"/>
      <c r="L144" s="324"/>
      <c r="M144" s="324"/>
      <c r="N144" s="324"/>
      <c r="O144" s="324"/>
      <c r="P144" s="297"/>
      <c r="Q144" s="297"/>
      <c r="R144" s="297"/>
      <c r="S144" s="297"/>
      <c r="T144" s="297"/>
      <c r="U144" s="297"/>
      <c r="V144" s="297"/>
      <c r="W144" s="297"/>
      <c r="X144" s="297"/>
      <c r="Y144" s="297"/>
      <c r="Z144" s="297"/>
      <c r="AA144" s="297"/>
      <c r="AB144" s="297"/>
      <c r="AC144" s="297"/>
      <c r="AD144" s="297"/>
      <c r="AE144" s="297"/>
      <c r="AF144" s="297"/>
      <c r="AG144" s="297"/>
      <c r="AH144" s="297"/>
      <c r="AI144" s="297"/>
      <c r="AJ144" s="297"/>
      <c r="AK144" s="279"/>
      <c r="AL144" s="279"/>
      <c r="AM144" s="279"/>
      <c r="AN144" s="279"/>
      <c r="AO144" s="1691" t="s">
        <v>4797</v>
      </c>
      <c r="AP144">
        <f>3216-E144</f>
        <v>-1784</v>
      </c>
    </row>
    <row r="145" customFormat="1" ht="15.75" customHeight="1" spans="1:42">
      <c r="A145" s="277">
        <v>45537</v>
      </c>
      <c r="B145" s="278">
        <v>1000022842</v>
      </c>
      <c r="C145" s="279" t="s">
        <v>4782</v>
      </c>
      <c r="D145" s="279">
        <v>77516</v>
      </c>
      <c r="E145" s="279">
        <v>5000</v>
      </c>
      <c r="F145" s="280" t="s">
        <v>4773</v>
      </c>
      <c r="G145" s="959" t="s">
        <v>4771</v>
      </c>
      <c r="H145" s="959"/>
      <c r="I145" s="297"/>
      <c r="J145" s="324"/>
      <c r="K145" s="324"/>
      <c r="L145" s="324"/>
      <c r="M145" s="324"/>
      <c r="N145" s="324"/>
      <c r="O145" s="324"/>
      <c r="P145" s="297"/>
      <c r="Q145" s="297"/>
      <c r="R145" s="297"/>
      <c r="S145" s="297"/>
      <c r="T145" s="297"/>
      <c r="U145" s="297"/>
      <c r="V145" s="297"/>
      <c r="W145" s="297"/>
      <c r="X145" s="297"/>
      <c r="Y145" s="297"/>
      <c r="Z145" s="297"/>
      <c r="AA145" s="297"/>
      <c r="AB145" s="297"/>
      <c r="AC145" s="297"/>
      <c r="AD145" s="297"/>
      <c r="AE145" s="297"/>
      <c r="AF145" s="297"/>
      <c r="AG145" s="297"/>
      <c r="AH145" s="297"/>
      <c r="AI145" s="297"/>
      <c r="AJ145" s="297"/>
      <c r="AK145" s="279"/>
      <c r="AL145" s="279"/>
      <c r="AM145" s="279"/>
      <c r="AN145" s="279"/>
      <c r="AO145" s="1691" t="s">
        <v>4797</v>
      </c>
      <c r="AP145">
        <f>3216-E145</f>
        <v>-1784</v>
      </c>
    </row>
    <row r="146" customFormat="1" ht="15.75" customHeight="1" spans="1:41">
      <c r="A146" s="277">
        <v>45538</v>
      </c>
      <c r="B146" s="278">
        <v>1000022843</v>
      </c>
      <c r="C146" s="279" t="s">
        <v>4740</v>
      </c>
      <c r="D146" s="279" t="s">
        <v>4752</v>
      </c>
      <c r="E146" s="279">
        <v>1623</v>
      </c>
      <c r="F146" s="280" t="s">
        <v>4745</v>
      </c>
      <c r="G146" s="959" t="s">
        <v>4742</v>
      </c>
      <c r="H146" s="959" t="s">
        <v>4743</v>
      </c>
      <c r="I146" s="297"/>
      <c r="J146" s="324"/>
      <c r="K146" s="324"/>
      <c r="L146" s="324"/>
      <c r="M146" s="324"/>
      <c r="N146" s="324"/>
      <c r="O146" s="324"/>
      <c r="P146" s="297"/>
      <c r="Q146" s="297"/>
      <c r="R146" s="297"/>
      <c r="S146" s="297"/>
      <c r="T146" s="297"/>
      <c r="U146" s="297"/>
      <c r="V146" s="297"/>
      <c r="W146" s="297"/>
      <c r="X146" s="297"/>
      <c r="Y146" s="297">
        <f>E146</f>
        <v>1623</v>
      </c>
      <c r="Z146" s="297"/>
      <c r="AA146" s="297"/>
      <c r="AB146" s="297"/>
      <c r="AC146" s="297"/>
      <c r="AD146" s="297"/>
      <c r="AE146" s="297"/>
      <c r="AF146" s="297"/>
      <c r="AG146" s="297"/>
      <c r="AH146" s="297"/>
      <c r="AI146" s="297"/>
      <c r="AJ146" s="297"/>
      <c r="AK146" s="279"/>
      <c r="AL146" s="279"/>
      <c r="AM146" s="279"/>
      <c r="AN146" s="279"/>
      <c r="AO146" s="306"/>
    </row>
    <row r="147" customFormat="1" ht="15.75" customHeight="1" spans="1:41">
      <c r="A147" s="277">
        <v>45538</v>
      </c>
      <c r="B147" s="278">
        <v>1000022844</v>
      </c>
      <c r="C147" s="279" t="s">
        <v>4740</v>
      </c>
      <c r="D147" s="279" t="s">
        <v>4755</v>
      </c>
      <c r="E147" s="279">
        <v>300</v>
      </c>
      <c r="F147" s="280" t="s">
        <v>4756</v>
      </c>
      <c r="G147" s="959" t="s">
        <v>4749</v>
      </c>
      <c r="H147" s="959" t="s">
        <v>4743</v>
      </c>
      <c r="I147" s="297"/>
      <c r="J147" s="324"/>
      <c r="K147" s="324"/>
      <c r="L147" s="324"/>
      <c r="M147" s="324"/>
      <c r="N147" s="324"/>
      <c r="O147" s="324"/>
      <c r="P147" s="297"/>
      <c r="Q147" s="297"/>
      <c r="R147" s="297"/>
      <c r="S147" s="297"/>
      <c r="T147" s="297"/>
      <c r="U147" s="297"/>
      <c r="V147" s="297"/>
      <c r="W147" s="297"/>
      <c r="X147" s="297"/>
      <c r="Y147" s="297"/>
      <c r="Z147" s="297"/>
      <c r="AA147" s="297"/>
      <c r="AB147" s="297"/>
      <c r="AC147" s="297"/>
      <c r="AD147" s="297"/>
      <c r="AE147" s="297"/>
      <c r="AF147" s="297"/>
      <c r="AG147" s="297"/>
      <c r="AH147" s="297"/>
      <c r="AI147" s="297">
        <f>E147</f>
        <v>300</v>
      </c>
      <c r="AJ147" s="297"/>
      <c r="AK147" s="279"/>
      <c r="AL147" s="279"/>
      <c r="AM147" s="279"/>
      <c r="AN147" s="279"/>
      <c r="AO147" s="306"/>
    </row>
    <row r="148" customFormat="1" ht="15.75" customHeight="1" spans="1:41">
      <c r="A148" s="277">
        <v>45577</v>
      </c>
      <c r="B148" s="278" t="s">
        <v>4785</v>
      </c>
      <c r="C148" s="279" t="s">
        <v>4740</v>
      </c>
      <c r="D148" s="279">
        <v>77515</v>
      </c>
      <c r="E148" s="279">
        <v>60000</v>
      </c>
      <c r="F148" s="280" t="s">
        <v>4741</v>
      </c>
      <c r="G148" s="959" t="s">
        <v>4742</v>
      </c>
      <c r="H148" s="959" t="s">
        <v>4750</v>
      </c>
      <c r="I148" s="297">
        <f>E148</f>
        <v>60000</v>
      </c>
      <c r="J148" s="324"/>
      <c r="K148" s="324"/>
      <c r="L148" s="324"/>
      <c r="M148" s="324"/>
      <c r="N148" s="324"/>
      <c r="O148" s="324"/>
      <c r="P148" s="297"/>
      <c r="Q148" s="297"/>
      <c r="R148" s="297"/>
      <c r="S148" s="297"/>
      <c r="T148" s="297"/>
      <c r="U148" s="297"/>
      <c r="V148" s="297"/>
      <c r="W148" s="297"/>
      <c r="X148" s="297"/>
      <c r="Y148" s="297"/>
      <c r="Z148" s="297"/>
      <c r="AA148" s="297"/>
      <c r="AB148" s="297"/>
      <c r="AC148" s="297"/>
      <c r="AD148" s="297"/>
      <c r="AE148" s="297"/>
      <c r="AF148" s="297"/>
      <c r="AG148" s="297"/>
      <c r="AH148" s="297"/>
      <c r="AI148" s="297"/>
      <c r="AJ148" s="297"/>
      <c r="AK148" s="279"/>
      <c r="AL148" s="279"/>
      <c r="AM148" s="279"/>
      <c r="AN148" s="279"/>
      <c r="AO148" s="306"/>
    </row>
    <row r="149" customFormat="1" ht="15.75" customHeight="1" spans="1:41">
      <c r="A149" s="277">
        <v>45555</v>
      </c>
      <c r="B149" s="278">
        <v>1000023271</v>
      </c>
      <c r="C149" s="279" t="s">
        <v>4740</v>
      </c>
      <c r="D149" s="279" t="s">
        <v>4754</v>
      </c>
      <c r="E149" s="279">
        <v>500</v>
      </c>
      <c r="F149" s="280" t="s">
        <v>4745</v>
      </c>
      <c r="G149" s="959" t="s">
        <v>4749</v>
      </c>
      <c r="H149" s="959" t="s">
        <v>4743</v>
      </c>
      <c r="I149" s="297"/>
      <c r="J149" s="324"/>
      <c r="K149" s="324"/>
      <c r="L149" s="324"/>
      <c r="M149" s="324"/>
      <c r="N149" s="324"/>
      <c r="O149" s="324"/>
      <c r="P149" s="297"/>
      <c r="Q149" s="297"/>
      <c r="R149" s="297"/>
      <c r="S149" s="297"/>
      <c r="T149" s="297"/>
      <c r="U149" s="297"/>
      <c r="V149" s="297"/>
      <c r="W149" s="297">
        <f>E149</f>
        <v>500</v>
      </c>
      <c r="X149" s="297"/>
      <c r="Y149" s="297"/>
      <c r="Z149" s="297"/>
      <c r="AA149" s="297"/>
      <c r="AB149" s="297"/>
      <c r="AC149" s="297"/>
      <c r="AD149" s="297"/>
      <c r="AE149" s="297"/>
      <c r="AF149" s="297"/>
      <c r="AG149" s="297"/>
      <c r="AH149" s="297"/>
      <c r="AI149" s="297"/>
      <c r="AJ149" s="297"/>
      <c r="AK149" s="279"/>
      <c r="AL149" s="279"/>
      <c r="AM149" s="279"/>
      <c r="AN149" s="279"/>
      <c r="AO149" s="306"/>
    </row>
    <row r="150" customFormat="1" ht="15.75" customHeight="1" spans="1:41">
      <c r="A150" s="277">
        <v>45597</v>
      </c>
      <c r="B150" s="278" t="s">
        <v>4785</v>
      </c>
      <c r="C150" s="279" t="s">
        <v>4740</v>
      </c>
      <c r="D150" s="279">
        <v>77515</v>
      </c>
      <c r="E150" s="279">
        <v>40000</v>
      </c>
      <c r="F150" s="280" t="s">
        <v>4741</v>
      </c>
      <c r="G150" s="959" t="s">
        <v>4742</v>
      </c>
      <c r="H150" s="959" t="s">
        <v>4750</v>
      </c>
      <c r="I150" s="297">
        <f>E150</f>
        <v>40000</v>
      </c>
      <c r="J150" s="324"/>
      <c r="K150" s="324"/>
      <c r="L150" s="324"/>
      <c r="M150" s="324"/>
      <c r="N150" s="324"/>
      <c r="O150" s="324"/>
      <c r="P150" s="297"/>
      <c r="Q150" s="297"/>
      <c r="R150" s="297"/>
      <c r="S150" s="297"/>
      <c r="T150" s="297"/>
      <c r="U150" s="297"/>
      <c r="V150" s="297"/>
      <c r="W150" s="297"/>
      <c r="X150" s="297"/>
      <c r="Y150" s="297"/>
      <c r="Z150" s="297"/>
      <c r="AA150" s="297"/>
      <c r="AB150" s="297"/>
      <c r="AC150" s="297"/>
      <c r="AD150" s="297"/>
      <c r="AE150" s="297"/>
      <c r="AF150" s="297"/>
      <c r="AG150" s="297"/>
      <c r="AH150" s="297"/>
      <c r="AI150" s="297"/>
      <c r="AJ150" s="297"/>
      <c r="AK150" s="279"/>
      <c r="AL150" s="279"/>
      <c r="AM150" s="279"/>
      <c r="AN150" s="279"/>
      <c r="AO150" s="306"/>
    </row>
    <row r="151" customFormat="1" ht="15.75" customHeight="1" spans="1:41">
      <c r="A151" s="277">
        <v>45597</v>
      </c>
      <c r="B151" s="278">
        <v>1000024174</v>
      </c>
      <c r="C151" s="279" t="s">
        <v>4740</v>
      </c>
      <c r="D151" s="279" t="s">
        <v>4752</v>
      </c>
      <c r="E151" s="279">
        <v>900</v>
      </c>
      <c r="F151" s="280" t="s">
        <v>4745</v>
      </c>
      <c r="G151" s="959" t="s">
        <v>4742</v>
      </c>
      <c r="H151" s="959" t="s">
        <v>4743</v>
      </c>
      <c r="I151" s="297"/>
      <c r="J151" s="324"/>
      <c r="K151" s="324"/>
      <c r="L151" s="324"/>
      <c r="M151" s="324"/>
      <c r="N151" s="324"/>
      <c r="O151" s="324"/>
      <c r="P151" s="297"/>
      <c r="Q151" s="297"/>
      <c r="R151" s="297"/>
      <c r="S151" s="297"/>
      <c r="T151" s="297"/>
      <c r="U151" s="297"/>
      <c r="V151" s="297"/>
      <c r="W151" s="297"/>
      <c r="X151" s="297"/>
      <c r="Y151" s="297">
        <f>E151</f>
        <v>900</v>
      </c>
      <c r="Z151" s="297"/>
      <c r="AA151" s="297"/>
      <c r="AB151" s="297"/>
      <c r="AC151" s="297"/>
      <c r="AD151" s="297"/>
      <c r="AE151" s="297"/>
      <c r="AF151" s="297"/>
      <c r="AG151" s="297"/>
      <c r="AH151" s="297"/>
      <c r="AI151" s="297"/>
      <c r="AJ151" s="297"/>
      <c r="AK151" s="279"/>
      <c r="AL151" s="279"/>
      <c r="AM151" s="279"/>
      <c r="AN151" s="279"/>
      <c r="AO151" s="306"/>
    </row>
    <row r="152" customFormat="1" ht="15.75" customHeight="1" spans="1:41">
      <c r="A152" s="277">
        <v>45597</v>
      </c>
      <c r="B152" s="278">
        <v>1000024175</v>
      </c>
      <c r="C152" s="279" t="s">
        <v>4740</v>
      </c>
      <c r="D152" s="279" t="s">
        <v>4757</v>
      </c>
      <c r="E152" s="279">
        <v>120</v>
      </c>
      <c r="F152" s="280" t="s">
        <v>4756</v>
      </c>
      <c r="G152" s="959" t="s">
        <v>4742</v>
      </c>
      <c r="H152" s="959" t="s">
        <v>4743</v>
      </c>
      <c r="I152" s="297"/>
      <c r="J152" s="324"/>
      <c r="K152" s="324"/>
      <c r="L152" s="324"/>
      <c r="M152" s="324"/>
      <c r="N152" s="324"/>
      <c r="O152" s="324"/>
      <c r="P152" s="297"/>
      <c r="Q152" s="297"/>
      <c r="R152" s="297"/>
      <c r="S152" s="297"/>
      <c r="T152" s="297"/>
      <c r="U152" s="297"/>
      <c r="V152" s="297"/>
      <c r="W152" s="297"/>
      <c r="X152" s="297"/>
      <c r="Y152" s="297"/>
      <c r="Z152" s="297"/>
      <c r="AA152" s="297"/>
      <c r="AB152" s="297"/>
      <c r="AC152" s="297"/>
      <c r="AD152" s="297"/>
      <c r="AE152" s="297">
        <f>E152</f>
        <v>120</v>
      </c>
      <c r="AF152" s="297"/>
      <c r="AG152" s="297"/>
      <c r="AH152" s="297"/>
      <c r="AI152" s="297"/>
      <c r="AJ152" s="297"/>
      <c r="AK152" s="279"/>
      <c r="AL152" s="279"/>
      <c r="AM152" s="279"/>
      <c r="AN152" s="279"/>
      <c r="AO152" s="306"/>
    </row>
    <row r="153" customFormat="1" ht="15.75" customHeight="1" spans="1:41">
      <c r="A153" s="277">
        <v>45597</v>
      </c>
      <c r="B153" s="278">
        <v>1000024176</v>
      </c>
      <c r="C153" s="279" t="s">
        <v>4740</v>
      </c>
      <c r="D153" s="279" t="s">
        <v>4753</v>
      </c>
      <c r="E153" s="279">
        <v>674</v>
      </c>
      <c r="F153" s="280" t="s">
        <v>4745</v>
      </c>
      <c r="G153" s="959" t="s">
        <v>4749</v>
      </c>
      <c r="H153" s="959" t="s">
        <v>4743</v>
      </c>
      <c r="I153" s="297"/>
      <c r="J153" s="324"/>
      <c r="K153" s="324"/>
      <c r="L153" s="324"/>
      <c r="M153" s="324"/>
      <c r="N153" s="324"/>
      <c r="O153" s="324"/>
      <c r="P153" s="297"/>
      <c r="Q153" s="297"/>
      <c r="R153" s="297"/>
      <c r="S153" s="297"/>
      <c r="T153" s="297"/>
      <c r="U153" s="297"/>
      <c r="V153" s="297"/>
      <c r="W153" s="297"/>
      <c r="X153" s="297"/>
      <c r="Y153" s="297"/>
      <c r="Z153" s="297"/>
      <c r="AA153" s="297"/>
      <c r="AB153" s="297"/>
      <c r="AC153" s="297"/>
      <c r="AD153" s="297">
        <f>E153</f>
        <v>674</v>
      </c>
      <c r="AE153" s="297"/>
      <c r="AF153" s="297"/>
      <c r="AG153" s="297"/>
      <c r="AH153" s="297"/>
      <c r="AI153" s="297"/>
      <c r="AJ153" s="297"/>
      <c r="AK153" s="279"/>
      <c r="AL153" s="279"/>
      <c r="AM153" s="279"/>
      <c r="AN153" s="279"/>
      <c r="AO153" s="306"/>
    </row>
    <row r="154" customFormat="1" ht="15.75" customHeight="1" spans="1:41">
      <c r="A154" s="277">
        <v>45597</v>
      </c>
      <c r="B154" s="278" t="s">
        <v>4785</v>
      </c>
      <c r="C154" s="279" t="s">
        <v>4740</v>
      </c>
      <c r="D154" s="279">
        <v>77515</v>
      </c>
      <c r="E154" s="279">
        <v>90000</v>
      </c>
      <c r="F154" s="280" t="s">
        <v>4746</v>
      </c>
      <c r="G154" s="959" t="s">
        <v>4747</v>
      </c>
      <c r="H154" s="959" t="s">
        <v>4743</v>
      </c>
      <c r="I154" s="297"/>
      <c r="J154" s="324"/>
      <c r="K154" s="324"/>
      <c r="L154" s="324"/>
      <c r="M154" s="324"/>
      <c r="N154" s="324"/>
      <c r="O154" s="324"/>
      <c r="P154" s="297">
        <f>E154</f>
        <v>90000</v>
      </c>
      <c r="Q154" s="297"/>
      <c r="R154" s="297"/>
      <c r="S154" s="297"/>
      <c r="T154" s="297"/>
      <c r="U154" s="297"/>
      <c r="V154" s="297"/>
      <c r="W154" s="297"/>
      <c r="X154" s="297"/>
      <c r="Y154" s="297"/>
      <c r="Z154" s="297"/>
      <c r="AA154" s="297"/>
      <c r="AB154" s="297"/>
      <c r="AC154" s="297"/>
      <c r="AD154" s="297"/>
      <c r="AE154" s="297"/>
      <c r="AF154" s="297"/>
      <c r="AG154" s="297"/>
      <c r="AH154" s="297"/>
      <c r="AI154" s="297"/>
      <c r="AJ154" s="297"/>
      <c r="AK154" s="279"/>
      <c r="AL154" s="279"/>
      <c r="AM154" s="279"/>
      <c r="AN154" s="279"/>
      <c r="AO154" s="306"/>
    </row>
    <row r="155" customFormat="1" ht="15.75" customHeight="1" spans="1:41">
      <c r="A155" s="277">
        <v>45611</v>
      </c>
      <c r="B155" s="278">
        <v>1000024524</v>
      </c>
      <c r="C155" s="279" t="s">
        <v>4740</v>
      </c>
      <c r="D155" s="279" t="s">
        <v>4753</v>
      </c>
      <c r="E155" s="279">
        <v>500</v>
      </c>
      <c r="F155" s="280" t="s">
        <v>4745</v>
      </c>
      <c r="G155" s="959" t="s">
        <v>4749</v>
      </c>
      <c r="H155" s="959" t="s">
        <v>4743</v>
      </c>
      <c r="I155" s="297"/>
      <c r="J155" s="324"/>
      <c r="K155" s="324"/>
      <c r="L155" s="324"/>
      <c r="M155" s="324"/>
      <c r="N155" s="324"/>
      <c r="O155" s="324"/>
      <c r="P155" s="297"/>
      <c r="Q155" s="297"/>
      <c r="R155" s="297"/>
      <c r="S155" s="297"/>
      <c r="T155" s="297"/>
      <c r="U155" s="297"/>
      <c r="V155" s="297"/>
      <c r="W155" s="297"/>
      <c r="X155" s="297"/>
      <c r="Y155" s="297"/>
      <c r="Z155" s="297"/>
      <c r="AA155" s="297"/>
      <c r="AB155" s="297"/>
      <c r="AC155" s="297"/>
      <c r="AD155" s="297">
        <f>E155</f>
        <v>500</v>
      </c>
      <c r="AE155" s="297"/>
      <c r="AF155" s="297"/>
      <c r="AG155" s="297"/>
      <c r="AH155" s="297"/>
      <c r="AI155" s="297"/>
      <c r="AJ155" s="297"/>
      <c r="AK155" s="279"/>
      <c r="AL155" s="279"/>
      <c r="AM155" s="279"/>
      <c r="AN155" s="279"/>
      <c r="AO155" s="306"/>
    </row>
    <row r="156" customFormat="1" ht="15.75" customHeight="1" spans="1:41">
      <c r="A156" s="277">
        <v>45611</v>
      </c>
      <c r="B156" s="278">
        <v>1000024525</v>
      </c>
      <c r="C156" s="279" t="s">
        <v>4740</v>
      </c>
      <c r="D156" s="279" t="s">
        <v>4757</v>
      </c>
      <c r="E156" s="279">
        <v>100</v>
      </c>
      <c r="F156" s="280" t="s">
        <v>4758</v>
      </c>
      <c r="G156" s="959" t="s">
        <v>4776</v>
      </c>
      <c r="H156" s="959" t="s">
        <v>4743</v>
      </c>
      <c r="I156" s="297"/>
      <c r="J156" s="324"/>
      <c r="K156" s="324"/>
      <c r="L156" s="324"/>
      <c r="M156" s="324"/>
      <c r="N156" s="324"/>
      <c r="O156" s="324"/>
      <c r="P156" s="297"/>
      <c r="Q156" s="297"/>
      <c r="R156" s="297"/>
      <c r="S156" s="297"/>
      <c r="T156" s="297"/>
      <c r="U156" s="297"/>
      <c r="V156" s="297"/>
      <c r="W156" s="297"/>
      <c r="X156" s="297"/>
      <c r="Y156" s="297"/>
      <c r="Z156" s="297"/>
      <c r="AA156" s="297"/>
      <c r="AB156" s="297"/>
      <c r="AC156" s="297"/>
      <c r="AD156" s="297"/>
      <c r="AE156" s="297"/>
      <c r="AF156" s="297"/>
      <c r="AG156" s="297">
        <f>E156</f>
        <v>100</v>
      </c>
      <c r="AH156" s="297"/>
      <c r="AI156" s="297"/>
      <c r="AJ156" s="297"/>
      <c r="AK156" s="279"/>
      <c r="AL156" s="279"/>
      <c r="AM156" s="279"/>
      <c r="AN156" s="279"/>
      <c r="AO156" s="306"/>
    </row>
    <row r="157" customFormat="1" ht="15.75" customHeight="1" spans="1:41">
      <c r="A157" s="277">
        <v>45615</v>
      </c>
      <c r="B157" s="278" t="s">
        <v>4798</v>
      </c>
      <c r="C157" s="279" t="s">
        <v>4799</v>
      </c>
      <c r="D157" s="279" t="s">
        <v>4752</v>
      </c>
      <c r="E157" s="279">
        <v>22000</v>
      </c>
      <c r="F157" s="280" t="s">
        <v>4768</v>
      </c>
      <c r="G157" s="959" t="s">
        <v>4800</v>
      </c>
      <c r="H157" s="959"/>
      <c r="I157" s="297"/>
      <c r="J157" s="324"/>
      <c r="K157" s="324"/>
      <c r="L157" s="324"/>
      <c r="M157" s="324"/>
      <c r="N157" s="324"/>
      <c r="O157" s="324"/>
      <c r="P157" s="297"/>
      <c r="Q157" s="297"/>
      <c r="R157" s="297"/>
      <c r="S157" s="297"/>
      <c r="T157" s="297"/>
      <c r="U157" s="297"/>
      <c r="V157" s="297"/>
      <c r="W157" s="297"/>
      <c r="X157" s="297"/>
      <c r="Y157" s="297"/>
      <c r="Z157" s="297"/>
      <c r="AA157" s="297"/>
      <c r="AB157" s="297"/>
      <c r="AC157" s="297"/>
      <c r="AD157" s="297"/>
      <c r="AE157" s="297"/>
      <c r="AF157" s="297"/>
      <c r="AG157" s="297"/>
      <c r="AH157" s="297"/>
      <c r="AI157" s="297"/>
      <c r="AJ157" s="297"/>
      <c r="AK157" s="279"/>
      <c r="AL157" s="279"/>
      <c r="AM157" s="279"/>
      <c r="AN157" s="279"/>
      <c r="AO157" s="306" t="s">
        <v>4801</v>
      </c>
    </row>
    <row r="158" customFormat="1" ht="15.75" customHeight="1" spans="1:41">
      <c r="A158" s="277">
        <v>45615</v>
      </c>
      <c r="B158" s="278" t="s">
        <v>4802</v>
      </c>
      <c r="C158" s="279" t="s">
        <v>4799</v>
      </c>
      <c r="D158" s="279" t="s">
        <v>4752</v>
      </c>
      <c r="E158" s="279">
        <v>3000</v>
      </c>
      <c r="F158" s="280" t="s">
        <v>4803</v>
      </c>
      <c r="G158" s="959" t="s">
        <v>4804</v>
      </c>
      <c r="H158" s="959"/>
      <c r="I158" s="297"/>
      <c r="J158" s="324"/>
      <c r="K158" s="324"/>
      <c r="L158" s="324"/>
      <c r="M158" s="324"/>
      <c r="N158" s="324"/>
      <c r="O158" s="324"/>
      <c r="P158" s="297"/>
      <c r="Q158" s="297"/>
      <c r="R158" s="297"/>
      <c r="S158" s="297"/>
      <c r="T158" s="297"/>
      <c r="U158" s="297"/>
      <c r="V158" s="297"/>
      <c r="W158" s="297"/>
      <c r="X158" s="297"/>
      <c r="Y158" s="297"/>
      <c r="Z158" s="297"/>
      <c r="AA158" s="297"/>
      <c r="AB158" s="297"/>
      <c r="AC158" s="297"/>
      <c r="AD158" s="297"/>
      <c r="AE158" s="297"/>
      <c r="AF158" s="297"/>
      <c r="AG158" s="297"/>
      <c r="AH158" s="297"/>
      <c r="AI158" s="297"/>
      <c r="AJ158" s="297"/>
      <c r="AK158" s="279"/>
      <c r="AL158" s="279"/>
      <c r="AM158" s="279"/>
      <c r="AN158" s="279"/>
      <c r="AO158" s="306" t="s">
        <v>4801</v>
      </c>
    </row>
    <row r="159" customFormat="1" ht="15.75" customHeight="1" spans="1:41">
      <c r="A159" s="277">
        <v>45615</v>
      </c>
      <c r="B159" s="278" t="s">
        <v>4805</v>
      </c>
      <c r="C159" s="279" t="s">
        <v>4799</v>
      </c>
      <c r="D159" s="279" t="s">
        <v>4752</v>
      </c>
      <c r="E159" s="279">
        <v>3000</v>
      </c>
      <c r="F159" s="280" t="s">
        <v>4806</v>
      </c>
      <c r="G159" s="959" t="s">
        <v>4804</v>
      </c>
      <c r="H159" s="959"/>
      <c r="I159" s="297"/>
      <c r="J159" s="324"/>
      <c r="K159" s="324"/>
      <c r="L159" s="324"/>
      <c r="M159" s="324"/>
      <c r="N159" s="324"/>
      <c r="O159" s="324"/>
      <c r="P159" s="297"/>
      <c r="Q159" s="297"/>
      <c r="R159" s="297"/>
      <c r="S159" s="297"/>
      <c r="T159" s="297"/>
      <c r="U159" s="297"/>
      <c r="V159" s="297"/>
      <c r="W159" s="297"/>
      <c r="X159" s="297"/>
      <c r="Y159" s="297"/>
      <c r="Z159" s="297"/>
      <c r="AA159" s="297"/>
      <c r="AB159" s="297"/>
      <c r="AC159" s="297"/>
      <c r="AD159" s="297"/>
      <c r="AE159" s="297"/>
      <c r="AF159" s="297"/>
      <c r="AG159" s="297"/>
      <c r="AH159" s="297"/>
      <c r="AI159" s="297"/>
      <c r="AJ159" s="297"/>
      <c r="AK159" s="279"/>
      <c r="AL159" s="279"/>
      <c r="AM159" s="279"/>
      <c r="AN159" s="279"/>
      <c r="AO159" s="306" t="s">
        <v>4801</v>
      </c>
    </row>
    <row r="160" customFormat="1" ht="15.75" customHeight="1" spans="1:41">
      <c r="A160" s="277">
        <v>45622</v>
      </c>
      <c r="B160" s="278">
        <v>1000024717</v>
      </c>
      <c r="C160" s="279" t="s">
        <v>4740</v>
      </c>
      <c r="D160" s="279" t="s">
        <v>4752</v>
      </c>
      <c r="E160" s="279">
        <v>500</v>
      </c>
      <c r="F160" s="280" t="s">
        <v>4745</v>
      </c>
      <c r="G160" s="959" t="s">
        <v>4742</v>
      </c>
      <c r="H160" s="959" t="s">
        <v>4743</v>
      </c>
      <c r="I160" s="297"/>
      <c r="J160" s="324"/>
      <c r="K160" s="324"/>
      <c r="L160" s="324"/>
      <c r="M160" s="324"/>
      <c r="N160" s="324"/>
      <c r="O160" s="324"/>
      <c r="P160" s="297"/>
      <c r="Q160" s="297"/>
      <c r="R160" s="297"/>
      <c r="S160" s="297"/>
      <c r="T160" s="297"/>
      <c r="U160" s="297"/>
      <c r="V160" s="297"/>
      <c r="W160" s="297"/>
      <c r="X160" s="297"/>
      <c r="Y160" s="297">
        <f>E160</f>
        <v>500</v>
      </c>
      <c r="Z160" s="297"/>
      <c r="AA160" s="297"/>
      <c r="AB160" s="297"/>
      <c r="AC160" s="297"/>
      <c r="AD160" s="297"/>
      <c r="AE160" s="297"/>
      <c r="AF160" s="297"/>
      <c r="AG160" s="297"/>
      <c r="AH160" s="297"/>
      <c r="AI160" s="297"/>
      <c r="AJ160" s="297"/>
      <c r="AK160" s="279"/>
      <c r="AL160" s="279"/>
      <c r="AM160" s="279"/>
      <c r="AN160" s="279"/>
      <c r="AO160" s="306"/>
    </row>
    <row r="161" customFormat="1" ht="15.75" customHeight="1" spans="1:42">
      <c r="A161" s="277">
        <v>45621</v>
      </c>
      <c r="B161" s="278" t="s">
        <v>4807</v>
      </c>
      <c r="C161" s="279" t="s">
        <v>4778</v>
      </c>
      <c r="D161" s="279" t="s">
        <v>4705</v>
      </c>
      <c r="E161" s="279">
        <v>500</v>
      </c>
      <c r="F161" s="279" t="s">
        <v>4745</v>
      </c>
      <c r="G161" s="959"/>
      <c r="H161" s="959" t="s">
        <v>4743</v>
      </c>
      <c r="I161" s="297"/>
      <c r="J161" s="324"/>
      <c r="K161" s="324"/>
      <c r="L161" s="324"/>
      <c r="M161" s="324"/>
      <c r="N161" s="324"/>
      <c r="O161" s="324"/>
      <c r="P161" s="297"/>
      <c r="Q161" s="297"/>
      <c r="R161" s="297"/>
      <c r="S161" s="297"/>
      <c r="T161" s="297"/>
      <c r="U161" s="297"/>
      <c r="V161" s="297"/>
      <c r="W161" s="297"/>
      <c r="X161" s="297"/>
      <c r="Y161" s="297"/>
      <c r="Z161" s="297"/>
      <c r="AA161" s="297"/>
      <c r="AB161" s="297"/>
      <c r="AC161" s="297"/>
      <c r="AD161" s="297"/>
      <c r="AE161" s="297"/>
      <c r="AF161" s="297"/>
      <c r="AG161" s="297"/>
      <c r="AH161" s="297"/>
      <c r="AI161" s="297"/>
      <c r="AJ161" s="297"/>
      <c r="AK161" s="279"/>
      <c r="AL161" s="279"/>
      <c r="AM161" s="279"/>
      <c r="AN161" s="279"/>
      <c r="AO161" s="306" t="s">
        <v>4808</v>
      </c>
      <c r="AP161" t="s">
        <v>4809</v>
      </c>
    </row>
    <row r="162" customFormat="1" ht="15.75" customHeight="1" spans="1:42">
      <c r="A162" s="277">
        <v>45621</v>
      </c>
      <c r="B162" s="278" t="s">
        <v>1861</v>
      </c>
      <c r="C162" s="279" t="s">
        <v>4778</v>
      </c>
      <c r="D162" s="279">
        <v>77515</v>
      </c>
      <c r="E162" s="279">
        <v>20000</v>
      </c>
      <c r="F162" s="279" t="s">
        <v>4768</v>
      </c>
      <c r="G162" s="959"/>
      <c r="H162" s="959" t="s">
        <v>4743</v>
      </c>
      <c r="I162" s="297"/>
      <c r="J162" s="324"/>
      <c r="K162" s="324"/>
      <c r="L162" s="324"/>
      <c r="M162" s="324"/>
      <c r="N162" s="324"/>
      <c r="O162" s="324"/>
      <c r="P162" s="297"/>
      <c r="Q162" s="297"/>
      <c r="R162" s="297"/>
      <c r="S162" s="297"/>
      <c r="T162" s="297"/>
      <c r="U162" s="297"/>
      <c r="V162" s="297"/>
      <c r="W162" s="297"/>
      <c r="X162" s="297"/>
      <c r="Y162" s="297"/>
      <c r="Z162" s="297"/>
      <c r="AA162" s="297"/>
      <c r="AB162" s="297"/>
      <c r="AC162" s="297"/>
      <c r="AD162" s="297"/>
      <c r="AE162" s="297"/>
      <c r="AF162" s="297"/>
      <c r="AG162" s="297"/>
      <c r="AH162" s="297"/>
      <c r="AI162" s="297"/>
      <c r="AJ162" s="297"/>
      <c r="AK162" s="279"/>
      <c r="AL162" s="279"/>
      <c r="AM162" s="279"/>
      <c r="AN162" s="279"/>
      <c r="AO162" s="306" t="s">
        <v>4808</v>
      </c>
      <c r="AP162" t="s">
        <v>4810</v>
      </c>
    </row>
    <row r="163" customFormat="1" ht="15.75" customHeight="1" spans="1:41">
      <c r="A163" s="277">
        <v>45630</v>
      </c>
      <c r="B163" s="278" t="s">
        <v>4785</v>
      </c>
      <c r="C163" s="279" t="s">
        <v>4740</v>
      </c>
      <c r="D163" s="279">
        <v>77515</v>
      </c>
      <c r="E163" s="279">
        <v>25000</v>
      </c>
      <c r="F163" s="279" t="s">
        <v>4741</v>
      </c>
      <c r="G163" s="959" t="s">
        <v>4742</v>
      </c>
      <c r="H163" s="959" t="s">
        <v>4750</v>
      </c>
      <c r="I163" s="297">
        <f>E163</f>
        <v>25000</v>
      </c>
      <c r="J163" s="324"/>
      <c r="K163" s="324"/>
      <c r="L163" s="324"/>
      <c r="M163" s="324"/>
      <c r="N163" s="324"/>
      <c r="O163" s="324"/>
      <c r="P163" s="297"/>
      <c r="Q163" s="297"/>
      <c r="R163" s="297"/>
      <c r="S163" s="297"/>
      <c r="T163" s="297"/>
      <c r="U163" s="297"/>
      <c r="V163" s="297"/>
      <c r="W163" s="297"/>
      <c r="X163" s="297"/>
      <c r="Y163" s="297"/>
      <c r="Z163" s="297"/>
      <c r="AA163" s="297"/>
      <c r="AB163" s="297"/>
      <c r="AC163" s="297"/>
      <c r="AD163" s="297"/>
      <c r="AE163" s="297"/>
      <c r="AF163" s="297"/>
      <c r="AG163" s="297"/>
      <c r="AH163" s="297"/>
      <c r="AI163" s="297"/>
      <c r="AJ163" s="297"/>
      <c r="AK163" s="279"/>
      <c r="AL163" s="279"/>
      <c r="AM163" s="279"/>
      <c r="AN163" s="279"/>
      <c r="AO163" s="306"/>
    </row>
    <row r="164" customFormat="1" ht="15.75" customHeight="1" spans="1:41">
      <c r="A164" s="277">
        <v>45630</v>
      </c>
      <c r="B164" s="278">
        <v>1000024904</v>
      </c>
      <c r="C164" s="279" t="s">
        <v>4740</v>
      </c>
      <c r="D164" s="279" t="s">
        <v>4752</v>
      </c>
      <c r="E164" s="279">
        <v>500</v>
      </c>
      <c r="F164" s="279" t="s">
        <v>4745</v>
      </c>
      <c r="G164" s="959" t="s">
        <v>4742</v>
      </c>
      <c r="H164" s="959" t="s">
        <v>4743</v>
      </c>
      <c r="I164" s="297"/>
      <c r="J164" s="324"/>
      <c r="K164" s="324"/>
      <c r="L164" s="324"/>
      <c r="M164" s="324"/>
      <c r="N164" s="324"/>
      <c r="O164" s="324"/>
      <c r="P164" s="297"/>
      <c r="Q164" s="297"/>
      <c r="R164" s="297"/>
      <c r="S164" s="297"/>
      <c r="T164" s="297"/>
      <c r="U164" s="297"/>
      <c r="V164" s="297"/>
      <c r="W164" s="297"/>
      <c r="X164" s="297"/>
      <c r="Y164" s="297">
        <f>E164</f>
        <v>500</v>
      </c>
      <c r="Z164" s="297"/>
      <c r="AA164" s="297"/>
      <c r="AB164" s="297"/>
      <c r="AC164" s="297"/>
      <c r="AD164" s="297"/>
      <c r="AE164" s="297"/>
      <c r="AF164" s="297"/>
      <c r="AG164" s="297"/>
      <c r="AH164" s="297"/>
      <c r="AI164" s="297"/>
      <c r="AJ164" s="297"/>
      <c r="AK164" s="279"/>
      <c r="AL164" s="279"/>
      <c r="AM164" s="279"/>
      <c r="AN164" s="279"/>
      <c r="AO164" s="306"/>
    </row>
    <row r="165" customFormat="1" ht="15.75" customHeight="1" spans="1:41">
      <c r="A165" s="277">
        <v>45630</v>
      </c>
      <c r="B165" s="278" t="s">
        <v>4785</v>
      </c>
      <c r="C165" s="279" t="s">
        <v>4740</v>
      </c>
      <c r="D165" s="279">
        <v>77515</v>
      </c>
      <c r="E165" s="279">
        <v>60000</v>
      </c>
      <c r="F165" s="279" t="s">
        <v>4746</v>
      </c>
      <c r="G165" s="959" t="s">
        <v>4747</v>
      </c>
      <c r="H165" s="959" t="s">
        <v>4743</v>
      </c>
      <c r="I165" s="297"/>
      <c r="J165" s="324"/>
      <c r="K165" s="324"/>
      <c r="L165" s="324"/>
      <c r="M165" s="324"/>
      <c r="N165" s="324"/>
      <c r="O165" s="324"/>
      <c r="P165" s="297">
        <f>E165</f>
        <v>60000</v>
      </c>
      <c r="Q165" s="297"/>
      <c r="R165" s="297"/>
      <c r="S165" s="297"/>
      <c r="T165" s="297"/>
      <c r="U165" s="297"/>
      <c r="V165" s="297"/>
      <c r="W165" s="297"/>
      <c r="X165" s="297"/>
      <c r="Y165" s="297"/>
      <c r="Z165" s="297"/>
      <c r="AA165" s="297"/>
      <c r="AB165" s="297"/>
      <c r="AC165" s="297"/>
      <c r="AD165" s="297"/>
      <c r="AE165" s="297"/>
      <c r="AF165" s="297"/>
      <c r="AG165" s="297"/>
      <c r="AH165" s="297"/>
      <c r="AI165" s="297"/>
      <c r="AJ165" s="297"/>
      <c r="AK165" s="279"/>
      <c r="AL165" s="279"/>
      <c r="AM165" s="279"/>
      <c r="AN165" s="279"/>
      <c r="AO165" s="306"/>
    </row>
    <row r="166" customFormat="1" ht="15.75" customHeight="1" spans="1:41">
      <c r="A166" s="277">
        <v>45644</v>
      </c>
      <c r="B166" s="278">
        <v>1000025200</v>
      </c>
      <c r="C166" s="279" t="s">
        <v>4740</v>
      </c>
      <c r="D166" s="279" t="s">
        <v>4753</v>
      </c>
      <c r="E166" s="279">
        <v>500</v>
      </c>
      <c r="F166" s="279" t="s">
        <v>4745</v>
      </c>
      <c r="G166" s="959" t="s">
        <v>4749</v>
      </c>
      <c r="H166" s="959" t="s">
        <v>4743</v>
      </c>
      <c r="I166" s="297"/>
      <c r="J166" s="324"/>
      <c r="K166" s="324"/>
      <c r="L166" s="324"/>
      <c r="M166" s="324"/>
      <c r="N166" s="324"/>
      <c r="O166" s="324"/>
      <c r="P166" s="297"/>
      <c r="Q166" s="297"/>
      <c r="R166" s="297"/>
      <c r="S166" s="297"/>
      <c r="T166" s="297"/>
      <c r="U166" s="297"/>
      <c r="V166" s="297"/>
      <c r="W166" s="297"/>
      <c r="X166" s="297"/>
      <c r="Y166" s="297"/>
      <c r="Z166" s="297"/>
      <c r="AA166" s="297"/>
      <c r="AB166" s="297"/>
      <c r="AC166" s="297"/>
      <c r="AD166" s="297">
        <f>E166</f>
        <v>500</v>
      </c>
      <c r="AE166" s="297"/>
      <c r="AF166" s="297"/>
      <c r="AG166" s="297"/>
      <c r="AH166" s="297"/>
      <c r="AI166" s="297"/>
      <c r="AJ166" s="297"/>
      <c r="AK166" s="279"/>
      <c r="AL166" s="279"/>
      <c r="AM166" s="279"/>
      <c r="AN166" s="279"/>
      <c r="AO166" s="306"/>
    </row>
    <row r="167" customFormat="1" ht="15.75" customHeight="1" spans="1:41">
      <c r="A167" s="277">
        <v>45653</v>
      </c>
      <c r="B167" s="278" t="s">
        <v>4785</v>
      </c>
      <c r="C167" s="279" t="s">
        <v>4740</v>
      </c>
      <c r="D167" s="279">
        <v>77515</v>
      </c>
      <c r="E167" s="279">
        <v>20000</v>
      </c>
      <c r="F167" s="279" t="s">
        <v>4741</v>
      </c>
      <c r="G167" s="959" t="s">
        <v>4742</v>
      </c>
      <c r="H167" s="959" t="s">
        <v>4750</v>
      </c>
      <c r="I167" s="297">
        <f>E167</f>
        <v>20000</v>
      </c>
      <c r="J167" s="324"/>
      <c r="K167" s="324"/>
      <c r="L167" s="324"/>
      <c r="M167" s="324"/>
      <c r="N167" s="324"/>
      <c r="O167" s="324"/>
      <c r="P167" s="297"/>
      <c r="Q167" s="297"/>
      <c r="R167" s="297"/>
      <c r="S167" s="297"/>
      <c r="T167" s="297"/>
      <c r="U167" s="297"/>
      <c r="V167" s="297"/>
      <c r="W167" s="297"/>
      <c r="X167" s="297"/>
      <c r="Y167" s="297"/>
      <c r="Z167" s="297"/>
      <c r="AA167" s="297"/>
      <c r="AB167" s="297"/>
      <c r="AC167" s="297"/>
      <c r="AD167" s="297"/>
      <c r="AE167" s="297"/>
      <c r="AF167" s="297"/>
      <c r="AG167" s="297"/>
      <c r="AH167" s="297"/>
      <c r="AI167" s="297"/>
      <c r="AJ167" s="297"/>
      <c r="AK167" s="279"/>
      <c r="AL167" s="279"/>
      <c r="AM167" s="279"/>
      <c r="AN167" s="279"/>
      <c r="AO167" s="306"/>
    </row>
    <row r="168" customFormat="1" ht="15.75" customHeight="1" spans="1:41">
      <c r="A168" s="277">
        <v>45653</v>
      </c>
      <c r="B168" s="278">
        <v>1000025373</v>
      </c>
      <c r="C168" s="279" t="s">
        <v>4740</v>
      </c>
      <c r="D168" s="279" t="s">
        <v>4752</v>
      </c>
      <c r="E168" s="279">
        <v>500</v>
      </c>
      <c r="F168" s="279" t="s">
        <v>4745</v>
      </c>
      <c r="G168" s="959" t="s">
        <v>4742</v>
      </c>
      <c r="H168" s="959" t="s">
        <v>4743</v>
      </c>
      <c r="I168" s="297"/>
      <c r="J168" s="324"/>
      <c r="K168" s="324"/>
      <c r="L168" s="324"/>
      <c r="M168" s="324"/>
      <c r="N168" s="324"/>
      <c r="O168" s="324"/>
      <c r="P168" s="297"/>
      <c r="Q168" s="297"/>
      <c r="R168" s="297"/>
      <c r="S168" s="297"/>
      <c r="T168" s="297"/>
      <c r="U168" s="297"/>
      <c r="V168" s="297"/>
      <c r="W168" s="297"/>
      <c r="X168" s="297"/>
      <c r="Y168" s="297">
        <f>E168</f>
        <v>500</v>
      </c>
      <c r="Z168" s="297"/>
      <c r="AA168" s="297"/>
      <c r="AB168" s="297"/>
      <c r="AC168" s="297"/>
      <c r="AD168" s="297"/>
      <c r="AE168" s="297"/>
      <c r="AF168" s="297"/>
      <c r="AG168" s="297"/>
      <c r="AH168" s="297"/>
      <c r="AI168" s="297"/>
      <c r="AJ168" s="297"/>
      <c r="AK168" s="279"/>
      <c r="AL168" s="279"/>
      <c r="AM168" s="279"/>
      <c r="AN168" s="279"/>
      <c r="AO168" s="306"/>
    </row>
    <row r="169" customFormat="1" ht="15.75" customHeight="1" spans="1:41">
      <c r="A169" s="277">
        <v>45653</v>
      </c>
      <c r="B169" s="278" t="s">
        <v>4785</v>
      </c>
      <c r="C169" s="279" t="s">
        <v>4740</v>
      </c>
      <c r="D169" s="279">
        <v>77515</v>
      </c>
      <c r="E169" s="279">
        <v>30000</v>
      </c>
      <c r="F169" s="279" t="s">
        <v>4746</v>
      </c>
      <c r="G169" s="959" t="s">
        <v>4747</v>
      </c>
      <c r="H169" s="959" t="s">
        <v>4743</v>
      </c>
      <c r="I169" s="297"/>
      <c r="J169" s="324"/>
      <c r="K169" s="324"/>
      <c r="L169" s="324"/>
      <c r="M169" s="324"/>
      <c r="N169" s="324"/>
      <c r="O169" s="324"/>
      <c r="P169" s="297">
        <f>E169</f>
        <v>30000</v>
      </c>
      <c r="Q169" s="297"/>
      <c r="R169" s="297"/>
      <c r="S169" s="297"/>
      <c r="T169" s="297"/>
      <c r="U169" s="297"/>
      <c r="V169" s="297"/>
      <c r="W169" s="297"/>
      <c r="X169" s="297"/>
      <c r="Y169" s="297"/>
      <c r="Z169" s="297"/>
      <c r="AA169" s="297"/>
      <c r="AB169" s="297"/>
      <c r="AC169" s="297"/>
      <c r="AD169" s="297"/>
      <c r="AE169" s="297"/>
      <c r="AF169" s="297"/>
      <c r="AG169" s="297"/>
      <c r="AH169" s="297"/>
      <c r="AI169" s="297"/>
      <c r="AJ169" s="297"/>
      <c r="AK169" s="279"/>
      <c r="AL169" s="279"/>
      <c r="AM169" s="279"/>
      <c r="AN169" s="279"/>
      <c r="AO169" s="306"/>
    </row>
    <row r="170" customFormat="1" ht="15.75" customHeight="1" spans="1:41">
      <c r="A170" s="277">
        <v>45679</v>
      </c>
      <c r="B170" s="278"/>
      <c r="C170" s="279" t="s">
        <v>4740</v>
      </c>
      <c r="D170" s="279">
        <v>77515</v>
      </c>
      <c r="E170" s="279">
        <v>40000</v>
      </c>
      <c r="F170" s="279" t="s">
        <v>4741</v>
      </c>
      <c r="G170" s="959" t="s">
        <v>4742</v>
      </c>
      <c r="H170" s="959" t="s">
        <v>4750</v>
      </c>
      <c r="I170" s="297">
        <f>E170</f>
        <v>40000</v>
      </c>
      <c r="J170" s="324"/>
      <c r="K170" s="324"/>
      <c r="L170" s="324"/>
      <c r="M170" s="324"/>
      <c r="N170" s="324"/>
      <c r="O170" s="324"/>
      <c r="P170" s="297"/>
      <c r="Q170" s="297"/>
      <c r="R170" s="297"/>
      <c r="S170" s="297"/>
      <c r="T170" s="297"/>
      <c r="U170" s="297"/>
      <c r="V170" s="297"/>
      <c r="W170" s="297"/>
      <c r="X170" s="297"/>
      <c r="Y170" s="297"/>
      <c r="Z170" s="297"/>
      <c r="AA170" s="297"/>
      <c r="AB170" s="297"/>
      <c r="AC170" s="297"/>
      <c r="AD170" s="297"/>
      <c r="AE170" s="297"/>
      <c r="AF170" s="297"/>
      <c r="AG170" s="297"/>
      <c r="AH170" s="297"/>
      <c r="AI170" s="297"/>
      <c r="AJ170" s="297"/>
      <c r="AK170" s="279"/>
      <c r="AL170" s="279"/>
      <c r="AM170" s="279"/>
      <c r="AN170" s="279"/>
      <c r="AO170" s="306"/>
    </row>
    <row r="171" customFormat="1" ht="15.75" customHeight="1" spans="1:41">
      <c r="A171" s="277">
        <v>45696</v>
      </c>
      <c r="B171" s="278" t="s">
        <v>4811</v>
      </c>
      <c r="C171" s="279" t="s">
        <v>4782</v>
      </c>
      <c r="D171" s="279">
        <v>77516</v>
      </c>
      <c r="E171" s="279">
        <v>3528</v>
      </c>
      <c r="F171" s="279" t="s">
        <v>4760</v>
      </c>
      <c r="G171" s="959"/>
      <c r="H171" s="959"/>
      <c r="I171" s="297"/>
      <c r="J171" s="324"/>
      <c r="K171" s="324"/>
      <c r="L171" s="324"/>
      <c r="M171" s="324"/>
      <c r="N171" s="324"/>
      <c r="O171" s="324"/>
      <c r="P171" s="297"/>
      <c r="Q171" s="297"/>
      <c r="R171" s="297"/>
      <c r="S171" s="297"/>
      <c r="T171" s="297"/>
      <c r="U171" s="297"/>
      <c r="V171" s="297"/>
      <c r="W171" s="297"/>
      <c r="X171" s="297"/>
      <c r="Y171" s="297"/>
      <c r="Z171" s="297"/>
      <c r="AA171" s="297"/>
      <c r="AB171" s="297"/>
      <c r="AC171" s="297"/>
      <c r="AD171" s="297"/>
      <c r="AE171" s="297"/>
      <c r="AF171" s="297"/>
      <c r="AG171" s="297"/>
      <c r="AH171" s="297"/>
      <c r="AI171" s="297"/>
      <c r="AJ171" s="297"/>
      <c r="AK171" s="279">
        <f>E171</f>
        <v>3528</v>
      </c>
      <c r="AL171" s="279"/>
      <c r="AM171" s="279"/>
      <c r="AN171" s="279"/>
      <c r="AO171" s="306" t="s">
        <v>4812</v>
      </c>
    </row>
    <row r="172" customFormat="1" ht="15.75" customHeight="1" spans="1:41">
      <c r="A172" s="277">
        <v>45696</v>
      </c>
      <c r="B172" s="278" t="s">
        <v>4813</v>
      </c>
      <c r="C172" s="279" t="s">
        <v>4782</v>
      </c>
      <c r="D172" s="279">
        <v>77516</v>
      </c>
      <c r="E172" s="279">
        <v>3528</v>
      </c>
      <c r="F172" s="279" t="s">
        <v>4781</v>
      </c>
      <c r="G172" s="959"/>
      <c r="H172" s="959"/>
      <c r="I172" s="297"/>
      <c r="J172" s="324"/>
      <c r="K172" s="324"/>
      <c r="L172" s="324"/>
      <c r="M172" s="324"/>
      <c r="N172" s="324"/>
      <c r="O172" s="324"/>
      <c r="P172" s="297"/>
      <c r="Q172" s="297"/>
      <c r="R172" s="297"/>
      <c r="S172" s="297"/>
      <c r="T172" s="297"/>
      <c r="U172" s="297"/>
      <c r="V172" s="297"/>
      <c r="W172" s="297"/>
      <c r="X172" s="297"/>
      <c r="Y172" s="297"/>
      <c r="Z172" s="297"/>
      <c r="AA172" s="297"/>
      <c r="AB172" s="297"/>
      <c r="AC172" s="297"/>
      <c r="AD172" s="297"/>
      <c r="AE172" s="297"/>
      <c r="AF172" s="297"/>
      <c r="AG172" s="297"/>
      <c r="AH172" s="297"/>
      <c r="AI172" s="297"/>
      <c r="AJ172" s="297"/>
      <c r="AK172" s="279"/>
      <c r="AL172" s="279"/>
      <c r="AM172" s="279"/>
      <c r="AN172" s="279">
        <f>E172</f>
        <v>3528</v>
      </c>
      <c r="AO172" s="306" t="s">
        <v>4812</v>
      </c>
    </row>
    <row r="173" customFormat="1" ht="15.75" customHeight="1" spans="1:41">
      <c r="A173" s="277">
        <v>45696</v>
      </c>
      <c r="B173" s="278" t="s">
        <v>4814</v>
      </c>
      <c r="C173" s="279" t="s">
        <v>4782</v>
      </c>
      <c r="D173" s="279">
        <v>77516</v>
      </c>
      <c r="E173" s="279">
        <v>3528</v>
      </c>
      <c r="F173" s="279" t="s">
        <v>4773</v>
      </c>
      <c r="G173" s="959"/>
      <c r="H173" s="959"/>
      <c r="I173" s="297"/>
      <c r="J173" s="324"/>
      <c r="K173" s="324"/>
      <c r="L173" s="324"/>
      <c r="M173" s="324"/>
      <c r="N173" s="324"/>
      <c r="O173" s="324"/>
      <c r="P173" s="297"/>
      <c r="Q173" s="297"/>
      <c r="R173" s="297"/>
      <c r="S173" s="297"/>
      <c r="T173" s="297"/>
      <c r="U173" s="297"/>
      <c r="V173" s="297"/>
      <c r="W173" s="297"/>
      <c r="X173" s="297"/>
      <c r="Y173" s="297"/>
      <c r="Z173" s="297"/>
      <c r="AA173" s="297"/>
      <c r="AB173" s="297"/>
      <c r="AC173" s="297"/>
      <c r="AD173" s="297"/>
      <c r="AE173" s="297"/>
      <c r="AF173" s="297"/>
      <c r="AG173" s="297"/>
      <c r="AH173" s="297"/>
      <c r="AI173" s="297"/>
      <c r="AJ173" s="297"/>
      <c r="AK173" s="279"/>
      <c r="AL173" s="279">
        <f>E173</f>
        <v>3528</v>
      </c>
      <c r="AM173" s="279"/>
      <c r="AN173" s="279"/>
      <c r="AO173" s="306" t="s">
        <v>4812</v>
      </c>
    </row>
    <row r="174" customFormat="1" ht="15.75" customHeight="1" spans="1:41">
      <c r="A174" s="277">
        <v>45705</v>
      </c>
      <c r="B174" s="278">
        <v>1000025772</v>
      </c>
      <c r="C174" s="279" t="s">
        <v>4740</v>
      </c>
      <c r="D174" s="279" t="s">
        <v>4754</v>
      </c>
      <c r="E174" s="279">
        <v>500</v>
      </c>
      <c r="F174" s="279" t="s">
        <v>4745</v>
      </c>
      <c r="G174" s="959" t="s">
        <v>4749</v>
      </c>
      <c r="H174" s="959" t="s">
        <v>4743</v>
      </c>
      <c r="I174" s="297"/>
      <c r="J174" s="324"/>
      <c r="K174" s="324"/>
      <c r="L174" s="324"/>
      <c r="M174" s="324"/>
      <c r="N174" s="324"/>
      <c r="O174" s="324"/>
      <c r="P174" s="297"/>
      <c r="Q174" s="297"/>
      <c r="R174" s="297"/>
      <c r="S174" s="297"/>
      <c r="T174" s="297"/>
      <c r="U174" s="297"/>
      <c r="V174" s="297"/>
      <c r="W174" s="297">
        <f>E174</f>
        <v>500</v>
      </c>
      <c r="X174" s="297"/>
      <c r="Y174" s="297"/>
      <c r="Z174" s="297"/>
      <c r="AA174" s="297"/>
      <c r="AB174" s="297"/>
      <c r="AC174" s="297"/>
      <c r="AD174" s="297"/>
      <c r="AE174" s="297"/>
      <c r="AF174" s="297"/>
      <c r="AG174" s="297"/>
      <c r="AH174" s="297"/>
      <c r="AI174" s="297"/>
      <c r="AJ174" s="297"/>
      <c r="AK174" s="279"/>
      <c r="AL174" s="279"/>
      <c r="AM174" s="279"/>
      <c r="AN174" s="279"/>
      <c r="AO174" s="306"/>
    </row>
    <row r="175" customFormat="1" ht="15.75" customHeight="1" spans="1:41">
      <c r="A175" s="277">
        <v>45713</v>
      </c>
      <c r="B175" s="278" t="s">
        <v>4785</v>
      </c>
      <c r="C175" s="279" t="s">
        <v>4740</v>
      </c>
      <c r="D175" s="279">
        <v>77515</v>
      </c>
      <c r="E175" s="279">
        <v>50000</v>
      </c>
      <c r="F175" s="279" t="s">
        <v>4746</v>
      </c>
      <c r="G175" s="959" t="s">
        <v>4749</v>
      </c>
      <c r="H175" s="959" t="s">
        <v>4743</v>
      </c>
      <c r="I175" s="297"/>
      <c r="J175" s="324"/>
      <c r="K175" s="324"/>
      <c r="L175" s="324"/>
      <c r="M175" s="324"/>
      <c r="N175" s="324"/>
      <c r="O175" s="324"/>
      <c r="P175" s="297">
        <f>E175</f>
        <v>50000</v>
      </c>
      <c r="Q175" s="297"/>
      <c r="R175" s="297"/>
      <c r="S175" s="297"/>
      <c r="T175" s="297"/>
      <c r="U175" s="297"/>
      <c r="V175" s="297"/>
      <c r="W175" s="297"/>
      <c r="X175" s="297"/>
      <c r="Y175" s="297"/>
      <c r="Z175" s="297"/>
      <c r="AA175" s="297"/>
      <c r="AB175" s="297"/>
      <c r="AC175" s="297"/>
      <c r="AD175" s="297"/>
      <c r="AE175" s="297"/>
      <c r="AF175" s="297"/>
      <c r="AG175" s="297"/>
      <c r="AH175" s="297"/>
      <c r="AI175" s="297"/>
      <c r="AJ175" s="297"/>
      <c r="AK175" s="279"/>
      <c r="AL175" s="279"/>
      <c r="AM175" s="279"/>
      <c r="AN175" s="279"/>
      <c r="AO175" s="306"/>
    </row>
    <row r="176" customFormat="1" ht="15.75" customHeight="1" spans="1:41">
      <c r="A176" s="277">
        <v>45726</v>
      </c>
      <c r="B176" s="278">
        <v>1000026210</v>
      </c>
      <c r="C176" s="279" t="s">
        <v>4740</v>
      </c>
      <c r="D176" s="279" t="s">
        <v>4753</v>
      </c>
      <c r="E176" s="279">
        <v>500</v>
      </c>
      <c r="F176" s="279" t="s">
        <v>4745</v>
      </c>
      <c r="G176" s="959" t="s">
        <v>4749</v>
      </c>
      <c r="H176" s="959" t="s">
        <v>4743</v>
      </c>
      <c r="I176" s="297"/>
      <c r="J176" s="324"/>
      <c r="K176" s="324"/>
      <c r="L176" s="324"/>
      <c r="M176" s="324"/>
      <c r="N176" s="324"/>
      <c r="O176" s="324"/>
      <c r="P176" s="297"/>
      <c r="Q176" s="297"/>
      <c r="R176" s="297"/>
      <c r="S176" s="297"/>
      <c r="T176" s="297"/>
      <c r="U176" s="297"/>
      <c r="V176" s="297"/>
      <c r="W176" s="297"/>
      <c r="X176" s="297"/>
      <c r="Y176" s="297"/>
      <c r="Z176" s="297"/>
      <c r="AA176" s="297"/>
      <c r="AB176" s="297"/>
      <c r="AC176" s="297"/>
      <c r="AD176" s="297">
        <f>E176</f>
        <v>500</v>
      </c>
      <c r="AE176" s="297"/>
      <c r="AF176" s="297"/>
      <c r="AG176" s="297"/>
      <c r="AH176" s="297"/>
      <c r="AI176" s="297"/>
      <c r="AJ176" s="297"/>
      <c r="AK176" s="279"/>
      <c r="AL176" s="279"/>
      <c r="AM176" s="279"/>
      <c r="AN176" s="279"/>
      <c r="AO176" s="306"/>
    </row>
    <row r="177" customFormat="1" ht="15.75" customHeight="1" spans="1:41">
      <c r="A177" s="277">
        <v>45743</v>
      </c>
      <c r="B177" s="278">
        <v>1000026615</v>
      </c>
      <c r="C177" s="279" t="s">
        <v>4740</v>
      </c>
      <c r="D177" s="279" t="s">
        <v>4752</v>
      </c>
      <c r="E177" s="279">
        <v>734</v>
      </c>
      <c r="F177" s="279" t="s">
        <v>4745</v>
      </c>
      <c r="G177" s="959" t="s">
        <v>4742</v>
      </c>
      <c r="H177" s="959" t="s">
        <v>4743</v>
      </c>
      <c r="I177" s="297"/>
      <c r="J177" s="324"/>
      <c r="K177" s="324"/>
      <c r="L177" s="324"/>
      <c r="M177" s="324"/>
      <c r="N177" s="324"/>
      <c r="O177" s="324"/>
      <c r="P177" s="297"/>
      <c r="Q177" s="297"/>
      <c r="R177" s="297"/>
      <c r="S177" s="297"/>
      <c r="T177" s="297"/>
      <c r="U177" s="297"/>
      <c r="V177" s="297"/>
      <c r="W177" s="297"/>
      <c r="X177" s="297"/>
      <c r="Y177" s="297">
        <f>E177</f>
        <v>734</v>
      </c>
      <c r="Z177" s="297"/>
      <c r="AA177" s="297"/>
      <c r="AB177" s="297"/>
      <c r="AC177" s="297"/>
      <c r="AD177" s="297"/>
      <c r="AE177" s="297"/>
      <c r="AF177" s="297"/>
      <c r="AG177" s="297"/>
      <c r="AH177" s="297"/>
      <c r="AI177" s="297"/>
      <c r="AJ177" s="297"/>
      <c r="AK177" s="279"/>
      <c r="AL177" s="279"/>
      <c r="AM177" s="279"/>
      <c r="AN177" s="279"/>
      <c r="AO177" s="306"/>
    </row>
    <row r="178" customFormat="1" ht="15.75" customHeight="1" spans="1:41">
      <c r="A178" s="277">
        <v>45749</v>
      </c>
      <c r="B178" s="278" t="s">
        <v>4785</v>
      </c>
      <c r="C178" s="279" t="s">
        <v>4740</v>
      </c>
      <c r="D178" s="279">
        <v>77515</v>
      </c>
      <c r="E178" s="279">
        <v>20000</v>
      </c>
      <c r="F178" s="279" t="s">
        <v>4741</v>
      </c>
      <c r="G178" s="959" t="s">
        <v>4749</v>
      </c>
      <c r="H178" s="959" t="s">
        <v>4750</v>
      </c>
      <c r="I178" s="297"/>
      <c r="J178" s="296">
        <f>E178</f>
        <v>20000</v>
      </c>
      <c r="K178" s="296"/>
      <c r="L178" s="296"/>
      <c r="M178" s="324"/>
      <c r="N178" s="324"/>
      <c r="O178" s="324"/>
      <c r="P178" s="297"/>
      <c r="Q178" s="297"/>
      <c r="R178" s="297"/>
      <c r="S178" s="297"/>
      <c r="T178" s="297"/>
      <c r="U178" s="297"/>
      <c r="V178" s="297"/>
      <c r="W178" s="297"/>
      <c r="X178" s="297"/>
      <c r="Y178" s="297"/>
      <c r="Z178" s="297"/>
      <c r="AA178" s="297"/>
      <c r="AB178" s="297"/>
      <c r="AC178" s="297"/>
      <c r="AD178" s="297"/>
      <c r="AE178" s="297"/>
      <c r="AF178" s="297"/>
      <c r="AG178" s="297"/>
      <c r="AH178" s="297"/>
      <c r="AI178" s="297"/>
      <c r="AJ178" s="297"/>
      <c r="AK178" s="279"/>
      <c r="AL178" s="279"/>
      <c r="AM178" s="279"/>
      <c r="AN178" s="279"/>
      <c r="AO178" s="306" t="s">
        <v>4789</v>
      </c>
    </row>
    <row r="179" customFormat="1" ht="15.75" customHeight="1" spans="1:41">
      <c r="A179" s="277">
        <v>45749</v>
      </c>
      <c r="B179" s="278">
        <v>1000026782</v>
      </c>
      <c r="C179" s="279" t="s">
        <v>4740</v>
      </c>
      <c r="D179" s="279" t="s">
        <v>4753</v>
      </c>
      <c r="E179" s="279">
        <v>500</v>
      </c>
      <c r="F179" s="279" t="s">
        <v>4745</v>
      </c>
      <c r="G179" s="959" t="s">
        <v>4749</v>
      </c>
      <c r="H179" s="959" t="s">
        <v>4743</v>
      </c>
      <c r="I179" s="297"/>
      <c r="J179" s="324"/>
      <c r="K179" s="324"/>
      <c r="L179" s="324"/>
      <c r="M179" s="324"/>
      <c r="N179" s="324"/>
      <c r="O179" s="324"/>
      <c r="P179" s="297"/>
      <c r="Q179" s="297"/>
      <c r="R179" s="297"/>
      <c r="S179" s="297"/>
      <c r="T179" s="297"/>
      <c r="U179" s="297"/>
      <c r="V179" s="297"/>
      <c r="W179" s="297"/>
      <c r="X179" s="297"/>
      <c r="Y179" s="297"/>
      <c r="Z179" s="297"/>
      <c r="AA179" s="297"/>
      <c r="AB179" s="297"/>
      <c r="AC179" s="297"/>
      <c r="AD179" s="297">
        <f>E179</f>
        <v>500</v>
      </c>
      <c r="AE179" s="297"/>
      <c r="AF179" s="297"/>
      <c r="AG179" s="297"/>
      <c r="AH179" s="297"/>
      <c r="AI179" s="297"/>
      <c r="AJ179" s="297"/>
      <c r="AK179" s="279"/>
      <c r="AL179" s="279"/>
      <c r="AM179" s="279"/>
      <c r="AN179" s="279"/>
      <c r="AO179" s="306"/>
    </row>
    <row r="180" customFormat="1" ht="15.75" customHeight="1" spans="1:41">
      <c r="A180" s="277">
        <v>45749</v>
      </c>
      <c r="B180" s="278" t="s">
        <v>4785</v>
      </c>
      <c r="C180" s="279" t="s">
        <v>4740</v>
      </c>
      <c r="D180" s="279">
        <v>77515</v>
      </c>
      <c r="E180" s="279">
        <v>50000</v>
      </c>
      <c r="F180" s="279" t="s">
        <v>4746</v>
      </c>
      <c r="G180" s="959" t="s">
        <v>4747</v>
      </c>
      <c r="H180" s="959" t="s">
        <v>4743</v>
      </c>
      <c r="I180" s="297"/>
      <c r="J180" s="324"/>
      <c r="K180" s="324"/>
      <c r="L180" s="324"/>
      <c r="M180" s="324"/>
      <c r="N180" s="324"/>
      <c r="O180" s="324"/>
      <c r="P180" s="297">
        <f>E180</f>
        <v>50000</v>
      </c>
      <c r="Q180" s="297"/>
      <c r="R180" s="297"/>
      <c r="S180" s="297"/>
      <c r="T180" s="297"/>
      <c r="U180" s="297"/>
      <c r="V180" s="297"/>
      <c r="W180" s="297"/>
      <c r="X180" s="297"/>
      <c r="Y180" s="297"/>
      <c r="Z180" s="297"/>
      <c r="AA180" s="297"/>
      <c r="AB180" s="297"/>
      <c r="AC180" s="297"/>
      <c r="AD180" s="297"/>
      <c r="AE180" s="297"/>
      <c r="AF180" s="297"/>
      <c r="AG180" s="297"/>
      <c r="AH180" s="297"/>
      <c r="AI180" s="297"/>
      <c r="AJ180" s="297"/>
      <c r="AK180" s="279"/>
      <c r="AL180" s="279"/>
      <c r="AM180" s="279"/>
      <c r="AN180" s="279"/>
      <c r="AO180" s="306" t="s">
        <v>4789</v>
      </c>
    </row>
    <row r="181" customFormat="1" ht="15.75" customHeight="1" spans="1:41">
      <c r="A181" s="277">
        <v>45776</v>
      </c>
      <c r="B181" s="278" t="s">
        <v>4785</v>
      </c>
      <c r="C181" s="279" t="s">
        <v>4740</v>
      </c>
      <c r="D181" s="279">
        <v>77515</v>
      </c>
      <c r="E181" s="279">
        <v>20000</v>
      </c>
      <c r="F181" s="279" t="s">
        <v>4741</v>
      </c>
      <c r="G181" s="959" t="s">
        <v>4742</v>
      </c>
      <c r="H181" s="980" t="s">
        <v>4815</v>
      </c>
      <c r="I181" s="324">
        <f>E181</f>
        <v>20000</v>
      </c>
      <c r="J181" s="324"/>
      <c r="K181" s="324"/>
      <c r="L181" s="324"/>
      <c r="M181" s="324"/>
      <c r="N181" s="324"/>
      <c r="O181" s="324"/>
      <c r="P181" s="297"/>
      <c r="Q181" s="297"/>
      <c r="R181" s="297"/>
      <c r="S181" s="297"/>
      <c r="T181" s="297"/>
      <c r="U181" s="297"/>
      <c r="V181" s="297"/>
      <c r="W181" s="297"/>
      <c r="X181" s="297"/>
      <c r="Y181" s="297"/>
      <c r="Z181" s="297"/>
      <c r="AA181" s="297"/>
      <c r="AB181" s="297"/>
      <c r="AC181" s="297"/>
      <c r="AD181" s="297"/>
      <c r="AE181" s="297"/>
      <c r="AF181" s="297"/>
      <c r="AG181" s="297"/>
      <c r="AH181" s="297"/>
      <c r="AI181" s="297"/>
      <c r="AJ181" s="297"/>
      <c r="AK181" s="279"/>
      <c r="AL181" s="279"/>
      <c r="AM181" s="279"/>
      <c r="AN181" s="279"/>
      <c r="AO181" s="306"/>
    </row>
    <row r="182" customFormat="1" ht="15.75" customHeight="1" spans="1:41">
      <c r="A182" s="277">
        <v>45776</v>
      </c>
      <c r="B182" s="278" t="s">
        <v>4785</v>
      </c>
      <c r="C182" s="279" t="s">
        <v>4740</v>
      </c>
      <c r="D182" s="279">
        <v>77515</v>
      </c>
      <c r="E182" s="279">
        <v>20000</v>
      </c>
      <c r="F182" s="279" t="s">
        <v>4741</v>
      </c>
      <c r="G182" s="959" t="s">
        <v>4749</v>
      </c>
      <c r="H182" s="980" t="s">
        <v>4750</v>
      </c>
      <c r="I182" s="297"/>
      <c r="J182" s="324">
        <f>E182</f>
        <v>20000</v>
      </c>
      <c r="K182" s="324"/>
      <c r="L182" s="324"/>
      <c r="M182" s="324"/>
      <c r="N182" s="324"/>
      <c r="O182" s="324"/>
      <c r="P182" s="297"/>
      <c r="Q182" s="297"/>
      <c r="R182" s="297"/>
      <c r="S182" s="297"/>
      <c r="T182" s="297"/>
      <c r="U182" s="297"/>
      <c r="V182" s="297"/>
      <c r="W182" s="297"/>
      <c r="X182" s="297"/>
      <c r="Y182" s="297"/>
      <c r="Z182" s="297"/>
      <c r="AA182" s="297"/>
      <c r="AB182" s="297"/>
      <c r="AC182" s="297"/>
      <c r="AD182" s="297"/>
      <c r="AE182" s="297"/>
      <c r="AF182" s="297"/>
      <c r="AG182" s="297"/>
      <c r="AH182" s="297"/>
      <c r="AI182" s="297"/>
      <c r="AJ182" s="297"/>
      <c r="AK182" s="279"/>
      <c r="AL182" s="279"/>
      <c r="AM182" s="279"/>
      <c r="AN182" s="279"/>
      <c r="AO182" s="306"/>
    </row>
    <row r="183" customFormat="1" ht="15.75" customHeight="1" spans="1:41">
      <c r="A183" s="277">
        <v>45776</v>
      </c>
      <c r="B183" s="278">
        <v>1000027469</v>
      </c>
      <c r="C183" s="279" t="s">
        <v>4740</v>
      </c>
      <c r="D183" s="279" t="s">
        <v>4753</v>
      </c>
      <c r="E183" s="279">
        <v>500</v>
      </c>
      <c r="F183" s="279" t="s">
        <v>4745</v>
      </c>
      <c r="G183" s="959" t="s">
        <v>4749</v>
      </c>
      <c r="H183" s="959" t="s">
        <v>4743</v>
      </c>
      <c r="I183" s="297"/>
      <c r="J183" s="324"/>
      <c r="K183" s="324"/>
      <c r="L183" s="324"/>
      <c r="M183" s="324"/>
      <c r="N183" s="324"/>
      <c r="O183" s="324"/>
      <c r="P183" s="297"/>
      <c r="Q183" s="297"/>
      <c r="R183" s="297"/>
      <c r="S183" s="297"/>
      <c r="T183" s="297"/>
      <c r="U183" s="297"/>
      <c r="V183" s="297"/>
      <c r="W183" s="297"/>
      <c r="X183" s="297"/>
      <c r="Y183" s="297"/>
      <c r="Z183" s="297"/>
      <c r="AA183" s="297"/>
      <c r="AB183" s="297"/>
      <c r="AC183" s="297"/>
      <c r="AD183" s="297">
        <f>E183</f>
        <v>500</v>
      </c>
      <c r="AE183" s="297"/>
      <c r="AF183" s="297"/>
      <c r="AG183" s="297"/>
      <c r="AH183" s="297"/>
      <c r="AI183" s="297"/>
      <c r="AJ183" s="297"/>
      <c r="AK183" s="279"/>
      <c r="AL183" s="279"/>
      <c r="AM183" s="279"/>
      <c r="AN183" s="279"/>
      <c r="AO183" s="306"/>
    </row>
    <row r="184" customFormat="1" ht="15.75" customHeight="1" spans="1:41">
      <c r="A184" s="277">
        <v>45776</v>
      </c>
      <c r="B184" s="278" t="s">
        <v>4785</v>
      </c>
      <c r="C184" s="279" t="s">
        <v>4740</v>
      </c>
      <c r="D184" s="279">
        <v>77515</v>
      </c>
      <c r="E184" s="279">
        <v>60000</v>
      </c>
      <c r="F184" s="279" t="s">
        <v>4746</v>
      </c>
      <c r="G184" s="959" t="s">
        <v>4747</v>
      </c>
      <c r="H184" s="959" t="s">
        <v>4743</v>
      </c>
      <c r="I184" s="297"/>
      <c r="J184" s="324"/>
      <c r="K184" s="324"/>
      <c r="L184" s="324"/>
      <c r="M184" s="324"/>
      <c r="N184" s="324"/>
      <c r="O184" s="324"/>
      <c r="P184" s="297">
        <f>E184</f>
        <v>60000</v>
      </c>
      <c r="Q184" s="297"/>
      <c r="R184" s="297"/>
      <c r="S184" s="297"/>
      <c r="T184" s="297"/>
      <c r="U184" s="297"/>
      <c r="V184" s="297"/>
      <c r="W184" s="297"/>
      <c r="X184" s="297"/>
      <c r="Y184" s="297"/>
      <c r="Z184" s="297"/>
      <c r="AA184" s="297"/>
      <c r="AB184" s="297"/>
      <c r="AC184" s="297"/>
      <c r="AD184" s="297"/>
      <c r="AE184" s="297"/>
      <c r="AF184" s="297"/>
      <c r="AG184" s="297"/>
      <c r="AH184" s="297"/>
      <c r="AI184" s="297"/>
      <c r="AJ184" s="297"/>
      <c r="AK184" s="279"/>
      <c r="AL184" s="279"/>
      <c r="AM184" s="279"/>
      <c r="AN184" s="279"/>
      <c r="AO184" s="306"/>
    </row>
    <row r="185" customFormat="1" ht="15.75" customHeight="1" spans="1:41">
      <c r="A185" s="277">
        <v>45803</v>
      </c>
      <c r="B185" s="278" t="s">
        <v>4816</v>
      </c>
      <c r="C185" s="279" t="s">
        <v>4817</v>
      </c>
      <c r="D185" s="279">
        <v>77516</v>
      </c>
      <c r="E185" s="279">
        <v>10000</v>
      </c>
      <c r="F185" s="279" t="s">
        <v>4760</v>
      </c>
      <c r="G185" s="959"/>
      <c r="H185" s="959"/>
      <c r="I185" s="297"/>
      <c r="J185" s="324"/>
      <c r="K185" s="324"/>
      <c r="L185" s="324"/>
      <c r="M185" s="324"/>
      <c r="N185" s="324"/>
      <c r="O185" s="324"/>
      <c r="P185" s="297"/>
      <c r="Q185" s="297"/>
      <c r="R185" s="297"/>
      <c r="S185" s="297"/>
      <c r="T185" s="297"/>
      <c r="U185" s="297"/>
      <c r="V185" s="297"/>
      <c r="W185" s="297"/>
      <c r="X185" s="297"/>
      <c r="Y185" s="297"/>
      <c r="Z185" s="297"/>
      <c r="AA185" s="297"/>
      <c r="AB185" s="297"/>
      <c r="AC185" s="297"/>
      <c r="AD185" s="297"/>
      <c r="AE185" s="297"/>
      <c r="AF185" s="297"/>
      <c r="AG185" s="297"/>
      <c r="AH185" s="297"/>
      <c r="AI185" s="297"/>
      <c r="AJ185" s="297"/>
      <c r="AK185" s="279">
        <f>E185</f>
        <v>10000</v>
      </c>
      <c r="AL185" s="279"/>
      <c r="AM185" s="279"/>
      <c r="AN185" s="279"/>
      <c r="AO185" s="306" t="s">
        <v>4818</v>
      </c>
    </row>
    <row r="186" customFormat="1" ht="15.75" customHeight="1" spans="1:42">
      <c r="A186" s="277">
        <v>45803</v>
      </c>
      <c r="B186" s="278" t="s">
        <v>4819</v>
      </c>
      <c r="C186" s="279" t="s">
        <v>4817</v>
      </c>
      <c r="D186" s="279">
        <v>77516</v>
      </c>
      <c r="E186" s="279">
        <v>3000</v>
      </c>
      <c r="F186" s="279" t="s">
        <v>4781</v>
      </c>
      <c r="G186" s="959"/>
      <c r="H186" s="959"/>
      <c r="I186" s="297"/>
      <c r="J186" s="324"/>
      <c r="K186" s="324"/>
      <c r="L186" s="324"/>
      <c r="M186" s="324"/>
      <c r="N186" s="324"/>
      <c r="O186" s="324"/>
      <c r="P186" s="297"/>
      <c r="Q186" s="297"/>
      <c r="R186" s="297"/>
      <c r="S186" s="297"/>
      <c r="T186" s="297"/>
      <c r="U186" s="297"/>
      <c r="V186" s="297"/>
      <c r="W186" s="297"/>
      <c r="X186" s="297"/>
      <c r="Y186" s="297"/>
      <c r="Z186" s="297"/>
      <c r="AA186" s="297"/>
      <c r="AB186" s="297"/>
      <c r="AC186" s="297"/>
      <c r="AD186" s="297"/>
      <c r="AE186" s="297"/>
      <c r="AF186" s="297"/>
      <c r="AG186" s="297"/>
      <c r="AH186" s="297"/>
      <c r="AI186" s="297"/>
      <c r="AJ186" s="297"/>
      <c r="AK186" s="279"/>
      <c r="AL186" s="279"/>
      <c r="AM186" s="279"/>
      <c r="AN186" s="279">
        <f>E186</f>
        <v>3000</v>
      </c>
      <c r="AO186" s="306" t="s">
        <v>4818</v>
      </c>
      <c r="AP186" t="s">
        <v>4820</v>
      </c>
    </row>
    <row r="187" customFormat="1" ht="15.75" customHeight="1" spans="1:41">
      <c r="A187" s="277">
        <v>45803</v>
      </c>
      <c r="B187" s="278" t="s">
        <v>4821</v>
      </c>
      <c r="C187" s="279" t="s">
        <v>4817</v>
      </c>
      <c r="D187" s="279">
        <v>77516</v>
      </c>
      <c r="E187" s="279">
        <v>3000</v>
      </c>
      <c r="F187" s="279" t="s">
        <v>4773</v>
      </c>
      <c r="G187" s="959"/>
      <c r="H187" s="959"/>
      <c r="I187" s="297"/>
      <c r="J187" s="324"/>
      <c r="K187" s="324"/>
      <c r="L187" s="324"/>
      <c r="M187" s="324"/>
      <c r="N187" s="324"/>
      <c r="O187" s="324"/>
      <c r="P187" s="297"/>
      <c r="Q187" s="297"/>
      <c r="R187" s="297"/>
      <c r="S187" s="297"/>
      <c r="T187" s="297"/>
      <c r="U187" s="297"/>
      <c r="V187" s="297"/>
      <c r="W187" s="297"/>
      <c r="X187" s="297"/>
      <c r="Y187" s="297"/>
      <c r="Z187" s="297"/>
      <c r="AA187" s="297"/>
      <c r="AB187" s="297"/>
      <c r="AC187" s="297"/>
      <c r="AD187" s="297"/>
      <c r="AE187" s="297"/>
      <c r="AF187" s="297"/>
      <c r="AG187" s="297"/>
      <c r="AH187" s="297"/>
      <c r="AI187" s="297"/>
      <c r="AJ187" s="297"/>
      <c r="AK187" s="279"/>
      <c r="AL187" s="279">
        <f>E187</f>
        <v>3000</v>
      </c>
      <c r="AM187" s="279"/>
      <c r="AN187" s="279"/>
      <c r="AO187" s="306" t="s">
        <v>4818</v>
      </c>
    </row>
    <row r="188" customFormat="1" ht="15.75" customHeight="1" spans="1:41">
      <c r="A188" s="277">
        <v>45803</v>
      </c>
      <c r="B188" s="278" t="s">
        <v>4785</v>
      </c>
      <c r="C188" s="279" t="s">
        <v>4740</v>
      </c>
      <c r="D188" s="279">
        <v>77515</v>
      </c>
      <c r="E188" s="279">
        <v>30000</v>
      </c>
      <c r="F188" s="279" t="s">
        <v>4741</v>
      </c>
      <c r="G188" s="959" t="s">
        <v>4742</v>
      </c>
      <c r="H188" s="959" t="s">
        <v>4815</v>
      </c>
      <c r="I188" s="297"/>
      <c r="J188" s="324"/>
      <c r="K188" s="324">
        <f>E188</f>
        <v>30000</v>
      </c>
      <c r="L188" s="324"/>
      <c r="M188" s="324"/>
      <c r="N188" s="324"/>
      <c r="O188" s="324"/>
      <c r="P188" s="297"/>
      <c r="Q188" s="297"/>
      <c r="R188" s="297"/>
      <c r="S188" s="297"/>
      <c r="T188" s="297"/>
      <c r="U188" s="297"/>
      <c r="V188" s="297"/>
      <c r="W188" s="297"/>
      <c r="X188" s="297"/>
      <c r="Y188" s="297"/>
      <c r="Z188" s="297"/>
      <c r="AA188" s="297"/>
      <c r="AB188" s="297"/>
      <c r="AC188" s="297"/>
      <c r="AD188" s="297"/>
      <c r="AE188" s="297"/>
      <c r="AF188" s="297"/>
      <c r="AG188" s="297"/>
      <c r="AH188" s="297"/>
      <c r="AI188" s="297"/>
      <c r="AJ188" s="297"/>
      <c r="AK188" s="279"/>
      <c r="AL188" s="279"/>
      <c r="AM188" s="279"/>
      <c r="AN188" s="279"/>
      <c r="AO188" s="306"/>
    </row>
    <row r="189" customFormat="1" ht="15.75" customHeight="1" spans="1:41">
      <c r="A189" s="277">
        <v>45803</v>
      </c>
      <c r="B189" s="278" t="s">
        <v>4785</v>
      </c>
      <c r="C189" s="279" t="s">
        <v>4740</v>
      </c>
      <c r="D189" s="279">
        <v>77515</v>
      </c>
      <c r="E189" s="279">
        <v>20000</v>
      </c>
      <c r="F189" s="279" t="s">
        <v>4741</v>
      </c>
      <c r="G189" s="959" t="s">
        <v>4749</v>
      </c>
      <c r="H189" s="959" t="s">
        <v>4815</v>
      </c>
      <c r="I189" s="297"/>
      <c r="J189" s="324"/>
      <c r="K189" s="324"/>
      <c r="L189" s="324">
        <f>E189</f>
        <v>20000</v>
      </c>
      <c r="M189" s="324"/>
      <c r="N189" s="324"/>
      <c r="O189" s="324"/>
      <c r="P189" s="297"/>
      <c r="Q189" s="297"/>
      <c r="R189" s="297"/>
      <c r="S189" s="297"/>
      <c r="T189" s="297"/>
      <c r="U189" s="297"/>
      <c r="V189" s="297"/>
      <c r="W189" s="297"/>
      <c r="X189" s="297"/>
      <c r="Y189" s="297"/>
      <c r="Z189" s="297"/>
      <c r="AA189" s="297"/>
      <c r="AB189" s="297"/>
      <c r="AC189" s="297"/>
      <c r="AD189" s="297"/>
      <c r="AE189" s="297"/>
      <c r="AF189" s="297"/>
      <c r="AG189" s="297"/>
      <c r="AH189" s="297"/>
      <c r="AI189" s="297"/>
      <c r="AJ189" s="297"/>
      <c r="AK189" s="279"/>
      <c r="AL189" s="279"/>
      <c r="AM189" s="279"/>
      <c r="AN189" s="279"/>
      <c r="AO189" s="306"/>
    </row>
    <row r="190" customFormat="1" ht="15.75" customHeight="1" spans="1:41">
      <c r="A190" s="277">
        <v>45803</v>
      </c>
      <c r="B190" s="278">
        <v>1000028346</v>
      </c>
      <c r="C190" s="279" t="s">
        <v>4740</v>
      </c>
      <c r="D190" s="279" t="s">
        <v>4752</v>
      </c>
      <c r="E190" s="279">
        <v>1500</v>
      </c>
      <c r="F190" s="279" t="s">
        <v>4745</v>
      </c>
      <c r="G190" s="959" t="s">
        <v>4742</v>
      </c>
      <c r="H190" s="959" t="s">
        <v>4750</v>
      </c>
      <c r="I190" s="297"/>
      <c r="J190" s="324"/>
      <c r="K190" s="324"/>
      <c r="L190" s="324"/>
      <c r="M190" s="324"/>
      <c r="N190" s="324"/>
      <c r="O190" s="324"/>
      <c r="P190" s="297"/>
      <c r="Q190" s="297"/>
      <c r="R190" s="297"/>
      <c r="S190" s="297"/>
      <c r="T190" s="297"/>
      <c r="U190" s="297"/>
      <c r="V190" s="297"/>
      <c r="W190" s="297"/>
      <c r="X190" s="297"/>
      <c r="Y190" s="297"/>
      <c r="Z190" s="297"/>
      <c r="AA190" s="297">
        <f>E190</f>
        <v>1500</v>
      </c>
      <c r="AB190" s="297"/>
      <c r="AC190" s="297"/>
      <c r="AD190" s="297"/>
      <c r="AE190" s="297"/>
      <c r="AF190" s="297"/>
      <c r="AG190" s="297"/>
      <c r="AH190" s="297"/>
      <c r="AI190" s="297"/>
      <c r="AJ190" s="297"/>
      <c r="AK190" s="279"/>
      <c r="AL190" s="279"/>
      <c r="AM190" s="279"/>
      <c r="AN190" s="279"/>
      <c r="AO190" s="306"/>
    </row>
    <row r="191" customFormat="1" ht="15.75" customHeight="1" spans="1:41">
      <c r="A191" s="277">
        <v>45811</v>
      </c>
      <c r="B191" s="278">
        <v>1000028614</v>
      </c>
      <c r="C191" s="279" t="s">
        <v>4740</v>
      </c>
      <c r="D191" s="279" t="s">
        <v>4753</v>
      </c>
      <c r="E191" s="279">
        <v>510</v>
      </c>
      <c r="F191" s="279" t="s">
        <v>4745</v>
      </c>
      <c r="G191" s="959" t="s">
        <v>4749</v>
      </c>
      <c r="H191" s="959" t="s">
        <v>4750</v>
      </c>
      <c r="I191" s="297"/>
      <c r="J191" s="324"/>
      <c r="K191" s="324"/>
      <c r="L191" s="324"/>
      <c r="M191" s="324"/>
      <c r="N191" s="324"/>
      <c r="O191" s="324"/>
      <c r="P191" s="297"/>
      <c r="Q191" s="297"/>
      <c r="R191" s="297"/>
      <c r="S191" s="297"/>
      <c r="T191" s="297"/>
      <c r="U191" s="297"/>
      <c r="V191" s="297"/>
      <c r="W191" s="297"/>
      <c r="X191" s="297"/>
      <c r="Y191" s="297"/>
      <c r="Z191" s="297"/>
      <c r="AA191" s="297"/>
      <c r="AB191" s="297"/>
      <c r="AC191" s="297"/>
      <c r="AD191" s="297">
        <f>E191</f>
        <v>510</v>
      </c>
      <c r="AE191" s="297"/>
      <c r="AF191" s="297"/>
      <c r="AG191" s="297"/>
      <c r="AH191" s="297"/>
      <c r="AI191" s="297"/>
      <c r="AJ191" s="297"/>
      <c r="AK191" s="279"/>
      <c r="AL191" s="279"/>
      <c r="AM191" s="279"/>
      <c r="AN191" s="279"/>
      <c r="AO191" s="306"/>
    </row>
    <row r="192" customFormat="1" ht="15.75" customHeight="1" spans="1:41">
      <c r="A192" s="277">
        <v>45811</v>
      </c>
      <c r="B192" s="278" t="s">
        <v>4785</v>
      </c>
      <c r="C192" s="279" t="s">
        <v>4740</v>
      </c>
      <c r="D192" s="279">
        <v>77515</v>
      </c>
      <c r="E192" s="279">
        <v>220000</v>
      </c>
      <c r="F192" s="279" t="s">
        <v>4746</v>
      </c>
      <c r="G192" s="959" t="s">
        <v>4747</v>
      </c>
      <c r="H192" s="959" t="s">
        <v>4750</v>
      </c>
      <c r="I192" s="297"/>
      <c r="J192" s="324"/>
      <c r="K192" s="324"/>
      <c r="L192" s="324"/>
      <c r="M192" s="296"/>
      <c r="N192" s="296"/>
      <c r="O192" s="296"/>
      <c r="P192" s="297"/>
      <c r="Q192" s="297">
        <f>E192</f>
        <v>220000</v>
      </c>
      <c r="R192" s="297"/>
      <c r="S192" s="297"/>
      <c r="T192" s="297"/>
      <c r="U192" s="297"/>
      <c r="V192" s="297"/>
      <c r="W192" s="297"/>
      <c r="X192" s="297"/>
      <c r="Y192" s="297"/>
      <c r="Z192" s="297"/>
      <c r="AA192" s="297"/>
      <c r="AB192" s="297"/>
      <c r="AC192" s="297"/>
      <c r="AD192" s="297"/>
      <c r="AE192" s="297"/>
      <c r="AF192" s="297"/>
      <c r="AG192" s="297"/>
      <c r="AH192" s="297"/>
      <c r="AI192" s="297"/>
      <c r="AJ192" s="297"/>
      <c r="AK192" s="279"/>
      <c r="AL192" s="279"/>
      <c r="AM192" s="279"/>
      <c r="AN192" s="279"/>
      <c r="AO192" s="306"/>
    </row>
    <row r="193" customFormat="1" ht="15.75" customHeight="1" spans="1:41">
      <c r="A193" s="277">
        <v>45842</v>
      </c>
      <c r="B193" s="278">
        <v>1000029728</v>
      </c>
      <c r="C193" s="279" t="s">
        <v>4817</v>
      </c>
      <c r="D193" s="279">
        <v>77516</v>
      </c>
      <c r="E193" s="279">
        <v>61176</v>
      </c>
      <c r="F193" s="279" t="s">
        <v>4774</v>
      </c>
      <c r="G193" s="959" t="s">
        <v>4749</v>
      </c>
      <c r="H193" s="959" t="s">
        <v>4815</v>
      </c>
      <c r="I193" s="297"/>
      <c r="J193" s="324"/>
      <c r="K193" s="324"/>
      <c r="L193" s="324"/>
      <c r="M193" s="296"/>
      <c r="N193" s="296">
        <f>E193</f>
        <v>61176</v>
      </c>
      <c r="O193" s="296"/>
      <c r="P193" s="297"/>
      <c r="Q193" s="297"/>
      <c r="R193" s="297"/>
      <c r="S193" s="297"/>
      <c r="T193" s="297"/>
      <c r="U193" s="297"/>
      <c r="V193" s="297"/>
      <c r="W193" s="297"/>
      <c r="X193" s="297"/>
      <c r="Y193" s="297"/>
      <c r="Z193" s="297"/>
      <c r="AA193" s="297"/>
      <c r="AB193" s="297"/>
      <c r="AC193" s="297"/>
      <c r="AD193" s="297"/>
      <c r="AE193" s="297"/>
      <c r="AF193" s="297"/>
      <c r="AG193" s="297"/>
      <c r="AH193" s="297"/>
      <c r="AI193" s="297"/>
      <c r="AJ193" s="297"/>
      <c r="AK193" s="279"/>
      <c r="AL193" s="279"/>
      <c r="AM193" s="279"/>
      <c r="AN193" s="279"/>
      <c r="AO193" s="306" t="s">
        <v>4822</v>
      </c>
    </row>
    <row r="194" customFormat="1" ht="15.75" customHeight="1" spans="1:41">
      <c r="A194" s="277">
        <v>45842</v>
      </c>
      <c r="B194" s="278">
        <v>1000029729</v>
      </c>
      <c r="C194" s="279" t="s">
        <v>4817</v>
      </c>
      <c r="D194" s="279">
        <v>77516</v>
      </c>
      <c r="E194" s="279">
        <v>30588</v>
      </c>
      <c r="F194" s="279" t="s">
        <v>4781</v>
      </c>
      <c r="G194" s="959" t="s">
        <v>4749</v>
      </c>
      <c r="H194" s="959" t="s">
        <v>4750</v>
      </c>
      <c r="I194" s="297"/>
      <c r="J194" s="324"/>
      <c r="K194" s="324"/>
      <c r="L194" s="324"/>
      <c r="M194" s="296"/>
      <c r="N194" s="296"/>
      <c r="O194" s="296"/>
      <c r="P194" s="297"/>
      <c r="Q194" s="297"/>
      <c r="R194" s="297"/>
      <c r="S194" s="297"/>
      <c r="T194" s="297"/>
      <c r="U194" s="297"/>
      <c r="V194" s="297"/>
      <c r="W194" s="297"/>
      <c r="X194" s="297"/>
      <c r="Y194" s="297"/>
      <c r="Z194" s="297"/>
      <c r="AA194" s="297"/>
      <c r="AB194" s="297"/>
      <c r="AC194" s="297"/>
      <c r="AD194" s="297"/>
      <c r="AE194" s="297"/>
      <c r="AF194" s="297"/>
      <c r="AG194" s="297"/>
      <c r="AH194" s="297"/>
      <c r="AI194" s="297"/>
      <c r="AJ194" s="297"/>
      <c r="AK194" s="279"/>
      <c r="AL194" s="279"/>
      <c r="AM194" s="279">
        <f>E194</f>
        <v>30588</v>
      </c>
      <c r="AN194" s="279"/>
      <c r="AO194" s="306" t="s">
        <v>4822</v>
      </c>
    </row>
    <row r="195" customFormat="1" ht="15.75" customHeight="1" spans="1:41">
      <c r="A195" s="277">
        <v>45842</v>
      </c>
      <c r="B195" s="278">
        <v>1000029750</v>
      </c>
      <c r="C195" s="279" t="s">
        <v>4817</v>
      </c>
      <c r="D195" s="279">
        <v>77516</v>
      </c>
      <c r="E195" s="279">
        <v>30588</v>
      </c>
      <c r="F195" s="279" t="s">
        <v>4760</v>
      </c>
      <c r="G195" s="959" t="s">
        <v>4761</v>
      </c>
      <c r="H195" s="959" t="s">
        <v>4761</v>
      </c>
      <c r="I195" s="297"/>
      <c r="J195" s="324"/>
      <c r="K195" s="324"/>
      <c r="L195" s="324"/>
      <c r="M195" s="296"/>
      <c r="N195" s="296"/>
      <c r="O195" s="296"/>
      <c r="P195" s="297"/>
      <c r="Q195" s="297"/>
      <c r="R195" s="297"/>
      <c r="S195" s="297"/>
      <c r="T195" s="297"/>
      <c r="U195" s="297"/>
      <c r="V195" s="297"/>
      <c r="W195" s="297"/>
      <c r="X195" s="297"/>
      <c r="Y195" s="297"/>
      <c r="Z195" s="297"/>
      <c r="AA195" s="297"/>
      <c r="AB195" s="297"/>
      <c r="AC195" s="297"/>
      <c r="AD195" s="297"/>
      <c r="AE195" s="297"/>
      <c r="AF195" s="297"/>
      <c r="AG195" s="297"/>
      <c r="AH195" s="297"/>
      <c r="AI195" s="297"/>
      <c r="AJ195" s="297"/>
      <c r="AK195" s="279"/>
      <c r="AL195" s="279"/>
      <c r="AM195" s="279"/>
      <c r="AN195" s="279"/>
      <c r="AO195" s="306" t="s">
        <v>4822</v>
      </c>
    </row>
    <row r="196" customFormat="1" ht="15.75" customHeight="1" spans="1:41">
      <c r="A196" s="277">
        <v>45842</v>
      </c>
      <c r="B196" s="278">
        <v>1000029732</v>
      </c>
      <c r="C196" s="279" t="s">
        <v>4817</v>
      </c>
      <c r="D196" s="279">
        <v>77516</v>
      </c>
      <c r="E196" s="279">
        <v>30588</v>
      </c>
      <c r="F196" s="279" t="s">
        <v>4773</v>
      </c>
      <c r="G196" s="959" t="s">
        <v>4761</v>
      </c>
      <c r="H196" s="959" t="s">
        <v>4761</v>
      </c>
      <c r="I196" s="297"/>
      <c r="J196" s="324"/>
      <c r="K196" s="324"/>
      <c r="L196" s="324"/>
      <c r="M196" s="296"/>
      <c r="N196" s="296"/>
      <c r="O196" s="296"/>
      <c r="P196" s="297"/>
      <c r="Q196" s="297"/>
      <c r="R196" s="297"/>
      <c r="S196" s="297"/>
      <c r="T196" s="297"/>
      <c r="U196" s="297"/>
      <c r="V196" s="297"/>
      <c r="W196" s="297"/>
      <c r="X196" s="297"/>
      <c r="Y196" s="297"/>
      <c r="Z196" s="297"/>
      <c r="AA196" s="297"/>
      <c r="AB196" s="297"/>
      <c r="AC196" s="297"/>
      <c r="AD196" s="297"/>
      <c r="AE196" s="297"/>
      <c r="AF196" s="297"/>
      <c r="AG196" s="297"/>
      <c r="AH196" s="297"/>
      <c r="AI196" s="297"/>
      <c r="AJ196" s="297"/>
      <c r="AK196" s="279"/>
      <c r="AL196" s="279"/>
      <c r="AM196" s="279"/>
      <c r="AN196" s="279"/>
      <c r="AO196" s="306" t="s">
        <v>4822</v>
      </c>
    </row>
    <row r="197" customFormat="1" ht="15.75" customHeight="1" spans="1:41">
      <c r="A197" s="277">
        <v>45840</v>
      </c>
      <c r="B197" s="278"/>
      <c r="C197" s="279" t="s">
        <v>4740</v>
      </c>
      <c r="D197" s="279">
        <v>77515</v>
      </c>
      <c r="E197" s="279">
        <v>20000</v>
      </c>
      <c r="F197" s="279" t="s">
        <v>4741</v>
      </c>
      <c r="G197" s="959" t="s">
        <v>4749</v>
      </c>
      <c r="H197" s="959" t="s">
        <v>4815</v>
      </c>
      <c r="I197" s="297"/>
      <c r="J197" s="324"/>
      <c r="K197" s="324"/>
      <c r="L197" s="324">
        <f>E197</f>
        <v>20000</v>
      </c>
      <c r="M197" s="296"/>
      <c r="N197" s="296"/>
      <c r="O197" s="296"/>
      <c r="P197" s="297"/>
      <c r="Q197" s="297"/>
      <c r="R197" s="297"/>
      <c r="S197" s="297"/>
      <c r="T197" s="297"/>
      <c r="U197" s="297"/>
      <c r="V197" s="297"/>
      <c r="W197" s="297"/>
      <c r="X197" s="297"/>
      <c r="Y197" s="297"/>
      <c r="Z197" s="297"/>
      <c r="AA197" s="297"/>
      <c r="AB197" s="297"/>
      <c r="AC197" s="297"/>
      <c r="AD197" s="297"/>
      <c r="AE197" s="297"/>
      <c r="AF197" s="297"/>
      <c r="AG197" s="297"/>
      <c r="AH197" s="297"/>
      <c r="AI197" s="297"/>
      <c r="AJ197" s="297"/>
      <c r="AK197" s="279"/>
      <c r="AL197" s="279"/>
      <c r="AM197" s="279"/>
      <c r="AN197" s="279"/>
      <c r="AO197" s="306"/>
    </row>
    <row r="198" customFormat="1" ht="15.75" customHeight="1" spans="1:41">
      <c r="A198" s="277">
        <v>45840</v>
      </c>
      <c r="B198" s="278"/>
      <c r="C198" s="279" t="s">
        <v>4740</v>
      </c>
      <c r="D198" s="279">
        <v>77515</v>
      </c>
      <c r="E198" s="279">
        <v>220000</v>
      </c>
      <c r="F198" s="279" t="s">
        <v>4746</v>
      </c>
      <c r="G198" s="959" t="s">
        <v>4747</v>
      </c>
      <c r="H198" s="959" t="s">
        <v>4750</v>
      </c>
      <c r="I198" s="297"/>
      <c r="J198" s="324"/>
      <c r="K198" s="324"/>
      <c r="L198" s="324"/>
      <c r="M198" s="296"/>
      <c r="N198" s="296"/>
      <c r="O198" s="296"/>
      <c r="P198" s="297"/>
      <c r="Q198" s="297">
        <f>E198</f>
        <v>220000</v>
      </c>
      <c r="R198" s="297"/>
      <c r="S198" s="297"/>
      <c r="T198" s="297"/>
      <c r="U198" s="297"/>
      <c r="V198" s="297"/>
      <c r="W198" s="297"/>
      <c r="X198" s="297"/>
      <c r="Y198" s="297"/>
      <c r="Z198" s="297"/>
      <c r="AA198" s="297"/>
      <c r="AB198" s="297"/>
      <c r="AC198" s="297"/>
      <c r="AD198" s="297"/>
      <c r="AE198" s="297"/>
      <c r="AF198" s="297"/>
      <c r="AG198" s="297"/>
      <c r="AH198" s="297"/>
      <c r="AI198" s="297"/>
      <c r="AJ198" s="297"/>
      <c r="AK198" s="279"/>
      <c r="AL198" s="279"/>
      <c r="AM198" s="279"/>
      <c r="AN198" s="279"/>
      <c r="AO198" s="306"/>
    </row>
    <row r="199" customFormat="1" ht="15.75" customHeight="1" spans="1:41">
      <c r="A199" s="277">
        <v>45846</v>
      </c>
      <c r="B199" s="278">
        <v>1000029851</v>
      </c>
      <c r="C199" s="279" t="s">
        <v>4740</v>
      </c>
      <c r="D199" s="279" t="s">
        <v>4752</v>
      </c>
      <c r="E199" s="279">
        <v>500</v>
      </c>
      <c r="F199" s="279" t="s">
        <v>4745</v>
      </c>
      <c r="G199" s="959" t="s">
        <v>4749</v>
      </c>
      <c r="H199" s="959" t="s">
        <v>4750</v>
      </c>
      <c r="I199" s="297"/>
      <c r="J199" s="324"/>
      <c r="K199" s="324"/>
      <c r="L199" s="324"/>
      <c r="M199" s="296"/>
      <c r="N199" s="296"/>
      <c r="O199" s="296"/>
      <c r="P199" s="297"/>
      <c r="Q199" s="297"/>
      <c r="R199" s="297"/>
      <c r="S199" s="297"/>
      <c r="T199" s="297"/>
      <c r="U199" s="297"/>
      <c r="V199" s="297"/>
      <c r="W199" s="297"/>
      <c r="X199" s="297"/>
      <c r="Y199" s="297"/>
      <c r="Z199" s="297"/>
      <c r="AA199" s="297"/>
      <c r="AB199" s="297">
        <f>E199</f>
        <v>500</v>
      </c>
      <c r="AC199" s="297"/>
      <c r="AD199" s="297"/>
      <c r="AE199" s="297"/>
      <c r="AF199" s="297"/>
      <c r="AG199" s="297"/>
      <c r="AH199" s="297"/>
      <c r="AI199" s="297"/>
      <c r="AJ199" s="297"/>
      <c r="AK199" s="279"/>
      <c r="AL199" s="279"/>
      <c r="AM199" s="279"/>
      <c r="AN199" s="279"/>
      <c r="AO199" s="306"/>
    </row>
    <row r="200" customFormat="1" ht="15.75" customHeight="1" spans="1:41">
      <c r="A200" s="307">
        <v>45891</v>
      </c>
      <c r="B200" s="308"/>
      <c r="C200" s="981" t="s">
        <v>4823</v>
      </c>
      <c r="D200" s="309">
        <v>77515</v>
      </c>
      <c r="E200" s="309">
        <v>20000</v>
      </c>
      <c r="F200" s="309" t="s">
        <v>4741</v>
      </c>
      <c r="G200" s="982" t="s">
        <v>4742</v>
      </c>
      <c r="H200" s="982" t="s">
        <v>4815</v>
      </c>
      <c r="I200" s="297"/>
      <c r="J200" s="324"/>
      <c r="K200" s="324">
        <f>E200</f>
        <v>20000</v>
      </c>
      <c r="L200" s="324"/>
      <c r="M200" s="296"/>
      <c r="N200" s="296"/>
      <c r="O200" s="296"/>
      <c r="P200" s="297"/>
      <c r="Q200" s="297"/>
      <c r="R200" s="297"/>
      <c r="S200" s="297"/>
      <c r="T200" s="297"/>
      <c r="U200" s="297"/>
      <c r="V200" s="297"/>
      <c r="W200" s="297"/>
      <c r="X200" s="297"/>
      <c r="Y200" s="297"/>
      <c r="Z200" s="297"/>
      <c r="AA200" s="297"/>
      <c r="AB200" s="297"/>
      <c r="AC200" s="297"/>
      <c r="AD200" s="297"/>
      <c r="AE200" s="297"/>
      <c r="AF200" s="297"/>
      <c r="AG200" s="297"/>
      <c r="AH200" s="297"/>
      <c r="AI200" s="297"/>
      <c r="AJ200" s="297"/>
      <c r="AK200" s="279"/>
      <c r="AL200" s="279"/>
      <c r="AM200" s="279"/>
      <c r="AN200" s="279"/>
      <c r="AO200" s="306"/>
    </row>
    <row r="201" customFormat="1" ht="15.75" customHeight="1" spans="1:41">
      <c r="A201" s="307">
        <v>45891</v>
      </c>
      <c r="B201" s="308"/>
      <c r="C201" s="981" t="s">
        <v>4823</v>
      </c>
      <c r="D201" s="309">
        <v>77515</v>
      </c>
      <c r="E201" s="309">
        <v>20000</v>
      </c>
      <c r="F201" s="309" t="s">
        <v>4741</v>
      </c>
      <c r="G201" s="982" t="s">
        <v>4749</v>
      </c>
      <c r="H201" s="982" t="s">
        <v>4815</v>
      </c>
      <c r="I201" s="297"/>
      <c r="J201" s="324"/>
      <c r="K201" s="324"/>
      <c r="L201" s="324">
        <f>E201</f>
        <v>20000</v>
      </c>
      <c r="M201" s="296"/>
      <c r="N201" s="296"/>
      <c r="O201" s="296"/>
      <c r="P201" s="297"/>
      <c r="Q201" s="297"/>
      <c r="R201" s="297"/>
      <c r="S201" s="297"/>
      <c r="T201" s="297"/>
      <c r="U201" s="297"/>
      <c r="V201" s="297"/>
      <c r="W201" s="297"/>
      <c r="X201" s="297"/>
      <c r="Y201" s="297"/>
      <c r="Z201" s="297"/>
      <c r="AA201" s="297"/>
      <c r="AB201" s="297"/>
      <c r="AC201" s="297"/>
      <c r="AD201" s="297"/>
      <c r="AE201" s="297"/>
      <c r="AF201" s="297"/>
      <c r="AG201" s="297"/>
      <c r="AH201" s="297"/>
      <c r="AI201" s="297"/>
      <c r="AJ201" s="297"/>
      <c r="AK201" s="279"/>
      <c r="AL201" s="279"/>
      <c r="AM201" s="279"/>
      <c r="AN201" s="279"/>
      <c r="AO201" s="306"/>
    </row>
    <row r="202" customFormat="1" ht="15.75" customHeight="1" spans="1:41">
      <c r="A202" s="307">
        <v>45891</v>
      </c>
      <c r="B202" s="308"/>
      <c r="C202" s="981" t="s">
        <v>4823</v>
      </c>
      <c r="D202" s="309">
        <v>77515</v>
      </c>
      <c r="E202" s="309">
        <v>250000</v>
      </c>
      <c r="F202" s="309" t="s">
        <v>4746</v>
      </c>
      <c r="G202" s="982" t="s">
        <v>4747</v>
      </c>
      <c r="H202" s="982" t="s">
        <v>4743</v>
      </c>
      <c r="I202" s="297"/>
      <c r="J202" s="324"/>
      <c r="K202" s="324"/>
      <c r="L202" s="324"/>
      <c r="M202" s="296"/>
      <c r="N202" s="296"/>
      <c r="O202" s="296"/>
      <c r="P202" s="297"/>
      <c r="Q202" s="297">
        <f>E202</f>
        <v>250000</v>
      </c>
      <c r="R202" s="297"/>
      <c r="S202" s="297"/>
      <c r="T202" s="297"/>
      <c r="U202" s="297"/>
      <c r="V202" s="297"/>
      <c r="W202" s="297"/>
      <c r="X202" s="297"/>
      <c r="Y202" s="297"/>
      <c r="Z202" s="297"/>
      <c r="AA202" s="297"/>
      <c r="AB202" s="297"/>
      <c r="AC202" s="297"/>
      <c r="AD202" s="297"/>
      <c r="AE202" s="297"/>
      <c r="AF202" s="297"/>
      <c r="AG202" s="297"/>
      <c r="AH202" s="297"/>
      <c r="AI202" s="297"/>
      <c r="AJ202" s="297"/>
      <c r="AK202" s="279"/>
      <c r="AL202" s="279"/>
      <c r="AM202" s="279"/>
      <c r="AN202" s="279"/>
      <c r="AO202" s="306"/>
    </row>
    <row r="203" customFormat="1" ht="15.75" customHeight="1" spans="1:41">
      <c r="A203" s="307">
        <v>45908</v>
      </c>
      <c r="B203" s="308"/>
      <c r="C203" s="981" t="s">
        <v>4823</v>
      </c>
      <c r="D203" s="309">
        <v>77515</v>
      </c>
      <c r="E203" s="309">
        <v>20000</v>
      </c>
      <c r="F203" s="309" t="s">
        <v>4741</v>
      </c>
      <c r="G203" s="982" t="s">
        <v>4742</v>
      </c>
      <c r="H203" s="982" t="s">
        <v>4750</v>
      </c>
      <c r="I203" s="297">
        <f>E203</f>
        <v>20000</v>
      </c>
      <c r="J203" s="324"/>
      <c r="K203" s="324"/>
      <c r="L203" s="324"/>
      <c r="M203" s="296"/>
      <c r="N203" s="296"/>
      <c r="O203" s="296"/>
      <c r="P203" s="297"/>
      <c r="Q203" s="297"/>
      <c r="R203" s="297"/>
      <c r="S203" s="297"/>
      <c r="T203" s="297"/>
      <c r="U203" s="297"/>
      <c r="V203" s="297"/>
      <c r="W203" s="297"/>
      <c r="X203" s="297"/>
      <c r="Y203" s="297"/>
      <c r="Z203" s="297"/>
      <c r="AA203" s="297"/>
      <c r="AB203" s="297"/>
      <c r="AC203" s="297"/>
      <c r="AD203" s="297"/>
      <c r="AE203" s="297"/>
      <c r="AF203" s="297"/>
      <c r="AG203" s="297"/>
      <c r="AH203" s="297"/>
      <c r="AI203" s="297"/>
      <c r="AJ203" s="297"/>
      <c r="AK203" s="279"/>
      <c r="AL203" s="279"/>
      <c r="AM203" s="279"/>
      <c r="AN203" s="279"/>
      <c r="AO203" s="306"/>
    </row>
    <row r="204" customFormat="1" ht="15.75" customHeight="1" spans="1:41">
      <c r="A204" s="307">
        <v>45908</v>
      </c>
      <c r="B204" s="308"/>
      <c r="C204" s="981" t="s">
        <v>4823</v>
      </c>
      <c r="D204" s="309" t="s">
        <v>4705</v>
      </c>
      <c r="E204" s="309">
        <v>500</v>
      </c>
      <c r="F204" s="309" t="s">
        <v>4745</v>
      </c>
      <c r="G204" s="982" t="s">
        <v>4749</v>
      </c>
      <c r="H204" s="982" t="s">
        <v>4750</v>
      </c>
      <c r="I204" s="297"/>
      <c r="J204" s="324"/>
      <c r="K204" s="324"/>
      <c r="L204" s="324"/>
      <c r="M204" s="296"/>
      <c r="N204" s="296"/>
      <c r="O204" s="296"/>
      <c r="P204" s="297"/>
      <c r="Q204" s="297"/>
      <c r="R204" s="297"/>
      <c r="S204" s="297"/>
      <c r="T204" s="297"/>
      <c r="U204" s="297">
        <f>E204</f>
        <v>500</v>
      </c>
      <c r="V204" s="297"/>
      <c r="W204" s="297"/>
      <c r="X204" s="297"/>
      <c r="Y204" s="297"/>
      <c r="Z204" s="297"/>
      <c r="AA204" s="297"/>
      <c r="AB204" s="297"/>
      <c r="AC204" s="297"/>
      <c r="AD204" s="297"/>
      <c r="AE204" s="297"/>
      <c r="AF204" s="297"/>
      <c r="AG204" s="297"/>
      <c r="AH204" s="297"/>
      <c r="AI204" s="297"/>
      <c r="AJ204" s="297"/>
      <c r="AK204" s="279"/>
      <c r="AL204" s="279"/>
      <c r="AM204" s="279"/>
      <c r="AN204" s="279"/>
      <c r="AO204" s="306"/>
    </row>
    <row r="205" s="261" customFormat="1" spans="1:41">
      <c r="A205" s="277"/>
      <c r="B205" s="279"/>
      <c r="C205" s="279"/>
      <c r="D205" s="279"/>
      <c r="E205" s="279"/>
      <c r="F205" s="279"/>
      <c r="G205" s="279"/>
      <c r="H205" s="279"/>
      <c r="I205" s="279"/>
      <c r="J205" s="967"/>
      <c r="K205" s="967"/>
      <c r="L205" s="967"/>
      <c r="M205" s="323"/>
      <c r="N205" s="323"/>
      <c r="O205" s="323"/>
      <c r="P205" s="279"/>
      <c r="Q205" s="279"/>
      <c r="R205" s="279"/>
      <c r="S205" s="279"/>
      <c r="T205" s="279"/>
      <c r="U205" s="279"/>
      <c r="V205" s="279"/>
      <c r="W205" s="279"/>
      <c r="X205" s="279"/>
      <c r="Y205" s="279"/>
      <c r="Z205" s="279"/>
      <c r="AA205" s="279"/>
      <c r="AB205" s="279"/>
      <c r="AC205" s="279"/>
      <c r="AD205" s="279"/>
      <c r="AE205" s="279"/>
      <c r="AF205" s="279"/>
      <c r="AG205" s="279"/>
      <c r="AH205" s="279"/>
      <c r="AI205" s="279"/>
      <c r="AJ205" s="279"/>
      <c r="AK205" s="279"/>
      <c r="AL205" s="279"/>
      <c r="AM205" s="279"/>
      <c r="AN205" s="279"/>
      <c r="AO205" s="327"/>
    </row>
    <row r="206" spans="1:41">
      <c r="A206" s="313"/>
      <c r="B206" s="297"/>
      <c r="C206" s="297" t="s">
        <v>4824</v>
      </c>
      <c r="D206" s="279"/>
      <c r="E206" s="279"/>
      <c r="F206" s="297"/>
      <c r="G206" s="297"/>
      <c r="H206" s="297"/>
      <c r="I206" s="297"/>
      <c r="J206" s="324"/>
      <c r="K206" s="324"/>
      <c r="L206" s="324"/>
      <c r="M206" s="296">
        <v>44720</v>
      </c>
      <c r="N206" s="296"/>
      <c r="O206" s="296">
        <v>1616</v>
      </c>
      <c r="P206" s="297"/>
      <c r="Q206" s="297"/>
      <c r="R206" s="297">
        <v>26670</v>
      </c>
      <c r="S206" s="297"/>
      <c r="T206" s="297"/>
      <c r="U206" s="297"/>
      <c r="V206" s="297"/>
      <c r="W206" s="297"/>
      <c r="X206" s="297"/>
      <c r="Y206" s="297"/>
      <c r="Z206" s="297"/>
      <c r="AA206" s="297"/>
      <c r="AB206" s="297"/>
      <c r="AC206" s="297"/>
      <c r="AD206" s="297"/>
      <c r="AE206" s="297"/>
      <c r="AF206" s="297"/>
      <c r="AG206" s="297"/>
      <c r="AH206" s="297"/>
      <c r="AI206" s="297"/>
      <c r="AJ206" s="297"/>
      <c r="AK206" s="297"/>
      <c r="AL206" s="297"/>
      <c r="AM206" s="297"/>
      <c r="AN206" s="297"/>
      <c r="AO206" s="297"/>
    </row>
    <row r="207" spans="1:41">
      <c r="A207" s="314"/>
      <c r="B207" s="315"/>
      <c r="C207" s="316" t="s">
        <v>4825</v>
      </c>
      <c r="D207" s="316"/>
      <c r="E207" s="316"/>
      <c r="F207" s="316"/>
      <c r="G207" s="316"/>
      <c r="H207" s="316"/>
      <c r="I207" s="316">
        <f t="shared" ref="I207:U207" si="0">SUM(I5:I206)</f>
        <v>2215000</v>
      </c>
      <c r="J207" s="316">
        <f t="shared" si="0"/>
        <v>615000</v>
      </c>
      <c r="K207" s="316">
        <f t="shared" si="0"/>
        <v>50000</v>
      </c>
      <c r="L207" s="316">
        <f t="shared" si="0"/>
        <v>60000</v>
      </c>
      <c r="M207" s="316">
        <f t="shared" si="0"/>
        <v>132456</v>
      </c>
      <c r="N207" s="316">
        <f t="shared" si="0"/>
        <v>61176</v>
      </c>
      <c r="O207" s="316">
        <f t="shared" si="0"/>
        <v>55216</v>
      </c>
      <c r="P207" s="316">
        <f t="shared" si="0"/>
        <v>2860000</v>
      </c>
      <c r="Q207" s="316">
        <f t="shared" si="0"/>
        <v>690000</v>
      </c>
      <c r="R207" s="316">
        <f t="shared" si="0"/>
        <v>297966</v>
      </c>
      <c r="S207" s="316">
        <f t="shared" si="0"/>
        <v>28476</v>
      </c>
      <c r="T207" s="316">
        <f t="shared" si="0"/>
        <v>4100</v>
      </c>
      <c r="U207" s="316">
        <f t="shared" si="0"/>
        <v>500</v>
      </c>
      <c r="V207" s="316">
        <f t="shared" ref="V207:AB207" si="1">SUM(V5:V206)</f>
        <v>8524</v>
      </c>
      <c r="W207" s="316">
        <f t="shared" si="1"/>
        <v>2826</v>
      </c>
      <c r="X207" s="316">
        <f t="shared" si="1"/>
        <v>18198</v>
      </c>
      <c r="Y207" s="316">
        <f t="shared" si="1"/>
        <v>28566</v>
      </c>
      <c r="Z207" s="316">
        <f t="shared" si="1"/>
        <v>4343</v>
      </c>
      <c r="AA207" s="316">
        <f t="shared" si="1"/>
        <v>1500</v>
      </c>
      <c r="AB207" s="316">
        <f t="shared" si="1"/>
        <v>500</v>
      </c>
      <c r="AC207" s="316">
        <f t="shared" ref="AC207:AN207" si="2">SUM(AC5:AC206)</f>
        <v>9497</v>
      </c>
      <c r="AD207" s="316">
        <f t="shared" si="2"/>
        <v>12594</v>
      </c>
      <c r="AE207" s="316">
        <f t="shared" si="2"/>
        <v>2775</v>
      </c>
      <c r="AF207" s="316">
        <f t="shared" si="2"/>
        <v>750</v>
      </c>
      <c r="AG207" s="316">
        <f t="shared" si="2"/>
        <v>1299</v>
      </c>
      <c r="AH207" s="316">
        <f t="shared" si="2"/>
        <v>2071</v>
      </c>
      <c r="AI207" s="316">
        <f t="shared" si="2"/>
        <v>1100</v>
      </c>
      <c r="AJ207" s="316">
        <f t="shared" si="2"/>
        <v>1300</v>
      </c>
      <c r="AK207" s="316">
        <f t="shared" si="2"/>
        <v>78413</v>
      </c>
      <c r="AL207" s="316">
        <f t="shared" si="2"/>
        <v>58717</v>
      </c>
      <c r="AM207" s="316">
        <f t="shared" si="2"/>
        <v>30588</v>
      </c>
      <c r="AN207" s="316">
        <f t="shared" si="2"/>
        <v>71413</v>
      </c>
      <c r="AO207" s="316"/>
    </row>
    <row r="208" spans="1:41">
      <c r="A208" s="314" t="s">
        <v>4826</v>
      </c>
      <c r="B208" s="315"/>
      <c r="C208" s="316"/>
      <c r="D208" s="316"/>
      <c r="E208" s="316"/>
      <c r="F208" s="316"/>
      <c r="G208" s="316"/>
      <c r="H208" s="316"/>
      <c r="I208" s="316">
        <f>'77515 DIY厨艺大师'!AN56</f>
        <v>2237120</v>
      </c>
      <c r="J208" s="316">
        <f>'77515 DIY厨艺大师'!AO56</f>
        <v>623203</v>
      </c>
      <c r="K208" s="316">
        <f>'77515 DIY厨艺大师'!AP56</f>
        <v>5374</v>
      </c>
      <c r="L208" s="316">
        <f>'77515 DIY厨艺大师'!AQ56</f>
        <v>58520</v>
      </c>
      <c r="M208" s="316">
        <f>'77515 DIY厨艺大师'!AK56</f>
        <v>151824</v>
      </c>
      <c r="N208" s="316">
        <f>'77515 DIY厨艺大师'!AM56</f>
        <v>69960</v>
      </c>
      <c r="O208" s="316">
        <f>'77515 DIY厨艺大师'!AT56</f>
        <v>55216</v>
      </c>
      <c r="P208" s="316">
        <f>'77515 DIY厨艺大师'!AU56</f>
        <v>3131388</v>
      </c>
      <c r="Q208" s="316">
        <f>'77515 DIY厨艺大师'!AV56</f>
        <v>498938</v>
      </c>
      <c r="R208" s="316">
        <f>'77515 DIY厨艺大师'!AX56</f>
        <v>297966</v>
      </c>
      <c r="S208" s="316">
        <f>'77515 DIY厨艺大师'!BB56</f>
        <v>28801</v>
      </c>
      <c r="T208" s="316">
        <f>'77515 DIY厨艺大师'!BC56</f>
        <v>4232</v>
      </c>
      <c r="U208" s="316">
        <f>'77515 DIY厨艺大师'!BD56</f>
        <v>125</v>
      </c>
      <c r="V208" s="316">
        <f>'77515 DIY厨艺大师'!BG56</f>
        <v>8657</v>
      </c>
      <c r="W208" s="316">
        <f>'77515 DIY厨艺大师'!BH56</f>
        <v>2735</v>
      </c>
      <c r="X208" s="316">
        <f>'77515 DIY厨艺大师'!BF56</f>
        <v>18198</v>
      </c>
      <c r="Y208" s="316">
        <f>'77515 DIY厨艺大师'!BI56</f>
        <v>30054</v>
      </c>
      <c r="Z208" s="316">
        <f>'77515 DIY厨艺大师'!BJ56</f>
        <v>4729</v>
      </c>
      <c r="AA208" s="316">
        <f>'77515 DIY厨艺大师'!BK56</f>
        <v>56</v>
      </c>
      <c r="AB208" s="316">
        <f>'77515 DIY厨艺大师'!BL56</f>
        <v>265</v>
      </c>
      <c r="AC208" s="316">
        <f>'77515 DIY厨艺大师'!BM56</f>
        <v>9109</v>
      </c>
      <c r="AD208" s="316">
        <f>'77515 DIY厨艺大师'!BN56</f>
        <v>13030</v>
      </c>
      <c r="AE208" s="316">
        <f>'77515 DIY厨艺大师'!BR56</f>
        <v>2775</v>
      </c>
      <c r="AF208" s="316">
        <f>'77515 DIY厨艺大师'!BS56</f>
        <v>801</v>
      </c>
      <c r="AG208" s="316">
        <f>'77515 DIY厨艺大师'!BT56</f>
        <v>1326</v>
      </c>
      <c r="AH208" s="316">
        <f>'77515 DIY厨艺大师'!BP56+'77515 DIY厨艺大师'!BO56</f>
        <v>2090</v>
      </c>
      <c r="AI208" s="316">
        <f>'77515 DIY厨艺大师'!BQ56</f>
        <v>1001</v>
      </c>
      <c r="AJ208" s="316">
        <f>'77515 DIY厨艺大师'!BP56+'77515 DIY厨艺大师'!BQ56</f>
        <v>1312</v>
      </c>
      <c r="AK208" s="316">
        <f>'77515 DIY厨艺大师'!BW56</f>
        <v>229476</v>
      </c>
      <c r="AL208" s="316"/>
      <c r="AM208" s="316">
        <f>'77515 DIY厨艺大师'!BY56</f>
        <v>48888</v>
      </c>
      <c r="AN208" s="316">
        <f>'77515 DIY厨艺大师'!BX56</f>
        <v>180588</v>
      </c>
      <c r="AO208" s="316"/>
    </row>
    <row r="209" spans="1:41">
      <c r="A209" s="314" t="s">
        <v>4827</v>
      </c>
      <c r="B209" s="315"/>
      <c r="C209" s="316"/>
      <c r="D209" s="316"/>
      <c r="E209" s="316"/>
      <c r="F209" s="317"/>
      <c r="G209" s="316"/>
      <c r="H209" s="316"/>
      <c r="I209" s="316"/>
      <c r="J209" s="325"/>
      <c r="K209" s="325"/>
      <c r="L209" s="325"/>
      <c r="M209" s="325"/>
      <c r="N209" s="325"/>
      <c r="O209" s="325"/>
      <c r="P209" s="316"/>
      <c r="Q209" s="316"/>
      <c r="R209" s="316"/>
      <c r="S209" s="316"/>
      <c r="T209" s="316"/>
      <c r="U209" s="316"/>
      <c r="V209" s="316"/>
      <c r="W209" s="316"/>
      <c r="X209" s="316"/>
      <c r="Y209" s="316"/>
      <c r="Z209" s="316"/>
      <c r="AA209" s="316"/>
      <c r="AB209" s="316"/>
      <c r="AC209" s="316"/>
      <c r="AD209" s="316"/>
      <c r="AE209" s="316"/>
      <c r="AF209" s="316"/>
      <c r="AG209" s="316"/>
      <c r="AH209" s="316"/>
      <c r="AI209" s="316"/>
      <c r="AJ209" s="316"/>
      <c r="AK209" s="316"/>
      <c r="AL209" s="316"/>
      <c r="AM209" s="316"/>
      <c r="AN209" s="316"/>
      <c r="AO209" s="316"/>
    </row>
    <row r="210" ht="15" spans="1:41">
      <c r="A210" s="318" t="s">
        <v>4828</v>
      </c>
      <c r="B210" s="319"/>
      <c r="C210" s="320"/>
      <c r="D210" s="321"/>
      <c r="E210" s="321"/>
      <c r="F210" s="321"/>
      <c r="G210" s="321"/>
      <c r="H210" s="321"/>
      <c r="I210" s="326">
        <f t="shared" ref="I210:U210" si="3">I207-I208-I209</f>
        <v>-22120</v>
      </c>
      <c r="J210" s="326">
        <f t="shared" si="3"/>
        <v>-8203</v>
      </c>
      <c r="K210" s="326">
        <f t="shared" si="3"/>
        <v>44626</v>
      </c>
      <c r="L210" s="326">
        <f t="shared" si="3"/>
        <v>1480</v>
      </c>
      <c r="M210" s="326">
        <f t="shared" si="3"/>
        <v>-19368</v>
      </c>
      <c r="N210" s="326">
        <f t="shared" si="3"/>
        <v>-8784</v>
      </c>
      <c r="O210" s="326">
        <f t="shared" si="3"/>
        <v>0</v>
      </c>
      <c r="P210" s="326">
        <f t="shared" si="3"/>
        <v>-271388</v>
      </c>
      <c r="Q210" s="326">
        <f t="shared" si="3"/>
        <v>191062</v>
      </c>
      <c r="R210" s="326">
        <f t="shared" si="3"/>
        <v>0</v>
      </c>
      <c r="S210" s="326">
        <f t="shared" si="3"/>
        <v>-325</v>
      </c>
      <c r="T210" s="326">
        <f t="shared" si="3"/>
        <v>-132</v>
      </c>
      <c r="U210" s="326">
        <f t="shared" si="3"/>
        <v>375</v>
      </c>
      <c r="V210" s="326">
        <f t="shared" ref="V210:AB210" si="4">V207-V208-V209</f>
        <v>-133</v>
      </c>
      <c r="W210" s="326">
        <f t="shared" si="4"/>
        <v>91</v>
      </c>
      <c r="X210" s="326">
        <f t="shared" si="4"/>
        <v>0</v>
      </c>
      <c r="Y210" s="326">
        <f t="shared" si="4"/>
        <v>-1488</v>
      </c>
      <c r="Z210" s="326">
        <f t="shared" si="4"/>
        <v>-386</v>
      </c>
      <c r="AA210" s="326">
        <f t="shared" si="4"/>
        <v>1444</v>
      </c>
      <c r="AB210" s="326">
        <f t="shared" si="4"/>
        <v>235</v>
      </c>
      <c r="AC210" s="326">
        <f t="shared" ref="AC210:AN210" si="5">AC207-AC208-AC209</f>
        <v>388</v>
      </c>
      <c r="AD210" s="326">
        <f t="shared" si="5"/>
        <v>-436</v>
      </c>
      <c r="AE210" s="326">
        <f t="shared" si="5"/>
        <v>0</v>
      </c>
      <c r="AF210" s="326">
        <f t="shared" si="5"/>
        <v>-51</v>
      </c>
      <c r="AG210" s="326">
        <f t="shared" si="5"/>
        <v>-27</v>
      </c>
      <c r="AH210" s="326">
        <f t="shared" si="5"/>
        <v>-19</v>
      </c>
      <c r="AI210" s="326">
        <f t="shared" si="5"/>
        <v>99</v>
      </c>
      <c r="AJ210" s="326">
        <f t="shared" si="5"/>
        <v>-12</v>
      </c>
      <c r="AK210" s="326">
        <f t="shared" si="5"/>
        <v>-151063</v>
      </c>
      <c r="AL210" s="326">
        <f t="shared" si="5"/>
        <v>58717</v>
      </c>
      <c r="AM210" s="326">
        <f t="shared" si="5"/>
        <v>-18300</v>
      </c>
      <c r="AN210" s="326">
        <f t="shared" si="5"/>
        <v>-109175</v>
      </c>
      <c r="AO210" s="326"/>
    </row>
    <row r="211" ht="15"/>
    <row r="212" spans="8:35">
      <c r="H212" s="322"/>
      <c r="AG212" s="983" t="s">
        <v>4829</v>
      </c>
      <c r="AH212" s="983">
        <v>2200</v>
      </c>
      <c r="AI212" s="983"/>
    </row>
    <row r="214" spans="3:18">
      <c r="C214"/>
      <c r="F214"/>
      <c r="G214"/>
      <c r="H214"/>
      <c r="I214"/>
      <c r="P214"/>
      <c r="Q214"/>
      <c r="R214"/>
    </row>
  </sheetData>
  <autoFilter xmlns:etc="http://www.wps.cn/officeDocument/2017/etCustomData" ref="A4:AP204" etc:filterBottomFollowUsedRange="0">
    <extLst/>
  </autoFilter>
  <mergeCells count="20">
    <mergeCell ref="A1:H1"/>
    <mergeCell ref="I2:O2"/>
    <mergeCell ref="P2:R2"/>
    <mergeCell ref="S2:T2"/>
    <mergeCell ref="V2:X2"/>
    <mergeCell ref="Y2:Z2"/>
    <mergeCell ref="AA2:AB2"/>
    <mergeCell ref="AC2:AD2"/>
    <mergeCell ref="AE2:AG2"/>
    <mergeCell ref="AH2:AJ2"/>
    <mergeCell ref="AK2:AN2"/>
    <mergeCell ref="P3:Q3"/>
    <mergeCell ref="A2:A4"/>
    <mergeCell ref="B2:B4"/>
    <mergeCell ref="C2:C4"/>
    <mergeCell ref="D2:D4"/>
    <mergeCell ref="E2:E4"/>
    <mergeCell ref="F2:F4"/>
    <mergeCell ref="G2:G4"/>
    <mergeCell ref="H2:H4"/>
  </mergeCells>
  <pageMargins left="0.75" right="0.75" top="1" bottom="1" header="0.509027777777778" footer="0.509027777777778"/>
  <pageSetup paperSize="9" orientation="portrait"/>
  <headerFooter alignWithMargins="0" scaleWithDoc="0"/>
  <ignoredErrors>
    <ignoredError sqref="B6" numberStoredAsText="1"/>
    <ignoredError sqref="AF208"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FFCC"/>
    <pageSetUpPr fitToPage="1"/>
  </sheetPr>
  <dimension ref="A1:AC154"/>
  <sheetViews>
    <sheetView zoomScale="90" zoomScaleNormal="90" workbookViewId="0">
      <pane xSplit="5" ySplit="6" topLeftCell="F7" activePane="bottomRight" state="frozen"/>
      <selection/>
      <selection pane="topRight"/>
      <selection pane="bottomLeft"/>
      <selection pane="bottomRight" activeCell="O26" sqref="O26"/>
    </sheetView>
  </sheetViews>
  <sheetFormatPr defaultColWidth="8.86666666666667" defaultRowHeight="12.75"/>
  <cols>
    <col min="1" max="1" width="13.5" style="864" customWidth="1"/>
    <col min="2" max="2" width="9.9" style="864" customWidth="1"/>
    <col min="3" max="3" width="23.525" style="865" customWidth="1"/>
    <col min="4" max="4" width="10.025" style="865" customWidth="1"/>
    <col min="5" max="5" width="7.06666666666667" style="865" customWidth="1"/>
    <col min="6" max="11" width="9.76666666666667" style="866" customWidth="1"/>
    <col min="12" max="12" width="12.6" style="866" customWidth="1"/>
    <col min="13" max="27" width="9.76666666666667" style="866" customWidth="1"/>
    <col min="28" max="28" width="10.025" style="867" customWidth="1"/>
    <col min="29" max="29" width="13.8833333333333" style="868" customWidth="1"/>
    <col min="30" max="16384" width="8.86666666666667" style="868"/>
  </cols>
  <sheetData>
    <row r="1" ht="17.45" customHeight="1" spans="6:28">
      <c r="F1" s="869" t="s">
        <v>4830</v>
      </c>
      <c r="G1" s="865"/>
      <c r="H1" s="865"/>
      <c r="I1" s="865"/>
      <c r="J1" s="869" t="s">
        <v>4831</v>
      </c>
      <c r="K1" s="865"/>
      <c r="L1" s="869" t="s">
        <v>4832</v>
      </c>
      <c r="M1" s="865"/>
      <c r="N1" s="869" t="s">
        <v>4833</v>
      </c>
      <c r="O1" s="865"/>
      <c r="P1" s="869" t="s">
        <v>4834</v>
      </c>
      <c r="Q1" s="865"/>
      <c r="R1" s="869" t="s">
        <v>4835</v>
      </c>
      <c r="S1" s="865"/>
      <c r="T1" s="869" t="s">
        <v>4836</v>
      </c>
      <c r="U1" s="865"/>
      <c r="V1" s="865"/>
      <c r="W1" s="865"/>
      <c r="X1" s="865"/>
      <c r="Y1" s="865"/>
      <c r="Z1" s="865"/>
      <c r="AA1" s="865"/>
      <c r="AB1" s="908"/>
    </row>
    <row r="2" s="861" customFormat="1" ht="45" customHeight="1" spans="1:28">
      <c r="A2" s="870"/>
      <c r="B2" s="870"/>
      <c r="C2" s="871"/>
      <c r="D2" s="872"/>
      <c r="E2" s="872"/>
      <c r="F2" s="871" t="s">
        <v>4524</v>
      </c>
      <c r="G2" s="871"/>
      <c r="H2" s="871" t="s">
        <v>4514</v>
      </c>
      <c r="I2" s="871"/>
      <c r="J2" s="871" t="s">
        <v>4517</v>
      </c>
      <c r="K2" s="871"/>
      <c r="L2" s="871" t="s">
        <v>4526</v>
      </c>
      <c r="M2" s="871"/>
      <c r="N2" s="871" t="s">
        <v>4509</v>
      </c>
      <c r="O2" s="871"/>
      <c r="P2" s="871" t="s">
        <v>4528</v>
      </c>
      <c r="Q2" s="871"/>
      <c r="R2" s="871" t="s">
        <v>4530</v>
      </c>
      <c r="S2" s="871"/>
      <c r="T2" s="871" t="s">
        <v>4519</v>
      </c>
      <c r="U2" s="871"/>
      <c r="V2" s="871" t="s">
        <v>4521</v>
      </c>
      <c r="W2" s="871"/>
      <c r="X2" s="871" t="s">
        <v>4532</v>
      </c>
      <c r="Y2" s="871"/>
      <c r="Z2" s="872" t="s">
        <v>4534</v>
      </c>
      <c r="AA2" s="872"/>
      <c r="AB2" s="909"/>
    </row>
    <row r="3" s="862" customFormat="1" ht="28.5" customHeight="1" spans="1:28">
      <c r="A3" s="872" t="s">
        <v>4837</v>
      </c>
      <c r="B3" s="873"/>
      <c r="C3" s="873"/>
      <c r="D3" s="874"/>
      <c r="E3" s="874"/>
      <c r="F3" s="875">
        <v>0.104</v>
      </c>
      <c r="G3" s="876"/>
      <c r="H3" s="877">
        <v>0.104</v>
      </c>
      <c r="I3" s="876"/>
      <c r="J3" s="877">
        <v>0.0955</v>
      </c>
      <c r="K3" s="876"/>
      <c r="L3" s="877">
        <v>0.0955</v>
      </c>
      <c r="M3" s="876"/>
      <c r="N3" s="877">
        <v>0.104</v>
      </c>
      <c r="O3" s="876"/>
      <c r="P3" s="877">
        <v>0.104</v>
      </c>
      <c r="Q3" s="876"/>
      <c r="R3" s="907">
        <v>0.0296</v>
      </c>
      <c r="S3" s="876"/>
      <c r="T3" s="877">
        <v>0.104</v>
      </c>
      <c r="U3" s="876"/>
      <c r="V3" s="877">
        <v>0.0852</v>
      </c>
      <c r="W3" s="876"/>
      <c r="X3" s="877">
        <v>0.0852</v>
      </c>
      <c r="Y3" s="876"/>
      <c r="Z3" s="877">
        <v>0.089</v>
      </c>
      <c r="AA3" s="910"/>
      <c r="AB3" s="911"/>
    </row>
    <row r="4" s="863" customFormat="1" ht="43.5" customHeight="1" spans="1:29">
      <c r="A4" s="878" t="s">
        <v>4838</v>
      </c>
      <c r="B4" s="879" t="s">
        <v>4839</v>
      </c>
      <c r="C4" s="879" t="s">
        <v>4840</v>
      </c>
      <c r="D4" s="880" t="s">
        <v>4841</v>
      </c>
      <c r="E4" s="881" t="s">
        <v>4842</v>
      </c>
      <c r="F4" s="882" t="s">
        <v>4843</v>
      </c>
      <c r="G4" s="883" t="s">
        <v>4844</v>
      </c>
      <c r="H4" s="883" t="s">
        <v>4845</v>
      </c>
      <c r="I4" s="883" t="s">
        <v>4846</v>
      </c>
      <c r="J4" s="883" t="s">
        <v>4847</v>
      </c>
      <c r="K4" s="883" t="s">
        <v>4848</v>
      </c>
      <c r="L4" s="883" t="s">
        <v>4849</v>
      </c>
      <c r="M4" s="883" t="s">
        <v>4850</v>
      </c>
      <c r="N4" s="883" t="s">
        <v>4851</v>
      </c>
      <c r="O4" s="883" t="s">
        <v>4852</v>
      </c>
      <c r="P4" s="883" t="s">
        <v>4853</v>
      </c>
      <c r="Q4" s="883" t="s">
        <v>4854</v>
      </c>
      <c r="R4" s="883" t="s">
        <v>4855</v>
      </c>
      <c r="S4" s="883" t="s">
        <v>4856</v>
      </c>
      <c r="T4" s="883" t="s">
        <v>4857</v>
      </c>
      <c r="U4" s="883" t="s">
        <v>4858</v>
      </c>
      <c r="V4" s="883" t="s">
        <v>4859</v>
      </c>
      <c r="W4" s="883" t="s">
        <v>4860</v>
      </c>
      <c r="X4" s="883" t="s">
        <v>4861</v>
      </c>
      <c r="Y4" s="883" t="s">
        <v>4862</v>
      </c>
      <c r="Z4" s="883" t="s">
        <v>4863</v>
      </c>
      <c r="AA4" s="912" t="s">
        <v>4864</v>
      </c>
      <c r="AB4" s="913" t="s">
        <v>4540</v>
      </c>
      <c r="AC4" s="914" t="s">
        <v>4505</v>
      </c>
    </row>
    <row r="5" ht="17.1" customHeight="1" spans="1:29">
      <c r="A5" s="884"/>
      <c r="B5" s="885"/>
      <c r="C5" s="886"/>
      <c r="D5" s="887" t="s">
        <v>4865</v>
      </c>
      <c r="E5" s="887"/>
      <c r="F5" s="888">
        <f>$AB5</f>
        <v>4670000</v>
      </c>
      <c r="G5" s="889"/>
      <c r="H5" s="888">
        <f>$AB5</f>
        <v>4670000</v>
      </c>
      <c r="I5" s="889"/>
      <c r="J5" s="888">
        <f>$AB5</f>
        <v>4670000</v>
      </c>
      <c r="K5" s="889"/>
      <c r="L5" s="906">
        <f>$AB5</f>
        <v>4670000</v>
      </c>
      <c r="M5" s="889"/>
      <c r="N5" s="906">
        <f>$AB5</f>
        <v>4670000</v>
      </c>
      <c r="O5" s="889"/>
      <c r="P5" s="906">
        <f>$AB5</f>
        <v>4670000</v>
      </c>
      <c r="Q5" s="889"/>
      <c r="R5" s="906">
        <f>$AB5</f>
        <v>4670000</v>
      </c>
      <c r="S5" s="889"/>
      <c r="T5" s="906">
        <f>$AB5</f>
        <v>4670000</v>
      </c>
      <c r="U5" s="889"/>
      <c r="V5" s="906">
        <f>$AB5</f>
        <v>4670000</v>
      </c>
      <c r="W5" s="889"/>
      <c r="X5" s="906">
        <f>$AB5</f>
        <v>4670000</v>
      </c>
      <c r="Y5" s="889"/>
      <c r="Z5" s="906">
        <f>$AB5</f>
        <v>4670000</v>
      </c>
      <c r="AA5" s="889"/>
      <c r="AB5" s="915">
        <f>'生产MA Summary'!O5</f>
        <v>4670000</v>
      </c>
      <c r="AC5" s="916"/>
    </row>
    <row r="6" ht="17.1" customHeight="1" spans="1:29">
      <c r="A6" s="890"/>
      <c r="B6" s="891"/>
      <c r="C6" s="892"/>
      <c r="D6" s="893" t="s">
        <v>4866</v>
      </c>
      <c r="E6" s="893"/>
      <c r="F6" s="894">
        <f>F5*F3</f>
        <v>485680</v>
      </c>
      <c r="G6" s="895"/>
      <c r="H6" s="896">
        <f>H5*H3</f>
        <v>485680</v>
      </c>
      <c r="I6" s="895"/>
      <c r="J6" s="896">
        <f>J5*J3</f>
        <v>445985</v>
      </c>
      <c r="K6" s="895"/>
      <c r="L6" s="896">
        <f>L5*L3</f>
        <v>445985</v>
      </c>
      <c r="M6" s="895"/>
      <c r="N6" s="896">
        <f>N5*N3</f>
        <v>485680</v>
      </c>
      <c r="O6" s="895"/>
      <c r="P6" s="896">
        <f>P5*P3</f>
        <v>485680</v>
      </c>
      <c r="Q6" s="895"/>
      <c r="R6" s="896">
        <f>R5*R3</f>
        <v>138232</v>
      </c>
      <c r="S6" s="895"/>
      <c r="T6" s="896">
        <f>T5*T3</f>
        <v>485680</v>
      </c>
      <c r="U6" s="895"/>
      <c r="V6" s="896">
        <f>V5*V3</f>
        <v>397884</v>
      </c>
      <c r="W6" s="895"/>
      <c r="X6" s="896">
        <f>X5*X3</f>
        <v>397884</v>
      </c>
      <c r="Y6" s="895"/>
      <c r="Z6" s="896">
        <f>Z5*Z3</f>
        <v>415630</v>
      </c>
      <c r="AA6" s="895"/>
      <c r="AB6" s="917"/>
      <c r="AC6" s="918"/>
    </row>
    <row r="7" ht="16.9" customHeight="1" spans="1:29">
      <c r="A7" s="897" t="s">
        <v>4541</v>
      </c>
      <c r="B7" s="898" t="s">
        <v>4867</v>
      </c>
      <c r="C7" s="899" t="s">
        <v>4543</v>
      </c>
      <c r="D7" s="900" t="s">
        <v>4542</v>
      </c>
      <c r="E7" s="901">
        <f t="shared" ref="E7:E70" si="0">SUM(G7,I7,K7,M7,O7,Q7,S7,U7,W7,Y7,AA7)</f>
        <v>11</v>
      </c>
      <c r="F7" s="902">
        <f t="shared" ref="F7:F70" si="1">F$6*G7</f>
        <v>485680</v>
      </c>
      <c r="G7" s="903">
        <v>1</v>
      </c>
      <c r="H7" s="902">
        <f t="shared" ref="H7:H70" si="2">H$6*I7</f>
        <v>485680</v>
      </c>
      <c r="I7" s="903">
        <v>1</v>
      </c>
      <c r="J7" s="902">
        <f t="shared" ref="J7:J70" si="3">J$6*K7</f>
        <v>445985</v>
      </c>
      <c r="K7" s="903">
        <v>1</v>
      </c>
      <c r="L7" s="902">
        <f t="shared" ref="L7:L70" si="4">L$6*M7</f>
        <v>445985</v>
      </c>
      <c r="M7" s="903">
        <v>1</v>
      </c>
      <c r="N7" s="902">
        <f t="shared" ref="N7:N70" si="5">N$6*O7</f>
        <v>485680</v>
      </c>
      <c r="O7" s="903">
        <v>1</v>
      </c>
      <c r="P7" s="902">
        <f t="shared" ref="P7:P70" si="6">P$6*Q7</f>
        <v>485680</v>
      </c>
      <c r="Q7" s="903">
        <v>1</v>
      </c>
      <c r="R7" s="902">
        <f t="shared" ref="R7:R70" si="7">R$6*S7</f>
        <v>138232</v>
      </c>
      <c r="S7" s="903">
        <v>1</v>
      </c>
      <c r="T7" s="902">
        <f t="shared" ref="T7:T70" si="8">T$6*U7</f>
        <v>485680</v>
      </c>
      <c r="U7" s="903">
        <v>1</v>
      </c>
      <c r="V7" s="902">
        <f t="shared" ref="V7:V70" si="9">V$6*W7</f>
        <v>397884</v>
      </c>
      <c r="W7" s="903">
        <v>1</v>
      </c>
      <c r="X7" s="902">
        <f t="shared" ref="X7:X70" si="10">X$6*Y7</f>
        <v>397884</v>
      </c>
      <c r="Y7" s="903">
        <v>1</v>
      </c>
      <c r="Z7" s="902">
        <f t="shared" ref="Z7:Z70" si="11">Z$6*AA7</f>
        <v>415630</v>
      </c>
      <c r="AA7" s="903">
        <v>1</v>
      </c>
      <c r="AB7" s="919">
        <f t="shared" ref="AB7:AB70" si="12">SUM(F7,H7,J7,L7,N7,P7,R7,T7,V7,X7,Z7)</f>
        <v>4670000</v>
      </c>
      <c r="AC7" s="918"/>
    </row>
    <row r="8" ht="16.9" customHeight="1" spans="1:29">
      <c r="A8" s="897" t="s">
        <v>4541</v>
      </c>
      <c r="B8" s="898" t="s">
        <v>4867</v>
      </c>
      <c r="C8" s="899" t="s">
        <v>4543</v>
      </c>
      <c r="D8" s="904" t="s">
        <v>4544</v>
      </c>
      <c r="E8" s="905">
        <f t="shared" si="0"/>
        <v>11</v>
      </c>
      <c r="F8" s="902">
        <f t="shared" si="1"/>
        <v>485680</v>
      </c>
      <c r="G8" s="903">
        <v>1</v>
      </c>
      <c r="H8" s="902">
        <f t="shared" si="2"/>
        <v>485680</v>
      </c>
      <c r="I8" s="903">
        <v>1</v>
      </c>
      <c r="J8" s="902">
        <f t="shared" si="3"/>
        <v>445985</v>
      </c>
      <c r="K8" s="903">
        <v>1</v>
      </c>
      <c r="L8" s="902">
        <f t="shared" si="4"/>
        <v>445985</v>
      </c>
      <c r="M8" s="903">
        <v>1</v>
      </c>
      <c r="N8" s="902">
        <f t="shared" si="5"/>
        <v>485680</v>
      </c>
      <c r="O8" s="903">
        <v>1</v>
      </c>
      <c r="P8" s="902">
        <f t="shared" si="6"/>
        <v>485680</v>
      </c>
      <c r="Q8" s="903">
        <v>1</v>
      </c>
      <c r="R8" s="902">
        <f t="shared" si="7"/>
        <v>138232</v>
      </c>
      <c r="S8" s="903">
        <v>1</v>
      </c>
      <c r="T8" s="902">
        <f t="shared" si="8"/>
        <v>485680</v>
      </c>
      <c r="U8" s="903">
        <v>1</v>
      </c>
      <c r="V8" s="902">
        <f t="shared" si="9"/>
        <v>397884</v>
      </c>
      <c r="W8" s="903">
        <v>1</v>
      </c>
      <c r="X8" s="902">
        <f t="shared" si="10"/>
        <v>397884</v>
      </c>
      <c r="Y8" s="903">
        <v>1</v>
      </c>
      <c r="Z8" s="902">
        <f t="shared" si="11"/>
        <v>415630</v>
      </c>
      <c r="AA8" s="903">
        <v>1</v>
      </c>
      <c r="AB8" s="919">
        <f t="shared" si="12"/>
        <v>4670000</v>
      </c>
      <c r="AC8" s="918"/>
    </row>
    <row r="9" ht="16.9" customHeight="1" spans="1:29">
      <c r="A9" s="897" t="s">
        <v>4541</v>
      </c>
      <c r="B9" s="898" t="s">
        <v>4867</v>
      </c>
      <c r="C9" s="899" t="s">
        <v>4546</v>
      </c>
      <c r="D9" s="904" t="s">
        <v>4545</v>
      </c>
      <c r="E9" s="905">
        <f t="shared" si="0"/>
        <v>10</v>
      </c>
      <c r="F9" s="902">
        <f t="shared" si="1"/>
        <v>485680</v>
      </c>
      <c r="G9" s="903">
        <v>1</v>
      </c>
      <c r="H9" s="902">
        <f t="shared" si="2"/>
        <v>485680</v>
      </c>
      <c r="I9" s="903">
        <v>1</v>
      </c>
      <c r="J9" s="902">
        <f t="shared" si="3"/>
        <v>445985</v>
      </c>
      <c r="K9" s="903">
        <v>1</v>
      </c>
      <c r="L9" s="902">
        <f t="shared" si="4"/>
        <v>445985</v>
      </c>
      <c r="M9" s="903">
        <v>1</v>
      </c>
      <c r="N9" s="902">
        <f t="shared" si="5"/>
        <v>485680</v>
      </c>
      <c r="O9" s="903">
        <v>1</v>
      </c>
      <c r="P9" s="902">
        <f t="shared" si="6"/>
        <v>0</v>
      </c>
      <c r="Q9" s="903"/>
      <c r="R9" s="902">
        <f t="shared" si="7"/>
        <v>138232</v>
      </c>
      <c r="S9" s="903">
        <v>1</v>
      </c>
      <c r="T9" s="902">
        <f t="shared" si="8"/>
        <v>485680</v>
      </c>
      <c r="U9" s="903">
        <v>1</v>
      </c>
      <c r="V9" s="902">
        <f t="shared" si="9"/>
        <v>397884</v>
      </c>
      <c r="W9" s="903">
        <v>1</v>
      </c>
      <c r="X9" s="902">
        <f t="shared" si="10"/>
        <v>397884</v>
      </c>
      <c r="Y9" s="903">
        <v>1</v>
      </c>
      <c r="Z9" s="902">
        <f t="shared" si="11"/>
        <v>415630</v>
      </c>
      <c r="AA9" s="903">
        <v>1</v>
      </c>
      <c r="AB9" s="919">
        <f t="shared" si="12"/>
        <v>4184320</v>
      </c>
      <c r="AC9" s="918"/>
    </row>
    <row r="10" ht="16.9" customHeight="1" spans="1:29">
      <c r="A10" s="897" t="s">
        <v>4541</v>
      </c>
      <c r="B10" s="898" t="s">
        <v>4867</v>
      </c>
      <c r="C10" s="899" t="s">
        <v>4546</v>
      </c>
      <c r="D10" s="904" t="s">
        <v>4547</v>
      </c>
      <c r="E10" s="905">
        <f t="shared" si="0"/>
        <v>10</v>
      </c>
      <c r="F10" s="902">
        <f t="shared" si="1"/>
        <v>485680</v>
      </c>
      <c r="G10" s="903">
        <v>1</v>
      </c>
      <c r="H10" s="902">
        <f t="shared" si="2"/>
        <v>485680</v>
      </c>
      <c r="I10" s="903">
        <v>1</v>
      </c>
      <c r="J10" s="902">
        <f t="shared" si="3"/>
        <v>445985</v>
      </c>
      <c r="K10" s="903">
        <v>1</v>
      </c>
      <c r="L10" s="902">
        <f t="shared" si="4"/>
        <v>445985</v>
      </c>
      <c r="M10" s="903">
        <v>1</v>
      </c>
      <c r="N10" s="902">
        <f t="shared" si="5"/>
        <v>485680</v>
      </c>
      <c r="O10" s="903">
        <v>1</v>
      </c>
      <c r="P10" s="902">
        <f t="shared" si="6"/>
        <v>0</v>
      </c>
      <c r="Q10" s="903"/>
      <c r="R10" s="902">
        <f t="shared" si="7"/>
        <v>138232</v>
      </c>
      <c r="S10" s="903">
        <v>1</v>
      </c>
      <c r="T10" s="902">
        <f t="shared" si="8"/>
        <v>485680</v>
      </c>
      <c r="U10" s="903">
        <v>1</v>
      </c>
      <c r="V10" s="902">
        <f t="shared" si="9"/>
        <v>397884</v>
      </c>
      <c r="W10" s="903">
        <v>1</v>
      </c>
      <c r="X10" s="902">
        <f t="shared" si="10"/>
        <v>397884</v>
      </c>
      <c r="Y10" s="903">
        <v>1</v>
      </c>
      <c r="Z10" s="902">
        <f t="shared" si="11"/>
        <v>415630</v>
      </c>
      <c r="AA10" s="903">
        <v>1</v>
      </c>
      <c r="AB10" s="919">
        <f t="shared" si="12"/>
        <v>4184320</v>
      </c>
      <c r="AC10" s="918"/>
    </row>
    <row r="11" ht="16.9" customHeight="1" spans="1:29">
      <c r="A11" s="897" t="s">
        <v>4541</v>
      </c>
      <c r="B11" s="898" t="s">
        <v>4867</v>
      </c>
      <c r="C11" s="899" t="s">
        <v>4546</v>
      </c>
      <c r="D11" s="904" t="s">
        <v>4548</v>
      </c>
      <c r="E11" s="905">
        <f t="shared" si="0"/>
        <v>10</v>
      </c>
      <c r="F11" s="902">
        <f t="shared" si="1"/>
        <v>485680</v>
      </c>
      <c r="G11" s="903">
        <v>1</v>
      </c>
      <c r="H11" s="902">
        <f t="shared" si="2"/>
        <v>485680</v>
      </c>
      <c r="I11" s="903">
        <v>1</v>
      </c>
      <c r="J11" s="902">
        <f t="shared" si="3"/>
        <v>445985</v>
      </c>
      <c r="K11" s="903">
        <v>1</v>
      </c>
      <c r="L11" s="902">
        <f t="shared" si="4"/>
        <v>445985</v>
      </c>
      <c r="M11" s="903">
        <v>1</v>
      </c>
      <c r="N11" s="902">
        <f t="shared" si="5"/>
        <v>485680</v>
      </c>
      <c r="O11" s="903">
        <v>1</v>
      </c>
      <c r="P11" s="902">
        <f t="shared" si="6"/>
        <v>0</v>
      </c>
      <c r="Q11" s="903"/>
      <c r="R11" s="902">
        <f t="shared" si="7"/>
        <v>138232</v>
      </c>
      <c r="S11" s="903">
        <v>1</v>
      </c>
      <c r="T11" s="902">
        <f t="shared" si="8"/>
        <v>485680</v>
      </c>
      <c r="U11" s="903">
        <v>1</v>
      </c>
      <c r="V11" s="902">
        <f t="shared" si="9"/>
        <v>397884</v>
      </c>
      <c r="W11" s="903">
        <v>1</v>
      </c>
      <c r="X11" s="902">
        <f t="shared" si="10"/>
        <v>397884</v>
      </c>
      <c r="Y11" s="903">
        <v>1</v>
      </c>
      <c r="Z11" s="902">
        <f t="shared" si="11"/>
        <v>415630</v>
      </c>
      <c r="AA11" s="903">
        <v>1</v>
      </c>
      <c r="AB11" s="919">
        <f t="shared" si="12"/>
        <v>4184320</v>
      </c>
      <c r="AC11" s="918"/>
    </row>
    <row r="12" ht="16.9" customHeight="1" spans="1:29">
      <c r="A12" s="897" t="s">
        <v>4541</v>
      </c>
      <c r="B12" s="898" t="s">
        <v>4867</v>
      </c>
      <c r="C12" s="899" t="s">
        <v>4546</v>
      </c>
      <c r="D12" s="904" t="s">
        <v>4549</v>
      </c>
      <c r="E12" s="905">
        <f t="shared" si="0"/>
        <v>10</v>
      </c>
      <c r="F12" s="902">
        <f t="shared" si="1"/>
        <v>485680</v>
      </c>
      <c r="G12" s="903">
        <v>1</v>
      </c>
      <c r="H12" s="902">
        <f t="shared" si="2"/>
        <v>485680</v>
      </c>
      <c r="I12" s="903">
        <v>1</v>
      </c>
      <c r="J12" s="902">
        <f t="shared" si="3"/>
        <v>445985</v>
      </c>
      <c r="K12" s="903">
        <v>1</v>
      </c>
      <c r="L12" s="902">
        <f t="shared" si="4"/>
        <v>445985</v>
      </c>
      <c r="M12" s="903">
        <v>1</v>
      </c>
      <c r="N12" s="902">
        <f t="shared" si="5"/>
        <v>485680</v>
      </c>
      <c r="O12" s="903">
        <v>1</v>
      </c>
      <c r="P12" s="902">
        <f t="shared" si="6"/>
        <v>0</v>
      </c>
      <c r="Q12" s="903"/>
      <c r="R12" s="902">
        <f t="shared" si="7"/>
        <v>138232</v>
      </c>
      <c r="S12" s="903">
        <v>1</v>
      </c>
      <c r="T12" s="902">
        <f t="shared" si="8"/>
        <v>485680</v>
      </c>
      <c r="U12" s="903">
        <v>1</v>
      </c>
      <c r="V12" s="902">
        <f t="shared" si="9"/>
        <v>397884</v>
      </c>
      <c r="W12" s="903">
        <v>1</v>
      </c>
      <c r="X12" s="902">
        <f t="shared" si="10"/>
        <v>397884</v>
      </c>
      <c r="Y12" s="903">
        <v>1</v>
      </c>
      <c r="Z12" s="902">
        <f t="shared" si="11"/>
        <v>415630</v>
      </c>
      <c r="AA12" s="903">
        <v>1</v>
      </c>
      <c r="AB12" s="919">
        <f t="shared" si="12"/>
        <v>4184320</v>
      </c>
      <c r="AC12" s="918"/>
    </row>
    <row r="13" ht="16.9" customHeight="1" spans="1:29">
      <c r="A13" s="897" t="s">
        <v>4541</v>
      </c>
      <c r="B13" s="898" t="s">
        <v>4867</v>
      </c>
      <c r="C13" s="899" t="s">
        <v>4546</v>
      </c>
      <c r="D13" s="904" t="s">
        <v>4550</v>
      </c>
      <c r="E13" s="905">
        <f t="shared" si="0"/>
        <v>10</v>
      </c>
      <c r="F13" s="902">
        <f t="shared" si="1"/>
        <v>485680</v>
      </c>
      <c r="G13" s="903">
        <v>1</v>
      </c>
      <c r="H13" s="902">
        <f t="shared" si="2"/>
        <v>485680</v>
      </c>
      <c r="I13" s="903">
        <v>1</v>
      </c>
      <c r="J13" s="902">
        <f t="shared" si="3"/>
        <v>445985</v>
      </c>
      <c r="K13" s="903">
        <v>1</v>
      </c>
      <c r="L13" s="902">
        <f t="shared" si="4"/>
        <v>445985</v>
      </c>
      <c r="M13" s="903">
        <v>1</v>
      </c>
      <c r="N13" s="902">
        <f t="shared" si="5"/>
        <v>485680</v>
      </c>
      <c r="O13" s="903">
        <v>1</v>
      </c>
      <c r="P13" s="902">
        <f t="shared" si="6"/>
        <v>0</v>
      </c>
      <c r="Q13" s="903"/>
      <c r="R13" s="902">
        <f t="shared" si="7"/>
        <v>138232</v>
      </c>
      <c r="S13" s="903">
        <v>1</v>
      </c>
      <c r="T13" s="902">
        <f t="shared" si="8"/>
        <v>485680</v>
      </c>
      <c r="U13" s="903">
        <v>1</v>
      </c>
      <c r="V13" s="902">
        <f t="shared" si="9"/>
        <v>397884</v>
      </c>
      <c r="W13" s="903">
        <v>1</v>
      </c>
      <c r="X13" s="902">
        <f t="shared" si="10"/>
        <v>397884</v>
      </c>
      <c r="Y13" s="903">
        <v>1</v>
      </c>
      <c r="Z13" s="902">
        <f t="shared" si="11"/>
        <v>415630</v>
      </c>
      <c r="AA13" s="903">
        <v>1</v>
      </c>
      <c r="AB13" s="919">
        <f t="shared" si="12"/>
        <v>4184320</v>
      </c>
      <c r="AC13" s="918"/>
    </row>
    <row r="14" ht="16.9" customHeight="1" spans="1:29">
      <c r="A14" s="897" t="s">
        <v>4551</v>
      </c>
      <c r="B14" s="898" t="s">
        <v>4868</v>
      </c>
      <c r="C14" s="899" t="s">
        <v>4543</v>
      </c>
      <c r="D14" s="904" t="s">
        <v>4552</v>
      </c>
      <c r="E14" s="905">
        <f t="shared" si="0"/>
        <v>11</v>
      </c>
      <c r="F14" s="902">
        <f t="shared" si="1"/>
        <v>485680</v>
      </c>
      <c r="G14" s="903">
        <v>1</v>
      </c>
      <c r="H14" s="902">
        <f t="shared" si="2"/>
        <v>485680</v>
      </c>
      <c r="I14" s="903">
        <v>1</v>
      </c>
      <c r="J14" s="902">
        <f t="shared" si="3"/>
        <v>445985</v>
      </c>
      <c r="K14" s="903">
        <v>1</v>
      </c>
      <c r="L14" s="902">
        <f t="shared" si="4"/>
        <v>445985</v>
      </c>
      <c r="M14" s="903">
        <v>1</v>
      </c>
      <c r="N14" s="902">
        <f t="shared" si="5"/>
        <v>485680</v>
      </c>
      <c r="O14" s="903">
        <v>1</v>
      </c>
      <c r="P14" s="902">
        <f t="shared" si="6"/>
        <v>485680</v>
      </c>
      <c r="Q14" s="903">
        <v>1</v>
      </c>
      <c r="R14" s="902">
        <f t="shared" si="7"/>
        <v>138232</v>
      </c>
      <c r="S14" s="903">
        <v>1</v>
      </c>
      <c r="T14" s="902">
        <f t="shared" si="8"/>
        <v>485680</v>
      </c>
      <c r="U14" s="903">
        <v>1</v>
      </c>
      <c r="V14" s="902">
        <f t="shared" si="9"/>
        <v>397884</v>
      </c>
      <c r="W14" s="903">
        <v>1</v>
      </c>
      <c r="X14" s="902">
        <f t="shared" si="10"/>
        <v>397884</v>
      </c>
      <c r="Y14" s="903">
        <v>1</v>
      </c>
      <c r="Z14" s="902">
        <f t="shared" si="11"/>
        <v>415630</v>
      </c>
      <c r="AA14" s="903">
        <v>1</v>
      </c>
      <c r="AB14" s="919">
        <f t="shared" si="12"/>
        <v>4670000</v>
      </c>
      <c r="AC14" s="918"/>
    </row>
    <row r="15" ht="16.9" customHeight="1" spans="1:29">
      <c r="A15" s="897" t="s">
        <v>4551</v>
      </c>
      <c r="B15" s="898" t="s">
        <v>4868</v>
      </c>
      <c r="C15" s="899" t="s">
        <v>4554</v>
      </c>
      <c r="D15" s="904" t="s">
        <v>4553</v>
      </c>
      <c r="E15" s="905">
        <f t="shared" si="0"/>
        <v>8</v>
      </c>
      <c r="F15" s="902">
        <f t="shared" si="1"/>
        <v>0</v>
      </c>
      <c r="G15" s="903"/>
      <c r="H15" s="902">
        <f t="shared" si="2"/>
        <v>0</v>
      </c>
      <c r="I15" s="903"/>
      <c r="J15" s="902">
        <f t="shared" si="3"/>
        <v>445985</v>
      </c>
      <c r="K15" s="903">
        <v>1</v>
      </c>
      <c r="L15" s="902">
        <f t="shared" si="4"/>
        <v>445985</v>
      </c>
      <c r="M15" s="903">
        <v>1</v>
      </c>
      <c r="N15" s="902">
        <f t="shared" si="5"/>
        <v>485680</v>
      </c>
      <c r="O15" s="903">
        <v>1</v>
      </c>
      <c r="P15" s="902">
        <f t="shared" si="6"/>
        <v>485680</v>
      </c>
      <c r="Q15" s="903">
        <v>1</v>
      </c>
      <c r="R15" s="902">
        <f t="shared" si="7"/>
        <v>138232</v>
      </c>
      <c r="S15" s="903">
        <v>1</v>
      </c>
      <c r="T15" s="902">
        <f t="shared" si="8"/>
        <v>485680</v>
      </c>
      <c r="U15" s="903">
        <v>1</v>
      </c>
      <c r="V15" s="902">
        <f t="shared" si="9"/>
        <v>397884</v>
      </c>
      <c r="W15" s="903">
        <v>1</v>
      </c>
      <c r="X15" s="902">
        <f t="shared" si="10"/>
        <v>397884</v>
      </c>
      <c r="Y15" s="903">
        <v>1</v>
      </c>
      <c r="Z15" s="902">
        <f t="shared" si="11"/>
        <v>0</v>
      </c>
      <c r="AA15" s="903"/>
      <c r="AB15" s="919">
        <f t="shared" si="12"/>
        <v>3283010</v>
      </c>
      <c r="AC15" s="918"/>
    </row>
    <row r="16" ht="16.9" customHeight="1" spans="1:29">
      <c r="A16" s="897" t="s">
        <v>4551</v>
      </c>
      <c r="B16" s="898" t="s">
        <v>4868</v>
      </c>
      <c r="C16" s="899" t="s">
        <v>4556</v>
      </c>
      <c r="D16" s="904" t="s">
        <v>4555</v>
      </c>
      <c r="E16" s="905">
        <f t="shared" si="0"/>
        <v>6</v>
      </c>
      <c r="F16" s="902">
        <f t="shared" si="1"/>
        <v>0</v>
      </c>
      <c r="G16" s="903"/>
      <c r="H16" s="902">
        <f t="shared" si="2"/>
        <v>0</v>
      </c>
      <c r="I16" s="903"/>
      <c r="J16" s="902">
        <f t="shared" si="3"/>
        <v>445985</v>
      </c>
      <c r="K16" s="903">
        <v>1</v>
      </c>
      <c r="L16" s="902">
        <f t="shared" si="4"/>
        <v>445985</v>
      </c>
      <c r="M16" s="903">
        <v>1</v>
      </c>
      <c r="N16" s="902">
        <f t="shared" si="5"/>
        <v>485680</v>
      </c>
      <c r="O16" s="903">
        <v>1</v>
      </c>
      <c r="P16" s="902">
        <f t="shared" si="6"/>
        <v>485680</v>
      </c>
      <c r="Q16" s="903">
        <v>1</v>
      </c>
      <c r="R16" s="902">
        <f t="shared" si="7"/>
        <v>138232</v>
      </c>
      <c r="S16" s="903">
        <v>1</v>
      </c>
      <c r="T16" s="902">
        <f t="shared" si="8"/>
        <v>485680</v>
      </c>
      <c r="U16" s="903">
        <v>1</v>
      </c>
      <c r="V16" s="902">
        <f t="shared" si="9"/>
        <v>0</v>
      </c>
      <c r="W16" s="903"/>
      <c r="X16" s="902">
        <f t="shared" si="10"/>
        <v>0</v>
      </c>
      <c r="Y16" s="903"/>
      <c r="Z16" s="902">
        <f t="shared" si="11"/>
        <v>0</v>
      </c>
      <c r="AA16" s="903"/>
      <c r="AB16" s="919">
        <f t="shared" si="12"/>
        <v>2487242</v>
      </c>
      <c r="AC16" s="918"/>
    </row>
    <row r="17" ht="16.9" customHeight="1" spans="1:29">
      <c r="A17" s="897" t="s">
        <v>4551</v>
      </c>
      <c r="B17" s="898" t="s">
        <v>4868</v>
      </c>
      <c r="C17" s="899" t="s">
        <v>4558</v>
      </c>
      <c r="D17" s="904" t="s">
        <v>4557</v>
      </c>
      <c r="E17" s="905">
        <f t="shared" si="0"/>
        <v>2</v>
      </c>
      <c r="F17" s="902">
        <f t="shared" si="1"/>
        <v>485680</v>
      </c>
      <c r="G17" s="903">
        <v>1</v>
      </c>
      <c r="H17" s="902">
        <f t="shared" si="2"/>
        <v>0</v>
      </c>
      <c r="I17" s="903"/>
      <c r="J17" s="902">
        <f t="shared" si="3"/>
        <v>0</v>
      </c>
      <c r="K17" s="903"/>
      <c r="L17" s="902">
        <f t="shared" si="4"/>
        <v>445985</v>
      </c>
      <c r="M17" s="903">
        <v>1</v>
      </c>
      <c r="N17" s="902">
        <f t="shared" si="5"/>
        <v>0</v>
      </c>
      <c r="O17" s="903"/>
      <c r="P17" s="902">
        <f t="shared" si="6"/>
        <v>0</v>
      </c>
      <c r="Q17" s="903"/>
      <c r="R17" s="902">
        <f t="shared" si="7"/>
        <v>0</v>
      </c>
      <c r="S17" s="903"/>
      <c r="T17" s="902">
        <f t="shared" si="8"/>
        <v>0</v>
      </c>
      <c r="U17" s="903"/>
      <c r="V17" s="902">
        <f t="shared" si="9"/>
        <v>0</v>
      </c>
      <c r="W17" s="903"/>
      <c r="X17" s="902">
        <f t="shared" si="10"/>
        <v>0</v>
      </c>
      <c r="Y17" s="903"/>
      <c r="Z17" s="902">
        <f t="shared" si="11"/>
        <v>0</v>
      </c>
      <c r="AA17" s="903"/>
      <c r="AB17" s="919">
        <f t="shared" si="12"/>
        <v>931665</v>
      </c>
      <c r="AC17" s="918"/>
    </row>
    <row r="18" ht="16.9" customHeight="1" spans="1:29">
      <c r="A18" s="897" t="s">
        <v>4551</v>
      </c>
      <c r="B18" s="898" t="s">
        <v>4868</v>
      </c>
      <c r="C18" s="899" t="s">
        <v>4560</v>
      </c>
      <c r="D18" s="904" t="s">
        <v>4559</v>
      </c>
      <c r="E18" s="905">
        <f t="shared" si="0"/>
        <v>2</v>
      </c>
      <c r="F18" s="902">
        <f t="shared" si="1"/>
        <v>0</v>
      </c>
      <c r="G18" s="903"/>
      <c r="H18" s="902">
        <f t="shared" si="2"/>
        <v>0</v>
      </c>
      <c r="I18" s="903"/>
      <c r="J18" s="902">
        <f t="shared" si="3"/>
        <v>0</v>
      </c>
      <c r="K18" s="903"/>
      <c r="L18" s="902">
        <f t="shared" si="4"/>
        <v>0</v>
      </c>
      <c r="M18" s="903"/>
      <c r="N18" s="902">
        <f t="shared" si="5"/>
        <v>0</v>
      </c>
      <c r="O18" s="903"/>
      <c r="P18" s="902">
        <f t="shared" si="6"/>
        <v>0</v>
      </c>
      <c r="Q18" s="903"/>
      <c r="R18" s="902">
        <f t="shared" si="7"/>
        <v>0</v>
      </c>
      <c r="S18" s="903"/>
      <c r="T18" s="902">
        <f t="shared" si="8"/>
        <v>0</v>
      </c>
      <c r="U18" s="903"/>
      <c r="V18" s="902">
        <f t="shared" si="9"/>
        <v>397884</v>
      </c>
      <c r="W18" s="903">
        <v>1</v>
      </c>
      <c r="X18" s="902">
        <f t="shared" si="10"/>
        <v>397884</v>
      </c>
      <c r="Y18" s="903">
        <v>1</v>
      </c>
      <c r="Z18" s="902">
        <f t="shared" si="11"/>
        <v>0</v>
      </c>
      <c r="AA18" s="903"/>
      <c r="AB18" s="919">
        <f t="shared" si="12"/>
        <v>795768</v>
      </c>
      <c r="AC18" s="918"/>
    </row>
    <row r="19" ht="16.9" customHeight="1" spans="1:29">
      <c r="A19" s="897" t="s">
        <v>4551</v>
      </c>
      <c r="B19" s="898" t="s">
        <v>4868</v>
      </c>
      <c r="C19" s="899" t="s">
        <v>4533</v>
      </c>
      <c r="D19" s="904" t="s">
        <v>4561</v>
      </c>
      <c r="E19" s="905">
        <f t="shared" si="0"/>
        <v>1</v>
      </c>
      <c r="F19" s="902">
        <f t="shared" si="1"/>
        <v>0</v>
      </c>
      <c r="G19" s="903"/>
      <c r="H19" s="902">
        <f t="shared" si="2"/>
        <v>0</v>
      </c>
      <c r="I19" s="903"/>
      <c r="J19" s="902">
        <f t="shared" si="3"/>
        <v>0</v>
      </c>
      <c r="K19" s="903"/>
      <c r="L19" s="902">
        <f t="shared" si="4"/>
        <v>0</v>
      </c>
      <c r="M19" s="903"/>
      <c r="N19" s="902">
        <f t="shared" si="5"/>
        <v>0</v>
      </c>
      <c r="O19" s="903"/>
      <c r="P19" s="902">
        <f t="shared" si="6"/>
        <v>0</v>
      </c>
      <c r="Q19" s="903"/>
      <c r="R19" s="902">
        <f t="shared" si="7"/>
        <v>0</v>
      </c>
      <c r="S19" s="903"/>
      <c r="T19" s="902">
        <f t="shared" si="8"/>
        <v>0</v>
      </c>
      <c r="U19" s="903"/>
      <c r="V19" s="902">
        <f t="shared" si="9"/>
        <v>0</v>
      </c>
      <c r="W19" s="903"/>
      <c r="X19" s="902">
        <f t="shared" si="10"/>
        <v>0</v>
      </c>
      <c r="Y19" s="903"/>
      <c r="Z19" s="902">
        <f t="shared" si="11"/>
        <v>415630</v>
      </c>
      <c r="AA19" s="903">
        <v>1</v>
      </c>
      <c r="AB19" s="919">
        <f t="shared" si="12"/>
        <v>415630</v>
      </c>
      <c r="AC19" s="918"/>
    </row>
    <row r="20" ht="16.9" customHeight="1" spans="1:29">
      <c r="A20" s="897" t="s">
        <v>4562</v>
      </c>
      <c r="B20" s="898" t="s">
        <v>4869</v>
      </c>
      <c r="C20" s="899" t="s">
        <v>4523</v>
      </c>
      <c r="D20" s="904" t="s">
        <v>4563</v>
      </c>
      <c r="E20" s="905">
        <f t="shared" si="0"/>
        <v>1</v>
      </c>
      <c r="F20" s="902">
        <f t="shared" si="1"/>
        <v>485680</v>
      </c>
      <c r="G20" s="903">
        <v>1</v>
      </c>
      <c r="H20" s="902">
        <f t="shared" si="2"/>
        <v>0</v>
      </c>
      <c r="I20" s="903"/>
      <c r="J20" s="902">
        <f t="shared" si="3"/>
        <v>0</v>
      </c>
      <c r="K20" s="903"/>
      <c r="L20" s="902">
        <f t="shared" si="4"/>
        <v>0</v>
      </c>
      <c r="M20" s="903"/>
      <c r="N20" s="902">
        <f t="shared" si="5"/>
        <v>0</v>
      </c>
      <c r="O20" s="903"/>
      <c r="P20" s="902">
        <f t="shared" si="6"/>
        <v>0</v>
      </c>
      <c r="Q20" s="903"/>
      <c r="R20" s="902">
        <f t="shared" si="7"/>
        <v>0</v>
      </c>
      <c r="S20" s="903"/>
      <c r="T20" s="902">
        <f t="shared" si="8"/>
        <v>0</v>
      </c>
      <c r="U20" s="903"/>
      <c r="V20" s="902">
        <f t="shared" si="9"/>
        <v>0</v>
      </c>
      <c r="W20" s="903"/>
      <c r="X20" s="902">
        <f t="shared" si="10"/>
        <v>0</v>
      </c>
      <c r="Y20" s="903"/>
      <c r="Z20" s="902">
        <f t="shared" si="11"/>
        <v>0</v>
      </c>
      <c r="AA20" s="903"/>
      <c r="AB20" s="919">
        <f t="shared" si="12"/>
        <v>485680</v>
      </c>
      <c r="AC20" s="918"/>
    </row>
    <row r="21" ht="16.9" customHeight="1" spans="1:29">
      <c r="A21" s="897" t="s">
        <v>4562</v>
      </c>
      <c r="B21" s="898" t="s">
        <v>4869</v>
      </c>
      <c r="C21" s="899" t="s">
        <v>4513</v>
      </c>
      <c r="D21" s="904" t="s">
        <v>4564</v>
      </c>
      <c r="E21" s="905">
        <f t="shared" si="0"/>
        <v>1</v>
      </c>
      <c r="F21" s="902">
        <f t="shared" si="1"/>
        <v>0</v>
      </c>
      <c r="G21" s="903"/>
      <c r="H21" s="902">
        <f t="shared" si="2"/>
        <v>485680</v>
      </c>
      <c r="I21" s="903">
        <v>1</v>
      </c>
      <c r="J21" s="902">
        <f t="shared" si="3"/>
        <v>0</v>
      </c>
      <c r="K21" s="903"/>
      <c r="L21" s="902">
        <f t="shared" si="4"/>
        <v>0</v>
      </c>
      <c r="M21" s="903"/>
      <c r="N21" s="902">
        <f t="shared" si="5"/>
        <v>0</v>
      </c>
      <c r="O21" s="903"/>
      <c r="P21" s="902">
        <f t="shared" si="6"/>
        <v>0</v>
      </c>
      <c r="Q21" s="903"/>
      <c r="R21" s="902">
        <f t="shared" si="7"/>
        <v>0</v>
      </c>
      <c r="S21" s="903"/>
      <c r="T21" s="902">
        <f t="shared" si="8"/>
        <v>0</v>
      </c>
      <c r="U21" s="903"/>
      <c r="V21" s="902">
        <f t="shared" si="9"/>
        <v>0</v>
      </c>
      <c r="W21" s="903"/>
      <c r="X21" s="902">
        <f t="shared" si="10"/>
        <v>0</v>
      </c>
      <c r="Y21" s="903"/>
      <c r="Z21" s="902">
        <f t="shared" si="11"/>
        <v>0</v>
      </c>
      <c r="AA21" s="903"/>
      <c r="AB21" s="919">
        <f t="shared" si="12"/>
        <v>485680</v>
      </c>
      <c r="AC21" s="918"/>
    </row>
    <row r="22" ht="16.9" customHeight="1" spans="1:29">
      <c r="A22" s="897" t="s">
        <v>4562</v>
      </c>
      <c r="B22" s="898" t="s">
        <v>4869</v>
      </c>
      <c r="C22" s="899" t="s">
        <v>4525</v>
      </c>
      <c r="D22" s="904" t="s">
        <v>4565</v>
      </c>
      <c r="E22" s="905">
        <f t="shared" si="0"/>
        <v>1</v>
      </c>
      <c r="F22" s="902">
        <f t="shared" si="1"/>
        <v>0</v>
      </c>
      <c r="G22" s="903"/>
      <c r="H22" s="902">
        <f t="shared" si="2"/>
        <v>0</v>
      </c>
      <c r="I22" s="903"/>
      <c r="J22" s="902">
        <f t="shared" si="3"/>
        <v>0</v>
      </c>
      <c r="K22" s="903"/>
      <c r="L22" s="902">
        <f t="shared" si="4"/>
        <v>445985</v>
      </c>
      <c r="M22" s="903">
        <v>1</v>
      </c>
      <c r="N22" s="902">
        <f t="shared" si="5"/>
        <v>0</v>
      </c>
      <c r="O22" s="903"/>
      <c r="P22" s="902">
        <f t="shared" si="6"/>
        <v>0</v>
      </c>
      <c r="Q22" s="903"/>
      <c r="R22" s="902">
        <f t="shared" si="7"/>
        <v>0</v>
      </c>
      <c r="S22" s="903"/>
      <c r="T22" s="902">
        <f t="shared" si="8"/>
        <v>0</v>
      </c>
      <c r="U22" s="903"/>
      <c r="V22" s="902">
        <f t="shared" si="9"/>
        <v>0</v>
      </c>
      <c r="W22" s="903"/>
      <c r="X22" s="902">
        <f t="shared" si="10"/>
        <v>0</v>
      </c>
      <c r="Y22" s="903"/>
      <c r="Z22" s="902">
        <f t="shared" si="11"/>
        <v>0</v>
      </c>
      <c r="AA22" s="903"/>
      <c r="AB22" s="919">
        <f t="shared" si="12"/>
        <v>445985</v>
      </c>
      <c r="AC22" s="918"/>
    </row>
    <row r="23" ht="16.9" customHeight="1" spans="1:29">
      <c r="A23" s="897" t="s">
        <v>4562</v>
      </c>
      <c r="B23" s="898" t="s">
        <v>4869</v>
      </c>
      <c r="C23" s="899" t="s">
        <v>4533</v>
      </c>
      <c r="D23" s="904" t="s">
        <v>4566</v>
      </c>
      <c r="E23" s="905">
        <f t="shared" si="0"/>
        <v>1</v>
      </c>
      <c r="F23" s="902">
        <f t="shared" si="1"/>
        <v>0</v>
      </c>
      <c r="G23" s="903"/>
      <c r="H23" s="902">
        <f t="shared" si="2"/>
        <v>0</v>
      </c>
      <c r="I23" s="903"/>
      <c r="J23" s="902">
        <f t="shared" si="3"/>
        <v>0</v>
      </c>
      <c r="K23" s="903"/>
      <c r="L23" s="902">
        <f t="shared" si="4"/>
        <v>0</v>
      </c>
      <c r="M23" s="903"/>
      <c r="N23" s="902">
        <f t="shared" si="5"/>
        <v>0</v>
      </c>
      <c r="O23" s="903"/>
      <c r="P23" s="902">
        <f t="shared" si="6"/>
        <v>0</v>
      </c>
      <c r="Q23" s="903"/>
      <c r="R23" s="902">
        <f t="shared" si="7"/>
        <v>0</v>
      </c>
      <c r="S23" s="903"/>
      <c r="T23" s="902">
        <f t="shared" si="8"/>
        <v>0</v>
      </c>
      <c r="U23" s="903"/>
      <c r="V23" s="902">
        <f t="shared" si="9"/>
        <v>0</v>
      </c>
      <c r="W23" s="903"/>
      <c r="X23" s="902">
        <f t="shared" si="10"/>
        <v>0</v>
      </c>
      <c r="Y23" s="903"/>
      <c r="Z23" s="902">
        <f t="shared" si="11"/>
        <v>415630</v>
      </c>
      <c r="AA23" s="903">
        <v>1</v>
      </c>
      <c r="AB23" s="919">
        <f t="shared" si="12"/>
        <v>415630</v>
      </c>
      <c r="AC23" s="918"/>
    </row>
    <row r="24" ht="16.9" customHeight="1" spans="1:29">
      <c r="A24" s="897" t="s">
        <v>4562</v>
      </c>
      <c r="B24" s="898" t="s">
        <v>4869</v>
      </c>
      <c r="C24" s="899" t="s">
        <v>4518</v>
      </c>
      <c r="D24" s="904" t="s">
        <v>4567</v>
      </c>
      <c r="E24" s="905">
        <f t="shared" si="0"/>
        <v>1</v>
      </c>
      <c r="F24" s="902">
        <f t="shared" si="1"/>
        <v>0</v>
      </c>
      <c r="G24" s="903"/>
      <c r="H24" s="902">
        <f t="shared" si="2"/>
        <v>0</v>
      </c>
      <c r="I24" s="903"/>
      <c r="J24" s="902">
        <f t="shared" si="3"/>
        <v>0</v>
      </c>
      <c r="K24" s="903"/>
      <c r="L24" s="902">
        <f t="shared" si="4"/>
        <v>0</v>
      </c>
      <c r="M24" s="903"/>
      <c r="N24" s="902">
        <f t="shared" si="5"/>
        <v>0</v>
      </c>
      <c r="O24" s="903"/>
      <c r="P24" s="902">
        <f t="shared" si="6"/>
        <v>0</v>
      </c>
      <c r="Q24" s="903"/>
      <c r="R24" s="902">
        <f t="shared" si="7"/>
        <v>0</v>
      </c>
      <c r="S24" s="903"/>
      <c r="T24" s="902">
        <f t="shared" si="8"/>
        <v>485680</v>
      </c>
      <c r="U24" s="903">
        <v>1</v>
      </c>
      <c r="V24" s="902">
        <f t="shared" si="9"/>
        <v>0</v>
      </c>
      <c r="W24" s="903"/>
      <c r="X24" s="902">
        <f t="shared" si="10"/>
        <v>0</v>
      </c>
      <c r="Y24" s="903"/>
      <c r="Z24" s="902">
        <f t="shared" si="11"/>
        <v>0</v>
      </c>
      <c r="AA24" s="903"/>
      <c r="AB24" s="919">
        <f t="shared" si="12"/>
        <v>485680</v>
      </c>
      <c r="AC24" s="918"/>
    </row>
    <row r="25" ht="16.9" customHeight="1" spans="1:29">
      <c r="A25" s="897" t="s">
        <v>4562</v>
      </c>
      <c r="B25" s="898" t="s">
        <v>4869</v>
      </c>
      <c r="C25" s="899" t="s">
        <v>4518</v>
      </c>
      <c r="D25" s="904" t="s">
        <v>4568</v>
      </c>
      <c r="E25" s="905">
        <f t="shared" si="0"/>
        <v>1</v>
      </c>
      <c r="F25" s="902">
        <f t="shared" si="1"/>
        <v>0</v>
      </c>
      <c r="G25" s="903"/>
      <c r="H25" s="902">
        <f t="shared" si="2"/>
        <v>0</v>
      </c>
      <c r="I25" s="903"/>
      <c r="J25" s="902">
        <f t="shared" si="3"/>
        <v>0</v>
      </c>
      <c r="K25" s="903"/>
      <c r="L25" s="902">
        <f t="shared" si="4"/>
        <v>0</v>
      </c>
      <c r="M25" s="903"/>
      <c r="N25" s="902">
        <f t="shared" si="5"/>
        <v>0</v>
      </c>
      <c r="O25" s="903"/>
      <c r="P25" s="902">
        <f t="shared" si="6"/>
        <v>0</v>
      </c>
      <c r="Q25" s="903"/>
      <c r="R25" s="902">
        <f t="shared" si="7"/>
        <v>0</v>
      </c>
      <c r="S25" s="903"/>
      <c r="T25" s="902">
        <f t="shared" si="8"/>
        <v>485680</v>
      </c>
      <c r="U25" s="903">
        <v>1</v>
      </c>
      <c r="V25" s="902">
        <f t="shared" si="9"/>
        <v>0</v>
      </c>
      <c r="W25" s="903"/>
      <c r="X25" s="902">
        <f t="shared" si="10"/>
        <v>0</v>
      </c>
      <c r="Y25" s="903"/>
      <c r="Z25" s="902">
        <f t="shared" si="11"/>
        <v>0</v>
      </c>
      <c r="AA25" s="903"/>
      <c r="AB25" s="919">
        <f t="shared" si="12"/>
        <v>485680</v>
      </c>
      <c r="AC25" s="918"/>
    </row>
    <row r="26" ht="16.9" customHeight="1" spans="1:29">
      <c r="A26" s="897" t="s">
        <v>4569</v>
      </c>
      <c r="B26" s="898" t="s">
        <v>4870</v>
      </c>
      <c r="C26" s="899" t="s">
        <v>4571</v>
      </c>
      <c r="D26" s="904" t="s">
        <v>4570</v>
      </c>
      <c r="E26" s="905">
        <f t="shared" si="0"/>
        <v>2</v>
      </c>
      <c r="F26" s="902">
        <f t="shared" si="1"/>
        <v>0</v>
      </c>
      <c r="G26" s="903"/>
      <c r="H26" s="902">
        <f t="shared" si="2"/>
        <v>0</v>
      </c>
      <c r="I26" s="903"/>
      <c r="J26" s="902">
        <f t="shared" si="3"/>
        <v>0</v>
      </c>
      <c r="K26" s="903"/>
      <c r="L26" s="902">
        <f t="shared" si="4"/>
        <v>0</v>
      </c>
      <c r="M26" s="903"/>
      <c r="N26" s="902">
        <f t="shared" si="5"/>
        <v>485680</v>
      </c>
      <c r="O26" s="903">
        <v>1</v>
      </c>
      <c r="P26" s="902">
        <f t="shared" si="6"/>
        <v>485680</v>
      </c>
      <c r="Q26" s="903">
        <v>1</v>
      </c>
      <c r="R26" s="902">
        <f t="shared" si="7"/>
        <v>0</v>
      </c>
      <c r="S26" s="903"/>
      <c r="T26" s="902">
        <f t="shared" si="8"/>
        <v>0</v>
      </c>
      <c r="U26" s="903"/>
      <c r="V26" s="902">
        <f t="shared" si="9"/>
        <v>0</v>
      </c>
      <c r="W26" s="903"/>
      <c r="X26" s="902">
        <f t="shared" si="10"/>
        <v>0</v>
      </c>
      <c r="Y26" s="903"/>
      <c r="Z26" s="902">
        <f t="shared" si="11"/>
        <v>0</v>
      </c>
      <c r="AA26" s="903"/>
      <c r="AB26" s="919">
        <f t="shared" si="12"/>
        <v>971360</v>
      </c>
      <c r="AC26" s="918"/>
    </row>
    <row r="27" ht="16.9" customHeight="1" spans="1:29">
      <c r="A27" s="897" t="s">
        <v>4569</v>
      </c>
      <c r="B27" s="898" t="s">
        <v>4870</v>
      </c>
      <c r="C27" s="899" t="s">
        <v>4573</v>
      </c>
      <c r="D27" s="904" t="s">
        <v>4572</v>
      </c>
      <c r="E27" s="905">
        <f t="shared" si="0"/>
        <v>4</v>
      </c>
      <c r="F27" s="902">
        <f t="shared" si="1"/>
        <v>0</v>
      </c>
      <c r="G27" s="903"/>
      <c r="H27" s="902">
        <f t="shared" si="2"/>
        <v>0</v>
      </c>
      <c r="I27" s="903"/>
      <c r="J27" s="902">
        <f t="shared" si="3"/>
        <v>445985</v>
      </c>
      <c r="K27" s="903">
        <v>1</v>
      </c>
      <c r="L27" s="902">
        <f t="shared" si="4"/>
        <v>0</v>
      </c>
      <c r="M27" s="903"/>
      <c r="N27" s="902">
        <f t="shared" si="5"/>
        <v>485680</v>
      </c>
      <c r="O27" s="903">
        <v>1</v>
      </c>
      <c r="P27" s="902">
        <f t="shared" si="6"/>
        <v>485680</v>
      </c>
      <c r="Q27" s="903">
        <v>1</v>
      </c>
      <c r="R27" s="902">
        <f t="shared" si="7"/>
        <v>138232</v>
      </c>
      <c r="S27" s="903">
        <v>1</v>
      </c>
      <c r="T27" s="902">
        <f t="shared" si="8"/>
        <v>0</v>
      </c>
      <c r="U27" s="903"/>
      <c r="V27" s="902">
        <f t="shared" si="9"/>
        <v>0</v>
      </c>
      <c r="W27" s="903"/>
      <c r="X27" s="902">
        <f t="shared" si="10"/>
        <v>0</v>
      </c>
      <c r="Y27" s="903"/>
      <c r="Z27" s="902">
        <f t="shared" si="11"/>
        <v>0</v>
      </c>
      <c r="AA27" s="903"/>
      <c r="AB27" s="919">
        <f t="shared" si="12"/>
        <v>1555577</v>
      </c>
      <c r="AC27" s="918"/>
    </row>
    <row r="28" ht="16.9" customHeight="1" spans="1:29">
      <c r="A28" s="897" t="s">
        <v>4569</v>
      </c>
      <c r="B28" s="898" t="s">
        <v>4870</v>
      </c>
      <c r="C28" s="899" t="s">
        <v>4575</v>
      </c>
      <c r="D28" s="904" t="s">
        <v>4574</v>
      </c>
      <c r="E28" s="905">
        <f t="shared" si="0"/>
        <v>4</v>
      </c>
      <c r="F28" s="902">
        <f t="shared" si="1"/>
        <v>0</v>
      </c>
      <c r="G28" s="903"/>
      <c r="H28" s="902">
        <f t="shared" si="2"/>
        <v>0</v>
      </c>
      <c r="I28" s="903"/>
      <c r="J28" s="902">
        <f t="shared" si="3"/>
        <v>0</v>
      </c>
      <c r="K28" s="903"/>
      <c r="L28" s="902">
        <f t="shared" si="4"/>
        <v>445985</v>
      </c>
      <c r="M28" s="903">
        <v>1</v>
      </c>
      <c r="N28" s="902">
        <f t="shared" si="5"/>
        <v>0</v>
      </c>
      <c r="O28" s="903"/>
      <c r="P28" s="902">
        <f t="shared" si="6"/>
        <v>0</v>
      </c>
      <c r="Q28" s="903"/>
      <c r="R28" s="902">
        <f t="shared" si="7"/>
        <v>138232</v>
      </c>
      <c r="S28" s="903">
        <v>1</v>
      </c>
      <c r="T28" s="902">
        <f t="shared" si="8"/>
        <v>0</v>
      </c>
      <c r="U28" s="903"/>
      <c r="V28" s="902">
        <f t="shared" si="9"/>
        <v>397884</v>
      </c>
      <c r="W28" s="903">
        <v>1</v>
      </c>
      <c r="X28" s="902">
        <f t="shared" si="10"/>
        <v>397884</v>
      </c>
      <c r="Y28" s="903">
        <v>1</v>
      </c>
      <c r="Z28" s="902">
        <f t="shared" si="11"/>
        <v>0</v>
      </c>
      <c r="AA28" s="903"/>
      <c r="AB28" s="919">
        <f t="shared" si="12"/>
        <v>1379985</v>
      </c>
      <c r="AC28" s="918"/>
    </row>
    <row r="29" ht="16.9" customHeight="1" spans="1:29">
      <c r="A29" s="897" t="s">
        <v>4569</v>
      </c>
      <c r="B29" s="898" t="s">
        <v>4870</v>
      </c>
      <c r="C29" s="899" t="s">
        <v>4518</v>
      </c>
      <c r="D29" s="904" t="s">
        <v>4576</v>
      </c>
      <c r="E29" s="905">
        <f t="shared" si="0"/>
        <v>1</v>
      </c>
      <c r="F29" s="902">
        <f t="shared" si="1"/>
        <v>0</v>
      </c>
      <c r="G29" s="903"/>
      <c r="H29" s="902">
        <f t="shared" si="2"/>
        <v>0</v>
      </c>
      <c r="I29" s="903"/>
      <c r="J29" s="902">
        <f t="shared" si="3"/>
        <v>0</v>
      </c>
      <c r="K29" s="903"/>
      <c r="L29" s="902">
        <f t="shared" si="4"/>
        <v>0</v>
      </c>
      <c r="M29" s="903"/>
      <c r="N29" s="902">
        <f t="shared" si="5"/>
        <v>0</v>
      </c>
      <c r="O29" s="903"/>
      <c r="P29" s="902">
        <f t="shared" si="6"/>
        <v>0</v>
      </c>
      <c r="Q29" s="903"/>
      <c r="R29" s="902">
        <f t="shared" si="7"/>
        <v>0</v>
      </c>
      <c r="S29" s="903"/>
      <c r="T29" s="902">
        <f t="shared" si="8"/>
        <v>485680</v>
      </c>
      <c r="U29" s="903">
        <v>1</v>
      </c>
      <c r="V29" s="902">
        <f t="shared" si="9"/>
        <v>0</v>
      </c>
      <c r="W29" s="903"/>
      <c r="X29" s="902">
        <f t="shared" si="10"/>
        <v>0</v>
      </c>
      <c r="Y29" s="903"/>
      <c r="Z29" s="902">
        <f t="shared" si="11"/>
        <v>0</v>
      </c>
      <c r="AA29" s="903"/>
      <c r="AB29" s="919">
        <f t="shared" si="12"/>
        <v>485680</v>
      </c>
      <c r="AC29" s="918"/>
    </row>
    <row r="30" ht="16.9" customHeight="1" spans="1:29">
      <c r="A30" s="897" t="s">
        <v>4569</v>
      </c>
      <c r="B30" s="898" t="s">
        <v>4870</v>
      </c>
      <c r="C30" s="899" t="s">
        <v>4516</v>
      </c>
      <c r="D30" s="904" t="s">
        <v>4577</v>
      </c>
      <c r="E30" s="905">
        <f t="shared" si="0"/>
        <v>1</v>
      </c>
      <c r="F30" s="902">
        <f t="shared" si="1"/>
        <v>0</v>
      </c>
      <c r="G30" s="903"/>
      <c r="H30" s="902">
        <f t="shared" si="2"/>
        <v>0</v>
      </c>
      <c r="I30" s="903"/>
      <c r="J30" s="902">
        <f t="shared" si="3"/>
        <v>445985</v>
      </c>
      <c r="K30" s="903">
        <v>1</v>
      </c>
      <c r="L30" s="902">
        <f t="shared" si="4"/>
        <v>0</v>
      </c>
      <c r="M30" s="903"/>
      <c r="N30" s="902">
        <f t="shared" si="5"/>
        <v>0</v>
      </c>
      <c r="O30" s="903"/>
      <c r="P30" s="902">
        <f t="shared" si="6"/>
        <v>0</v>
      </c>
      <c r="Q30" s="903"/>
      <c r="R30" s="902">
        <f t="shared" si="7"/>
        <v>0</v>
      </c>
      <c r="S30" s="903"/>
      <c r="T30" s="902">
        <f t="shared" si="8"/>
        <v>0</v>
      </c>
      <c r="U30" s="903"/>
      <c r="V30" s="902">
        <f t="shared" si="9"/>
        <v>0</v>
      </c>
      <c r="W30" s="903"/>
      <c r="X30" s="902">
        <f t="shared" si="10"/>
        <v>0</v>
      </c>
      <c r="Y30" s="903"/>
      <c r="Z30" s="902">
        <f t="shared" si="11"/>
        <v>0</v>
      </c>
      <c r="AA30" s="903"/>
      <c r="AB30" s="919">
        <f t="shared" si="12"/>
        <v>445985</v>
      </c>
      <c r="AC30" s="918"/>
    </row>
    <row r="31" ht="23.25" customHeight="1" spans="1:29">
      <c r="A31" s="897" t="s">
        <v>4569</v>
      </c>
      <c r="B31" s="898" t="s">
        <v>4870</v>
      </c>
      <c r="C31" s="899" t="s">
        <v>4529</v>
      </c>
      <c r="D31" s="904" t="s">
        <v>4578</v>
      </c>
      <c r="E31" s="905">
        <f t="shared" si="0"/>
        <v>1</v>
      </c>
      <c r="F31" s="902">
        <f t="shared" si="1"/>
        <v>0</v>
      </c>
      <c r="G31" s="903"/>
      <c r="H31" s="902">
        <f t="shared" si="2"/>
        <v>0</v>
      </c>
      <c r="I31" s="903"/>
      <c r="J31" s="902">
        <f t="shared" si="3"/>
        <v>0</v>
      </c>
      <c r="K31" s="903"/>
      <c r="L31" s="902">
        <f t="shared" si="4"/>
        <v>0</v>
      </c>
      <c r="M31" s="903"/>
      <c r="N31" s="902">
        <f t="shared" si="5"/>
        <v>0</v>
      </c>
      <c r="O31" s="903"/>
      <c r="P31" s="902">
        <f t="shared" si="6"/>
        <v>0</v>
      </c>
      <c r="Q31" s="903"/>
      <c r="R31" s="902">
        <f t="shared" si="7"/>
        <v>138232</v>
      </c>
      <c r="S31" s="903">
        <v>1</v>
      </c>
      <c r="T31" s="902">
        <f t="shared" si="8"/>
        <v>0</v>
      </c>
      <c r="U31" s="903"/>
      <c r="V31" s="902">
        <f t="shared" si="9"/>
        <v>0</v>
      </c>
      <c r="W31" s="903"/>
      <c r="X31" s="902">
        <f t="shared" si="10"/>
        <v>0</v>
      </c>
      <c r="Y31" s="903"/>
      <c r="Z31" s="902">
        <f t="shared" si="11"/>
        <v>0</v>
      </c>
      <c r="AA31" s="903"/>
      <c r="AB31" s="919">
        <f t="shared" si="12"/>
        <v>138232</v>
      </c>
      <c r="AC31" s="918"/>
    </row>
    <row r="32" ht="24" customHeight="1" spans="1:29">
      <c r="A32" s="897" t="s">
        <v>4579</v>
      </c>
      <c r="B32" s="898" t="s">
        <v>4871</v>
      </c>
      <c r="C32" s="899" t="s">
        <v>4581</v>
      </c>
      <c r="D32" s="904" t="s">
        <v>4580</v>
      </c>
      <c r="E32" s="905">
        <f t="shared" si="0"/>
        <v>3</v>
      </c>
      <c r="F32" s="902">
        <f t="shared" si="1"/>
        <v>485680</v>
      </c>
      <c r="G32" s="903">
        <v>1</v>
      </c>
      <c r="H32" s="902">
        <f t="shared" si="2"/>
        <v>0</v>
      </c>
      <c r="I32" s="903"/>
      <c r="J32" s="902">
        <f t="shared" si="3"/>
        <v>445985</v>
      </c>
      <c r="K32" s="903">
        <v>1</v>
      </c>
      <c r="L32" s="902">
        <f t="shared" si="4"/>
        <v>0</v>
      </c>
      <c r="M32" s="903"/>
      <c r="N32" s="902">
        <f t="shared" si="5"/>
        <v>0</v>
      </c>
      <c r="O32" s="903"/>
      <c r="P32" s="902">
        <f t="shared" si="6"/>
        <v>0</v>
      </c>
      <c r="Q32" s="903"/>
      <c r="R32" s="902">
        <f t="shared" si="7"/>
        <v>0</v>
      </c>
      <c r="S32" s="903"/>
      <c r="T32" s="902">
        <f t="shared" si="8"/>
        <v>485680</v>
      </c>
      <c r="U32" s="903">
        <v>1</v>
      </c>
      <c r="V32" s="902">
        <f t="shared" si="9"/>
        <v>0</v>
      </c>
      <c r="W32" s="903"/>
      <c r="X32" s="902">
        <f t="shared" si="10"/>
        <v>0</v>
      </c>
      <c r="Y32" s="903"/>
      <c r="Z32" s="902">
        <f t="shared" si="11"/>
        <v>0</v>
      </c>
      <c r="AA32" s="903"/>
      <c r="AB32" s="919">
        <f t="shared" si="12"/>
        <v>1417345</v>
      </c>
      <c r="AC32" s="918"/>
    </row>
    <row r="33" ht="16.9" customHeight="1" spans="1:29">
      <c r="A33" s="897" t="s">
        <v>4579</v>
      </c>
      <c r="B33" s="898" t="s">
        <v>4871</v>
      </c>
      <c r="C33" s="899" t="s">
        <v>4581</v>
      </c>
      <c r="D33" s="904" t="s">
        <v>4582</v>
      </c>
      <c r="E33" s="905">
        <f t="shared" si="0"/>
        <v>3</v>
      </c>
      <c r="F33" s="902">
        <f t="shared" si="1"/>
        <v>485680</v>
      </c>
      <c r="G33" s="903">
        <v>1</v>
      </c>
      <c r="H33" s="902">
        <f t="shared" si="2"/>
        <v>0</v>
      </c>
      <c r="I33" s="903"/>
      <c r="J33" s="902">
        <f t="shared" si="3"/>
        <v>445985</v>
      </c>
      <c r="K33" s="903">
        <v>1</v>
      </c>
      <c r="L33" s="902">
        <f t="shared" si="4"/>
        <v>0</v>
      </c>
      <c r="M33" s="903"/>
      <c r="N33" s="902">
        <f t="shared" si="5"/>
        <v>0</v>
      </c>
      <c r="O33" s="903"/>
      <c r="P33" s="902">
        <f t="shared" si="6"/>
        <v>0</v>
      </c>
      <c r="Q33" s="903"/>
      <c r="R33" s="902">
        <f t="shared" si="7"/>
        <v>0</v>
      </c>
      <c r="S33" s="903"/>
      <c r="T33" s="902">
        <f t="shared" si="8"/>
        <v>485680</v>
      </c>
      <c r="U33" s="903">
        <v>1</v>
      </c>
      <c r="V33" s="902">
        <f t="shared" si="9"/>
        <v>0</v>
      </c>
      <c r="W33" s="903"/>
      <c r="X33" s="902">
        <f t="shared" si="10"/>
        <v>0</v>
      </c>
      <c r="Y33" s="903"/>
      <c r="Z33" s="902">
        <f t="shared" si="11"/>
        <v>0</v>
      </c>
      <c r="AA33" s="903"/>
      <c r="AB33" s="919">
        <f t="shared" si="12"/>
        <v>1417345</v>
      </c>
      <c r="AC33" s="918"/>
    </row>
    <row r="34" ht="16.9" customHeight="1" spans="1:29">
      <c r="A34" s="897" t="s">
        <v>4579</v>
      </c>
      <c r="B34" s="898" t="s">
        <v>4871</v>
      </c>
      <c r="C34" s="899" t="s">
        <v>4533</v>
      </c>
      <c r="D34" s="904" t="s">
        <v>4583</v>
      </c>
      <c r="E34" s="905">
        <f t="shared" si="0"/>
        <v>1</v>
      </c>
      <c r="F34" s="902">
        <f t="shared" si="1"/>
        <v>0</v>
      </c>
      <c r="G34" s="903"/>
      <c r="H34" s="902">
        <f t="shared" si="2"/>
        <v>0</v>
      </c>
      <c r="I34" s="903"/>
      <c r="J34" s="902">
        <f t="shared" si="3"/>
        <v>0</v>
      </c>
      <c r="K34" s="903"/>
      <c r="L34" s="902">
        <f t="shared" si="4"/>
        <v>0</v>
      </c>
      <c r="M34" s="903"/>
      <c r="N34" s="902">
        <f t="shared" si="5"/>
        <v>0</v>
      </c>
      <c r="O34" s="903"/>
      <c r="P34" s="902">
        <f t="shared" si="6"/>
        <v>0</v>
      </c>
      <c r="Q34" s="903"/>
      <c r="R34" s="902">
        <f t="shared" si="7"/>
        <v>0</v>
      </c>
      <c r="S34" s="903"/>
      <c r="T34" s="902">
        <f t="shared" si="8"/>
        <v>0</v>
      </c>
      <c r="U34" s="903"/>
      <c r="V34" s="902">
        <f t="shared" si="9"/>
        <v>0</v>
      </c>
      <c r="W34" s="903"/>
      <c r="X34" s="902">
        <f t="shared" si="10"/>
        <v>0</v>
      </c>
      <c r="Y34" s="903"/>
      <c r="Z34" s="902">
        <f t="shared" si="11"/>
        <v>415630</v>
      </c>
      <c r="AA34" s="903">
        <v>1</v>
      </c>
      <c r="AB34" s="919">
        <f t="shared" si="12"/>
        <v>415630</v>
      </c>
      <c r="AC34" s="918"/>
    </row>
    <row r="35" ht="16.9" customHeight="1" spans="1:29">
      <c r="A35" s="897" t="s">
        <v>4584</v>
      </c>
      <c r="B35" s="898" t="s">
        <v>4872</v>
      </c>
      <c r="C35" s="899" t="s">
        <v>4586</v>
      </c>
      <c r="D35" s="904" t="s">
        <v>4585</v>
      </c>
      <c r="E35" s="905">
        <f t="shared" si="0"/>
        <v>3</v>
      </c>
      <c r="F35" s="902">
        <f t="shared" si="1"/>
        <v>0</v>
      </c>
      <c r="G35" s="903"/>
      <c r="H35" s="902">
        <f t="shared" si="2"/>
        <v>0</v>
      </c>
      <c r="I35" s="903"/>
      <c r="J35" s="902">
        <f t="shared" si="3"/>
        <v>0</v>
      </c>
      <c r="K35" s="903"/>
      <c r="L35" s="902">
        <f t="shared" si="4"/>
        <v>445985</v>
      </c>
      <c r="M35" s="903">
        <v>1</v>
      </c>
      <c r="N35" s="902">
        <f t="shared" si="5"/>
        <v>485680</v>
      </c>
      <c r="O35" s="903">
        <v>1</v>
      </c>
      <c r="P35" s="902">
        <f t="shared" si="6"/>
        <v>0</v>
      </c>
      <c r="Q35" s="903"/>
      <c r="R35" s="902">
        <f t="shared" si="7"/>
        <v>0</v>
      </c>
      <c r="S35" s="903"/>
      <c r="T35" s="902">
        <f t="shared" si="8"/>
        <v>0</v>
      </c>
      <c r="U35" s="903"/>
      <c r="V35" s="902">
        <f t="shared" si="9"/>
        <v>0</v>
      </c>
      <c r="W35" s="903"/>
      <c r="X35" s="902">
        <f t="shared" si="10"/>
        <v>397884</v>
      </c>
      <c r="Y35" s="903">
        <v>1</v>
      </c>
      <c r="Z35" s="902">
        <f t="shared" si="11"/>
        <v>0</v>
      </c>
      <c r="AA35" s="903"/>
      <c r="AB35" s="919">
        <f t="shared" si="12"/>
        <v>1329549</v>
      </c>
      <c r="AC35" s="918"/>
    </row>
    <row r="36" ht="16.9" customHeight="1" spans="1:29">
      <c r="A36" s="897" t="s">
        <v>4584</v>
      </c>
      <c r="B36" s="898" t="s">
        <v>4872</v>
      </c>
      <c r="C36" s="899" t="s">
        <v>4586</v>
      </c>
      <c r="D36" s="904" t="s">
        <v>4587</v>
      </c>
      <c r="E36" s="905">
        <f t="shared" si="0"/>
        <v>3</v>
      </c>
      <c r="F36" s="902">
        <f t="shared" si="1"/>
        <v>0</v>
      </c>
      <c r="G36" s="903"/>
      <c r="H36" s="902">
        <f t="shared" si="2"/>
        <v>0</v>
      </c>
      <c r="I36" s="903"/>
      <c r="J36" s="902">
        <f t="shared" si="3"/>
        <v>0</v>
      </c>
      <c r="K36" s="903"/>
      <c r="L36" s="902">
        <f t="shared" si="4"/>
        <v>445985</v>
      </c>
      <c r="M36" s="903">
        <v>1</v>
      </c>
      <c r="N36" s="902">
        <f t="shared" si="5"/>
        <v>485680</v>
      </c>
      <c r="O36" s="903">
        <v>1</v>
      </c>
      <c r="P36" s="902">
        <f t="shared" si="6"/>
        <v>0</v>
      </c>
      <c r="Q36" s="903"/>
      <c r="R36" s="902">
        <f t="shared" si="7"/>
        <v>0</v>
      </c>
      <c r="S36" s="903"/>
      <c r="T36" s="902">
        <f t="shared" si="8"/>
        <v>0</v>
      </c>
      <c r="U36" s="903"/>
      <c r="V36" s="902">
        <f t="shared" si="9"/>
        <v>0</v>
      </c>
      <c r="W36" s="903"/>
      <c r="X36" s="902">
        <f t="shared" si="10"/>
        <v>397884</v>
      </c>
      <c r="Y36" s="903">
        <v>1</v>
      </c>
      <c r="Z36" s="902">
        <f t="shared" si="11"/>
        <v>0</v>
      </c>
      <c r="AA36" s="903"/>
      <c r="AB36" s="919">
        <f t="shared" si="12"/>
        <v>1329549</v>
      </c>
      <c r="AC36" s="918"/>
    </row>
    <row r="37" ht="16.9" customHeight="1" spans="1:29">
      <c r="A37" s="897" t="s">
        <v>4584</v>
      </c>
      <c r="B37" s="898" t="s">
        <v>4872</v>
      </c>
      <c r="C37" s="899" t="s">
        <v>4560</v>
      </c>
      <c r="D37" s="904" t="s">
        <v>4588</v>
      </c>
      <c r="E37" s="905">
        <f t="shared" si="0"/>
        <v>2</v>
      </c>
      <c r="F37" s="902">
        <f t="shared" si="1"/>
        <v>0</v>
      </c>
      <c r="G37" s="903"/>
      <c r="H37" s="902">
        <f t="shared" si="2"/>
        <v>0</v>
      </c>
      <c r="I37" s="903"/>
      <c r="J37" s="902">
        <f t="shared" si="3"/>
        <v>0</v>
      </c>
      <c r="K37" s="903"/>
      <c r="L37" s="902">
        <f t="shared" si="4"/>
        <v>0</v>
      </c>
      <c r="M37" s="903"/>
      <c r="N37" s="902">
        <f t="shared" si="5"/>
        <v>0</v>
      </c>
      <c r="O37" s="903"/>
      <c r="P37" s="902">
        <f t="shared" si="6"/>
        <v>0</v>
      </c>
      <c r="Q37" s="903"/>
      <c r="R37" s="902">
        <f t="shared" si="7"/>
        <v>0</v>
      </c>
      <c r="S37" s="903"/>
      <c r="T37" s="902">
        <f t="shared" si="8"/>
        <v>0</v>
      </c>
      <c r="U37" s="903"/>
      <c r="V37" s="902">
        <f t="shared" si="9"/>
        <v>397884</v>
      </c>
      <c r="W37" s="903">
        <v>1</v>
      </c>
      <c r="X37" s="902">
        <f t="shared" si="10"/>
        <v>397884</v>
      </c>
      <c r="Y37" s="903">
        <v>1</v>
      </c>
      <c r="Z37" s="902">
        <f t="shared" si="11"/>
        <v>0</v>
      </c>
      <c r="AA37" s="903"/>
      <c r="AB37" s="919">
        <f t="shared" si="12"/>
        <v>795768</v>
      </c>
      <c r="AC37" s="918"/>
    </row>
    <row r="38" ht="16.9" customHeight="1" spans="1:29">
      <c r="A38" s="897" t="s">
        <v>4584</v>
      </c>
      <c r="B38" s="898" t="s">
        <v>4872</v>
      </c>
      <c r="C38" s="899" t="s">
        <v>4560</v>
      </c>
      <c r="D38" s="904" t="s">
        <v>4589</v>
      </c>
      <c r="E38" s="905">
        <f t="shared" si="0"/>
        <v>2</v>
      </c>
      <c r="F38" s="902">
        <f t="shared" si="1"/>
        <v>0</v>
      </c>
      <c r="G38" s="903"/>
      <c r="H38" s="902">
        <f t="shared" si="2"/>
        <v>0</v>
      </c>
      <c r="I38" s="903"/>
      <c r="J38" s="902">
        <f t="shared" si="3"/>
        <v>0</v>
      </c>
      <c r="K38" s="903"/>
      <c r="L38" s="902">
        <f t="shared" si="4"/>
        <v>0</v>
      </c>
      <c r="M38" s="903"/>
      <c r="N38" s="902">
        <f t="shared" si="5"/>
        <v>0</v>
      </c>
      <c r="O38" s="903"/>
      <c r="P38" s="902">
        <f t="shared" si="6"/>
        <v>0</v>
      </c>
      <c r="Q38" s="903"/>
      <c r="R38" s="902">
        <f t="shared" si="7"/>
        <v>0</v>
      </c>
      <c r="S38" s="903"/>
      <c r="T38" s="902">
        <f t="shared" si="8"/>
        <v>0</v>
      </c>
      <c r="U38" s="903"/>
      <c r="V38" s="902">
        <f t="shared" si="9"/>
        <v>397884</v>
      </c>
      <c r="W38" s="903">
        <v>1</v>
      </c>
      <c r="X38" s="902">
        <f t="shared" si="10"/>
        <v>397884</v>
      </c>
      <c r="Y38" s="903">
        <v>1</v>
      </c>
      <c r="Z38" s="902">
        <f t="shared" si="11"/>
        <v>0</v>
      </c>
      <c r="AA38" s="903"/>
      <c r="AB38" s="919">
        <f t="shared" si="12"/>
        <v>795768</v>
      </c>
      <c r="AC38" s="918"/>
    </row>
    <row r="39" ht="16.9" customHeight="1" spans="1:29">
      <c r="A39" s="897" t="s">
        <v>4590</v>
      </c>
      <c r="B39" s="898" t="s">
        <v>4873</v>
      </c>
      <c r="C39" s="899" t="s">
        <v>4592</v>
      </c>
      <c r="D39" s="904" t="s">
        <v>4591</v>
      </c>
      <c r="E39" s="905">
        <f t="shared" si="0"/>
        <v>2</v>
      </c>
      <c r="F39" s="902">
        <f t="shared" si="1"/>
        <v>0</v>
      </c>
      <c r="G39" s="903"/>
      <c r="H39" s="902">
        <f t="shared" si="2"/>
        <v>485680</v>
      </c>
      <c r="I39" s="903">
        <v>1</v>
      </c>
      <c r="J39" s="902">
        <f t="shared" si="3"/>
        <v>0</v>
      </c>
      <c r="K39" s="903"/>
      <c r="L39" s="902">
        <f t="shared" si="4"/>
        <v>0</v>
      </c>
      <c r="M39" s="903"/>
      <c r="N39" s="902">
        <f t="shared" si="5"/>
        <v>485680</v>
      </c>
      <c r="O39" s="903">
        <v>1</v>
      </c>
      <c r="P39" s="902">
        <f t="shared" si="6"/>
        <v>0</v>
      </c>
      <c r="Q39" s="903"/>
      <c r="R39" s="902">
        <f t="shared" si="7"/>
        <v>0</v>
      </c>
      <c r="S39" s="903"/>
      <c r="T39" s="902">
        <f t="shared" si="8"/>
        <v>0</v>
      </c>
      <c r="U39" s="903"/>
      <c r="V39" s="902">
        <f t="shared" si="9"/>
        <v>0</v>
      </c>
      <c r="W39" s="903"/>
      <c r="X39" s="902">
        <f t="shared" si="10"/>
        <v>0</v>
      </c>
      <c r="Y39" s="903"/>
      <c r="Z39" s="902">
        <f t="shared" si="11"/>
        <v>0</v>
      </c>
      <c r="AA39" s="903"/>
      <c r="AB39" s="919">
        <f t="shared" si="12"/>
        <v>971360</v>
      </c>
      <c r="AC39" s="918"/>
    </row>
    <row r="40" ht="16.5" customHeight="1" spans="1:29">
      <c r="A40" s="897" t="s">
        <v>4590</v>
      </c>
      <c r="B40" s="898" t="s">
        <v>4873</v>
      </c>
      <c r="C40" s="899" t="s">
        <v>4513</v>
      </c>
      <c r="D40" s="904" t="s">
        <v>4593</v>
      </c>
      <c r="E40" s="905">
        <f t="shared" si="0"/>
        <v>1</v>
      </c>
      <c r="F40" s="902">
        <f t="shared" si="1"/>
        <v>0</v>
      </c>
      <c r="G40" s="903"/>
      <c r="H40" s="902">
        <f t="shared" si="2"/>
        <v>485680</v>
      </c>
      <c r="I40" s="903">
        <v>1</v>
      </c>
      <c r="J40" s="902">
        <f t="shared" si="3"/>
        <v>0</v>
      </c>
      <c r="K40" s="903"/>
      <c r="L40" s="902">
        <f t="shared" si="4"/>
        <v>0</v>
      </c>
      <c r="M40" s="903"/>
      <c r="N40" s="902">
        <f t="shared" si="5"/>
        <v>0</v>
      </c>
      <c r="O40" s="903"/>
      <c r="P40" s="902">
        <f t="shared" si="6"/>
        <v>0</v>
      </c>
      <c r="Q40" s="903"/>
      <c r="R40" s="902">
        <f t="shared" si="7"/>
        <v>0</v>
      </c>
      <c r="S40" s="903"/>
      <c r="T40" s="902">
        <f t="shared" si="8"/>
        <v>0</v>
      </c>
      <c r="U40" s="903"/>
      <c r="V40" s="902">
        <f t="shared" si="9"/>
        <v>0</v>
      </c>
      <c r="W40" s="903"/>
      <c r="X40" s="902">
        <f t="shared" si="10"/>
        <v>0</v>
      </c>
      <c r="Y40" s="903"/>
      <c r="Z40" s="902">
        <f t="shared" si="11"/>
        <v>0</v>
      </c>
      <c r="AA40" s="903"/>
      <c r="AB40" s="919">
        <f t="shared" si="12"/>
        <v>485680</v>
      </c>
      <c r="AC40" s="918"/>
    </row>
    <row r="41" ht="23.1" customHeight="1" spans="1:29">
      <c r="A41" s="897" t="s">
        <v>4590</v>
      </c>
      <c r="B41" s="898" t="s">
        <v>4873</v>
      </c>
      <c r="C41" s="899" t="s">
        <v>4595</v>
      </c>
      <c r="D41" s="904" t="s">
        <v>4594</v>
      </c>
      <c r="E41" s="905">
        <f t="shared" si="0"/>
        <v>2</v>
      </c>
      <c r="F41" s="902">
        <f t="shared" si="1"/>
        <v>0</v>
      </c>
      <c r="G41" s="903"/>
      <c r="H41" s="902">
        <f t="shared" si="2"/>
        <v>0</v>
      </c>
      <c r="I41" s="903"/>
      <c r="J41" s="902">
        <f t="shared" si="3"/>
        <v>0</v>
      </c>
      <c r="K41" s="903"/>
      <c r="L41" s="902">
        <f t="shared" si="4"/>
        <v>445985</v>
      </c>
      <c r="M41" s="903">
        <v>1</v>
      </c>
      <c r="N41" s="902">
        <f t="shared" si="5"/>
        <v>0</v>
      </c>
      <c r="O41" s="903"/>
      <c r="P41" s="902">
        <f t="shared" si="6"/>
        <v>0</v>
      </c>
      <c r="Q41" s="903"/>
      <c r="R41" s="902">
        <f t="shared" si="7"/>
        <v>138232</v>
      </c>
      <c r="S41" s="903">
        <v>1</v>
      </c>
      <c r="T41" s="902">
        <f t="shared" si="8"/>
        <v>0</v>
      </c>
      <c r="U41" s="903"/>
      <c r="V41" s="902">
        <f t="shared" si="9"/>
        <v>0</v>
      </c>
      <c r="W41" s="903"/>
      <c r="X41" s="902">
        <f t="shared" si="10"/>
        <v>0</v>
      </c>
      <c r="Y41" s="903"/>
      <c r="Z41" s="902">
        <f t="shared" si="11"/>
        <v>0</v>
      </c>
      <c r="AA41" s="903"/>
      <c r="AB41" s="919">
        <f t="shared" si="12"/>
        <v>584217</v>
      </c>
      <c r="AC41" s="918"/>
    </row>
    <row r="42" ht="22.5" customHeight="1" spans="1:29">
      <c r="A42" s="897" t="s">
        <v>4590</v>
      </c>
      <c r="B42" s="898" t="s">
        <v>4873</v>
      </c>
      <c r="C42" s="899" t="s">
        <v>4595</v>
      </c>
      <c r="D42" s="904" t="s">
        <v>4596</v>
      </c>
      <c r="E42" s="905">
        <f t="shared" si="0"/>
        <v>2</v>
      </c>
      <c r="F42" s="902">
        <f t="shared" si="1"/>
        <v>0</v>
      </c>
      <c r="G42" s="903"/>
      <c r="H42" s="902">
        <f t="shared" si="2"/>
        <v>0</v>
      </c>
      <c r="I42" s="903"/>
      <c r="J42" s="902">
        <f t="shared" si="3"/>
        <v>0</v>
      </c>
      <c r="K42" s="903"/>
      <c r="L42" s="902">
        <f t="shared" si="4"/>
        <v>445985</v>
      </c>
      <c r="M42" s="903">
        <v>1</v>
      </c>
      <c r="N42" s="902">
        <f t="shared" si="5"/>
        <v>0</v>
      </c>
      <c r="O42" s="903"/>
      <c r="P42" s="902">
        <f t="shared" si="6"/>
        <v>0</v>
      </c>
      <c r="Q42" s="903"/>
      <c r="R42" s="902">
        <f t="shared" si="7"/>
        <v>138232</v>
      </c>
      <c r="S42" s="903">
        <v>1</v>
      </c>
      <c r="T42" s="902">
        <f t="shared" si="8"/>
        <v>0</v>
      </c>
      <c r="U42" s="903"/>
      <c r="V42" s="902">
        <f t="shared" si="9"/>
        <v>0</v>
      </c>
      <c r="W42" s="903"/>
      <c r="X42" s="902">
        <f t="shared" si="10"/>
        <v>0</v>
      </c>
      <c r="Y42" s="903"/>
      <c r="Z42" s="902">
        <f t="shared" si="11"/>
        <v>0</v>
      </c>
      <c r="AA42" s="903"/>
      <c r="AB42" s="919">
        <f t="shared" si="12"/>
        <v>584217</v>
      </c>
      <c r="AC42" s="918"/>
    </row>
    <row r="43" ht="22.5" customHeight="1" spans="1:29">
      <c r="A43" s="897" t="s">
        <v>4590</v>
      </c>
      <c r="B43" s="898" t="s">
        <v>4873</v>
      </c>
      <c r="C43" s="899" t="s">
        <v>4598</v>
      </c>
      <c r="D43" s="904" t="s">
        <v>4597</v>
      </c>
      <c r="E43" s="905">
        <f t="shared" si="0"/>
        <v>4</v>
      </c>
      <c r="F43" s="902">
        <f t="shared" si="1"/>
        <v>485680</v>
      </c>
      <c r="G43" s="903">
        <v>1</v>
      </c>
      <c r="H43" s="902">
        <f t="shared" si="2"/>
        <v>0</v>
      </c>
      <c r="I43" s="903"/>
      <c r="J43" s="902">
        <f t="shared" si="3"/>
        <v>445985</v>
      </c>
      <c r="K43" s="903">
        <v>1</v>
      </c>
      <c r="L43" s="902">
        <f t="shared" si="4"/>
        <v>0</v>
      </c>
      <c r="M43" s="903"/>
      <c r="N43" s="902">
        <f t="shared" si="5"/>
        <v>485680</v>
      </c>
      <c r="O43" s="903">
        <v>1</v>
      </c>
      <c r="P43" s="902">
        <f t="shared" si="6"/>
        <v>485680</v>
      </c>
      <c r="Q43" s="903">
        <v>1</v>
      </c>
      <c r="R43" s="902">
        <f t="shared" si="7"/>
        <v>0</v>
      </c>
      <c r="S43" s="903"/>
      <c r="T43" s="902">
        <f t="shared" si="8"/>
        <v>0</v>
      </c>
      <c r="U43" s="903"/>
      <c r="V43" s="902">
        <f t="shared" si="9"/>
        <v>0</v>
      </c>
      <c r="W43" s="903"/>
      <c r="X43" s="902">
        <f t="shared" si="10"/>
        <v>0</v>
      </c>
      <c r="Y43" s="903"/>
      <c r="Z43" s="902">
        <f t="shared" si="11"/>
        <v>0</v>
      </c>
      <c r="AA43" s="903"/>
      <c r="AB43" s="919">
        <f t="shared" si="12"/>
        <v>1903025</v>
      </c>
      <c r="AC43" s="918"/>
    </row>
    <row r="44" ht="22.5" customHeight="1" spans="1:29">
      <c r="A44" s="897" t="s">
        <v>4590</v>
      </c>
      <c r="B44" s="898" t="s">
        <v>4873</v>
      </c>
      <c r="C44" s="899" t="s">
        <v>4598</v>
      </c>
      <c r="D44" s="904" t="s">
        <v>4599</v>
      </c>
      <c r="E44" s="905">
        <f t="shared" si="0"/>
        <v>4</v>
      </c>
      <c r="F44" s="902">
        <f t="shared" si="1"/>
        <v>485680</v>
      </c>
      <c r="G44" s="903">
        <v>1</v>
      </c>
      <c r="H44" s="902">
        <f t="shared" si="2"/>
        <v>0</v>
      </c>
      <c r="I44" s="903"/>
      <c r="J44" s="902">
        <f t="shared" si="3"/>
        <v>445985</v>
      </c>
      <c r="K44" s="903">
        <v>1</v>
      </c>
      <c r="L44" s="902">
        <f t="shared" si="4"/>
        <v>0</v>
      </c>
      <c r="M44" s="903"/>
      <c r="N44" s="902">
        <f t="shared" si="5"/>
        <v>485680</v>
      </c>
      <c r="O44" s="903">
        <v>1</v>
      </c>
      <c r="P44" s="902">
        <f t="shared" si="6"/>
        <v>485680</v>
      </c>
      <c r="Q44" s="903">
        <v>1</v>
      </c>
      <c r="R44" s="902">
        <f t="shared" si="7"/>
        <v>0</v>
      </c>
      <c r="S44" s="903"/>
      <c r="T44" s="902">
        <f t="shared" si="8"/>
        <v>0</v>
      </c>
      <c r="U44" s="903"/>
      <c r="V44" s="902">
        <f t="shared" si="9"/>
        <v>0</v>
      </c>
      <c r="W44" s="903"/>
      <c r="X44" s="902">
        <f t="shared" si="10"/>
        <v>0</v>
      </c>
      <c r="Y44" s="903"/>
      <c r="Z44" s="902">
        <f t="shared" si="11"/>
        <v>0</v>
      </c>
      <c r="AA44" s="903"/>
      <c r="AB44" s="919">
        <f t="shared" si="12"/>
        <v>1903025</v>
      </c>
      <c r="AC44" s="918"/>
    </row>
    <row r="45" ht="22.5" customHeight="1" spans="1:29">
      <c r="A45" s="897" t="s">
        <v>4600</v>
      </c>
      <c r="B45" s="898" t="s">
        <v>4601</v>
      </c>
      <c r="C45" s="899" t="s">
        <v>4546</v>
      </c>
      <c r="D45" s="904" t="s">
        <v>4601</v>
      </c>
      <c r="E45" s="905">
        <f t="shared" si="0"/>
        <v>10</v>
      </c>
      <c r="F45" s="902">
        <f t="shared" si="1"/>
        <v>485680</v>
      </c>
      <c r="G45" s="903">
        <v>1</v>
      </c>
      <c r="H45" s="902">
        <f t="shared" si="2"/>
        <v>485680</v>
      </c>
      <c r="I45" s="903">
        <v>1</v>
      </c>
      <c r="J45" s="902">
        <f t="shared" si="3"/>
        <v>445985</v>
      </c>
      <c r="K45" s="903">
        <v>1</v>
      </c>
      <c r="L45" s="902">
        <f t="shared" si="4"/>
        <v>445985</v>
      </c>
      <c r="M45" s="903">
        <v>1</v>
      </c>
      <c r="N45" s="902">
        <f t="shared" si="5"/>
        <v>485680</v>
      </c>
      <c r="O45" s="903">
        <v>1</v>
      </c>
      <c r="P45" s="902">
        <f t="shared" si="6"/>
        <v>0</v>
      </c>
      <c r="Q45" s="903"/>
      <c r="R45" s="902">
        <f t="shared" si="7"/>
        <v>138232</v>
      </c>
      <c r="S45" s="903">
        <v>1</v>
      </c>
      <c r="T45" s="902">
        <f t="shared" si="8"/>
        <v>485680</v>
      </c>
      <c r="U45" s="903">
        <v>1</v>
      </c>
      <c r="V45" s="902">
        <f t="shared" si="9"/>
        <v>397884</v>
      </c>
      <c r="W45" s="903">
        <v>1</v>
      </c>
      <c r="X45" s="902">
        <f t="shared" si="10"/>
        <v>397884</v>
      </c>
      <c r="Y45" s="903">
        <v>1</v>
      </c>
      <c r="Z45" s="902">
        <f t="shared" si="11"/>
        <v>415630</v>
      </c>
      <c r="AA45" s="903">
        <v>1</v>
      </c>
      <c r="AB45" s="919">
        <f t="shared" si="12"/>
        <v>4184320</v>
      </c>
      <c r="AC45" s="918"/>
    </row>
    <row r="46" ht="17.1" customHeight="1" spans="1:29">
      <c r="A46" s="897" t="s">
        <v>4602</v>
      </c>
      <c r="B46" s="898" t="s">
        <v>4874</v>
      </c>
      <c r="C46" s="899" t="s">
        <v>4523</v>
      </c>
      <c r="D46" s="904" t="s">
        <v>4603</v>
      </c>
      <c r="E46" s="905">
        <f t="shared" si="0"/>
        <v>6</v>
      </c>
      <c r="F46" s="902">
        <f t="shared" si="1"/>
        <v>2914080</v>
      </c>
      <c r="G46" s="903">
        <v>6</v>
      </c>
      <c r="H46" s="902">
        <f t="shared" si="2"/>
        <v>0</v>
      </c>
      <c r="I46" s="903"/>
      <c r="J46" s="902">
        <f t="shared" si="3"/>
        <v>0</v>
      </c>
      <c r="K46" s="903"/>
      <c r="L46" s="902">
        <f t="shared" si="4"/>
        <v>0</v>
      </c>
      <c r="M46" s="903"/>
      <c r="N46" s="902">
        <f t="shared" si="5"/>
        <v>0</v>
      </c>
      <c r="O46" s="903"/>
      <c r="P46" s="902">
        <f t="shared" si="6"/>
        <v>0</v>
      </c>
      <c r="Q46" s="903"/>
      <c r="R46" s="902">
        <f t="shared" si="7"/>
        <v>0</v>
      </c>
      <c r="S46" s="903"/>
      <c r="T46" s="902">
        <f t="shared" si="8"/>
        <v>0</v>
      </c>
      <c r="U46" s="903"/>
      <c r="V46" s="902">
        <f t="shared" si="9"/>
        <v>0</v>
      </c>
      <c r="W46" s="903"/>
      <c r="X46" s="902">
        <f t="shared" si="10"/>
        <v>0</v>
      </c>
      <c r="Y46" s="903"/>
      <c r="Z46" s="902">
        <f t="shared" si="11"/>
        <v>0</v>
      </c>
      <c r="AA46" s="903"/>
      <c r="AB46" s="919">
        <f t="shared" si="12"/>
        <v>2914080</v>
      </c>
      <c r="AC46" s="918"/>
    </row>
    <row r="47" ht="17.1" customHeight="1" spans="1:29">
      <c r="A47" s="897" t="s">
        <v>4602</v>
      </c>
      <c r="B47" s="898" t="s">
        <v>4874</v>
      </c>
      <c r="C47" s="899" t="s">
        <v>4523</v>
      </c>
      <c r="D47" s="904" t="s">
        <v>4604</v>
      </c>
      <c r="E47" s="905">
        <f t="shared" si="0"/>
        <v>6</v>
      </c>
      <c r="F47" s="902">
        <f t="shared" si="1"/>
        <v>2914080</v>
      </c>
      <c r="G47" s="903">
        <v>6</v>
      </c>
      <c r="H47" s="902">
        <f t="shared" si="2"/>
        <v>0</v>
      </c>
      <c r="I47" s="903"/>
      <c r="J47" s="902">
        <f t="shared" si="3"/>
        <v>0</v>
      </c>
      <c r="K47" s="903"/>
      <c r="L47" s="902">
        <f t="shared" si="4"/>
        <v>0</v>
      </c>
      <c r="M47" s="903"/>
      <c r="N47" s="902">
        <f t="shared" si="5"/>
        <v>0</v>
      </c>
      <c r="O47" s="903"/>
      <c r="P47" s="902">
        <f t="shared" si="6"/>
        <v>0</v>
      </c>
      <c r="Q47" s="903"/>
      <c r="R47" s="902">
        <f t="shared" si="7"/>
        <v>0</v>
      </c>
      <c r="S47" s="903"/>
      <c r="T47" s="902">
        <f t="shared" si="8"/>
        <v>0</v>
      </c>
      <c r="U47" s="903"/>
      <c r="V47" s="902">
        <f t="shared" si="9"/>
        <v>0</v>
      </c>
      <c r="W47" s="903"/>
      <c r="X47" s="902">
        <f t="shared" si="10"/>
        <v>0</v>
      </c>
      <c r="Y47" s="903"/>
      <c r="Z47" s="902">
        <f t="shared" si="11"/>
        <v>0</v>
      </c>
      <c r="AA47" s="903"/>
      <c r="AB47" s="919">
        <f t="shared" si="12"/>
        <v>2914080</v>
      </c>
      <c r="AC47" s="918"/>
    </row>
    <row r="48" ht="17.1" customHeight="1" spans="1:29">
      <c r="A48" s="897" t="s">
        <v>4602</v>
      </c>
      <c r="B48" s="898" t="s">
        <v>4874</v>
      </c>
      <c r="C48" s="899" t="s">
        <v>4523</v>
      </c>
      <c r="D48" s="904" t="s">
        <v>4605</v>
      </c>
      <c r="E48" s="905">
        <f t="shared" si="0"/>
        <v>6</v>
      </c>
      <c r="F48" s="902">
        <f t="shared" si="1"/>
        <v>2914080</v>
      </c>
      <c r="G48" s="903">
        <v>6</v>
      </c>
      <c r="H48" s="902">
        <f t="shared" si="2"/>
        <v>0</v>
      </c>
      <c r="I48" s="903"/>
      <c r="J48" s="902">
        <f t="shared" si="3"/>
        <v>0</v>
      </c>
      <c r="K48" s="903"/>
      <c r="L48" s="902">
        <f t="shared" si="4"/>
        <v>0</v>
      </c>
      <c r="M48" s="903"/>
      <c r="N48" s="902">
        <f t="shared" si="5"/>
        <v>0</v>
      </c>
      <c r="O48" s="903"/>
      <c r="P48" s="902">
        <f t="shared" si="6"/>
        <v>0</v>
      </c>
      <c r="Q48" s="903"/>
      <c r="R48" s="902">
        <f t="shared" si="7"/>
        <v>0</v>
      </c>
      <c r="S48" s="903"/>
      <c r="T48" s="902">
        <f t="shared" si="8"/>
        <v>0</v>
      </c>
      <c r="U48" s="903"/>
      <c r="V48" s="902">
        <f t="shared" si="9"/>
        <v>0</v>
      </c>
      <c r="W48" s="903"/>
      <c r="X48" s="902">
        <f t="shared" si="10"/>
        <v>0</v>
      </c>
      <c r="Y48" s="903"/>
      <c r="Z48" s="902">
        <f t="shared" si="11"/>
        <v>0</v>
      </c>
      <c r="AA48" s="903"/>
      <c r="AB48" s="919">
        <f t="shared" si="12"/>
        <v>2914080</v>
      </c>
      <c r="AC48" s="918"/>
    </row>
    <row r="49" ht="17.1" customHeight="1" spans="1:29">
      <c r="A49" s="897" t="s">
        <v>4602</v>
      </c>
      <c r="B49" s="898" t="s">
        <v>4874</v>
      </c>
      <c r="C49" s="899" t="s">
        <v>4513</v>
      </c>
      <c r="D49" s="904" t="s">
        <v>4606</v>
      </c>
      <c r="E49" s="905">
        <f t="shared" si="0"/>
        <v>4</v>
      </c>
      <c r="F49" s="902">
        <f t="shared" si="1"/>
        <v>0</v>
      </c>
      <c r="G49" s="903"/>
      <c r="H49" s="902">
        <f t="shared" si="2"/>
        <v>1942720</v>
      </c>
      <c r="I49" s="903">
        <v>4</v>
      </c>
      <c r="J49" s="902">
        <f t="shared" si="3"/>
        <v>0</v>
      </c>
      <c r="K49" s="903"/>
      <c r="L49" s="902">
        <f t="shared" si="4"/>
        <v>0</v>
      </c>
      <c r="M49" s="903"/>
      <c r="N49" s="902">
        <f t="shared" si="5"/>
        <v>0</v>
      </c>
      <c r="O49" s="903"/>
      <c r="P49" s="902">
        <f t="shared" si="6"/>
        <v>0</v>
      </c>
      <c r="Q49" s="903"/>
      <c r="R49" s="902">
        <f t="shared" si="7"/>
        <v>0</v>
      </c>
      <c r="S49" s="903"/>
      <c r="T49" s="902">
        <f t="shared" si="8"/>
        <v>0</v>
      </c>
      <c r="U49" s="903"/>
      <c r="V49" s="902">
        <f t="shared" si="9"/>
        <v>0</v>
      </c>
      <c r="W49" s="903"/>
      <c r="X49" s="902">
        <f t="shared" si="10"/>
        <v>0</v>
      </c>
      <c r="Y49" s="903"/>
      <c r="Z49" s="902">
        <f t="shared" si="11"/>
        <v>0</v>
      </c>
      <c r="AA49" s="903"/>
      <c r="AB49" s="919">
        <f t="shared" si="12"/>
        <v>1942720</v>
      </c>
      <c r="AC49" s="918"/>
    </row>
    <row r="50" ht="17.1" customHeight="1" spans="1:29">
      <c r="A50" s="897" t="s">
        <v>4602</v>
      </c>
      <c r="B50" s="898" t="s">
        <v>4874</v>
      </c>
      <c r="C50" s="899" t="s">
        <v>4520</v>
      </c>
      <c r="D50" s="904" t="s">
        <v>4607</v>
      </c>
      <c r="E50" s="905">
        <f t="shared" si="0"/>
        <v>1</v>
      </c>
      <c r="F50" s="902">
        <f t="shared" si="1"/>
        <v>0</v>
      </c>
      <c r="G50" s="903"/>
      <c r="H50" s="902">
        <f t="shared" si="2"/>
        <v>0</v>
      </c>
      <c r="I50" s="903"/>
      <c r="J50" s="902">
        <f t="shared" si="3"/>
        <v>0</v>
      </c>
      <c r="K50" s="903"/>
      <c r="L50" s="902">
        <f t="shared" si="4"/>
        <v>0</v>
      </c>
      <c r="M50" s="903"/>
      <c r="N50" s="902">
        <f t="shared" si="5"/>
        <v>0</v>
      </c>
      <c r="O50" s="903"/>
      <c r="P50" s="902">
        <f t="shared" si="6"/>
        <v>0</v>
      </c>
      <c r="Q50" s="903"/>
      <c r="R50" s="902">
        <f t="shared" si="7"/>
        <v>0</v>
      </c>
      <c r="S50" s="903"/>
      <c r="T50" s="902">
        <f t="shared" si="8"/>
        <v>0</v>
      </c>
      <c r="U50" s="903"/>
      <c r="V50" s="902">
        <f t="shared" si="9"/>
        <v>397884</v>
      </c>
      <c r="W50" s="903">
        <v>1</v>
      </c>
      <c r="X50" s="902">
        <f t="shared" si="10"/>
        <v>0</v>
      </c>
      <c r="Y50" s="903"/>
      <c r="Z50" s="902">
        <f t="shared" si="11"/>
        <v>0</v>
      </c>
      <c r="AA50" s="903"/>
      <c r="AB50" s="919">
        <f t="shared" si="12"/>
        <v>397884</v>
      </c>
      <c r="AC50" s="918"/>
    </row>
    <row r="51" ht="17.1" customHeight="1" spans="1:29">
      <c r="A51" s="897" t="s">
        <v>4602</v>
      </c>
      <c r="B51" s="898" t="s">
        <v>4874</v>
      </c>
      <c r="C51" s="899" t="s">
        <v>4520</v>
      </c>
      <c r="D51" s="904" t="s">
        <v>4608</v>
      </c>
      <c r="E51" s="905">
        <f t="shared" si="0"/>
        <v>1</v>
      </c>
      <c r="F51" s="902">
        <f t="shared" si="1"/>
        <v>0</v>
      </c>
      <c r="G51" s="903"/>
      <c r="H51" s="902">
        <f t="shared" si="2"/>
        <v>0</v>
      </c>
      <c r="I51" s="903"/>
      <c r="J51" s="902">
        <f t="shared" si="3"/>
        <v>0</v>
      </c>
      <c r="K51" s="903"/>
      <c r="L51" s="902">
        <f t="shared" si="4"/>
        <v>0</v>
      </c>
      <c r="M51" s="903"/>
      <c r="N51" s="902">
        <f t="shared" si="5"/>
        <v>0</v>
      </c>
      <c r="O51" s="903"/>
      <c r="P51" s="902">
        <f t="shared" si="6"/>
        <v>0</v>
      </c>
      <c r="Q51" s="903"/>
      <c r="R51" s="902">
        <f t="shared" si="7"/>
        <v>0</v>
      </c>
      <c r="S51" s="903"/>
      <c r="T51" s="902">
        <f t="shared" si="8"/>
        <v>0</v>
      </c>
      <c r="U51" s="903"/>
      <c r="V51" s="902">
        <f t="shared" si="9"/>
        <v>397884</v>
      </c>
      <c r="W51" s="903">
        <v>1</v>
      </c>
      <c r="X51" s="902">
        <f t="shared" si="10"/>
        <v>0</v>
      </c>
      <c r="Y51" s="903"/>
      <c r="Z51" s="902">
        <f t="shared" si="11"/>
        <v>0</v>
      </c>
      <c r="AA51" s="903"/>
      <c r="AB51" s="919">
        <f t="shared" si="12"/>
        <v>397884</v>
      </c>
      <c r="AC51" s="918"/>
    </row>
    <row r="52" ht="17.1" customHeight="1" spans="1:29">
      <c r="A52" s="897" t="s">
        <v>4602</v>
      </c>
      <c r="B52" s="898" t="s">
        <v>4874</v>
      </c>
      <c r="C52" s="899" t="s">
        <v>4520</v>
      </c>
      <c r="D52" s="904" t="s">
        <v>4609</v>
      </c>
      <c r="E52" s="905">
        <f t="shared" si="0"/>
        <v>1</v>
      </c>
      <c r="F52" s="902">
        <f t="shared" si="1"/>
        <v>0</v>
      </c>
      <c r="G52" s="903"/>
      <c r="H52" s="902">
        <f t="shared" si="2"/>
        <v>0</v>
      </c>
      <c r="I52" s="903"/>
      <c r="J52" s="902">
        <f t="shared" si="3"/>
        <v>0</v>
      </c>
      <c r="K52" s="903"/>
      <c r="L52" s="902">
        <f t="shared" si="4"/>
        <v>0</v>
      </c>
      <c r="M52" s="903"/>
      <c r="N52" s="902">
        <f t="shared" si="5"/>
        <v>0</v>
      </c>
      <c r="O52" s="903"/>
      <c r="P52" s="902">
        <f t="shared" si="6"/>
        <v>0</v>
      </c>
      <c r="Q52" s="903"/>
      <c r="R52" s="902">
        <f t="shared" si="7"/>
        <v>0</v>
      </c>
      <c r="S52" s="903"/>
      <c r="T52" s="902">
        <f t="shared" si="8"/>
        <v>0</v>
      </c>
      <c r="U52" s="903"/>
      <c r="V52" s="902">
        <f t="shared" si="9"/>
        <v>397884</v>
      </c>
      <c r="W52" s="903">
        <v>1</v>
      </c>
      <c r="X52" s="902">
        <f t="shared" si="10"/>
        <v>0</v>
      </c>
      <c r="Y52" s="903"/>
      <c r="Z52" s="902">
        <f t="shared" si="11"/>
        <v>0</v>
      </c>
      <c r="AA52" s="903"/>
      <c r="AB52" s="919">
        <f t="shared" si="12"/>
        <v>397884</v>
      </c>
      <c r="AC52" s="918"/>
    </row>
    <row r="53" ht="17.1" customHeight="1" spans="1:29">
      <c r="A53" s="897" t="s">
        <v>4602</v>
      </c>
      <c r="B53" s="898" t="s">
        <v>4874</v>
      </c>
      <c r="C53" s="899" t="s">
        <v>4523</v>
      </c>
      <c r="D53" s="904" t="s">
        <v>4610</v>
      </c>
      <c r="E53" s="905">
        <f t="shared" si="0"/>
        <v>1</v>
      </c>
      <c r="F53" s="902">
        <f t="shared" si="1"/>
        <v>485680</v>
      </c>
      <c r="G53" s="903">
        <v>1</v>
      </c>
      <c r="H53" s="902">
        <f t="shared" si="2"/>
        <v>0</v>
      </c>
      <c r="I53" s="903"/>
      <c r="J53" s="902">
        <f t="shared" si="3"/>
        <v>0</v>
      </c>
      <c r="K53" s="903"/>
      <c r="L53" s="902">
        <f t="shared" si="4"/>
        <v>0</v>
      </c>
      <c r="M53" s="903"/>
      <c r="N53" s="902">
        <f t="shared" si="5"/>
        <v>0</v>
      </c>
      <c r="O53" s="903"/>
      <c r="P53" s="902">
        <f t="shared" si="6"/>
        <v>0</v>
      </c>
      <c r="Q53" s="903"/>
      <c r="R53" s="902">
        <f t="shared" si="7"/>
        <v>0</v>
      </c>
      <c r="S53" s="903"/>
      <c r="T53" s="902">
        <f t="shared" si="8"/>
        <v>0</v>
      </c>
      <c r="U53" s="903"/>
      <c r="V53" s="902">
        <f t="shared" si="9"/>
        <v>0</v>
      </c>
      <c r="W53" s="903"/>
      <c r="X53" s="902">
        <f t="shared" si="10"/>
        <v>0</v>
      </c>
      <c r="Y53" s="903"/>
      <c r="Z53" s="902">
        <f t="shared" si="11"/>
        <v>0</v>
      </c>
      <c r="AA53" s="903"/>
      <c r="AB53" s="919">
        <f t="shared" si="12"/>
        <v>485680</v>
      </c>
      <c r="AC53" s="918"/>
    </row>
    <row r="54" ht="17.1" customHeight="1" spans="1:29">
      <c r="A54" s="897" t="s">
        <v>4602</v>
      </c>
      <c r="B54" s="898" t="s">
        <v>4874</v>
      </c>
      <c r="C54" s="899" t="s">
        <v>4516</v>
      </c>
      <c r="D54" s="904" t="s">
        <v>4611</v>
      </c>
      <c r="E54" s="905">
        <f t="shared" si="0"/>
        <v>3</v>
      </c>
      <c r="F54" s="902">
        <f t="shared" si="1"/>
        <v>0</v>
      </c>
      <c r="G54" s="903"/>
      <c r="H54" s="902">
        <f t="shared" si="2"/>
        <v>0</v>
      </c>
      <c r="I54" s="903"/>
      <c r="J54" s="902">
        <f t="shared" si="3"/>
        <v>1337955</v>
      </c>
      <c r="K54" s="903">
        <v>3</v>
      </c>
      <c r="L54" s="902">
        <f t="shared" si="4"/>
        <v>0</v>
      </c>
      <c r="M54" s="903"/>
      <c r="N54" s="902">
        <f t="shared" si="5"/>
        <v>0</v>
      </c>
      <c r="O54" s="903"/>
      <c r="P54" s="902">
        <f t="shared" si="6"/>
        <v>0</v>
      </c>
      <c r="Q54" s="903"/>
      <c r="R54" s="902">
        <f t="shared" si="7"/>
        <v>0</v>
      </c>
      <c r="S54" s="903"/>
      <c r="T54" s="902">
        <f t="shared" si="8"/>
        <v>0</v>
      </c>
      <c r="U54" s="903"/>
      <c r="V54" s="902">
        <f t="shared" si="9"/>
        <v>0</v>
      </c>
      <c r="W54" s="903"/>
      <c r="X54" s="902">
        <f t="shared" si="10"/>
        <v>0</v>
      </c>
      <c r="Y54" s="903"/>
      <c r="Z54" s="902">
        <f t="shared" si="11"/>
        <v>0</v>
      </c>
      <c r="AA54" s="903"/>
      <c r="AB54" s="919">
        <f t="shared" si="12"/>
        <v>1337955</v>
      </c>
      <c r="AC54" s="918"/>
    </row>
    <row r="55" ht="17.1" customHeight="1" spans="1:29">
      <c r="A55" s="897" t="s">
        <v>4612</v>
      </c>
      <c r="B55" s="898" t="s">
        <v>4875</v>
      </c>
      <c r="C55" s="899" t="s">
        <v>4518</v>
      </c>
      <c r="D55" s="904" t="s">
        <v>4613</v>
      </c>
      <c r="E55" s="905">
        <f t="shared" si="0"/>
        <v>12</v>
      </c>
      <c r="F55" s="902">
        <f t="shared" si="1"/>
        <v>0</v>
      </c>
      <c r="G55" s="903"/>
      <c r="H55" s="902">
        <f t="shared" si="2"/>
        <v>0</v>
      </c>
      <c r="I55" s="903"/>
      <c r="J55" s="902">
        <f t="shared" si="3"/>
        <v>0</v>
      </c>
      <c r="K55" s="903"/>
      <c r="L55" s="902">
        <f t="shared" si="4"/>
        <v>0</v>
      </c>
      <c r="M55" s="903"/>
      <c r="N55" s="902">
        <f t="shared" si="5"/>
        <v>0</v>
      </c>
      <c r="O55" s="903"/>
      <c r="P55" s="902">
        <f t="shared" si="6"/>
        <v>0</v>
      </c>
      <c r="Q55" s="903"/>
      <c r="R55" s="902">
        <f t="shared" si="7"/>
        <v>0</v>
      </c>
      <c r="S55" s="903"/>
      <c r="T55" s="902">
        <f t="shared" si="8"/>
        <v>5828160</v>
      </c>
      <c r="U55" s="903">
        <v>12</v>
      </c>
      <c r="V55" s="902">
        <f t="shared" si="9"/>
        <v>0</v>
      </c>
      <c r="W55" s="903"/>
      <c r="X55" s="902">
        <f t="shared" si="10"/>
        <v>0</v>
      </c>
      <c r="Y55" s="903"/>
      <c r="Z55" s="902">
        <f t="shared" si="11"/>
        <v>0</v>
      </c>
      <c r="AA55" s="903"/>
      <c r="AB55" s="919">
        <f t="shared" si="12"/>
        <v>5828160</v>
      </c>
      <c r="AC55" s="918"/>
    </row>
    <row r="56" ht="17.1" customHeight="1" spans="1:29">
      <c r="A56" s="897" t="s">
        <v>4612</v>
      </c>
      <c r="B56" s="898" t="s">
        <v>4875</v>
      </c>
      <c r="C56" s="899" t="s">
        <v>4518</v>
      </c>
      <c r="D56" s="904" t="s">
        <v>4614</v>
      </c>
      <c r="E56" s="905">
        <f t="shared" si="0"/>
        <v>2</v>
      </c>
      <c r="F56" s="902">
        <f t="shared" si="1"/>
        <v>0</v>
      </c>
      <c r="G56" s="903"/>
      <c r="H56" s="902">
        <f t="shared" si="2"/>
        <v>0</v>
      </c>
      <c r="I56" s="903"/>
      <c r="J56" s="902">
        <f t="shared" si="3"/>
        <v>0</v>
      </c>
      <c r="K56" s="903"/>
      <c r="L56" s="902">
        <f t="shared" si="4"/>
        <v>0</v>
      </c>
      <c r="M56" s="903"/>
      <c r="N56" s="902">
        <f t="shared" si="5"/>
        <v>0</v>
      </c>
      <c r="O56" s="903"/>
      <c r="P56" s="902">
        <f t="shared" si="6"/>
        <v>0</v>
      </c>
      <c r="Q56" s="903"/>
      <c r="R56" s="902">
        <f t="shared" si="7"/>
        <v>0</v>
      </c>
      <c r="S56" s="903"/>
      <c r="T56" s="902">
        <f t="shared" si="8"/>
        <v>971360</v>
      </c>
      <c r="U56" s="903">
        <v>2</v>
      </c>
      <c r="V56" s="902">
        <f t="shared" si="9"/>
        <v>0</v>
      </c>
      <c r="W56" s="903"/>
      <c r="X56" s="902">
        <f t="shared" si="10"/>
        <v>0</v>
      </c>
      <c r="Y56" s="903"/>
      <c r="Z56" s="902">
        <f t="shared" si="11"/>
        <v>0</v>
      </c>
      <c r="AA56" s="903"/>
      <c r="AB56" s="919">
        <f t="shared" si="12"/>
        <v>971360</v>
      </c>
      <c r="AC56" s="918"/>
    </row>
    <row r="57" ht="17.1" customHeight="1" spans="1:29">
      <c r="A57" s="897" t="s">
        <v>4612</v>
      </c>
      <c r="B57" s="898" t="s">
        <v>4875</v>
      </c>
      <c r="C57" s="899" t="s">
        <v>4516</v>
      </c>
      <c r="D57" s="904" t="s">
        <v>4615</v>
      </c>
      <c r="E57" s="905">
        <f t="shared" si="0"/>
        <v>3</v>
      </c>
      <c r="F57" s="902">
        <f t="shared" si="1"/>
        <v>0</v>
      </c>
      <c r="G57" s="903"/>
      <c r="H57" s="902">
        <f t="shared" si="2"/>
        <v>0</v>
      </c>
      <c r="I57" s="903"/>
      <c r="J57" s="902">
        <f t="shared" si="3"/>
        <v>1337955</v>
      </c>
      <c r="K57" s="903">
        <v>3</v>
      </c>
      <c r="L57" s="902">
        <f t="shared" si="4"/>
        <v>0</v>
      </c>
      <c r="M57" s="903"/>
      <c r="N57" s="902">
        <f t="shared" si="5"/>
        <v>0</v>
      </c>
      <c r="O57" s="903"/>
      <c r="P57" s="902">
        <f t="shared" si="6"/>
        <v>0</v>
      </c>
      <c r="Q57" s="903"/>
      <c r="R57" s="902">
        <f t="shared" si="7"/>
        <v>0</v>
      </c>
      <c r="S57" s="903"/>
      <c r="T57" s="902">
        <f t="shared" si="8"/>
        <v>0</v>
      </c>
      <c r="U57" s="903"/>
      <c r="V57" s="902">
        <f t="shared" si="9"/>
        <v>0</v>
      </c>
      <c r="W57" s="903"/>
      <c r="X57" s="902">
        <f t="shared" si="10"/>
        <v>0</v>
      </c>
      <c r="Y57" s="903"/>
      <c r="Z57" s="902">
        <f t="shared" si="11"/>
        <v>0</v>
      </c>
      <c r="AA57" s="903"/>
      <c r="AB57" s="919">
        <f t="shared" si="12"/>
        <v>1337955</v>
      </c>
      <c r="AC57" s="918"/>
    </row>
    <row r="58" ht="17.1" customHeight="1" spans="1:29">
      <c r="A58" s="897" t="s">
        <v>4612</v>
      </c>
      <c r="B58" s="898" t="s">
        <v>4875</v>
      </c>
      <c r="C58" s="899" t="s">
        <v>4520</v>
      </c>
      <c r="D58" s="904" t="s">
        <v>4616</v>
      </c>
      <c r="E58" s="905">
        <f t="shared" si="0"/>
        <v>1</v>
      </c>
      <c r="F58" s="902">
        <f t="shared" si="1"/>
        <v>0</v>
      </c>
      <c r="G58" s="903"/>
      <c r="H58" s="902">
        <f t="shared" si="2"/>
        <v>0</v>
      </c>
      <c r="I58" s="903"/>
      <c r="J58" s="902">
        <f t="shared" si="3"/>
        <v>0</v>
      </c>
      <c r="K58" s="903"/>
      <c r="L58" s="902">
        <f t="shared" si="4"/>
        <v>0</v>
      </c>
      <c r="M58" s="903"/>
      <c r="N58" s="902">
        <f t="shared" si="5"/>
        <v>0</v>
      </c>
      <c r="O58" s="903"/>
      <c r="P58" s="902">
        <f t="shared" si="6"/>
        <v>0</v>
      </c>
      <c r="Q58" s="903"/>
      <c r="R58" s="902">
        <f t="shared" si="7"/>
        <v>0</v>
      </c>
      <c r="S58" s="903"/>
      <c r="T58" s="902">
        <f t="shared" si="8"/>
        <v>0</v>
      </c>
      <c r="U58" s="903"/>
      <c r="V58" s="902">
        <f t="shared" si="9"/>
        <v>397884</v>
      </c>
      <c r="W58" s="903">
        <v>1</v>
      </c>
      <c r="X58" s="902">
        <f t="shared" si="10"/>
        <v>0</v>
      </c>
      <c r="Y58" s="903"/>
      <c r="Z58" s="902">
        <f t="shared" si="11"/>
        <v>0</v>
      </c>
      <c r="AA58" s="903"/>
      <c r="AB58" s="919">
        <f t="shared" si="12"/>
        <v>397884</v>
      </c>
      <c r="AC58" s="918"/>
    </row>
    <row r="59" ht="17.1" customHeight="1" spans="1:29">
      <c r="A59" s="897" t="s">
        <v>4612</v>
      </c>
      <c r="B59" s="898" t="s">
        <v>4875</v>
      </c>
      <c r="C59" s="899" t="s">
        <v>4520</v>
      </c>
      <c r="D59" s="904" t="s">
        <v>4617</v>
      </c>
      <c r="E59" s="905">
        <f t="shared" si="0"/>
        <v>1</v>
      </c>
      <c r="F59" s="902">
        <f t="shared" si="1"/>
        <v>0</v>
      </c>
      <c r="G59" s="903"/>
      <c r="H59" s="902">
        <f t="shared" si="2"/>
        <v>0</v>
      </c>
      <c r="I59" s="903"/>
      <c r="J59" s="902">
        <f t="shared" si="3"/>
        <v>0</v>
      </c>
      <c r="K59" s="903"/>
      <c r="L59" s="902">
        <f t="shared" si="4"/>
        <v>0</v>
      </c>
      <c r="M59" s="903"/>
      <c r="N59" s="902">
        <f t="shared" si="5"/>
        <v>0</v>
      </c>
      <c r="O59" s="903"/>
      <c r="P59" s="902">
        <f t="shared" si="6"/>
        <v>0</v>
      </c>
      <c r="Q59" s="903"/>
      <c r="R59" s="902">
        <f t="shared" si="7"/>
        <v>0</v>
      </c>
      <c r="S59" s="903"/>
      <c r="T59" s="902">
        <f t="shared" si="8"/>
        <v>0</v>
      </c>
      <c r="U59" s="903"/>
      <c r="V59" s="902">
        <f t="shared" si="9"/>
        <v>397884</v>
      </c>
      <c r="W59" s="903">
        <v>1</v>
      </c>
      <c r="X59" s="902">
        <f t="shared" si="10"/>
        <v>0</v>
      </c>
      <c r="Y59" s="903"/>
      <c r="Z59" s="902">
        <f t="shared" si="11"/>
        <v>0</v>
      </c>
      <c r="AA59" s="903"/>
      <c r="AB59" s="919">
        <f t="shared" si="12"/>
        <v>397884</v>
      </c>
      <c r="AC59" s="918"/>
    </row>
    <row r="60" ht="17.1" customHeight="1" spans="1:29">
      <c r="A60" s="897" t="s">
        <v>4612</v>
      </c>
      <c r="B60" s="898" t="s">
        <v>4875</v>
      </c>
      <c r="C60" s="899" t="s">
        <v>4520</v>
      </c>
      <c r="D60" s="904" t="s">
        <v>4618</v>
      </c>
      <c r="E60" s="905">
        <f t="shared" si="0"/>
        <v>1</v>
      </c>
      <c r="F60" s="902">
        <f t="shared" si="1"/>
        <v>0</v>
      </c>
      <c r="G60" s="903"/>
      <c r="H60" s="902">
        <f t="shared" si="2"/>
        <v>0</v>
      </c>
      <c r="I60" s="903"/>
      <c r="J60" s="902">
        <f t="shared" si="3"/>
        <v>0</v>
      </c>
      <c r="K60" s="903"/>
      <c r="L60" s="902">
        <f t="shared" si="4"/>
        <v>0</v>
      </c>
      <c r="M60" s="903"/>
      <c r="N60" s="902">
        <f t="shared" si="5"/>
        <v>0</v>
      </c>
      <c r="O60" s="903"/>
      <c r="P60" s="902">
        <f t="shared" si="6"/>
        <v>0</v>
      </c>
      <c r="Q60" s="903"/>
      <c r="R60" s="902">
        <f t="shared" si="7"/>
        <v>0</v>
      </c>
      <c r="S60" s="903"/>
      <c r="T60" s="902">
        <f t="shared" si="8"/>
        <v>0</v>
      </c>
      <c r="U60" s="903"/>
      <c r="V60" s="902">
        <f t="shared" si="9"/>
        <v>397884</v>
      </c>
      <c r="W60" s="903">
        <v>1</v>
      </c>
      <c r="X60" s="902">
        <f t="shared" si="10"/>
        <v>0</v>
      </c>
      <c r="Y60" s="903"/>
      <c r="Z60" s="902">
        <f t="shared" si="11"/>
        <v>0</v>
      </c>
      <c r="AA60" s="903"/>
      <c r="AB60" s="919">
        <f t="shared" si="12"/>
        <v>397884</v>
      </c>
      <c r="AC60" s="918"/>
    </row>
    <row r="61" ht="17.1" customHeight="1" spans="1:29">
      <c r="A61" s="897" t="s">
        <v>4612</v>
      </c>
      <c r="B61" s="898" t="s">
        <v>4875</v>
      </c>
      <c r="C61" s="899" t="s">
        <v>4513</v>
      </c>
      <c r="D61" s="904" t="s">
        <v>4619</v>
      </c>
      <c r="E61" s="905">
        <f t="shared" si="0"/>
        <v>2</v>
      </c>
      <c r="F61" s="902">
        <f t="shared" si="1"/>
        <v>0</v>
      </c>
      <c r="G61" s="903"/>
      <c r="H61" s="902">
        <f t="shared" si="2"/>
        <v>971360</v>
      </c>
      <c r="I61" s="903">
        <v>2</v>
      </c>
      <c r="J61" s="902">
        <f t="shared" si="3"/>
        <v>0</v>
      </c>
      <c r="K61" s="903"/>
      <c r="L61" s="902">
        <f t="shared" si="4"/>
        <v>0</v>
      </c>
      <c r="M61" s="903"/>
      <c r="N61" s="902">
        <f t="shared" si="5"/>
        <v>0</v>
      </c>
      <c r="O61" s="903"/>
      <c r="P61" s="902">
        <f t="shared" si="6"/>
        <v>0</v>
      </c>
      <c r="Q61" s="903"/>
      <c r="R61" s="902">
        <f t="shared" si="7"/>
        <v>0</v>
      </c>
      <c r="S61" s="903"/>
      <c r="T61" s="902">
        <f t="shared" si="8"/>
        <v>0</v>
      </c>
      <c r="U61" s="903"/>
      <c r="V61" s="902">
        <f t="shared" si="9"/>
        <v>0</v>
      </c>
      <c r="W61" s="903"/>
      <c r="X61" s="902">
        <f t="shared" si="10"/>
        <v>0</v>
      </c>
      <c r="Y61" s="903"/>
      <c r="Z61" s="902">
        <f t="shared" si="11"/>
        <v>0</v>
      </c>
      <c r="AA61" s="903"/>
      <c r="AB61" s="919">
        <f t="shared" si="12"/>
        <v>971360</v>
      </c>
      <c r="AC61" s="918"/>
    </row>
    <row r="62" ht="17.1" customHeight="1" spans="1:29">
      <c r="A62" s="897" t="s">
        <v>4612</v>
      </c>
      <c r="B62" s="898" t="s">
        <v>4875</v>
      </c>
      <c r="C62" s="899" t="s">
        <v>4513</v>
      </c>
      <c r="D62" s="904" t="s">
        <v>4620</v>
      </c>
      <c r="E62" s="905">
        <f t="shared" si="0"/>
        <v>2</v>
      </c>
      <c r="F62" s="902">
        <f t="shared" si="1"/>
        <v>0</v>
      </c>
      <c r="G62" s="903"/>
      <c r="H62" s="902">
        <f t="shared" si="2"/>
        <v>971360</v>
      </c>
      <c r="I62" s="903">
        <v>2</v>
      </c>
      <c r="J62" s="902">
        <f t="shared" si="3"/>
        <v>0</v>
      </c>
      <c r="K62" s="903"/>
      <c r="L62" s="902">
        <f t="shared" si="4"/>
        <v>0</v>
      </c>
      <c r="M62" s="903"/>
      <c r="N62" s="902">
        <f t="shared" si="5"/>
        <v>0</v>
      </c>
      <c r="O62" s="903"/>
      <c r="P62" s="902">
        <f t="shared" si="6"/>
        <v>0</v>
      </c>
      <c r="Q62" s="903"/>
      <c r="R62" s="902">
        <f t="shared" si="7"/>
        <v>0</v>
      </c>
      <c r="S62" s="903"/>
      <c r="T62" s="902">
        <f t="shared" si="8"/>
        <v>0</v>
      </c>
      <c r="U62" s="903"/>
      <c r="V62" s="902">
        <f t="shared" si="9"/>
        <v>0</v>
      </c>
      <c r="W62" s="903"/>
      <c r="X62" s="902">
        <f t="shared" si="10"/>
        <v>0</v>
      </c>
      <c r="Y62" s="903"/>
      <c r="Z62" s="902">
        <f t="shared" si="11"/>
        <v>0</v>
      </c>
      <c r="AA62" s="903"/>
      <c r="AB62" s="919">
        <f t="shared" si="12"/>
        <v>971360</v>
      </c>
      <c r="AC62" s="918"/>
    </row>
    <row r="63" ht="17.1" customHeight="1" spans="1:29">
      <c r="A63" s="897" t="s">
        <v>4612</v>
      </c>
      <c r="B63" s="898" t="s">
        <v>4875</v>
      </c>
      <c r="C63" s="899" t="s">
        <v>4513</v>
      </c>
      <c r="D63" s="904" t="s">
        <v>4621</v>
      </c>
      <c r="E63" s="905">
        <f t="shared" si="0"/>
        <v>2</v>
      </c>
      <c r="F63" s="902">
        <f t="shared" si="1"/>
        <v>0</v>
      </c>
      <c r="G63" s="903"/>
      <c r="H63" s="902">
        <f t="shared" si="2"/>
        <v>971360</v>
      </c>
      <c r="I63" s="903">
        <v>2</v>
      </c>
      <c r="J63" s="902">
        <f t="shared" si="3"/>
        <v>0</v>
      </c>
      <c r="K63" s="903"/>
      <c r="L63" s="902">
        <f t="shared" si="4"/>
        <v>0</v>
      </c>
      <c r="M63" s="903"/>
      <c r="N63" s="902">
        <f t="shared" si="5"/>
        <v>0</v>
      </c>
      <c r="O63" s="903"/>
      <c r="P63" s="902">
        <f t="shared" si="6"/>
        <v>0</v>
      </c>
      <c r="Q63" s="903"/>
      <c r="R63" s="902">
        <f t="shared" si="7"/>
        <v>0</v>
      </c>
      <c r="S63" s="903"/>
      <c r="T63" s="902">
        <f t="shared" si="8"/>
        <v>0</v>
      </c>
      <c r="U63" s="903"/>
      <c r="V63" s="902">
        <f t="shared" si="9"/>
        <v>0</v>
      </c>
      <c r="W63" s="903"/>
      <c r="X63" s="902">
        <f t="shared" si="10"/>
        <v>0</v>
      </c>
      <c r="Y63" s="903"/>
      <c r="Z63" s="902">
        <f t="shared" si="11"/>
        <v>0</v>
      </c>
      <c r="AA63" s="903"/>
      <c r="AB63" s="919">
        <f t="shared" si="12"/>
        <v>971360</v>
      </c>
      <c r="AC63" s="918"/>
    </row>
    <row r="64" ht="17.1" customHeight="1" spans="1:29">
      <c r="A64" s="897" t="s">
        <v>4622</v>
      </c>
      <c r="B64" s="898" t="s">
        <v>4876</v>
      </c>
      <c r="C64" s="899" t="s">
        <v>4624</v>
      </c>
      <c r="D64" s="904" t="s">
        <v>4623</v>
      </c>
      <c r="E64" s="905">
        <f t="shared" si="0"/>
        <v>9</v>
      </c>
      <c r="F64" s="902">
        <f t="shared" si="1"/>
        <v>0</v>
      </c>
      <c r="G64" s="903"/>
      <c r="H64" s="902">
        <f t="shared" si="2"/>
        <v>0</v>
      </c>
      <c r="I64" s="903"/>
      <c r="J64" s="902">
        <f t="shared" si="3"/>
        <v>0</v>
      </c>
      <c r="K64" s="903"/>
      <c r="L64" s="902">
        <f t="shared" si="4"/>
        <v>445985</v>
      </c>
      <c r="M64" s="903">
        <v>1</v>
      </c>
      <c r="N64" s="902">
        <f t="shared" si="5"/>
        <v>0</v>
      </c>
      <c r="O64" s="903"/>
      <c r="P64" s="902">
        <f t="shared" si="6"/>
        <v>3885440</v>
      </c>
      <c r="Q64" s="903">
        <v>8</v>
      </c>
      <c r="R64" s="902">
        <f t="shared" si="7"/>
        <v>0</v>
      </c>
      <c r="S64" s="903"/>
      <c r="T64" s="902">
        <f t="shared" si="8"/>
        <v>0</v>
      </c>
      <c r="U64" s="903"/>
      <c r="V64" s="902">
        <f t="shared" si="9"/>
        <v>0</v>
      </c>
      <c r="W64" s="903"/>
      <c r="X64" s="902">
        <f t="shared" si="10"/>
        <v>0</v>
      </c>
      <c r="Y64" s="903"/>
      <c r="Z64" s="902">
        <f t="shared" si="11"/>
        <v>0</v>
      </c>
      <c r="AA64" s="903"/>
      <c r="AB64" s="919">
        <f t="shared" si="12"/>
        <v>4331425</v>
      </c>
      <c r="AC64" s="918"/>
    </row>
    <row r="65" ht="17.1" customHeight="1" spans="1:29">
      <c r="A65" s="897" t="s">
        <v>4622</v>
      </c>
      <c r="B65" s="898" t="s">
        <v>4876</v>
      </c>
      <c r="C65" s="899" t="s">
        <v>4626</v>
      </c>
      <c r="D65" s="904" t="s">
        <v>4625</v>
      </c>
      <c r="E65" s="905">
        <f t="shared" si="0"/>
        <v>14</v>
      </c>
      <c r="F65" s="902">
        <f t="shared" si="1"/>
        <v>0</v>
      </c>
      <c r="G65" s="903"/>
      <c r="H65" s="902">
        <f t="shared" si="2"/>
        <v>0</v>
      </c>
      <c r="I65" s="903"/>
      <c r="J65" s="902">
        <f t="shared" si="3"/>
        <v>891970</v>
      </c>
      <c r="K65" s="903">
        <v>2</v>
      </c>
      <c r="L65" s="902">
        <f t="shared" si="4"/>
        <v>891970</v>
      </c>
      <c r="M65" s="903">
        <v>2</v>
      </c>
      <c r="N65" s="902">
        <f t="shared" si="5"/>
        <v>0</v>
      </c>
      <c r="O65" s="903"/>
      <c r="P65" s="902">
        <f t="shared" si="6"/>
        <v>4856800</v>
      </c>
      <c r="Q65" s="903">
        <v>10</v>
      </c>
      <c r="R65" s="902">
        <f t="shared" si="7"/>
        <v>0</v>
      </c>
      <c r="S65" s="903"/>
      <c r="T65" s="902">
        <f t="shared" si="8"/>
        <v>0</v>
      </c>
      <c r="U65" s="903"/>
      <c r="V65" s="902">
        <f t="shared" si="9"/>
        <v>0</v>
      </c>
      <c r="W65" s="903"/>
      <c r="X65" s="902">
        <f t="shared" si="10"/>
        <v>0</v>
      </c>
      <c r="Y65" s="903"/>
      <c r="Z65" s="902">
        <f t="shared" si="11"/>
        <v>0</v>
      </c>
      <c r="AA65" s="903"/>
      <c r="AB65" s="919">
        <f t="shared" si="12"/>
        <v>6640740</v>
      </c>
      <c r="AC65" s="918"/>
    </row>
    <row r="66" ht="17.1" customHeight="1" spans="1:29">
      <c r="A66" s="897" t="s">
        <v>4622</v>
      </c>
      <c r="B66" s="898" t="s">
        <v>4876</v>
      </c>
      <c r="C66" s="899" t="s">
        <v>4527</v>
      </c>
      <c r="D66" s="904" t="s">
        <v>4627</v>
      </c>
      <c r="E66" s="905">
        <f t="shared" si="0"/>
        <v>10</v>
      </c>
      <c r="F66" s="902">
        <f t="shared" si="1"/>
        <v>0</v>
      </c>
      <c r="G66" s="903"/>
      <c r="H66" s="902">
        <f t="shared" si="2"/>
        <v>0</v>
      </c>
      <c r="I66" s="903"/>
      <c r="J66" s="902">
        <f t="shared" si="3"/>
        <v>0</v>
      </c>
      <c r="K66" s="903"/>
      <c r="L66" s="902">
        <f t="shared" si="4"/>
        <v>0</v>
      </c>
      <c r="M66" s="903"/>
      <c r="N66" s="902">
        <f t="shared" si="5"/>
        <v>0</v>
      </c>
      <c r="O66" s="903"/>
      <c r="P66" s="902">
        <f t="shared" si="6"/>
        <v>4856800</v>
      </c>
      <c r="Q66" s="903">
        <v>10</v>
      </c>
      <c r="R66" s="902">
        <f t="shared" si="7"/>
        <v>0</v>
      </c>
      <c r="S66" s="903"/>
      <c r="T66" s="902">
        <f t="shared" si="8"/>
        <v>0</v>
      </c>
      <c r="U66" s="903"/>
      <c r="V66" s="902">
        <f t="shared" si="9"/>
        <v>0</v>
      </c>
      <c r="W66" s="903"/>
      <c r="X66" s="902">
        <f t="shared" si="10"/>
        <v>0</v>
      </c>
      <c r="Y66" s="903"/>
      <c r="Z66" s="902">
        <f t="shared" si="11"/>
        <v>0</v>
      </c>
      <c r="AA66" s="903"/>
      <c r="AB66" s="919">
        <f t="shared" si="12"/>
        <v>4856800</v>
      </c>
      <c r="AC66" s="918"/>
    </row>
    <row r="67" ht="17.1" customHeight="1" spans="1:29">
      <c r="A67" s="897" t="s">
        <v>4628</v>
      </c>
      <c r="B67" s="898" t="s">
        <v>4877</v>
      </c>
      <c r="C67" s="899" t="s">
        <v>4630</v>
      </c>
      <c r="D67" s="904" t="s">
        <v>4629</v>
      </c>
      <c r="E67" s="905">
        <f t="shared" si="0"/>
        <v>13</v>
      </c>
      <c r="F67" s="902">
        <f t="shared" si="1"/>
        <v>2428400</v>
      </c>
      <c r="G67" s="903">
        <v>5</v>
      </c>
      <c r="H67" s="902">
        <f t="shared" si="2"/>
        <v>0</v>
      </c>
      <c r="I67" s="903"/>
      <c r="J67" s="902">
        <f t="shared" si="3"/>
        <v>3567880</v>
      </c>
      <c r="K67" s="903">
        <v>8</v>
      </c>
      <c r="L67" s="902">
        <f t="shared" si="4"/>
        <v>0</v>
      </c>
      <c r="M67" s="903"/>
      <c r="N67" s="902">
        <f t="shared" si="5"/>
        <v>0</v>
      </c>
      <c r="O67" s="903"/>
      <c r="P67" s="902">
        <f t="shared" si="6"/>
        <v>0</v>
      </c>
      <c r="Q67" s="903"/>
      <c r="R67" s="902">
        <f t="shared" si="7"/>
        <v>0</v>
      </c>
      <c r="S67" s="903"/>
      <c r="T67" s="902">
        <f t="shared" si="8"/>
        <v>0</v>
      </c>
      <c r="U67" s="903"/>
      <c r="V67" s="902">
        <f t="shared" si="9"/>
        <v>0</v>
      </c>
      <c r="W67" s="903"/>
      <c r="X67" s="902">
        <f t="shared" si="10"/>
        <v>0</v>
      </c>
      <c r="Y67" s="903"/>
      <c r="Z67" s="902">
        <f t="shared" si="11"/>
        <v>0</v>
      </c>
      <c r="AA67" s="903"/>
      <c r="AB67" s="919">
        <f t="shared" si="12"/>
        <v>5996280</v>
      </c>
      <c r="AC67" s="918"/>
    </row>
    <row r="68" ht="17.1" customHeight="1" spans="1:29">
      <c r="A68" s="897" t="s">
        <v>4628</v>
      </c>
      <c r="B68" s="898" t="s">
        <v>4877</v>
      </c>
      <c r="C68" s="899" t="s">
        <v>4508</v>
      </c>
      <c r="D68" s="904" t="s">
        <v>4631</v>
      </c>
      <c r="E68" s="905">
        <f t="shared" si="0"/>
        <v>15</v>
      </c>
      <c r="F68" s="902">
        <f t="shared" si="1"/>
        <v>0</v>
      </c>
      <c r="G68" s="903"/>
      <c r="H68" s="902">
        <f t="shared" si="2"/>
        <v>0</v>
      </c>
      <c r="I68" s="903"/>
      <c r="J68" s="902">
        <f t="shared" si="3"/>
        <v>0</v>
      </c>
      <c r="K68" s="903"/>
      <c r="L68" s="902">
        <f t="shared" si="4"/>
        <v>0</v>
      </c>
      <c r="M68" s="903"/>
      <c r="N68" s="902">
        <f t="shared" si="5"/>
        <v>7285200</v>
      </c>
      <c r="O68" s="903">
        <v>15</v>
      </c>
      <c r="P68" s="902">
        <f t="shared" si="6"/>
        <v>0</v>
      </c>
      <c r="Q68" s="903"/>
      <c r="R68" s="902">
        <f t="shared" si="7"/>
        <v>0</v>
      </c>
      <c r="S68" s="903"/>
      <c r="T68" s="902">
        <f t="shared" si="8"/>
        <v>0</v>
      </c>
      <c r="U68" s="903"/>
      <c r="V68" s="902">
        <f t="shared" si="9"/>
        <v>0</v>
      </c>
      <c r="W68" s="903"/>
      <c r="X68" s="902">
        <f t="shared" si="10"/>
        <v>0</v>
      </c>
      <c r="Y68" s="903"/>
      <c r="Z68" s="902">
        <f t="shared" si="11"/>
        <v>0</v>
      </c>
      <c r="AA68" s="903"/>
      <c r="AB68" s="919">
        <f t="shared" si="12"/>
        <v>7285200</v>
      </c>
      <c r="AC68" s="918"/>
    </row>
    <row r="69" ht="17.1" customHeight="1" spans="1:29">
      <c r="A69" s="897" t="s">
        <v>4628</v>
      </c>
      <c r="B69" s="898" t="s">
        <v>4877</v>
      </c>
      <c r="C69" s="899" t="s">
        <v>4508</v>
      </c>
      <c r="D69" s="904" t="s">
        <v>4632</v>
      </c>
      <c r="E69" s="905">
        <f t="shared" si="0"/>
        <v>8</v>
      </c>
      <c r="F69" s="902">
        <f t="shared" si="1"/>
        <v>0</v>
      </c>
      <c r="G69" s="903"/>
      <c r="H69" s="902">
        <f t="shared" si="2"/>
        <v>0</v>
      </c>
      <c r="I69" s="903"/>
      <c r="J69" s="902">
        <f t="shared" si="3"/>
        <v>0</v>
      </c>
      <c r="K69" s="903"/>
      <c r="L69" s="902">
        <f t="shared" si="4"/>
        <v>0</v>
      </c>
      <c r="M69" s="903"/>
      <c r="N69" s="902">
        <f t="shared" si="5"/>
        <v>3885440</v>
      </c>
      <c r="O69" s="903">
        <v>8</v>
      </c>
      <c r="P69" s="902">
        <f t="shared" si="6"/>
        <v>0</v>
      </c>
      <c r="Q69" s="903"/>
      <c r="R69" s="902">
        <f t="shared" si="7"/>
        <v>0</v>
      </c>
      <c r="S69" s="903"/>
      <c r="T69" s="902">
        <f t="shared" si="8"/>
        <v>0</v>
      </c>
      <c r="U69" s="903"/>
      <c r="V69" s="902">
        <f t="shared" si="9"/>
        <v>0</v>
      </c>
      <c r="W69" s="903"/>
      <c r="X69" s="902">
        <f t="shared" si="10"/>
        <v>0</v>
      </c>
      <c r="Y69" s="903"/>
      <c r="Z69" s="902">
        <f t="shared" si="11"/>
        <v>0</v>
      </c>
      <c r="AA69" s="903"/>
      <c r="AB69" s="919">
        <f t="shared" si="12"/>
        <v>3885440</v>
      </c>
      <c r="AC69" s="918"/>
    </row>
    <row r="70" ht="17.1" customHeight="1" spans="1:29">
      <c r="A70" s="897" t="s">
        <v>4633</v>
      </c>
      <c r="B70" s="898" t="s">
        <v>4878</v>
      </c>
      <c r="C70" s="899" t="s">
        <v>4635</v>
      </c>
      <c r="D70" s="904" t="s">
        <v>4634</v>
      </c>
      <c r="E70" s="905">
        <f t="shared" si="0"/>
        <v>26</v>
      </c>
      <c r="F70" s="902">
        <f t="shared" si="1"/>
        <v>0</v>
      </c>
      <c r="G70" s="903"/>
      <c r="H70" s="902">
        <f t="shared" si="2"/>
        <v>0</v>
      </c>
      <c r="I70" s="903"/>
      <c r="J70" s="902">
        <f t="shared" si="3"/>
        <v>0</v>
      </c>
      <c r="K70" s="903"/>
      <c r="L70" s="902">
        <f t="shared" si="4"/>
        <v>2675910</v>
      </c>
      <c r="M70" s="903">
        <v>6</v>
      </c>
      <c r="N70" s="902">
        <f t="shared" si="5"/>
        <v>0</v>
      </c>
      <c r="O70" s="903"/>
      <c r="P70" s="902">
        <f t="shared" si="6"/>
        <v>0</v>
      </c>
      <c r="Q70" s="903"/>
      <c r="R70" s="902">
        <f t="shared" si="7"/>
        <v>0</v>
      </c>
      <c r="S70" s="903"/>
      <c r="T70" s="902">
        <f t="shared" si="8"/>
        <v>9713600</v>
      </c>
      <c r="U70" s="903">
        <v>20</v>
      </c>
      <c r="V70" s="902">
        <f t="shared" si="9"/>
        <v>0</v>
      </c>
      <c r="W70" s="903"/>
      <c r="X70" s="902">
        <f t="shared" si="10"/>
        <v>0</v>
      </c>
      <c r="Y70" s="903"/>
      <c r="Z70" s="902">
        <f t="shared" si="11"/>
        <v>0</v>
      </c>
      <c r="AA70" s="903"/>
      <c r="AB70" s="919">
        <f t="shared" si="12"/>
        <v>12389510</v>
      </c>
      <c r="AC70" s="918"/>
    </row>
    <row r="71" ht="17.1" customHeight="1" spans="1:29">
      <c r="A71" s="897" t="s">
        <v>4633</v>
      </c>
      <c r="B71" s="898" t="s">
        <v>4878</v>
      </c>
      <c r="C71" s="899" t="s">
        <v>4635</v>
      </c>
      <c r="D71" s="904" t="s">
        <v>4636</v>
      </c>
      <c r="E71" s="905">
        <f t="shared" ref="E71:E109" si="13">SUM(G71,I71,K71,M71,O71,Q71,S71,U71,W71,Y71,AA71)</f>
        <v>27</v>
      </c>
      <c r="F71" s="902">
        <f t="shared" ref="F71:F109" si="14">F$6*G71</f>
        <v>0</v>
      </c>
      <c r="G71" s="903"/>
      <c r="H71" s="902">
        <f t="shared" ref="H71:H109" si="15">H$6*I71</f>
        <v>0</v>
      </c>
      <c r="I71" s="903"/>
      <c r="J71" s="902">
        <f t="shared" ref="J71:J109" si="16">J$6*K71</f>
        <v>0</v>
      </c>
      <c r="K71" s="903"/>
      <c r="L71" s="902">
        <f t="shared" ref="L71:L109" si="17">L$6*M71</f>
        <v>3121895</v>
      </c>
      <c r="M71" s="903">
        <v>7</v>
      </c>
      <c r="N71" s="902">
        <f t="shared" ref="N71:N109" si="18">N$6*O71</f>
        <v>0</v>
      </c>
      <c r="O71" s="903"/>
      <c r="P71" s="902">
        <f t="shared" ref="P71:P109" si="19">P$6*Q71</f>
        <v>0</v>
      </c>
      <c r="Q71" s="903"/>
      <c r="R71" s="902">
        <f t="shared" ref="R71:R109" si="20">R$6*S71</f>
        <v>0</v>
      </c>
      <c r="S71" s="903"/>
      <c r="T71" s="902">
        <f t="shared" ref="T71:T109" si="21">T$6*U71</f>
        <v>9713600</v>
      </c>
      <c r="U71" s="903">
        <v>20</v>
      </c>
      <c r="V71" s="902">
        <f t="shared" ref="V71:V109" si="22">V$6*W71</f>
        <v>0</v>
      </c>
      <c r="W71" s="903"/>
      <c r="X71" s="902">
        <f t="shared" ref="X71:X109" si="23">X$6*Y71</f>
        <v>0</v>
      </c>
      <c r="Y71" s="903"/>
      <c r="Z71" s="902">
        <f t="shared" ref="Z71:Z109" si="24">Z$6*AA71</f>
        <v>0</v>
      </c>
      <c r="AA71" s="903"/>
      <c r="AB71" s="919">
        <f t="shared" ref="AB71:AB109" si="25">SUM(F71,H71,J71,L71,N71,P71,R71,T71,V71,X71,Z71)</f>
        <v>12835495</v>
      </c>
      <c r="AC71" s="918"/>
    </row>
    <row r="72" ht="17.1" customHeight="1" spans="1:29">
      <c r="A72" s="897" t="s">
        <v>4633</v>
      </c>
      <c r="B72" s="898" t="s">
        <v>4878</v>
      </c>
      <c r="C72" s="899" t="s">
        <v>4635</v>
      </c>
      <c r="D72" s="904" t="s">
        <v>4637</v>
      </c>
      <c r="E72" s="905">
        <f t="shared" si="13"/>
        <v>27</v>
      </c>
      <c r="F72" s="902">
        <f t="shared" si="14"/>
        <v>0</v>
      </c>
      <c r="G72" s="903"/>
      <c r="H72" s="902">
        <f t="shared" si="15"/>
        <v>0</v>
      </c>
      <c r="I72" s="903"/>
      <c r="J72" s="902">
        <f t="shared" si="16"/>
        <v>0</v>
      </c>
      <c r="K72" s="903"/>
      <c r="L72" s="902">
        <f t="shared" si="17"/>
        <v>3121895</v>
      </c>
      <c r="M72" s="903">
        <v>7</v>
      </c>
      <c r="N72" s="902">
        <f t="shared" si="18"/>
        <v>0</v>
      </c>
      <c r="O72" s="903"/>
      <c r="P72" s="902">
        <f t="shared" si="19"/>
        <v>0</v>
      </c>
      <c r="Q72" s="903"/>
      <c r="R72" s="902">
        <f t="shared" si="20"/>
        <v>0</v>
      </c>
      <c r="S72" s="903"/>
      <c r="T72" s="902">
        <f t="shared" si="21"/>
        <v>9713600</v>
      </c>
      <c r="U72" s="903">
        <v>20</v>
      </c>
      <c r="V72" s="902">
        <f t="shared" si="22"/>
        <v>0</v>
      </c>
      <c r="W72" s="903"/>
      <c r="X72" s="902">
        <f t="shared" si="23"/>
        <v>0</v>
      </c>
      <c r="Y72" s="903"/>
      <c r="Z72" s="902">
        <f t="shared" si="24"/>
        <v>0</v>
      </c>
      <c r="AA72" s="903"/>
      <c r="AB72" s="919">
        <f t="shared" si="25"/>
        <v>12835495</v>
      </c>
      <c r="AC72" s="918"/>
    </row>
    <row r="73" ht="17.1" customHeight="1" spans="1:29">
      <c r="A73" s="897" t="s">
        <v>4633</v>
      </c>
      <c r="B73" s="898" t="s">
        <v>4878</v>
      </c>
      <c r="C73" s="899" t="s">
        <v>4508</v>
      </c>
      <c r="D73" s="904" t="s">
        <v>4638</v>
      </c>
      <c r="E73" s="905">
        <f t="shared" si="13"/>
        <v>15</v>
      </c>
      <c r="F73" s="902">
        <f t="shared" si="14"/>
        <v>0</v>
      </c>
      <c r="G73" s="903"/>
      <c r="H73" s="902">
        <f t="shared" si="15"/>
        <v>0</v>
      </c>
      <c r="I73" s="903"/>
      <c r="J73" s="902">
        <f t="shared" si="16"/>
        <v>0</v>
      </c>
      <c r="K73" s="903"/>
      <c r="L73" s="902">
        <f t="shared" si="17"/>
        <v>0</v>
      </c>
      <c r="M73" s="903"/>
      <c r="N73" s="902">
        <f t="shared" si="18"/>
        <v>7285200</v>
      </c>
      <c r="O73" s="903">
        <v>15</v>
      </c>
      <c r="P73" s="902">
        <f t="shared" si="19"/>
        <v>0</v>
      </c>
      <c r="Q73" s="903"/>
      <c r="R73" s="902">
        <f t="shared" si="20"/>
        <v>0</v>
      </c>
      <c r="S73" s="903"/>
      <c r="T73" s="902">
        <f t="shared" si="21"/>
        <v>0</v>
      </c>
      <c r="U73" s="903"/>
      <c r="V73" s="902">
        <f t="shared" si="22"/>
        <v>0</v>
      </c>
      <c r="W73" s="903"/>
      <c r="X73" s="902">
        <f t="shared" si="23"/>
        <v>0</v>
      </c>
      <c r="Y73" s="903"/>
      <c r="Z73" s="902">
        <f t="shared" si="24"/>
        <v>0</v>
      </c>
      <c r="AA73" s="903"/>
      <c r="AB73" s="919">
        <f t="shared" si="25"/>
        <v>7285200</v>
      </c>
      <c r="AC73" s="918"/>
    </row>
    <row r="74" ht="17.1" customHeight="1" spans="1:29">
      <c r="A74" s="897" t="s">
        <v>4633</v>
      </c>
      <c r="B74" s="898" t="s">
        <v>4878</v>
      </c>
      <c r="C74" s="899" t="s">
        <v>4533</v>
      </c>
      <c r="D74" s="904" t="s">
        <v>4639</v>
      </c>
      <c r="E74" s="905">
        <f t="shared" si="13"/>
        <v>2</v>
      </c>
      <c r="F74" s="902">
        <f t="shared" si="14"/>
        <v>0</v>
      </c>
      <c r="G74" s="903"/>
      <c r="H74" s="902">
        <f t="shared" si="15"/>
        <v>0</v>
      </c>
      <c r="I74" s="903"/>
      <c r="J74" s="902">
        <f t="shared" si="16"/>
        <v>0</v>
      </c>
      <c r="K74" s="903"/>
      <c r="L74" s="902">
        <f t="shared" si="17"/>
        <v>0</v>
      </c>
      <c r="M74" s="903"/>
      <c r="N74" s="902">
        <f t="shared" si="18"/>
        <v>0</v>
      </c>
      <c r="O74" s="903"/>
      <c r="P74" s="902">
        <f t="shared" si="19"/>
        <v>0</v>
      </c>
      <c r="Q74" s="903"/>
      <c r="R74" s="902">
        <f t="shared" si="20"/>
        <v>0</v>
      </c>
      <c r="S74" s="903"/>
      <c r="T74" s="902">
        <f t="shared" si="21"/>
        <v>0</v>
      </c>
      <c r="U74" s="903"/>
      <c r="V74" s="902">
        <f t="shared" si="22"/>
        <v>0</v>
      </c>
      <c r="W74" s="903"/>
      <c r="X74" s="902">
        <f t="shared" si="23"/>
        <v>0</v>
      </c>
      <c r="Y74" s="903"/>
      <c r="Z74" s="902">
        <f t="shared" si="24"/>
        <v>831260</v>
      </c>
      <c r="AA74" s="903">
        <v>2</v>
      </c>
      <c r="AB74" s="919">
        <f t="shared" si="25"/>
        <v>831260</v>
      </c>
      <c r="AC74" s="918"/>
    </row>
    <row r="75" ht="17.1" customHeight="1" spans="1:29">
      <c r="A75" s="897" t="s">
        <v>4633</v>
      </c>
      <c r="B75" s="898" t="s">
        <v>4878</v>
      </c>
      <c r="C75" s="899" t="s">
        <v>4529</v>
      </c>
      <c r="D75" s="904" t="s">
        <v>4640</v>
      </c>
      <c r="E75" s="905">
        <f t="shared" si="13"/>
        <v>2</v>
      </c>
      <c r="F75" s="902">
        <f t="shared" si="14"/>
        <v>0</v>
      </c>
      <c r="G75" s="903"/>
      <c r="H75" s="902">
        <f t="shared" si="15"/>
        <v>0</v>
      </c>
      <c r="I75" s="903"/>
      <c r="J75" s="902">
        <f t="shared" si="16"/>
        <v>0</v>
      </c>
      <c r="K75" s="903"/>
      <c r="L75" s="902">
        <f t="shared" si="17"/>
        <v>0</v>
      </c>
      <c r="M75" s="903"/>
      <c r="N75" s="902">
        <f t="shared" si="18"/>
        <v>0</v>
      </c>
      <c r="O75" s="903"/>
      <c r="P75" s="902">
        <f t="shared" si="19"/>
        <v>0</v>
      </c>
      <c r="Q75" s="903"/>
      <c r="R75" s="902">
        <f t="shared" si="20"/>
        <v>276464</v>
      </c>
      <c r="S75" s="903">
        <v>2</v>
      </c>
      <c r="T75" s="902">
        <f t="shared" si="21"/>
        <v>0</v>
      </c>
      <c r="U75" s="903"/>
      <c r="V75" s="902">
        <f t="shared" si="22"/>
        <v>0</v>
      </c>
      <c r="W75" s="903"/>
      <c r="X75" s="902">
        <f t="shared" si="23"/>
        <v>0</v>
      </c>
      <c r="Y75" s="903"/>
      <c r="Z75" s="902">
        <f t="shared" si="24"/>
        <v>0</v>
      </c>
      <c r="AA75" s="903"/>
      <c r="AB75" s="919">
        <f t="shared" si="25"/>
        <v>276464</v>
      </c>
      <c r="AC75" s="918"/>
    </row>
    <row r="76" ht="17.1" customHeight="1" spans="1:29">
      <c r="A76" s="897" t="s">
        <v>4641</v>
      </c>
      <c r="B76" s="898" t="s">
        <v>4879</v>
      </c>
      <c r="C76" s="899" t="s">
        <v>4525</v>
      </c>
      <c r="D76" s="904" t="s">
        <v>4642</v>
      </c>
      <c r="E76" s="905">
        <f t="shared" si="13"/>
        <v>1</v>
      </c>
      <c r="F76" s="902">
        <f t="shared" si="14"/>
        <v>0</v>
      </c>
      <c r="G76" s="903"/>
      <c r="H76" s="902">
        <f t="shared" si="15"/>
        <v>0</v>
      </c>
      <c r="I76" s="903"/>
      <c r="J76" s="902">
        <f t="shared" si="16"/>
        <v>0</v>
      </c>
      <c r="K76" s="903"/>
      <c r="L76" s="902">
        <f t="shared" si="17"/>
        <v>445985</v>
      </c>
      <c r="M76" s="903">
        <v>1</v>
      </c>
      <c r="N76" s="902">
        <f t="shared" si="18"/>
        <v>0</v>
      </c>
      <c r="O76" s="903"/>
      <c r="P76" s="902">
        <f t="shared" si="19"/>
        <v>0</v>
      </c>
      <c r="Q76" s="903"/>
      <c r="R76" s="902">
        <f t="shared" si="20"/>
        <v>0</v>
      </c>
      <c r="S76" s="903"/>
      <c r="T76" s="902">
        <f t="shared" si="21"/>
        <v>0</v>
      </c>
      <c r="U76" s="903"/>
      <c r="V76" s="902">
        <f t="shared" si="22"/>
        <v>0</v>
      </c>
      <c r="W76" s="903"/>
      <c r="X76" s="902">
        <f t="shared" si="23"/>
        <v>0</v>
      </c>
      <c r="Y76" s="903"/>
      <c r="Z76" s="902">
        <f t="shared" si="24"/>
        <v>0</v>
      </c>
      <c r="AA76" s="903"/>
      <c r="AB76" s="919">
        <f t="shared" si="25"/>
        <v>445985</v>
      </c>
      <c r="AC76" s="918"/>
    </row>
    <row r="77" ht="17.1" customHeight="1" spans="1:29">
      <c r="A77" s="897" t="s">
        <v>4641</v>
      </c>
      <c r="B77" s="898" t="s">
        <v>4879</v>
      </c>
      <c r="C77" s="899" t="s">
        <v>4525</v>
      </c>
      <c r="D77" s="904" t="s">
        <v>4643</v>
      </c>
      <c r="E77" s="905">
        <f t="shared" si="13"/>
        <v>2</v>
      </c>
      <c r="F77" s="902">
        <f t="shared" si="14"/>
        <v>0</v>
      </c>
      <c r="G77" s="903"/>
      <c r="H77" s="902">
        <f t="shared" si="15"/>
        <v>0</v>
      </c>
      <c r="I77" s="903"/>
      <c r="J77" s="902">
        <f t="shared" si="16"/>
        <v>0</v>
      </c>
      <c r="K77" s="903"/>
      <c r="L77" s="902">
        <f t="shared" si="17"/>
        <v>891970</v>
      </c>
      <c r="M77" s="903">
        <v>2</v>
      </c>
      <c r="N77" s="902">
        <f t="shared" si="18"/>
        <v>0</v>
      </c>
      <c r="O77" s="903"/>
      <c r="P77" s="902">
        <f t="shared" si="19"/>
        <v>0</v>
      </c>
      <c r="Q77" s="903"/>
      <c r="R77" s="902">
        <f t="shared" si="20"/>
        <v>0</v>
      </c>
      <c r="S77" s="903"/>
      <c r="T77" s="902">
        <f t="shared" si="21"/>
        <v>0</v>
      </c>
      <c r="U77" s="903"/>
      <c r="V77" s="902">
        <f t="shared" si="22"/>
        <v>0</v>
      </c>
      <c r="W77" s="903"/>
      <c r="X77" s="902">
        <f t="shared" si="23"/>
        <v>0</v>
      </c>
      <c r="Y77" s="903"/>
      <c r="Z77" s="902">
        <f t="shared" si="24"/>
        <v>0</v>
      </c>
      <c r="AA77" s="903"/>
      <c r="AB77" s="919">
        <f t="shared" si="25"/>
        <v>891970</v>
      </c>
      <c r="AC77" s="918"/>
    </row>
    <row r="78" ht="17.1" customHeight="1" spans="1:29">
      <c r="A78" s="897" t="s">
        <v>4641</v>
      </c>
      <c r="B78" s="898" t="s">
        <v>4879</v>
      </c>
      <c r="C78" s="899" t="s">
        <v>4525</v>
      </c>
      <c r="D78" s="904" t="s">
        <v>4644</v>
      </c>
      <c r="E78" s="905">
        <f t="shared" si="13"/>
        <v>3</v>
      </c>
      <c r="F78" s="902">
        <f t="shared" si="14"/>
        <v>0</v>
      </c>
      <c r="G78" s="903"/>
      <c r="H78" s="902">
        <f t="shared" si="15"/>
        <v>0</v>
      </c>
      <c r="I78" s="903"/>
      <c r="J78" s="902">
        <f t="shared" si="16"/>
        <v>0</v>
      </c>
      <c r="K78" s="903"/>
      <c r="L78" s="902">
        <f t="shared" si="17"/>
        <v>1337955</v>
      </c>
      <c r="M78" s="903">
        <v>3</v>
      </c>
      <c r="N78" s="902">
        <f t="shared" si="18"/>
        <v>0</v>
      </c>
      <c r="O78" s="903"/>
      <c r="P78" s="902">
        <f t="shared" si="19"/>
        <v>0</v>
      </c>
      <c r="Q78" s="903"/>
      <c r="R78" s="902">
        <f t="shared" si="20"/>
        <v>0</v>
      </c>
      <c r="S78" s="903"/>
      <c r="T78" s="902">
        <f t="shared" si="21"/>
        <v>0</v>
      </c>
      <c r="U78" s="903"/>
      <c r="V78" s="902">
        <f t="shared" si="22"/>
        <v>0</v>
      </c>
      <c r="W78" s="903"/>
      <c r="X78" s="902">
        <f t="shared" si="23"/>
        <v>0</v>
      </c>
      <c r="Y78" s="903"/>
      <c r="Z78" s="902">
        <f t="shared" si="24"/>
        <v>0</v>
      </c>
      <c r="AA78" s="903"/>
      <c r="AB78" s="919">
        <f t="shared" si="25"/>
        <v>1337955</v>
      </c>
      <c r="AC78" s="918"/>
    </row>
    <row r="79" ht="17.1" customHeight="1" spans="1:29">
      <c r="A79" s="897" t="s">
        <v>4641</v>
      </c>
      <c r="B79" s="898" t="s">
        <v>4879</v>
      </c>
      <c r="C79" s="899" t="s">
        <v>4531</v>
      </c>
      <c r="D79" s="904" t="s">
        <v>4645</v>
      </c>
      <c r="E79" s="905">
        <f t="shared" si="13"/>
        <v>2</v>
      </c>
      <c r="F79" s="902">
        <f t="shared" si="14"/>
        <v>0</v>
      </c>
      <c r="G79" s="903"/>
      <c r="H79" s="902">
        <f t="shared" si="15"/>
        <v>0</v>
      </c>
      <c r="I79" s="903"/>
      <c r="J79" s="902">
        <f t="shared" si="16"/>
        <v>0</v>
      </c>
      <c r="K79" s="903"/>
      <c r="L79" s="902">
        <f t="shared" si="17"/>
        <v>0</v>
      </c>
      <c r="M79" s="903"/>
      <c r="N79" s="902">
        <f t="shared" si="18"/>
        <v>0</v>
      </c>
      <c r="O79" s="903"/>
      <c r="P79" s="902">
        <f t="shared" si="19"/>
        <v>0</v>
      </c>
      <c r="Q79" s="903"/>
      <c r="R79" s="902">
        <f t="shared" si="20"/>
        <v>0</v>
      </c>
      <c r="S79" s="903"/>
      <c r="T79" s="902">
        <f t="shared" si="21"/>
        <v>0</v>
      </c>
      <c r="U79" s="903"/>
      <c r="V79" s="902">
        <f t="shared" si="22"/>
        <v>0</v>
      </c>
      <c r="W79" s="903"/>
      <c r="X79" s="902">
        <f t="shared" si="23"/>
        <v>795768</v>
      </c>
      <c r="Y79" s="903">
        <v>2</v>
      </c>
      <c r="Z79" s="902">
        <f t="shared" si="24"/>
        <v>0</v>
      </c>
      <c r="AA79" s="903"/>
      <c r="AB79" s="919">
        <f t="shared" si="25"/>
        <v>795768</v>
      </c>
      <c r="AC79" s="918"/>
    </row>
    <row r="80" ht="17.1" customHeight="1" spans="1:29">
      <c r="A80" s="897" t="s">
        <v>4641</v>
      </c>
      <c r="B80" s="898" t="s">
        <v>4879</v>
      </c>
      <c r="C80" s="899" t="s">
        <v>4531</v>
      </c>
      <c r="D80" s="904" t="s">
        <v>4646</v>
      </c>
      <c r="E80" s="905">
        <f t="shared" si="13"/>
        <v>2</v>
      </c>
      <c r="F80" s="902">
        <f t="shared" si="14"/>
        <v>0</v>
      </c>
      <c r="G80" s="903"/>
      <c r="H80" s="902">
        <f t="shared" si="15"/>
        <v>0</v>
      </c>
      <c r="I80" s="903"/>
      <c r="J80" s="902">
        <f t="shared" si="16"/>
        <v>0</v>
      </c>
      <c r="K80" s="903"/>
      <c r="L80" s="902">
        <f t="shared" si="17"/>
        <v>0</v>
      </c>
      <c r="M80" s="903"/>
      <c r="N80" s="902">
        <f t="shared" si="18"/>
        <v>0</v>
      </c>
      <c r="O80" s="903"/>
      <c r="P80" s="902">
        <f t="shared" si="19"/>
        <v>0</v>
      </c>
      <c r="Q80" s="903"/>
      <c r="R80" s="902">
        <f t="shared" si="20"/>
        <v>0</v>
      </c>
      <c r="S80" s="903"/>
      <c r="T80" s="902">
        <f t="shared" si="21"/>
        <v>0</v>
      </c>
      <c r="U80" s="903"/>
      <c r="V80" s="902">
        <f t="shared" si="22"/>
        <v>0</v>
      </c>
      <c r="W80" s="903"/>
      <c r="X80" s="902">
        <f t="shared" si="23"/>
        <v>795768</v>
      </c>
      <c r="Y80" s="903">
        <v>2</v>
      </c>
      <c r="Z80" s="902">
        <f t="shared" si="24"/>
        <v>0</v>
      </c>
      <c r="AA80" s="903"/>
      <c r="AB80" s="919">
        <f t="shared" si="25"/>
        <v>795768</v>
      </c>
      <c r="AC80" s="918"/>
    </row>
    <row r="81" ht="17.1" customHeight="1" spans="1:29">
      <c r="A81" s="897" t="s">
        <v>4641</v>
      </c>
      <c r="B81" s="898" t="s">
        <v>4879</v>
      </c>
      <c r="C81" s="899" t="s">
        <v>4531</v>
      </c>
      <c r="D81" s="904" t="s">
        <v>4647</v>
      </c>
      <c r="E81" s="905">
        <f t="shared" si="13"/>
        <v>2</v>
      </c>
      <c r="F81" s="902">
        <f t="shared" si="14"/>
        <v>0</v>
      </c>
      <c r="G81" s="903"/>
      <c r="H81" s="902">
        <f t="shared" si="15"/>
        <v>0</v>
      </c>
      <c r="I81" s="903"/>
      <c r="J81" s="902">
        <f t="shared" si="16"/>
        <v>0</v>
      </c>
      <c r="K81" s="903"/>
      <c r="L81" s="902">
        <f t="shared" si="17"/>
        <v>0</v>
      </c>
      <c r="M81" s="903"/>
      <c r="N81" s="902">
        <f t="shared" si="18"/>
        <v>0</v>
      </c>
      <c r="O81" s="903"/>
      <c r="P81" s="902">
        <f t="shared" si="19"/>
        <v>0</v>
      </c>
      <c r="Q81" s="903"/>
      <c r="R81" s="902">
        <f t="shared" si="20"/>
        <v>0</v>
      </c>
      <c r="S81" s="903"/>
      <c r="T81" s="902">
        <f t="shared" si="21"/>
        <v>0</v>
      </c>
      <c r="U81" s="903"/>
      <c r="V81" s="902">
        <f t="shared" si="22"/>
        <v>0</v>
      </c>
      <c r="W81" s="903"/>
      <c r="X81" s="902">
        <f t="shared" si="23"/>
        <v>795768</v>
      </c>
      <c r="Y81" s="903">
        <v>2</v>
      </c>
      <c r="Z81" s="902">
        <f t="shared" si="24"/>
        <v>0</v>
      </c>
      <c r="AA81" s="903"/>
      <c r="AB81" s="919">
        <f t="shared" si="25"/>
        <v>795768</v>
      </c>
      <c r="AC81" s="918"/>
    </row>
    <row r="82" ht="17.1" customHeight="1" spans="1:29">
      <c r="A82" s="897" t="s">
        <v>4641</v>
      </c>
      <c r="B82" s="898" t="s">
        <v>4879</v>
      </c>
      <c r="C82" s="899" t="s">
        <v>4520</v>
      </c>
      <c r="D82" s="904" t="s">
        <v>4648</v>
      </c>
      <c r="E82" s="905">
        <f t="shared" si="13"/>
        <v>1</v>
      </c>
      <c r="F82" s="902">
        <f t="shared" si="14"/>
        <v>0</v>
      </c>
      <c r="G82" s="903"/>
      <c r="H82" s="902">
        <f t="shared" si="15"/>
        <v>0</v>
      </c>
      <c r="I82" s="903"/>
      <c r="J82" s="902">
        <f t="shared" si="16"/>
        <v>0</v>
      </c>
      <c r="K82" s="903"/>
      <c r="L82" s="902">
        <f t="shared" si="17"/>
        <v>0</v>
      </c>
      <c r="M82" s="903"/>
      <c r="N82" s="902">
        <f t="shared" si="18"/>
        <v>0</v>
      </c>
      <c r="O82" s="903"/>
      <c r="P82" s="902">
        <f t="shared" si="19"/>
        <v>0</v>
      </c>
      <c r="Q82" s="903"/>
      <c r="R82" s="902">
        <f t="shared" si="20"/>
        <v>0</v>
      </c>
      <c r="S82" s="903"/>
      <c r="T82" s="902">
        <f t="shared" si="21"/>
        <v>0</v>
      </c>
      <c r="U82" s="903"/>
      <c r="V82" s="902">
        <f t="shared" si="22"/>
        <v>397884</v>
      </c>
      <c r="W82" s="903">
        <v>1</v>
      </c>
      <c r="X82" s="902">
        <f t="shared" si="23"/>
        <v>0</v>
      </c>
      <c r="Y82" s="903"/>
      <c r="Z82" s="902">
        <f t="shared" si="24"/>
        <v>0</v>
      </c>
      <c r="AA82" s="903"/>
      <c r="AB82" s="919">
        <f t="shared" si="25"/>
        <v>397884</v>
      </c>
      <c r="AC82" s="918"/>
    </row>
    <row r="83" ht="17.1" customHeight="1" spans="1:29">
      <c r="A83" s="897" t="s">
        <v>4641</v>
      </c>
      <c r="B83" s="898" t="s">
        <v>4879</v>
      </c>
      <c r="C83" s="899" t="s">
        <v>4520</v>
      </c>
      <c r="D83" s="904" t="s">
        <v>4649</v>
      </c>
      <c r="E83" s="905">
        <f t="shared" si="13"/>
        <v>1</v>
      </c>
      <c r="F83" s="902">
        <f t="shared" si="14"/>
        <v>0</v>
      </c>
      <c r="G83" s="903"/>
      <c r="H83" s="902">
        <f t="shared" si="15"/>
        <v>0</v>
      </c>
      <c r="I83" s="903"/>
      <c r="J83" s="902">
        <f t="shared" si="16"/>
        <v>0</v>
      </c>
      <c r="K83" s="903"/>
      <c r="L83" s="902">
        <f t="shared" si="17"/>
        <v>0</v>
      </c>
      <c r="M83" s="903"/>
      <c r="N83" s="902">
        <f t="shared" si="18"/>
        <v>0</v>
      </c>
      <c r="O83" s="903"/>
      <c r="P83" s="902">
        <f t="shared" si="19"/>
        <v>0</v>
      </c>
      <c r="Q83" s="903"/>
      <c r="R83" s="902">
        <f t="shared" si="20"/>
        <v>0</v>
      </c>
      <c r="S83" s="903"/>
      <c r="T83" s="902">
        <f t="shared" si="21"/>
        <v>0</v>
      </c>
      <c r="U83" s="903"/>
      <c r="V83" s="902">
        <f t="shared" si="22"/>
        <v>397884</v>
      </c>
      <c r="W83" s="903">
        <v>1</v>
      </c>
      <c r="X83" s="902">
        <f t="shared" si="23"/>
        <v>0</v>
      </c>
      <c r="Y83" s="903"/>
      <c r="Z83" s="902">
        <f t="shared" si="24"/>
        <v>0</v>
      </c>
      <c r="AA83" s="903"/>
      <c r="AB83" s="919">
        <f t="shared" si="25"/>
        <v>397884</v>
      </c>
      <c r="AC83" s="918"/>
    </row>
    <row r="84" ht="17.1" customHeight="1" spans="1:29">
      <c r="A84" s="897" t="s">
        <v>4641</v>
      </c>
      <c r="B84" s="898" t="s">
        <v>4879</v>
      </c>
      <c r="C84" s="899" t="s">
        <v>4520</v>
      </c>
      <c r="D84" s="904" t="s">
        <v>4650</v>
      </c>
      <c r="E84" s="905">
        <f t="shared" si="13"/>
        <v>1</v>
      </c>
      <c r="F84" s="902">
        <f t="shared" si="14"/>
        <v>0</v>
      </c>
      <c r="G84" s="903"/>
      <c r="H84" s="902">
        <f t="shared" si="15"/>
        <v>0</v>
      </c>
      <c r="I84" s="903"/>
      <c r="J84" s="902">
        <f t="shared" si="16"/>
        <v>0</v>
      </c>
      <c r="K84" s="903"/>
      <c r="L84" s="902">
        <f t="shared" si="17"/>
        <v>0</v>
      </c>
      <c r="M84" s="903"/>
      <c r="N84" s="902">
        <f t="shared" si="18"/>
        <v>0</v>
      </c>
      <c r="O84" s="903"/>
      <c r="P84" s="902">
        <f t="shared" si="19"/>
        <v>0</v>
      </c>
      <c r="Q84" s="903"/>
      <c r="R84" s="902">
        <f t="shared" si="20"/>
        <v>0</v>
      </c>
      <c r="S84" s="903"/>
      <c r="T84" s="902">
        <f t="shared" si="21"/>
        <v>0</v>
      </c>
      <c r="U84" s="903"/>
      <c r="V84" s="902">
        <f t="shared" si="22"/>
        <v>397884</v>
      </c>
      <c r="W84" s="903">
        <v>1</v>
      </c>
      <c r="X84" s="902">
        <f t="shared" si="23"/>
        <v>0</v>
      </c>
      <c r="Y84" s="903"/>
      <c r="Z84" s="902">
        <f t="shared" si="24"/>
        <v>0</v>
      </c>
      <c r="AA84" s="903"/>
      <c r="AB84" s="919">
        <f t="shared" si="25"/>
        <v>397884</v>
      </c>
      <c r="AC84" s="918"/>
    </row>
    <row r="85" ht="17.1" customHeight="1" spans="1:29">
      <c r="A85" s="897" t="s">
        <v>4641</v>
      </c>
      <c r="B85" s="898" t="s">
        <v>4879</v>
      </c>
      <c r="C85" s="899" t="s">
        <v>4513</v>
      </c>
      <c r="D85" s="904" t="s">
        <v>4651</v>
      </c>
      <c r="E85" s="905">
        <f t="shared" si="13"/>
        <v>2</v>
      </c>
      <c r="F85" s="902">
        <f t="shared" si="14"/>
        <v>0</v>
      </c>
      <c r="G85" s="903"/>
      <c r="H85" s="902">
        <f t="shared" si="15"/>
        <v>971360</v>
      </c>
      <c r="I85" s="903">
        <v>2</v>
      </c>
      <c r="J85" s="902">
        <f t="shared" si="16"/>
        <v>0</v>
      </c>
      <c r="K85" s="903"/>
      <c r="L85" s="902">
        <f t="shared" si="17"/>
        <v>0</v>
      </c>
      <c r="M85" s="903"/>
      <c r="N85" s="902">
        <f t="shared" si="18"/>
        <v>0</v>
      </c>
      <c r="O85" s="903"/>
      <c r="P85" s="902">
        <f t="shared" si="19"/>
        <v>0</v>
      </c>
      <c r="Q85" s="903"/>
      <c r="R85" s="902">
        <f t="shared" si="20"/>
        <v>0</v>
      </c>
      <c r="S85" s="903"/>
      <c r="T85" s="902">
        <f t="shared" si="21"/>
        <v>0</v>
      </c>
      <c r="U85" s="903"/>
      <c r="V85" s="902">
        <f t="shared" si="22"/>
        <v>0</v>
      </c>
      <c r="W85" s="903"/>
      <c r="X85" s="902">
        <f t="shared" si="23"/>
        <v>0</v>
      </c>
      <c r="Y85" s="903"/>
      <c r="Z85" s="902">
        <f t="shared" si="24"/>
        <v>0</v>
      </c>
      <c r="AA85" s="903"/>
      <c r="AB85" s="919">
        <f t="shared" si="25"/>
        <v>971360</v>
      </c>
      <c r="AC85" s="918"/>
    </row>
    <row r="86" ht="17.1" customHeight="1" spans="1:29">
      <c r="A86" s="897" t="s">
        <v>4641</v>
      </c>
      <c r="B86" s="898" t="s">
        <v>4879</v>
      </c>
      <c r="C86" s="899" t="s">
        <v>4513</v>
      </c>
      <c r="D86" s="904" t="s">
        <v>4652</v>
      </c>
      <c r="E86" s="905">
        <f t="shared" si="13"/>
        <v>2</v>
      </c>
      <c r="F86" s="902">
        <f t="shared" si="14"/>
        <v>0</v>
      </c>
      <c r="G86" s="903"/>
      <c r="H86" s="902">
        <f t="shared" si="15"/>
        <v>971360</v>
      </c>
      <c r="I86" s="903">
        <v>2</v>
      </c>
      <c r="J86" s="902">
        <f t="shared" si="16"/>
        <v>0</v>
      </c>
      <c r="K86" s="903"/>
      <c r="L86" s="902">
        <f t="shared" si="17"/>
        <v>0</v>
      </c>
      <c r="M86" s="903"/>
      <c r="N86" s="902">
        <f t="shared" si="18"/>
        <v>0</v>
      </c>
      <c r="O86" s="903"/>
      <c r="P86" s="902">
        <f t="shared" si="19"/>
        <v>0</v>
      </c>
      <c r="Q86" s="903"/>
      <c r="R86" s="902">
        <f t="shared" si="20"/>
        <v>0</v>
      </c>
      <c r="S86" s="903"/>
      <c r="T86" s="902">
        <f t="shared" si="21"/>
        <v>0</v>
      </c>
      <c r="U86" s="903"/>
      <c r="V86" s="902">
        <f t="shared" si="22"/>
        <v>0</v>
      </c>
      <c r="W86" s="903"/>
      <c r="X86" s="902">
        <f t="shared" si="23"/>
        <v>0</v>
      </c>
      <c r="Y86" s="903"/>
      <c r="Z86" s="902">
        <f t="shared" si="24"/>
        <v>0</v>
      </c>
      <c r="AA86" s="903"/>
      <c r="AB86" s="919">
        <f t="shared" si="25"/>
        <v>971360</v>
      </c>
      <c r="AC86" s="918"/>
    </row>
    <row r="87" ht="17.1" customHeight="1" spans="1:29">
      <c r="A87" s="897" t="s">
        <v>4641</v>
      </c>
      <c r="B87" s="898" t="s">
        <v>4879</v>
      </c>
      <c r="C87" s="899" t="s">
        <v>4513</v>
      </c>
      <c r="D87" s="904" t="s">
        <v>4653</v>
      </c>
      <c r="E87" s="905">
        <f t="shared" si="13"/>
        <v>2</v>
      </c>
      <c r="F87" s="902">
        <f t="shared" si="14"/>
        <v>0</v>
      </c>
      <c r="G87" s="903"/>
      <c r="H87" s="902">
        <f t="shared" si="15"/>
        <v>971360</v>
      </c>
      <c r="I87" s="903">
        <v>2</v>
      </c>
      <c r="J87" s="902">
        <f t="shared" si="16"/>
        <v>0</v>
      </c>
      <c r="K87" s="903"/>
      <c r="L87" s="902">
        <f t="shared" si="17"/>
        <v>0</v>
      </c>
      <c r="M87" s="903"/>
      <c r="N87" s="902">
        <f t="shared" si="18"/>
        <v>0</v>
      </c>
      <c r="O87" s="903"/>
      <c r="P87" s="902">
        <f t="shared" si="19"/>
        <v>0</v>
      </c>
      <c r="Q87" s="903"/>
      <c r="R87" s="902">
        <f t="shared" si="20"/>
        <v>0</v>
      </c>
      <c r="S87" s="903"/>
      <c r="T87" s="902">
        <f t="shared" si="21"/>
        <v>0</v>
      </c>
      <c r="U87" s="903"/>
      <c r="V87" s="902">
        <f t="shared" si="22"/>
        <v>0</v>
      </c>
      <c r="W87" s="903"/>
      <c r="X87" s="902">
        <f t="shared" si="23"/>
        <v>0</v>
      </c>
      <c r="Y87" s="903"/>
      <c r="Z87" s="902">
        <f t="shared" si="24"/>
        <v>0</v>
      </c>
      <c r="AA87" s="903"/>
      <c r="AB87" s="919">
        <f t="shared" si="25"/>
        <v>971360</v>
      </c>
      <c r="AC87" s="918"/>
    </row>
    <row r="88" ht="17.1" customHeight="1" spans="1:29">
      <c r="A88" s="897" t="s">
        <v>4654</v>
      </c>
      <c r="B88" s="898" t="s">
        <v>4880</v>
      </c>
      <c r="C88" s="899" t="s">
        <v>4529</v>
      </c>
      <c r="D88" s="904" t="s">
        <v>4655</v>
      </c>
      <c r="E88" s="905">
        <f t="shared" si="13"/>
        <v>1</v>
      </c>
      <c r="F88" s="902">
        <f t="shared" si="14"/>
        <v>0</v>
      </c>
      <c r="G88" s="903"/>
      <c r="H88" s="902">
        <f t="shared" si="15"/>
        <v>0</v>
      </c>
      <c r="I88" s="903"/>
      <c r="J88" s="902">
        <f t="shared" si="16"/>
        <v>0</v>
      </c>
      <c r="K88" s="903"/>
      <c r="L88" s="902">
        <f t="shared" si="17"/>
        <v>0</v>
      </c>
      <c r="M88" s="903"/>
      <c r="N88" s="902">
        <f t="shared" si="18"/>
        <v>0</v>
      </c>
      <c r="O88" s="903"/>
      <c r="P88" s="902">
        <f t="shared" si="19"/>
        <v>0</v>
      </c>
      <c r="Q88" s="903"/>
      <c r="R88" s="902">
        <f t="shared" si="20"/>
        <v>138232</v>
      </c>
      <c r="S88" s="903">
        <v>1</v>
      </c>
      <c r="T88" s="902">
        <f t="shared" si="21"/>
        <v>0</v>
      </c>
      <c r="U88" s="903"/>
      <c r="V88" s="902">
        <f t="shared" si="22"/>
        <v>0</v>
      </c>
      <c r="W88" s="903"/>
      <c r="X88" s="902">
        <f t="shared" si="23"/>
        <v>0</v>
      </c>
      <c r="Y88" s="903"/>
      <c r="Z88" s="902">
        <f t="shared" si="24"/>
        <v>0</v>
      </c>
      <c r="AA88" s="903"/>
      <c r="AB88" s="919">
        <f t="shared" si="25"/>
        <v>138232</v>
      </c>
      <c r="AC88" s="918"/>
    </row>
    <row r="89" ht="17.1" customHeight="1" spans="1:29">
      <c r="A89" s="897" t="s">
        <v>4654</v>
      </c>
      <c r="B89" s="898" t="s">
        <v>4880</v>
      </c>
      <c r="C89" s="899" t="s">
        <v>4529</v>
      </c>
      <c r="D89" s="904" t="s">
        <v>4656</v>
      </c>
      <c r="E89" s="905">
        <f t="shared" si="13"/>
        <v>1</v>
      </c>
      <c r="F89" s="902">
        <f t="shared" si="14"/>
        <v>0</v>
      </c>
      <c r="G89" s="903"/>
      <c r="H89" s="902">
        <f t="shared" si="15"/>
        <v>0</v>
      </c>
      <c r="I89" s="903"/>
      <c r="J89" s="902">
        <f t="shared" si="16"/>
        <v>0</v>
      </c>
      <c r="K89" s="903"/>
      <c r="L89" s="902">
        <f t="shared" si="17"/>
        <v>0</v>
      </c>
      <c r="M89" s="903"/>
      <c r="N89" s="902">
        <f t="shared" si="18"/>
        <v>0</v>
      </c>
      <c r="O89" s="903"/>
      <c r="P89" s="902">
        <f t="shared" si="19"/>
        <v>0</v>
      </c>
      <c r="Q89" s="903"/>
      <c r="R89" s="902">
        <f t="shared" si="20"/>
        <v>138232</v>
      </c>
      <c r="S89" s="903">
        <v>1</v>
      </c>
      <c r="T89" s="902">
        <f t="shared" si="21"/>
        <v>0</v>
      </c>
      <c r="U89" s="903"/>
      <c r="V89" s="902">
        <f t="shared" si="22"/>
        <v>0</v>
      </c>
      <c r="W89" s="903"/>
      <c r="X89" s="902">
        <f t="shared" si="23"/>
        <v>0</v>
      </c>
      <c r="Y89" s="903"/>
      <c r="Z89" s="902">
        <f t="shared" si="24"/>
        <v>0</v>
      </c>
      <c r="AA89" s="903"/>
      <c r="AB89" s="919">
        <f t="shared" si="25"/>
        <v>138232</v>
      </c>
      <c r="AC89" s="918"/>
    </row>
    <row r="90" ht="17.1" customHeight="1" spans="1:29">
      <c r="A90" s="897" t="s">
        <v>4654</v>
      </c>
      <c r="B90" s="898" t="s">
        <v>4880</v>
      </c>
      <c r="C90" s="899" t="s">
        <v>4531</v>
      </c>
      <c r="D90" s="904" t="s">
        <v>4657</v>
      </c>
      <c r="E90" s="905">
        <f t="shared" si="13"/>
        <v>1</v>
      </c>
      <c r="F90" s="902">
        <f t="shared" si="14"/>
        <v>0</v>
      </c>
      <c r="G90" s="903"/>
      <c r="H90" s="902">
        <f t="shared" si="15"/>
        <v>0</v>
      </c>
      <c r="I90" s="903"/>
      <c r="J90" s="902">
        <f t="shared" si="16"/>
        <v>0</v>
      </c>
      <c r="K90" s="903"/>
      <c r="L90" s="902">
        <f t="shared" si="17"/>
        <v>0</v>
      </c>
      <c r="M90" s="903"/>
      <c r="N90" s="902">
        <f t="shared" si="18"/>
        <v>0</v>
      </c>
      <c r="O90" s="903"/>
      <c r="P90" s="902">
        <f t="shared" si="19"/>
        <v>0</v>
      </c>
      <c r="Q90" s="903"/>
      <c r="R90" s="902">
        <f t="shared" si="20"/>
        <v>0</v>
      </c>
      <c r="S90" s="903"/>
      <c r="T90" s="902">
        <f t="shared" si="21"/>
        <v>0</v>
      </c>
      <c r="U90" s="903"/>
      <c r="V90" s="902">
        <f t="shared" si="22"/>
        <v>0</v>
      </c>
      <c r="W90" s="903"/>
      <c r="X90" s="902">
        <f t="shared" si="23"/>
        <v>397884</v>
      </c>
      <c r="Y90" s="903">
        <v>1</v>
      </c>
      <c r="Z90" s="902">
        <f t="shared" si="24"/>
        <v>0</v>
      </c>
      <c r="AA90" s="903"/>
      <c r="AB90" s="919">
        <f t="shared" si="25"/>
        <v>397884</v>
      </c>
      <c r="AC90" s="918"/>
    </row>
    <row r="91" ht="17.1" customHeight="1" spans="1:29">
      <c r="A91" s="897" t="s">
        <v>4654</v>
      </c>
      <c r="B91" s="898" t="s">
        <v>4880</v>
      </c>
      <c r="C91" s="899" t="s">
        <v>4531</v>
      </c>
      <c r="D91" s="904" t="s">
        <v>4658</v>
      </c>
      <c r="E91" s="905">
        <f t="shared" si="13"/>
        <v>1</v>
      </c>
      <c r="F91" s="902">
        <f t="shared" si="14"/>
        <v>0</v>
      </c>
      <c r="G91" s="903"/>
      <c r="H91" s="902">
        <f t="shared" si="15"/>
        <v>0</v>
      </c>
      <c r="I91" s="903"/>
      <c r="J91" s="902">
        <f t="shared" si="16"/>
        <v>0</v>
      </c>
      <c r="K91" s="903"/>
      <c r="L91" s="902">
        <f t="shared" si="17"/>
        <v>0</v>
      </c>
      <c r="M91" s="903"/>
      <c r="N91" s="902">
        <f t="shared" si="18"/>
        <v>0</v>
      </c>
      <c r="O91" s="903"/>
      <c r="P91" s="902">
        <f t="shared" si="19"/>
        <v>0</v>
      </c>
      <c r="Q91" s="903"/>
      <c r="R91" s="902">
        <f t="shared" si="20"/>
        <v>0</v>
      </c>
      <c r="S91" s="903"/>
      <c r="T91" s="902">
        <f t="shared" si="21"/>
        <v>0</v>
      </c>
      <c r="U91" s="903"/>
      <c r="V91" s="902">
        <f t="shared" si="22"/>
        <v>0</v>
      </c>
      <c r="W91" s="903"/>
      <c r="X91" s="902">
        <f t="shared" si="23"/>
        <v>397884</v>
      </c>
      <c r="Y91" s="903">
        <v>1</v>
      </c>
      <c r="Z91" s="902">
        <f t="shared" si="24"/>
        <v>0</v>
      </c>
      <c r="AA91" s="903"/>
      <c r="AB91" s="919">
        <f t="shared" si="25"/>
        <v>397884</v>
      </c>
      <c r="AC91" s="918"/>
    </row>
    <row r="92" ht="17.1" customHeight="1" spans="1:29">
      <c r="A92" s="897" t="s">
        <v>4654</v>
      </c>
      <c r="B92" s="898" t="s">
        <v>4880</v>
      </c>
      <c r="C92" s="899" t="s">
        <v>4533</v>
      </c>
      <c r="D92" s="904" t="s">
        <v>4659</v>
      </c>
      <c r="E92" s="905">
        <f t="shared" si="13"/>
        <v>1</v>
      </c>
      <c r="F92" s="902">
        <f t="shared" si="14"/>
        <v>0</v>
      </c>
      <c r="G92" s="903"/>
      <c r="H92" s="902">
        <f t="shared" si="15"/>
        <v>0</v>
      </c>
      <c r="I92" s="903"/>
      <c r="J92" s="902">
        <f t="shared" si="16"/>
        <v>0</v>
      </c>
      <c r="K92" s="903"/>
      <c r="L92" s="902">
        <f t="shared" si="17"/>
        <v>0</v>
      </c>
      <c r="M92" s="903"/>
      <c r="N92" s="902">
        <f t="shared" si="18"/>
        <v>0</v>
      </c>
      <c r="O92" s="903"/>
      <c r="P92" s="902">
        <f t="shared" si="19"/>
        <v>0</v>
      </c>
      <c r="Q92" s="903"/>
      <c r="R92" s="902">
        <f t="shared" si="20"/>
        <v>0</v>
      </c>
      <c r="S92" s="903"/>
      <c r="T92" s="902">
        <f t="shared" si="21"/>
        <v>0</v>
      </c>
      <c r="U92" s="903"/>
      <c r="V92" s="902">
        <f t="shared" si="22"/>
        <v>0</v>
      </c>
      <c r="W92" s="903"/>
      <c r="X92" s="902">
        <f t="shared" si="23"/>
        <v>0</v>
      </c>
      <c r="Y92" s="903"/>
      <c r="Z92" s="902">
        <f t="shared" si="24"/>
        <v>415630</v>
      </c>
      <c r="AA92" s="903">
        <v>1</v>
      </c>
      <c r="AB92" s="919">
        <f t="shared" si="25"/>
        <v>415630</v>
      </c>
      <c r="AC92" s="918"/>
    </row>
    <row r="93" ht="17.1" customHeight="1" spans="1:29">
      <c r="A93" s="897" t="s">
        <v>4654</v>
      </c>
      <c r="B93" s="898" t="s">
        <v>4880</v>
      </c>
      <c r="C93" s="899" t="s">
        <v>4533</v>
      </c>
      <c r="D93" s="904" t="s">
        <v>4660</v>
      </c>
      <c r="E93" s="905">
        <f t="shared" si="13"/>
        <v>1</v>
      </c>
      <c r="F93" s="902">
        <f t="shared" si="14"/>
        <v>0</v>
      </c>
      <c r="G93" s="903"/>
      <c r="H93" s="902">
        <f t="shared" si="15"/>
        <v>0</v>
      </c>
      <c r="I93" s="903"/>
      <c r="J93" s="902">
        <f t="shared" si="16"/>
        <v>0</v>
      </c>
      <c r="K93" s="903"/>
      <c r="L93" s="902">
        <f t="shared" si="17"/>
        <v>0</v>
      </c>
      <c r="M93" s="903"/>
      <c r="N93" s="902">
        <f t="shared" si="18"/>
        <v>0</v>
      </c>
      <c r="O93" s="903"/>
      <c r="P93" s="902">
        <f t="shared" si="19"/>
        <v>0</v>
      </c>
      <c r="Q93" s="903"/>
      <c r="R93" s="902">
        <f t="shared" si="20"/>
        <v>0</v>
      </c>
      <c r="S93" s="903"/>
      <c r="T93" s="902">
        <f t="shared" si="21"/>
        <v>0</v>
      </c>
      <c r="U93" s="903"/>
      <c r="V93" s="902">
        <f t="shared" si="22"/>
        <v>0</v>
      </c>
      <c r="W93" s="903"/>
      <c r="X93" s="902">
        <f t="shared" si="23"/>
        <v>0</v>
      </c>
      <c r="Y93" s="903"/>
      <c r="Z93" s="902">
        <f t="shared" si="24"/>
        <v>415630</v>
      </c>
      <c r="AA93" s="903">
        <v>1</v>
      </c>
      <c r="AB93" s="919">
        <f t="shared" si="25"/>
        <v>415630</v>
      </c>
      <c r="AC93" s="918"/>
    </row>
    <row r="94" ht="17.1" customHeight="1" spans="1:29">
      <c r="A94" s="897" t="s">
        <v>4654</v>
      </c>
      <c r="B94" s="898" t="s">
        <v>4880</v>
      </c>
      <c r="C94" s="899" t="s">
        <v>4533</v>
      </c>
      <c r="D94" s="904" t="s">
        <v>4661</v>
      </c>
      <c r="E94" s="905">
        <f t="shared" si="13"/>
        <v>1</v>
      </c>
      <c r="F94" s="902">
        <f t="shared" si="14"/>
        <v>0</v>
      </c>
      <c r="G94" s="903"/>
      <c r="H94" s="902">
        <f t="shared" si="15"/>
        <v>0</v>
      </c>
      <c r="I94" s="903"/>
      <c r="J94" s="902">
        <f t="shared" si="16"/>
        <v>0</v>
      </c>
      <c r="K94" s="903"/>
      <c r="L94" s="902">
        <f t="shared" si="17"/>
        <v>0</v>
      </c>
      <c r="M94" s="903"/>
      <c r="N94" s="902">
        <f t="shared" si="18"/>
        <v>0</v>
      </c>
      <c r="O94" s="903"/>
      <c r="P94" s="902">
        <f t="shared" si="19"/>
        <v>0</v>
      </c>
      <c r="Q94" s="903"/>
      <c r="R94" s="902">
        <f t="shared" si="20"/>
        <v>0</v>
      </c>
      <c r="S94" s="903"/>
      <c r="T94" s="902">
        <f t="shared" si="21"/>
        <v>0</v>
      </c>
      <c r="U94" s="903"/>
      <c r="V94" s="902">
        <f t="shared" si="22"/>
        <v>0</v>
      </c>
      <c r="W94" s="903"/>
      <c r="X94" s="902">
        <f t="shared" si="23"/>
        <v>0</v>
      </c>
      <c r="Y94" s="903"/>
      <c r="Z94" s="902">
        <f t="shared" si="24"/>
        <v>415630</v>
      </c>
      <c r="AA94" s="903">
        <v>1</v>
      </c>
      <c r="AB94" s="919">
        <f t="shared" si="25"/>
        <v>415630</v>
      </c>
      <c r="AC94" s="918"/>
    </row>
    <row r="95" ht="17.1" customHeight="1" spans="1:29">
      <c r="A95" s="897" t="s">
        <v>4662</v>
      </c>
      <c r="B95" s="898" t="s">
        <v>4606</v>
      </c>
      <c r="C95" s="899" t="s">
        <v>4571</v>
      </c>
      <c r="D95" s="904" t="s">
        <v>4663</v>
      </c>
      <c r="E95" s="905">
        <f t="shared" si="13"/>
        <v>4</v>
      </c>
      <c r="F95" s="902">
        <f t="shared" si="14"/>
        <v>0</v>
      </c>
      <c r="G95" s="903"/>
      <c r="H95" s="902">
        <f t="shared" si="15"/>
        <v>0</v>
      </c>
      <c r="I95" s="903"/>
      <c r="J95" s="902">
        <f t="shared" si="16"/>
        <v>0</v>
      </c>
      <c r="K95" s="903"/>
      <c r="L95" s="902">
        <f t="shared" si="17"/>
        <v>0</v>
      </c>
      <c r="M95" s="903"/>
      <c r="N95" s="902">
        <f t="shared" si="18"/>
        <v>971360</v>
      </c>
      <c r="O95" s="903">
        <v>2</v>
      </c>
      <c r="P95" s="902">
        <f t="shared" si="19"/>
        <v>971360</v>
      </c>
      <c r="Q95" s="903">
        <v>2</v>
      </c>
      <c r="R95" s="902">
        <f t="shared" si="20"/>
        <v>0</v>
      </c>
      <c r="S95" s="903"/>
      <c r="T95" s="902">
        <f t="shared" si="21"/>
        <v>0</v>
      </c>
      <c r="U95" s="903"/>
      <c r="V95" s="902">
        <f t="shared" si="22"/>
        <v>0</v>
      </c>
      <c r="W95" s="903"/>
      <c r="X95" s="902">
        <f t="shared" si="23"/>
        <v>0</v>
      </c>
      <c r="Y95" s="903"/>
      <c r="Z95" s="902">
        <f t="shared" si="24"/>
        <v>0</v>
      </c>
      <c r="AA95" s="903"/>
      <c r="AB95" s="919">
        <f t="shared" si="25"/>
        <v>1942720</v>
      </c>
      <c r="AC95" s="918"/>
    </row>
    <row r="96" ht="17.1" customHeight="1" spans="1:29">
      <c r="A96" s="897" t="s">
        <v>4662</v>
      </c>
      <c r="B96" s="898" t="s">
        <v>4606</v>
      </c>
      <c r="C96" s="899" t="s">
        <v>4516</v>
      </c>
      <c r="D96" s="904" t="s">
        <v>4664</v>
      </c>
      <c r="E96" s="905">
        <f t="shared" si="13"/>
        <v>2</v>
      </c>
      <c r="F96" s="902">
        <f t="shared" si="14"/>
        <v>0</v>
      </c>
      <c r="G96" s="903"/>
      <c r="H96" s="902">
        <f t="shared" si="15"/>
        <v>0</v>
      </c>
      <c r="I96" s="903"/>
      <c r="J96" s="902">
        <f t="shared" si="16"/>
        <v>891970</v>
      </c>
      <c r="K96" s="903">
        <v>2</v>
      </c>
      <c r="L96" s="902">
        <f t="shared" si="17"/>
        <v>0</v>
      </c>
      <c r="M96" s="903"/>
      <c r="N96" s="902">
        <f t="shared" si="18"/>
        <v>0</v>
      </c>
      <c r="O96" s="903"/>
      <c r="P96" s="902">
        <f t="shared" si="19"/>
        <v>0</v>
      </c>
      <c r="Q96" s="903"/>
      <c r="R96" s="902">
        <f t="shared" si="20"/>
        <v>0</v>
      </c>
      <c r="S96" s="903"/>
      <c r="T96" s="902">
        <f t="shared" si="21"/>
        <v>0</v>
      </c>
      <c r="U96" s="903"/>
      <c r="V96" s="902">
        <f t="shared" si="22"/>
        <v>0</v>
      </c>
      <c r="W96" s="903"/>
      <c r="X96" s="902">
        <f t="shared" si="23"/>
        <v>0</v>
      </c>
      <c r="Y96" s="903"/>
      <c r="Z96" s="902">
        <f t="shared" si="24"/>
        <v>0</v>
      </c>
      <c r="AA96" s="903"/>
      <c r="AB96" s="919">
        <f t="shared" si="25"/>
        <v>891970</v>
      </c>
      <c r="AC96" s="918"/>
    </row>
    <row r="97" ht="17.1" customHeight="1" spans="1:29">
      <c r="A97" s="897" t="s">
        <v>4662</v>
      </c>
      <c r="B97" s="898" t="s">
        <v>4606</v>
      </c>
      <c r="C97" s="899" t="s">
        <v>4533</v>
      </c>
      <c r="D97" s="904" t="s">
        <v>4665</v>
      </c>
      <c r="E97" s="905">
        <f t="shared" si="13"/>
        <v>1</v>
      </c>
      <c r="F97" s="902">
        <f t="shared" si="14"/>
        <v>0</v>
      </c>
      <c r="G97" s="903"/>
      <c r="H97" s="902">
        <f t="shared" si="15"/>
        <v>0</v>
      </c>
      <c r="I97" s="903"/>
      <c r="J97" s="902">
        <f t="shared" si="16"/>
        <v>0</v>
      </c>
      <c r="K97" s="903"/>
      <c r="L97" s="902">
        <f t="shared" si="17"/>
        <v>0</v>
      </c>
      <c r="M97" s="903"/>
      <c r="N97" s="902">
        <f t="shared" si="18"/>
        <v>0</v>
      </c>
      <c r="O97" s="903"/>
      <c r="P97" s="902">
        <f t="shared" si="19"/>
        <v>0</v>
      </c>
      <c r="Q97" s="903"/>
      <c r="R97" s="902">
        <f t="shared" si="20"/>
        <v>0</v>
      </c>
      <c r="S97" s="903"/>
      <c r="T97" s="902">
        <f t="shared" si="21"/>
        <v>0</v>
      </c>
      <c r="U97" s="903"/>
      <c r="V97" s="902">
        <f t="shared" si="22"/>
        <v>0</v>
      </c>
      <c r="W97" s="903"/>
      <c r="X97" s="902">
        <f t="shared" si="23"/>
        <v>0</v>
      </c>
      <c r="Y97" s="903"/>
      <c r="Z97" s="902">
        <f t="shared" si="24"/>
        <v>415630</v>
      </c>
      <c r="AA97" s="903">
        <v>1</v>
      </c>
      <c r="AB97" s="919">
        <f t="shared" si="25"/>
        <v>415630</v>
      </c>
      <c r="AC97" s="918"/>
    </row>
    <row r="98" ht="17.1" customHeight="1" spans="1:29">
      <c r="A98" s="897" t="s">
        <v>4662</v>
      </c>
      <c r="B98" s="898" t="s">
        <v>4606</v>
      </c>
      <c r="C98" s="899" t="s">
        <v>4518</v>
      </c>
      <c r="D98" s="904" t="s">
        <v>4606</v>
      </c>
      <c r="E98" s="905">
        <f t="shared" si="13"/>
        <v>1</v>
      </c>
      <c r="F98" s="902">
        <f t="shared" si="14"/>
        <v>0</v>
      </c>
      <c r="G98" s="903"/>
      <c r="H98" s="902">
        <f t="shared" si="15"/>
        <v>0</v>
      </c>
      <c r="I98" s="903"/>
      <c r="J98" s="902">
        <f t="shared" si="16"/>
        <v>0</v>
      </c>
      <c r="K98" s="903"/>
      <c r="L98" s="902">
        <f t="shared" si="17"/>
        <v>0</v>
      </c>
      <c r="M98" s="903"/>
      <c r="N98" s="902">
        <f t="shared" si="18"/>
        <v>0</v>
      </c>
      <c r="O98" s="903"/>
      <c r="P98" s="902">
        <f t="shared" si="19"/>
        <v>0</v>
      </c>
      <c r="Q98" s="903"/>
      <c r="R98" s="902">
        <f t="shared" si="20"/>
        <v>0</v>
      </c>
      <c r="S98" s="903"/>
      <c r="T98" s="902">
        <f t="shared" si="21"/>
        <v>485680</v>
      </c>
      <c r="U98" s="903">
        <v>1</v>
      </c>
      <c r="V98" s="902">
        <f t="shared" si="22"/>
        <v>0</v>
      </c>
      <c r="W98" s="903"/>
      <c r="X98" s="902">
        <f t="shared" si="23"/>
        <v>0</v>
      </c>
      <c r="Y98" s="903"/>
      <c r="Z98" s="902">
        <f t="shared" si="24"/>
        <v>0</v>
      </c>
      <c r="AA98" s="903"/>
      <c r="AB98" s="919">
        <f t="shared" si="25"/>
        <v>485680</v>
      </c>
      <c r="AC98" s="918"/>
    </row>
    <row r="99" ht="17.1" customHeight="1" spans="1:29">
      <c r="A99" s="897" t="s">
        <v>4662</v>
      </c>
      <c r="B99" s="898" t="s">
        <v>4606</v>
      </c>
      <c r="C99" s="899" t="s">
        <v>4529</v>
      </c>
      <c r="D99" s="904" t="s">
        <v>4666</v>
      </c>
      <c r="E99" s="905">
        <f t="shared" si="13"/>
        <v>25</v>
      </c>
      <c r="F99" s="902">
        <f t="shared" si="14"/>
        <v>0</v>
      </c>
      <c r="G99" s="903"/>
      <c r="H99" s="902">
        <f t="shared" si="15"/>
        <v>0</v>
      </c>
      <c r="I99" s="903"/>
      <c r="J99" s="902">
        <f t="shared" si="16"/>
        <v>0</v>
      </c>
      <c r="K99" s="903"/>
      <c r="L99" s="902">
        <f t="shared" si="17"/>
        <v>0</v>
      </c>
      <c r="M99" s="903"/>
      <c r="N99" s="902">
        <f t="shared" si="18"/>
        <v>0</v>
      </c>
      <c r="O99" s="903"/>
      <c r="P99" s="902">
        <f t="shared" si="19"/>
        <v>0</v>
      </c>
      <c r="Q99" s="903"/>
      <c r="R99" s="902">
        <f t="shared" si="20"/>
        <v>3455800</v>
      </c>
      <c r="S99" s="903">
        <v>25</v>
      </c>
      <c r="T99" s="902">
        <f t="shared" si="21"/>
        <v>0</v>
      </c>
      <c r="U99" s="903"/>
      <c r="V99" s="902">
        <f t="shared" si="22"/>
        <v>0</v>
      </c>
      <c r="W99" s="903"/>
      <c r="X99" s="902">
        <f t="shared" si="23"/>
        <v>0</v>
      </c>
      <c r="Y99" s="903"/>
      <c r="Z99" s="902">
        <f t="shared" si="24"/>
        <v>0</v>
      </c>
      <c r="AA99" s="903"/>
      <c r="AB99" s="919">
        <f t="shared" si="25"/>
        <v>3455800</v>
      </c>
      <c r="AC99" s="918"/>
    </row>
    <row r="100" ht="17.1" customHeight="1" spans="1:29">
      <c r="A100" s="897" t="s">
        <v>4667</v>
      </c>
      <c r="B100" s="898" t="s">
        <v>4881</v>
      </c>
      <c r="C100" s="899" t="s">
        <v>4669</v>
      </c>
      <c r="D100" s="904" t="s">
        <v>4668</v>
      </c>
      <c r="E100" s="905">
        <f t="shared" si="13"/>
        <v>7</v>
      </c>
      <c r="F100" s="902">
        <f t="shared" si="14"/>
        <v>971360</v>
      </c>
      <c r="G100" s="903">
        <v>2</v>
      </c>
      <c r="H100" s="902">
        <f t="shared" si="15"/>
        <v>485680</v>
      </c>
      <c r="I100" s="903">
        <v>1</v>
      </c>
      <c r="J100" s="902">
        <f t="shared" si="16"/>
        <v>445985</v>
      </c>
      <c r="K100" s="903">
        <v>1</v>
      </c>
      <c r="L100" s="902">
        <f t="shared" si="17"/>
        <v>445985</v>
      </c>
      <c r="M100" s="903">
        <v>1</v>
      </c>
      <c r="N100" s="902">
        <f t="shared" si="18"/>
        <v>0</v>
      </c>
      <c r="O100" s="903"/>
      <c r="P100" s="902">
        <f t="shared" si="19"/>
        <v>0</v>
      </c>
      <c r="Q100" s="903"/>
      <c r="R100" s="902">
        <f t="shared" si="20"/>
        <v>0</v>
      </c>
      <c r="S100" s="903"/>
      <c r="T100" s="902">
        <f t="shared" si="21"/>
        <v>0</v>
      </c>
      <c r="U100" s="903"/>
      <c r="V100" s="902">
        <f t="shared" si="22"/>
        <v>0</v>
      </c>
      <c r="W100" s="903"/>
      <c r="X100" s="902">
        <f t="shared" si="23"/>
        <v>795768</v>
      </c>
      <c r="Y100" s="903">
        <v>2</v>
      </c>
      <c r="Z100" s="902">
        <f t="shared" si="24"/>
        <v>0</v>
      </c>
      <c r="AA100" s="903"/>
      <c r="AB100" s="919">
        <f t="shared" si="25"/>
        <v>3144778</v>
      </c>
      <c r="AC100" s="918"/>
    </row>
    <row r="101" ht="17.1" customHeight="1" spans="1:29">
      <c r="A101" s="897" t="s">
        <v>4667</v>
      </c>
      <c r="B101" s="898" t="s">
        <v>4881</v>
      </c>
      <c r="C101" s="899" t="s">
        <v>4533</v>
      </c>
      <c r="D101" s="904" t="s">
        <v>4670</v>
      </c>
      <c r="E101" s="905">
        <f t="shared" si="13"/>
        <v>1</v>
      </c>
      <c r="F101" s="902">
        <f t="shared" si="14"/>
        <v>0</v>
      </c>
      <c r="G101" s="903"/>
      <c r="H101" s="902">
        <f t="shared" si="15"/>
        <v>0</v>
      </c>
      <c r="I101" s="903"/>
      <c r="J101" s="902">
        <f t="shared" si="16"/>
        <v>0</v>
      </c>
      <c r="K101" s="903"/>
      <c r="L101" s="902">
        <f t="shared" si="17"/>
        <v>0</v>
      </c>
      <c r="M101" s="903"/>
      <c r="N101" s="902">
        <f t="shared" si="18"/>
        <v>0</v>
      </c>
      <c r="O101" s="903"/>
      <c r="P101" s="902">
        <f t="shared" si="19"/>
        <v>0</v>
      </c>
      <c r="Q101" s="903"/>
      <c r="R101" s="902">
        <f t="shared" si="20"/>
        <v>0</v>
      </c>
      <c r="S101" s="903"/>
      <c r="T101" s="902">
        <f t="shared" si="21"/>
        <v>0</v>
      </c>
      <c r="U101" s="903"/>
      <c r="V101" s="902">
        <f t="shared" si="22"/>
        <v>0</v>
      </c>
      <c r="W101" s="903"/>
      <c r="X101" s="902">
        <f t="shared" si="23"/>
        <v>0</v>
      </c>
      <c r="Y101" s="903"/>
      <c r="Z101" s="902">
        <f t="shared" si="24"/>
        <v>415630</v>
      </c>
      <c r="AA101" s="903">
        <v>1</v>
      </c>
      <c r="AB101" s="919">
        <f t="shared" si="25"/>
        <v>415630</v>
      </c>
      <c r="AC101" s="918"/>
    </row>
    <row r="102" ht="17.1" customHeight="1" spans="1:29">
      <c r="A102" s="897" t="s">
        <v>4671</v>
      </c>
      <c r="B102" s="898"/>
      <c r="C102" s="899" t="s">
        <v>4598</v>
      </c>
      <c r="D102" s="904" t="s">
        <v>4672</v>
      </c>
      <c r="E102" s="905">
        <f t="shared" si="13"/>
        <v>4</v>
      </c>
      <c r="F102" s="902">
        <f t="shared" si="14"/>
        <v>485680</v>
      </c>
      <c r="G102" s="903">
        <v>1</v>
      </c>
      <c r="H102" s="902">
        <f t="shared" si="15"/>
        <v>0</v>
      </c>
      <c r="I102" s="903"/>
      <c r="J102" s="902">
        <f t="shared" si="16"/>
        <v>445985</v>
      </c>
      <c r="K102" s="903">
        <v>1</v>
      </c>
      <c r="L102" s="902">
        <f t="shared" si="17"/>
        <v>0</v>
      </c>
      <c r="M102" s="903"/>
      <c r="N102" s="902">
        <f t="shared" si="18"/>
        <v>485680</v>
      </c>
      <c r="O102" s="903">
        <v>1</v>
      </c>
      <c r="P102" s="902">
        <f t="shared" si="19"/>
        <v>485680</v>
      </c>
      <c r="Q102" s="903">
        <v>1</v>
      </c>
      <c r="R102" s="902">
        <f t="shared" si="20"/>
        <v>0</v>
      </c>
      <c r="S102" s="903"/>
      <c r="T102" s="902">
        <f t="shared" si="21"/>
        <v>0</v>
      </c>
      <c r="U102" s="903"/>
      <c r="V102" s="902">
        <f t="shared" si="22"/>
        <v>0</v>
      </c>
      <c r="W102" s="903"/>
      <c r="X102" s="902">
        <f t="shared" si="23"/>
        <v>0</v>
      </c>
      <c r="Y102" s="903"/>
      <c r="Z102" s="902">
        <f t="shared" si="24"/>
        <v>0</v>
      </c>
      <c r="AA102" s="903"/>
      <c r="AB102" s="919">
        <f t="shared" si="25"/>
        <v>1903025</v>
      </c>
      <c r="AC102" s="918"/>
    </row>
    <row r="103" ht="17.1" customHeight="1" spans="1:29">
      <c r="A103" s="897" t="s">
        <v>4673</v>
      </c>
      <c r="B103" s="898"/>
      <c r="C103" s="899" t="s">
        <v>4581</v>
      </c>
      <c r="D103" s="904" t="s">
        <v>4674</v>
      </c>
      <c r="E103" s="905">
        <f t="shared" si="13"/>
        <v>3</v>
      </c>
      <c r="F103" s="902">
        <f t="shared" si="14"/>
        <v>485680</v>
      </c>
      <c r="G103" s="903">
        <v>1</v>
      </c>
      <c r="H103" s="902">
        <f t="shared" si="15"/>
        <v>0</v>
      </c>
      <c r="I103" s="903"/>
      <c r="J103" s="902">
        <f t="shared" si="16"/>
        <v>445985</v>
      </c>
      <c r="K103" s="903">
        <v>1</v>
      </c>
      <c r="L103" s="902">
        <f t="shared" si="17"/>
        <v>0</v>
      </c>
      <c r="M103" s="903"/>
      <c r="N103" s="902">
        <f t="shared" si="18"/>
        <v>0</v>
      </c>
      <c r="O103" s="903"/>
      <c r="P103" s="902">
        <f t="shared" si="19"/>
        <v>0</v>
      </c>
      <c r="Q103" s="903"/>
      <c r="R103" s="902">
        <f t="shared" si="20"/>
        <v>0</v>
      </c>
      <c r="S103" s="903"/>
      <c r="T103" s="902">
        <f t="shared" si="21"/>
        <v>485680</v>
      </c>
      <c r="U103" s="903">
        <v>1</v>
      </c>
      <c r="V103" s="902">
        <f t="shared" si="22"/>
        <v>0</v>
      </c>
      <c r="W103" s="903"/>
      <c r="X103" s="902">
        <f t="shared" si="23"/>
        <v>0</v>
      </c>
      <c r="Y103" s="903"/>
      <c r="Z103" s="902">
        <f t="shared" si="24"/>
        <v>0</v>
      </c>
      <c r="AA103" s="903"/>
      <c r="AB103" s="919">
        <f t="shared" si="25"/>
        <v>1417345</v>
      </c>
      <c r="AC103" s="918"/>
    </row>
    <row r="104" ht="17.1" customHeight="1" spans="1:29">
      <c r="A104" s="897" t="s">
        <v>4675</v>
      </c>
      <c r="B104" s="898"/>
      <c r="C104" s="899" t="s">
        <v>4560</v>
      </c>
      <c r="D104" s="904" t="s">
        <v>4676</v>
      </c>
      <c r="E104" s="905">
        <f t="shared" si="13"/>
        <v>2</v>
      </c>
      <c r="F104" s="902">
        <f t="shared" si="14"/>
        <v>0</v>
      </c>
      <c r="G104" s="903"/>
      <c r="H104" s="902">
        <f t="shared" si="15"/>
        <v>0</v>
      </c>
      <c r="I104" s="903"/>
      <c r="J104" s="902">
        <f t="shared" si="16"/>
        <v>0</v>
      </c>
      <c r="K104" s="903"/>
      <c r="L104" s="902">
        <f t="shared" si="17"/>
        <v>0</v>
      </c>
      <c r="M104" s="903"/>
      <c r="N104" s="902">
        <f t="shared" si="18"/>
        <v>0</v>
      </c>
      <c r="O104" s="903"/>
      <c r="P104" s="902">
        <f t="shared" si="19"/>
        <v>0</v>
      </c>
      <c r="Q104" s="903"/>
      <c r="R104" s="902">
        <f t="shared" si="20"/>
        <v>0</v>
      </c>
      <c r="S104" s="903"/>
      <c r="T104" s="902">
        <f t="shared" si="21"/>
        <v>0</v>
      </c>
      <c r="U104" s="903"/>
      <c r="V104" s="902">
        <f t="shared" si="22"/>
        <v>397884</v>
      </c>
      <c r="W104" s="903">
        <v>1</v>
      </c>
      <c r="X104" s="902">
        <f t="shared" si="23"/>
        <v>397884</v>
      </c>
      <c r="Y104" s="903">
        <v>1</v>
      </c>
      <c r="Z104" s="902">
        <f t="shared" si="24"/>
        <v>0</v>
      </c>
      <c r="AA104" s="903"/>
      <c r="AB104" s="919">
        <f t="shared" si="25"/>
        <v>795768</v>
      </c>
      <c r="AC104" s="918"/>
    </row>
    <row r="105" ht="16.9" customHeight="1" spans="1:29">
      <c r="A105" s="897" t="s">
        <v>4677</v>
      </c>
      <c r="B105" s="898"/>
      <c r="C105" s="899" t="s">
        <v>4586</v>
      </c>
      <c r="D105" s="904" t="s">
        <v>4678</v>
      </c>
      <c r="E105" s="905">
        <f t="shared" si="13"/>
        <v>3</v>
      </c>
      <c r="F105" s="902">
        <f t="shared" si="14"/>
        <v>0</v>
      </c>
      <c r="G105" s="903"/>
      <c r="H105" s="902">
        <f t="shared" si="15"/>
        <v>0</v>
      </c>
      <c r="I105" s="903"/>
      <c r="J105" s="902">
        <f t="shared" si="16"/>
        <v>0</v>
      </c>
      <c r="K105" s="903"/>
      <c r="L105" s="902">
        <f t="shared" si="17"/>
        <v>445985</v>
      </c>
      <c r="M105" s="903">
        <v>1</v>
      </c>
      <c r="N105" s="902">
        <f t="shared" si="18"/>
        <v>485680</v>
      </c>
      <c r="O105" s="903">
        <v>1</v>
      </c>
      <c r="P105" s="902">
        <f t="shared" si="19"/>
        <v>0</v>
      </c>
      <c r="Q105" s="903"/>
      <c r="R105" s="902">
        <f t="shared" si="20"/>
        <v>0</v>
      </c>
      <c r="S105" s="903"/>
      <c r="T105" s="902">
        <f t="shared" si="21"/>
        <v>0</v>
      </c>
      <c r="U105" s="903"/>
      <c r="V105" s="902">
        <f t="shared" si="22"/>
        <v>0</v>
      </c>
      <c r="W105" s="903"/>
      <c r="X105" s="902">
        <f t="shared" si="23"/>
        <v>397884</v>
      </c>
      <c r="Y105" s="903">
        <v>1</v>
      </c>
      <c r="Z105" s="902">
        <f t="shared" si="24"/>
        <v>0</v>
      </c>
      <c r="AA105" s="903"/>
      <c r="AB105" s="919">
        <f t="shared" si="25"/>
        <v>1329549</v>
      </c>
      <c r="AC105" s="918"/>
    </row>
    <row r="106" ht="16.9" customHeight="1" spans="1:29">
      <c r="A106" s="897" t="s">
        <v>4679</v>
      </c>
      <c r="B106" s="898"/>
      <c r="C106" s="899" t="s">
        <v>4595</v>
      </c>
      <c r="D106" s="904" t="s">
        <v>4680</v>
      </c>
      <c r="E106" s="905">
        <f t="shared" si="13"/>
        <v>2</v>
      </c>
      <c r="F106" s="902">
        <f t="shared" si="14"/>
        <v>0</v>
      </c>
      <c r="G106" s="903"/>
      <c r="H106" s="902">
        <f t="shared" si="15"/>
        <v>0</v>
      </c>
      <c r="I106" s="903"/>
      <c r="J106" s="902">
        <f t="shared" si="16"/>
        <v>0</v>
      </c>
      <c r="K106" s="903"/>
      <c r="L106" s="902">
        <f t="shared" si="17"/>
        <v>445985</v>
      </c>
      <c r="M106" s="903">
        <v>1</v>
      </c>
      <c r="N106" s="902">
        <f t="shared" si="18"/>
        <v>0</v>
      </c>
      <c r="O106" s="903"/>
      <c r="P106" s="902">
        <f t="shared" si="19"/>
        <v>0</v>
      </c>
      <c r="Q106" s="903"/>
      <c r="R106" s="902">
        <f t="shared" si="20"/>
        <v>138232</v>
      </c>
      <c r="S106" s="903">
        <v>1</v>
      </c>
      <c r="T106" s="902">
        <f t="shared" si="21"/>
        <v>0</v>
      </c>
      <c r="U106" s="903"/>
      <c r="V106" s="902">
        <f t="shared" si="22"/>
        <v>0</v>
      </c>
      <c r="W106" s="903"/>
      <c r="X106" s="902">
        <f t="shared" si="23"/>
        <v>0</v>
      </c>
      <c r="Y106" s="903"/>
      <c r="Z106" s="902">
        <f t="shared" si="24"/>
        <v>0</v>
      </c>
      <c r="AA106" s="903"/>
      <c r="AB106" s="919">
        <f t="shared" si="25"/>
        <v>584217</v>
      </c>
      <c r="AC106" s="918"/>
    </row>
    <row r="107" ht="16.9" customHeight="1" spans="1:29">
      <c r="A107" s="897" t="s">
        <v>4681</v>
      </c>
      <c r="B107" s="898"/>
      <c r="C107" s="899" t="s">
        <v>4592</v>
      </c>
      <c r="D107" s="904" t="s">
        <v>4682</v>
      </c>
      <c r="E107" s="905">
        <f t="shared" si="13"/>
        <v>2</v>
      </c>
      <c r="F107" s="902">
        <f t="shared" si="14"/>
        <v>0</v>
      </c>
      <c r="G107" s="903"/>
      <c r="H107" s="902">
        <f t="shared" si="15"/>
        <v>485680</v>
      </c>
      <c r="I107" s="903">
        <v>1</v>
      </c>
      <c r="J107" s="902">
        <f t="shared" si="16"/>
        <v>0</v>
      </c>
      <c r="K107" s="903"/>
      <c r="L107" s="902">
        <f t="shared" si="17"/>
        <v>0</v>
      </c>
      <c r="M107" s="903"/>
      <c r="N107" s="902">
        <f t="shared" si="18"/>
        <v>485680</v>
      </c>
      <c r="O107" s="903">
        <v>1</v>
      </c>
      <c r="P107" s="902">
        <f t="shared" si="19"/>
        <v>0</v>
      </c>
      <c r="Q107" s="903"/>
      <c r="R107" s="902">
        <f t="shared" si="20"/>
        <v>0</v>
      </c>
      <c r="S107" s="903"/>
      <c r="T107" s="902">
        <f t="shared" si="21"/>
        <v>0</v>
      </c>
      <c r="U107" s="903"/>
      <c r="V107" s="902">
        <f t="shared" si="22"/>
        <v>0</v>
      </c>
      <c r="W107" s="903"/>
      <c r="X107" s="902">
        <f t="shared" si="23"/>
        <v>0</v>
      </c>
      <c r="Y107" s="903"/>
      <c r="Z107" s="902">
        <f t="shared" si="24"/>
        <v>0</v>
      </c>
      <c r="AA107" s="903"/>
      <c r="AB107" s="919">
        <f t="shared" si="25"/>
        <v>971360</v>
      </c>
      <c r="AC107" s="918"/>
    </row>
    <row r="108" ht="16.9" customHeight="1" spans="1:29">
      <c r="A108" s="897" t="s">
        <v>4683</v>
      </c>
      <c r="B108" s="898"/>
      <c r="C108" s="899" t="s">
        <v>4513</v>
      </c>
      <c r="D108" s="904" t="s">
        <v>4684</v>
      </c>
      <c r="E108" s="905">
        <f t="shared" si="13"/>
        <v>1</v>
      </c>
      <c r="F108" s="902">
        <f t="shared" si="14"/>
        <v>0</v>
      </c>
      <c r="G108" s="903"/>
      <c r="H108" s="902">
        <f t="shared" si="15"/>
        <v>485680</v>
      </c>
      <c r="I108" s="903">
        <v>1</v>
      </c>
      <c r="J108" s="902">
        <f t="shared" si="16"/>
        <v>0</v>
      </c>
      <c r="K108" s="903"/>
      <c r="L108" s="902">
        <f t="shared" si="17"/>
        <v>0</v>
      </c>
      <c r="M108" s="903"/>
      <c r="N108" s="902">
        <f t="shared" si="18"/>
        <v>0</v>
      </c>
      <c r="O108" s="903"/>
      <c r="P108" s="902">
        <f t="shared" si="19"/>
        <v>0</v>
      </c>
      <c r="Q108" s="903"/>
      <c r="R108" s="902">
        <f t="shared" si="20"/>
        <v>0</v>
      </c>
      <c r="S108" s="903"/>
      <c r="T108" s="902">
        <f t="shared" si="21"/>
        <v>0</v>
      </c>
      <c r="U108" s="903"/>
      <c r="V108" s="902">
        <f t="shared" si="22"/>
        <v>0</v>
      </c>
      <c r="W108" s="903"/>
      <c r="X108" s="902">
        <f t="shared" si="23"/>
        <v>0</v>
      </c>
      <c r="Y108" s="903"/>
      <c r="Z108" s="902">
        <f t="shared" si="24"/>
        <v>0</v>
      </c>
      <c r="AA108" s="903"/>
      <c r="AB108" s="919">
        <f t="shared" si="25"/>
        <v>485680</v>
      </c>
      <c r="AC108" s="918"/>
    </row>
    <row r="109" ht="18.75" customHeight="1" spans="1:29">
      <c r="A109" s="920" t="s">
        <v>4685</v>
      </c>
      <c r="B109" s="921"/>
      <c r="C109" s="922" t="s">
        <v>4533</v>
      </c>
      <c r="D109" s="923" t="s">
        <v>4686</v>
      </c>
      <c r="E109" s="924">
        <f t="shared" si="13"/>
        <v>1</v>
      </c>
      <c r="F109" s="925">
        <f t="shared" si="14"/>
        <v>0</v>
      </c>
      <c r="G109" s="926"/>
      <c r="H109" s="925">
        <f t="shared" si="15"/>
        <v>0</v>
      </c>
      <c r="I109" s="926"/>
      <c r="J109" s="925">
        <f t="shared" si="16"/>
        <v>0</v>
      </c>
      <c r="K109" s="926"/>
      <c r="L109" s="925">
        <f t="shared" si="17"/>
        <v>0</v>
      </c>
      <c r="M109" s="926"/>
      <c r="N109" s="925">
        <f t="shared" si="18"/>
        <v>0</v>
      </c>
      <c r="O109" s="926"/>
      <c r="P109" s="925">
        <f t="shared" si="19"/>
        <v>0</v>
      </c>
      <c r="Q109" s="926"/>
      <c r="R109" s="925">
        <f t="shared" si="20"/>
        <v>0</v>
      </c>
      <c r="S109" s="926"/>
      <c r="T109" s="925">
        <f t="shared" si="21"/>
        <v>0</v>
      </c>
      <c r="U109" s="926"/>
      <c r="V109" s="925">
        <f t="shared" si="22"/>
        <v>0</v>
      </c>
      <c r="W109" s="926"/>
      <c r="X109" s="925">
        <f t="shared" si="23"/>
        <v>0</v>
      </c>
      <c r="Y109" s="926"/>
      <c r="Z109" s="925">
        <f t="shared" si="24"/>
        <v>415630</v>
      </c>
      <c r="AA109" s="926">
        <v>1</v>
      </c>
      <c r="AB109" s="943">
        <f t="shared" si="25"/>
        <v>415630</v>
      </c>
      <c r="AC109" s="944"/>
    </row>
    <row r="110" ht="12" customHeight="1" spans="1:29">
      <c r="A110" s="927"/>
      <c r="B110" s="928"/>
      <c r="C110" s="929"/>
      <c r="D110" s="930"/>
      <c r="E110" s="931"/>
      <c r="F110" s="932"/>
      <c r="G110" s="932"/>
      <c r="H110" s="932"/>
      <c r="I110" s="932"/>
      <c r="J110" s="932"/>
      <c r="K110" s="932"/>
      <c r="L110" s="932"/>
      <c r="M110" s="932"/>
      <c r="N110" s="932"/>
      <c r="O110" s="932"/>
      <c r="P110" s="932"/>
      <c r="Q110" s="932"/>
      <c r="R110" s="932"/>
      <c r="S110" s="932"/>
      <c r="T110" s="932"/>
      <c r="U110" s="932"/>
      <c r="V110" s="932"/>
      <c r="W110" s="932"/>
      <c r="X110" s="932"/>
      <c r="Y110" s="932"/>
      <c r="Z110" s="932"/>
      <c r="AA110" s="932"/>
      <c r="AB110" s="945"/>
      <c r="AC110" s="946"/>
    </row>
    <row r="111" ht="16.9" customHeight="1" spans="1:29">
      <c r="A111" s="933" t="s">
        <v>4551</v>
      </c>
      <c r="B111" s="934" t="s">
        <v>4868</v>
      </c>
      <c r="C111" s="935" t="s">
        <v>4543</v>
      </c>
      <c r="D111" s="936" t="s">
        <v>4552</v>
      </c>
      <c r="E111" s="937"/>
      <c r="F111" s="938">
        <f t="shared" ref="F111:F121" si="26">F$6*G111</f>
        <v>485680</v>
      </c>
      <c r="G111" s="939">
        <v>1</v>
      </c>
      <c r="H111" s="902">
        <f t="shared" ref="H111:H121" si="27">H$6*I111</f>
        <v>485680</v>
      </c>
      <c r="I111" s="939">
        <v>1</v>
      </c>
      <c r="J111" s="938">
        <f t="shared" ref="J111:J121" si="28">J$6*K111</f>
        <v>0</v>
      </c>
      <c r="K111" s="939"/>
      <c r="L111" s="938">
        <f t="shared" ref="L111:L121" si="29">L$6*M111</f>
        <v>0</v>
      </c>
      <c r="M111" s="939"/>
      <c r="N111" s="938"/>
      <c r="O111" s="939">
        <v>1</v>
      </c>
      <c r="P111" s="938">
        <f t="shared" ref="P111:P121" si="30">P$6*Q111</f>
        <v>0</v>
      </c>
      <c r="Q111" s="939"/>
      <c r="R111" s="938">
        <f t="shared" ref="R111:R121" si="31">R$6*S111</f>
        <v>0</v>
      </c>
      <c r="S111" s="939"/>
      <c r="T111" s="938">
        <f t="shared" ref="T111:T121" si="32">T$6*U111</f>
        <v>0</v>
      </c>
      <c r="U111" s="939"/>
      <c r="V111" s="938">
        <f t="shared" ref="V111:V121" si="33">V$6*W111</f>
        <v>0</v>
      </c>
      <c r="W111" s="939"/>
      <c r="X111" s="938">
        <f t="shared" ref="X111:X121" si="34">X$6*Y111</f>
        <v>0</v>
      </c>
      <c r="Y111" s="939"/>
      <c r="Z111" s="938">
        <f t="shared" ref="Z111:Z121" si="35">Z$6*AA111</f>
        <v>0</v>
      </c>
      <c r="AA111" s="939"/>
      <c r="AB111" s="947" t="e">
        <f>#REF!*配件数量!O111</f>
        <v>#REF!</v>
      </c>
      <c r="AC111" s="948" t="s">
        <v>4882</v>
      </c>
    </row>
    <row r="112" ht="16.9" customHeight="1" spans="1:29">
      <c r="A112" s="897" t="s">
        <v>4551</v>
      </c>
      <c r="B112" s="898" t="s">
        <v>4868</v>
      </c>
      <c r="C112" s="899" t="s">
        <v>4554</v>
      </c>
      <c r="D112" s="904" t="s">
        <v>4553</v>
      </c>
      <c r="E112" s="905"/>
      <c r="F112" s="902">
        <f t="shared" si="26"/>
        <v>0</v>
      </c>
      <c r="G112" s="903"/>
      <c r="H112" s="902">
        <f t="shared" si="27"/>
        <v>0</v>
      </c>
      <c r="I112" s="903"/>
      <c r="J112" s="902">
        <f t="shared" si="28"/>
        <v>0</v>
      </c>
      <c r="K112" s="903"/>
      <c r="L112" s="902">
        <f t="shared" si="29"/>
        <v>0</v>
      </c>
      <c r="M112" s="903"/>
      <c r="N112" s="902"/>
      <c r="O112" s="903">
        <v>1</v>
      </c>
      <c r="P112" s="902">
        <f t="shared" si="30"/>
        <v>0</v>
      </c>
      <c r="Q112" s="903"/>
      <c r="R112" s="902">
        <f t="shared" si="31"/>
        <v>0</v>
      </c>
      <c r="S112" s="903"/>
      <c r="T112" s="902">
        <f t="shared" si="32"/>
        <v>0</v>
      </c>
      <c r="U112" s="903"/>
      <c r="V112" s="902">
        <f t="shared" si="33"/>
        <v>0</v>
      </c>
      <c r="W112" s="903"/>
      <c r="X112" s="902">
        <f t="shared" si="34"/>
        <v>0</v>
      </c>
      <c r="Y112" s="903"/>
      <c r="Z112" s="902">
        <f t="shared" si="35"/>
        <v>0</v>
      </c>
      <c r="AA112" s="903"/>
      <c r="AB112" s="949" t="e">
        <f>#REF!*配件数量!O112</f>
        <v>#REF!</v>
      </c>
      <c r="AC112" s="950"/>
    </row>
    <row r="113" ht="16.9" customHeight="1" spans="1:29">
      <c r="A113" s="897" t="s">
        <v>4551</v>
      </c>
      <c r="B113" s="898" t="s">
        <v>4868</v>
      </c>
      <c r="C113" s="899" t="s">
        <v>4556</v>
      </c>
      <c r="D113" s="904" t="s">
        <v>4555</v>
      </c>
      <c r="E113" s="905"/>
      <c r="F113" s="902">
        <f t="shared" si="26"/>
        <v>0</v>
      </c>
      <c r="G113" s="903"/>
      <c r="H113" s="902">
        <f t="shared" si="27"/>
        <v>0</v>
      </c>
      <c r="I113" s="903"/>
      <c r="J113" s="902">
        <f t="shared" si="28"/>
        <v>0</v>
      </c>
      <c r="K113" s="903"/>
      <c r="L113" s="902">
        <f t="shared" si="29"/>
        <v>0</v>
      </c>
      <c r="M113" s="903"/>
      <c r="N113" s="902"/>
      <c r="O113" s="903">
        <v>1</v>
      </c>
      <c r="P113" s="902">
        <f t="shared" si="30"/>
        <v>0</v>
      </c>
      <c r="Q113" s="903"/>
      <c r="R113" s="902">
        <f t="shared" si="31"/>
        <v>0</v>
      </c>
      <c r="S113" s="903"/>
      <c r="T113" s="902">
        <f t="shared" si="32"/>
        <v>0</v>
      </c>
      <c r="U113" s="903"/>
      <c r="V113" s="902">
        <f t="shared" si="33"/>
        <v>0</v>
      </c>
      <c r="W113" s="903"/>
      <c r="X113" s="902">
        <f t="shared" si="34"/>
        <v>0</v>
      </c>
      <c r="Y113" s="903"/>
      <c r="Z113" s="902">
        <f t="shared" si="35"/>
        <v>0</v>
      </c>
      <c r="AA113" s="903"/>
      <c r="AB113" s="949" t="e">
        <f>#REF!*配件数量!O113</f>
        <v>#REF!</v>
      </c>
      <c r="AC113" s="950"/>
    </row>
    <row r="114" ht="16.9" customHeight="1" spans="1:29">
      <c r="A114" s="897" t="s">
        <v>4569</v>
      </c>
      <c r="B114" s="898" t="s">
        <v>4870</v>
      </c>
      <c r="C114" s="899" t="s">
        <v>4571</v>
      </c>
      <c r="D114" s="904" t="s">
        <v>4570</v>
      </c>
      <c r="E114" s="905"/>
      <c r="F114" s="902">
        <f t="shared" si="26"/>
        <v>0</v>
      </c>
      <c r="G114" s="903"/>
      <c r="H114" s="902">
        <f t="shared" si="27"/>
        <v>0</v>
      </c>
      <c r="I114" s="903"/>
      <c r="J114" s="902">
        <f t="shared" si="28"/>
        <v>0</v>
      </c>
      <c r="K114" s="903"/>
      <c r="L114" s="902">
        <f t="shared" si="29"/>
        <v>0</v>
      </c>
      <c r="M114" s="903"/>
      <c r="N114" s="902"/>
      <c r="O114" s="903">
        <v>1</v>
      </c>
      <c r="P114" s="902">
        <f t="shared" si="30"/>
        <v>0</v>
      </c>
      <c r="Q114" s="903"/>
      <c r="R114" s="902">
        <f t="shared" si="31"/>
        <v>0</v>
      </c>
      <c r="S114" s="903"/>
      <c r="T114" s="902">
        <f t="shared" si="32"/>
        <v>0</v>
      </c>
      <c r="U114" s="903"/>
      <c r="V114" s="902">
        <f t="shared" si="33"/>
        <v>0</v>
      </c>
      <c r="W114" s="903"/>
      <c r="X114" s="902">
        <f t="shared" si="34"/>
        <v>0</v>
      </c>
      <c r="Y114" s="903"/>
      <c r="Z114" s="902">
        <f t="shared" si="35"/>
        <v>0</v>
      </c>
      <c r="AA114" s="903"/>
      <c r="AB114" s="949" t="e">
        <f>#REF!*配件数量!O114</f>
        <v>#REF!</v>
      </c>
      <c r="AC114" s="950"/>
    </row>
    <row r="115" ht="16.9" customHeight="1" spans="1:29">
      <c r="A115" s="897" t="s">
        <v>4569</v>
      </c>
      <c r="B115" s="898" t="s">
        <v>4870</v>
      </c>
      <c r="C115" s="899" t="s">
        <v>4573</v>
      </c>
      <c r="D115" s="904" t="s">
        <v>4572</v>
      </c>
      <c r="E115" s="905"/>
      <c r="F115" s="902">
        <f t="shared" si="26"/>
        <v>0</v>
      </c>
      <c r="G115" s="903"/>
      <c r="H115" s="902">
        <f t="shared" si="27"/>
        <v>0</v>
      </c>
      <c r="I115" s="903"/>
      <c r="J115" s="902">
        <f t="shared" si="28"/>
        <v>0</v>
      </c>
      <c r="K115" s="903"/>
      <c r="L115" s="902">
        <f t="shared" si="29"/>
        <v>0</v>
      </c>
      <c r="M115" s="903"/>
      <c r="N115" s="902"/>
      <c r="O115" s="903">
        <v>1</v>
      </c>
      <c r="P115" s="902">
        <f t="shared" si="30"/>
        <v>0</v>
      </c>
      <c r="Q115" s="903"/>
      <c r="R115" s="902">
        <f t="shared" si="31"/>
        <v>0</v>
      </c>
      <c r="S115" s="903"/>
      <c r="T115" s="902">
        <f t="shared" si="32"/>
        <v>0</v>
      </c>
      <c r="U115" s="903"/>
      <c r="V115" s="902">
        <f t="shared" si="33"/>
        <v>0</v>
      </c>
      <c r="W115" s="903"/>
      <c r="X115" s="902">
        <f t="shared" si="34"/>
        <v>0</v>
      </c>
      <c r="Y115" s="903"/>
      <c r="Z115" s="902">
        <f t="shared" si="35"/>
        <v>0</v>
      </c>
      <c r="AA115" s="903"/>
      <c r="AB115" s="949" t="e">
        <f>#REF!*配件数量!O115</f>
        <v>#REF!</v>
      </c>
      <c r="AC115" s="950"/>
    </row>
    <row r="116" ht="22.5" customHeight="1" spans="1:29">
      <c r="A116" s="897" t="s">
        <v>4590</v>
      </c>
      <c r="B116" s="898" t="s">
        <v>4873</v>
      </c>
      <c r="C116" s="899" t="s">
        <v>4598</v>
      </c>
      <c r="D116" s="904" t="s">
        <v>4599</v>
      </c>
      <c r="E116" s="905"/>
      <c r="F116" s="902">
        <f t="shared" si="26"/>
        <v>0</v>
      </c>
      <c r="G116" s="903"/>
      <c r="H116" s="902">
        <f t="shared" si="27"/>
        <v>0</v>
      </c>
      <c r="I116" s="903"/>
      <c r="J116" s="902">
        <f t="shared" si="28"/>
        <v>0</v>
      </c>
      <c r="K116" s="903"/>
      <c r="L116" s="902">
        <f t="shared" si="29"/>
        <v>0</v>
      </c>
      <c r="M116" s="903"/>
      <c r="N116" s="902"/>
      <c r="O116" s="903">
        <v>1</v>
      </c>
      <c r="P116" s="902">
        <f t="shared" si="30"/>
        <v>0</v>
      </c>
      <c r="Q116" s="903"/>
      <c r="R116" s="902">
        <f t="shared" si="31"/>
        <v>0</v>
      </c>
      <c r="S116" s="903"/>
      <c r="T116" s="902">
        <f t="shared" si="32"/>
        <v>0</v>
      </c>
      <c r="U116" s="903"/>
      <c r="V116" s="902">
        <f t="shared" si="33"/>
        <v>0</v>
      </c>
      <c r="W116" s="903"/>
      <c r="X116" s="902">
        <f t="shared" si="34"/>
        <v>0</v>
      </c>
      <c r="Y116" s="903"/>
      <c r="Z116" s="902">
        <f t="shared" si="35"/>
        <v>0</v>
      </c>
      <c r="AA116" s="903"/>
      <c r="AB116" s="949" t="e">
        <f>#REF!*配件数量!O116</f>
        <v>#REF!</v>
      </c>
      <c r="AC116" s="950"/>
    </row>
    <row r="117" ht="17.1" customHeight="1" spans="1:29">
      <c r="A117" s="884" t="s">
        <v>4628</v>
      </c>
      <c r="B117" s="885" t="s">
        <v>4877</v>
      </c>
      <c r="C117" s="886" t="s">
        <v>4508</v>
      </c>
      <c r="D117" s="887" t="s">
        <v>4631</v>
      </c>
      <c r="E117" s="940"/>
      <c r="F117" s="906">
        <f t="shared" si="26"/>
        <v>0</v>
      </c>
      <c r="G117" s="889"/>
      <c r="H117" s="906">
        <f t="shared" si="27"/>
        <v>0</v>
      </c>
      <c r="I117" s="889"/>
      <c r="J117" s="906">
        <f t="shared" si="28"/>
        <v>0</v>
      </c>
      <c r="K117" s="889"/>
      <c r="L117" s="906">
        <f t="shared" si="29"/>
        <v>0</v>
      </c>
      <c r="M117" s="889"/>
      <c r="N117" s="906"/>
      <c r="O117" s="889">
        <v>15</v>
      </c>
      <c r="P117" s="906">
        <f t="shared" si="30"/>
        <v>0</v>
      </c>
      <c r="Q117" s="889"/>
      <c r="R117" s="906">
        <f t="shared" si="31"/>
        <v>0</v>
      </c>
      <c r="S117" s="889"/>
      <c r="T117" s="906">
        <f t="shared" si="32"/>
        <v>0</v>
      </c>
      <c r="U117" s="889"/>
      <c r="V117" s="906">
        <f t="shared" si="33"/>
        <v>0</v>
      </c>
      <c r="W117" s="889"/>
      <c r="X117" s="906">
        <f t="shared" si="34"/>
        <v>0</v>
      </c>
      <c r="Y117" s="889"/>
      <c r="Z117" s="906">
        <f t="shared" si="35"/>
        <v>0</v>
      </c>
      <c r="AA117" s="889"/>
      <c r="AB117" s="949" t="e">
        <f>#REF!*配件数量!O117</f>
        <v>#REF!</v>
      </c>
      <c r="AC117" s="950"/>
    </row>
    <row r="118" ht="17.1" customHeight="1" spans="1:29">
      <c r="A118" s="897" t="s">
        <v>4628</v>
      </c>
      <c r="B118" s="898" t="s">
        <v>4877</v>
      </c>
      <c r="C118" s="899" t="s">
        <v>4508</v>
      </c>
      <c r="D118" s="904" t="s">
        <v>4632</v>
      </c>
      <c r="E118" s="905"/>
      <c r="F118" s="902">
        <f t="shared" si="26"/>
        <v>0</v>
      </c>
      <c r="G118" s="903"/>
      <c r="H118" s="902">
        <f t="shared" si="27"/>
        <v>0</v>
      </c>
      <c r="I118" s="903"/>
      <c r="J118" s="902">
        <f t="shared" si="28"/>
        <v>0</v>
      </c>
      <c r="K118" s="903"/>
      <c r="L118" s="902">
        <f t="shared" si="29"/>
        <v>0</v>
      </c>
      <c r="M118" s="903"/>
      <c r="N118" s="902"/>
      <c r="O118" s="903">
        <v>8</v>
      </c>
      <c r="P118" s="902">
        <f t="shared" si="30"/>
        <v>0</v>
      </c>
      <c r="Q118" s="903"/>
      <c r="R118" s="902">
        <f t="shared" si="31"/>
        <v>0</v>
      </c>
      <c r="S118" s="903"/>
      <c r="T118" s="902">
        <f t="shared" si="32"/>
        <v>0</v>
      </c>
      <c r="U118" s="903"/>
      <c r="V118" s="902">
        <f t="shared" si="33"/>
        <v>0</v>
      </c>
      <c r="W118" s="903"/>
      <c r="X118" s="902">
        <f t="shared" si="34"/>
        <v>0</v>
      </c>
      <c r="Y118" s="903"/>
      <c r="Z118" s="902">
        <f t="shared" si="35"/>
        <v>0</v>
      </c>
      <c r="AA118" s="903"/>
      <c r="AB118" s="949" t="e">
        <f>#REF!*配件数量!O118</f>
        <v>#REF!</v>
      </c>
      <c r="AC118" s="950"/>
    </row>
    <row r="119" ht="17.1" customHeight="1" spans="1:29">
      <c r="A119" s="897" t="s">
        <v>4633</v>
      </c>
      <c r="B119" s="898" t="s">
        <v>4878</v>
      </c>
      <c r="C119" s="899" t="s">
        <v>4508</v>
      </c>
      <c r="D119" s="904" t="s">
        <v>4638</v>
      </c>
      <c r="E119" s="905"/>
      <c r="F119" s="902">
        <f t="shared" si="26"/>
        <v>0</v>
      </c>
      <c r="G119" s="903"/>
      <c r="H119" s="902">
        <f t="shared" si="27"/>
        <v>0</v>
      </c>
      <c r="I119" s="903"/>
      <c r="J119" s="902">
        <f t="shared" si="28"/>
        <v>0</v>
      </c>
      <c r="K119" s="903"/>
      <c r="L119" s="902">
        <f t="shared" si="29"/>
        <v>0</v>
      </c>
      <c r="M119" s="903"/>
      <c r="N119" s="902"/>
      <c r="O119" s="903">
        <v>15</v>
      </c>
      <c r="P119" s="902">
        <f t="shared" si="30"/>
        <v>0</v>
      </c>
      <c r="Q119" s="903"/>
      <c r="R119" s="902">
        <f t="shared" si="31"/>
        <v>0</v>
      </c>
      <c r="S119" s="903"/>
      <c r="T119" s="902">
        <f t="shared" si="32"/>
        <v>0</v>
      </c>
      <c r="U119" s="903"/>
      <c r="V119" s="902">
        <f t="shared" si="33"/>
        <v>0</v>
      </c>
      <c r="W119" s="903"/>
      <c r="X119" s="902">
        <f t="shared" si="34"/>
        <v>0</v>
      </c>
      <c r="Y119" s="903"/>
      <c r="Z119" s="902">
        <f t="shared" si="35"/>
        <v>0</v>
      </c>
      <c r="AA119" s="903"/>
      <c r="AB119" s="949" t="e">
        <f>#REF!*配件数量!O119</f>
        <v>#REF!</v>
      </c>
      <c r="AC119" s="950"/>
    </row>
    <row r="120" ht="17.1" customHeight="1" spans="1:29">
      <c r="A120" s="897" t="s">
        <v>4662</v>
      </c>
      <c r="B120" s="941" t="s">
        <v>4606</v>
      </c>
      <c r="C120" s="899" t="s">
        <v>4571</v>
      </c>
      <c r="D120" s="904" t="s">
        <v>4663</v>
      </c>
      <c r="E120" s="905"/>
      <c r="F120" s="902">
        <f t="shared" si="26"/>
        <v>0</v>
      </c>
      <c r="G120" s="903"/>
      <c r="H120" s="902">
        <f t="shared" si="27"/>
        <v>0</v>
      </c>
      <c r="I120" s="903"/>
      <c r="J120" s="902">
        <f t="shared" si="28"/>
        <v>0</v>
      </c>
      <c r="K120" s="903"/>
      <c r="L120" s="902">
        <f t="shared" si="29"/>
        <v>0</v>
      </c>
      <c r="M120" s="903"/>
      <c r="N120" s="902"/>
      <c r="O120" s="903">
        <v>2</v>
      </c>
      <c r="P120" s="902">
        <f t="shared" si="30"/>
        <v>0</v>
      </c>
      <c r="Q120" s="903"/>
      <c r="R120" s="902">
        <f t="shared" si="31"/>
        <v>0</v>
      </c>
      <c r="S120" s="903"/>
      <c r="T120" s="902">
        <f t="shared" si="32"/>
        <v>0</v>
      </c>
      <c r="U120" s="903"/>
      <c r="V120" s="902">
        <f t="shared" si="33"/>
        <v>0</v>
      </c>
      <c r="W120" s="903"/>
      <c r="X120" s="902">
        <f t="shared" si="34"/>
        <v>0</v>
      </c>
      <c r="Y120" s="903"/>
      <c r="Z120" s="902">
        <f t="shared" si="35"/>
        <v>0</v>
      </c>
      <c r="AA120" s="903"/>
      <c r="AB120" s="949" t="e">
        <f>#REF!*配件数量!O120</f>
        <v>#REF!</v>
      </c>
      <c r="AC120" s="950"/>
    </row>
    <row r="121" ht="17.1" customHeight="1" spans="1:29">
      <c r="A121" s="890" t="s">
        <v>4671</v>
      </c>
      <c r="B121" s="891"/>
      <c r="C121" s="892" t="s">
        <v>4598</v>
      </c>
      <c r="D121" s="893" t="s">
        <v>4672</v>
      </c>
      <c r="E121" s="942"/>
      <c r="F121" s="896">
        <f t="shared" si="26"/>
        <v>0</v>
      </c>
      <c r="G121" s="895"/>
      <c r="H121" s="896">
        <f t="shared" si="27"/>
        <v>0</v>
      </c>
      <c r="I121" s="895"/>
      <c r="J121" s="896">
        <f t="shared" si="28"/>
        <v>0</v>
      </c>
      <c r="K121" s="895"/>
      <c r="L121" s="896">
        <f t="shared" si="29"/>
        <v>0</v>
      </c>
      <c r="M121" s="895"/>
      <c r="N121" s="896"/>
      <c r="O121" s="895">
        <v>1</v>
      </c>
      <c r="P121" s="896">
        <f t="shared" si="30"/>
        <v>0</v>
      </c>
      <c r="Q121" s="895"/>
      <c r="R121" s="896">
        <f t="shared" si="31"/>
        <v>0</v>
      </c>
      <c r="S121" s="895"/>
      <c r="T121" s="896">
        <f t="shared" si="32"/>
        <v>0</v>
      </c>
      <c r="U121" s="895"/>
      <c r="V121" s="896">
        <f t="shared" si="33"/>
        <v>0</v>
      </c>
      <c r="W121" s="895"/>
      <c r="X121" s="896">
        <f t="shared" si="34"/>
        <v>0</v>
      </c>
      <c r="Y121" s="895"/>
      <c r="Z121" s="896">
        <f t="shared" si="35"/>
        <v>0</v>
      </c>
      <c r="AA121" s="895"/>
      <c r="AB121" s="951" t="e">
        <f>#REF!*配件数量!O121</f>
        <v>#REF!</v>
      </c>
      <c r="AC121" s="952"/>
    </row>
    <row r="122" ht="12" customHeight="1" spans="1:29">
      <c r="A122" s="927"/>
      <c r="B122" s="928"/>
      <c r="C122" s="929"/>
      <c r="D122" s="930"/>
      <c r="E122" s="931"/>
      <c r="F122" s="932"/>
      <c r="G122" s="932"/>
      <c r="H122" s="932"/>
      <c r="I122" s="932"/>
      <c r="J122" s="932"/>
      <c r="K122" s="932"/>
      <c r="L122" s="932"/>
      <c r="M122" s="932"/>
      <c r="N122" s="932"/>
      <c r="O122" s="932"/>
      <c r="P122" s="932"/>
      <c r="Q122" s="932"/>
      <c r="R122" s="932"/>
      <c r="S122" s="932"/>
      <c r="T122" s="932"/>
      <c r="U122" s="932"/>
      <c r="V122" s="932"/>
      <c r="W122" s="932"/>
      <c r="X122" s="932"/>
      <c r="Y122" s="932"/>
      <c r="Z122" s="932"/>
      <c r="AA122" s="932"/>
      <c r="AB122" s="945"/>
      <c r="AC122" s="946"/>
    </row>
    <row r="123" ht="16.9" customHeight="1" spans="1:29">
      <c r="A123" s="897" t="s">
        <v>4541</v>
      </c>
      <c r="B123" s="898" t="s">
        <v>4867</v>
      </c>
      <c r="C123" s="899" t="s">
        <v>4543</v>
      </c>
      <c r="D123" s="900" t="s">
        <v>4542</v>
      </c>
      <c r="E123" s="901"/>
      <c r="F123" s="902">
        <f t="shared" ref="F123:F129" si="36">F$6*G123</f>
        <v>0</v>
      </c>
      <c r="G123" s="903"/>
      <c r="H123" s="902">
        <f t="shared" ref="H123:H129" si="37">H$6*I123</f>
        <v>485680</v>
      </c>
      <c r="I123" s="903">
        <v>1</v>
      </c>
      <c r="J123" s="902">
        <f t="shared" ref="J123:J129" si="38">J$6*K123</f>
        <v>0</v>
      </c>
      <c r="K123" s="903"/>
      <c r="L123" s="902">
        <f t="shared" ref="L123:L129" si="39">L$6*M123</f>
        <v>0</v>
      </c>
      <c r="M123" s="903"/>
      <c r="N123" s="902">
        <f t="shared" ref="N123:N130" si="40">N$6*O123</f>
        <v>0</v>
      </c>
      <c r="O123" s="903"/>
      <c r="P123" s="902">
        <f t="shared" ref="P123:P129" si="41">P$6*Q123</f>
        <v>0</v>
      </c>
      <c r="Q123" s="903"/>
      <c r="R123" s="902">
        <f t="shared" ref="R123:R129" si="42">R$6*S123</f>
        <v>0</v>
      </c>
      <c r="S123" s="903"/>
      <c r="T123" s="902">
        <f t="shared" ref="T123:T129" si="43">T$6*U123</f>
        <v>0</v>
      </c>
      <c r="U123" s="903"/>
      <c r="V123" s="902">
        <f t="shared" ref="V123:V129" si="44">V$6*W123</f>
        <v>0</v>
      </c>
      <c r="W123" s="903"/>
      <c r="X123" s="902">
        <f t="shared" ref="X123:X129" si="45">X$6*Y123</f>
        <v>0</v>
      </c>
      <c r="Y123" s="903"/>
      <c r="Z123" s="902">
        <f t="shared" ref="Z123:Z129" si="46">Z$6*AA123</f>
        <v>0</v>
      </c>
      <c r="AA123" s="903"/>
      <c r="AB123" s="919">
        <f t="shared" ref="AB123:AB129" si="47">SUM(F123,H123,J123,L123,N123,P123,R123,T123,V123,X123,Z123)</f>
        <v>485680</v>
      </c>
      <c r="AC123" s="953" t="s">
        <v>4883</v>
      </c>
    </row>
    <row r="124" ht="16.9" customHeight="1" spans="1:29">
      <c r="A124" s="897" t="s">
        <v>4541</v>
      </c>
      <c r="B124" s="898" t="s">
        <v>4867</v>
      </c>
      <c r="C124" s="899" t="s">
        <v>4543</v>
      </c>
      <c r="D124" s="904" t="s">
        <v>4544</v>
      </c>
      <c r="E124" s="905"/>
      <c r="F124" s="902">
        <f t="shared" si="36"/>
        <v>0</v>
      </c>
      <c r="G124" s="903"/>
      <c r="H124" s="902">
        <f t="shared" si="37"/>
        <v>485680</v>
      </c>
      <c r="I124" s="903">
        <v>1</v>
      </c>
      <c r="J124" s="902">
        <f t="shared" si="38"/>
        <v>0</v>
      </c>
      <c r="K124" s="903"/>
      <c r="L124" s="902">
        <f t="shared" si="39"/>
        <v>0</v>
      </c>
      <c r="M124" s="903"/>
      <c r="N124" s="902">
        <f t="shared" si="40"/>
        <v>0</v>
      </c>
      <c r="O124" s="903"/>
      <c r="P124" s="902">
        <f t="shared" si="41"/>
        <v>0</v>
      </c>
      <c r="Q124" s="903"/>
      <c r="R124" s="902">
        <f t="shared" si="42"/>
        <v>0</v>
      </c>
      <c r="S124" s="903"/>
      <c r="T124" s="902">
        <f t="shared" si="43"/>
        <v>0</v>
      </c>
      <c r="U124" s="903"/>
      <c r="V124" s="902">
        <f t="shared" si="44"/>
        <v>0</v>
      </c>
      <c r="W124" s="903"/>
      <c r="X124" s="902">
        <f t="shared" si="45"/>
        <v>0</v>
      </c>
      <c r="Y124" s="903"/>
      <c r="Z124" s="902">
        <f t="shared" si="46"/>
        <v>0</v>
      </c>
      <c r="AA124" s="903"/>
      <c r="AB124" s="919">
        <f t="shared" si="47"/>
        <v>485680</v>
      </c>
      <c r="AC124" s="954"/>
    </row>
    <row r="125" ht="16.9" customHeight="1" spans="1:29">
      <c r="A125" s="897" t="s">
        <v>4551</v>
      </c>
      <c r="B125" s="898" t="s">
        <v>4868</v>
      </c>
      <c r="C125" s="899" t="s">
        <v>4543</v>
      </c>
      <c r="D125" s="904" t="s">
        <v>4552</v>
      </c>
      <c r="E125" s="905"/>
      <c r="F125" s="902">
        <f t="shared" si="36"/>
        <v>0</v>
      </c>
      <c r="G125" s="903"/>
      <c r="H125" s="902">
        <f t="shared" si="37"/>
        <v>485680</v>
      </c>
      <c r="I125" s="903">
        <v>1</v>
      </c>
      <c r="J125" s="902">
        <f t="shared" si="38"/>
        <v>0</v>
      </c>
      <c r="K125" s="903"/>
      <c r="L125" s="902">
        <f t="shared" si="39"/>
        <v>0</v>
      </c>
      <c r="M125" s="903"/>
      <c r="N125" s="902">
        <f t="shared" si="40"/>
        <v>0</v>
      </c>
      <c r="O125" s="903"/>
      <c r="P125" s="902">
        <f t="shared" si="41"/>
        <v>0</v>
      </c>
      <c r="Q125" s="903"/>
      <c r="R125" s="902">
        <f t="shared" si="42"/>
        <v>0</v>
      </c>
      <c r="S125" s="903"/>
      <c r="T125" s="902">
        <f t="shared" si="43"/>
        <v>0</v>
      </c>
      <c r="U125" s="903"/>
      <c r="V125" s="902">
        <f t="shared" si="44"/>
        <v>0</v>
      </c>
      <c r="W125" s="903"/>
      <c r="X125" s="902">
        <f t="shared" si="45"/>
        <v>0</v>
      </c>
      <c r="Y125" s="903"/>
      <c r="Z125" s="902">
        <f t="shared" si="46"/>
        <v>0</v>
      </c>
      <c r="AA125" s="903"/>
      <c r="AB125" s="919">
        <f t="shared" si="47"/>
        <v>485680</v>
      </c>
      <c r="AC125" s="954"/>
    </row>
    <row r="126" ht="16.9" customHeight="1" spans="1:29">
      <c r="A126" s="897" t="s">
        <v>4551</v>
      </c>
      <c r="B126" s="898" t="s">
        <v>4868</v>
      </c>
      <c r="C126" s="899" t="s">
        <v>4554</v>
      </c>
      <c r="D126" s="904" t="s">
        <v>4553</v>
      </c>
      <c r="E126" s="905"/>
      <c r="F126" s="902">
        <f t="shared" si="36"/>
        <v>0</v>
      </c>
      <c r="G126" s="903"/>
      <c r="H126" s="902">
        <f t="shared" si="37"/>
        <v>0</v>
      </c>
      <c r="I126" s="903"/>
      <c r="J126" s="902">
        <f t="shared" si="38"/>
        <v>445985</v>
      </c>
      <c r="K126" s="903">
        <v>1</v>
      </c>
      <c r="L126" s="902">
        <f t="shared" si="39"/>
        <v>0</v>
      </c>
      <c r="M126" s="903"/>
      <c r="N126" s="902">
        <f t="shared" si="40"/>
        <v>0</v>
      </c>
      <c r="O126" s="903"/>
      <c r="P126" s="902">
        <f t="shared" si="41"/>
        <v>0</v>
      </c>
      <c r="Q126" s="903"/>
      <c r="R126" s="902">
        <f t="shared" si="42"/>
        <v>0</v>
      </c>
      <c r="S126" s="903"/>
      <c r="T126" s="902">
        <f t="shared" si="43"/>
        <v>0</v>
      </c>
      <c r="U126" s="903"/>
      <c r="V126" s="902">
        <f t="shared" si="44"/>
        <v>0</v>
      </c>
      <c r="W126" s="903"/>
      <c r="X126" s="902">
        <f t="shared" si="45"/>
        <v>0</v>
      </c>
      <c r="Y126" s="903"/>
      <c r="Z126" s="902">
        <f t="shared" si="46"/>
        <v>0</v>
      </c>
      <c r="AA126" s="903"/>
      <c r="AB126" s="919">
        <f t="shared" si="47"/>
        <v>445985</v>
      </c>
      <c r="AC126" s="954"/>
    </row>
    <row r="127" ht="16.9" customHeight="1" spans="1:29">
      <c r="A127" s="897" t="s">
        <v>4551</v>
      </c>
      <c r="B127" s="898" t="s">
        <v>4868</v>
      </c>
      <c r="C127" s="899" t="s">
        <v>4558</v>
      </c>
      <c r="D127" s="904" t="s">
        <v>4557</v>
      </c>
      <c r="E127" s="905"/>
      <c r="F127" s="902">
        <f t="shared" si="36"/>
        <v>0</v>
      </c>
      <c r="G127" s="903"/>
      <c r="H127" s="902">
        <f t="shared" si="37"/>
        <v>0</v>
      </c>
      <c r="I127" s="903"/>
      <c r="J127" s="902">
        <f t="shared" si="38"/>
        <v>0</v>
      </c>
      <c r="K127" s="903"/>
      <c r="L127" s="902">
        <f t="shared" si="39"/>
        <v>445985</v>
      </c>
      <c r="M127" s="903">
        <v>1</v>
      </c>
      <c r="N127" s="902">
        <f t="shared" si="40"/>
        <v>0</v>
      </c>
      <c r="O127" s="903"/>
      <c r="P127" s="902">
        <f t="shared" si="41"/>
        <v>0</v>
      </c>
      <c r="Q127" s="903"/>
      <c r="R127" s="902">
        <f t="shared" si="42"/>
        <v>0</v>
      </c>
      <c r="S127" s="903"/>
      <c r="T127" s="902">
        <f t="shared" si="43"/>
        <v>0</v>
      </c>
      <c r="U127" s="903"/>
      <c r="V127" s="902">
        <f t="shared" si="44"/>
        <v>0</v>
      </c>
      <c r="W127" s="903"/>
      <c r="X127" s="902">
        <f t="shared" si="45"/>
        <v>0</v>
      </c>
      <c r="Y127" s="903"/>
      <c r="Z127" s="902">
        <f t="shared" si="46"/>
        <v>0</v>
      </c>
      <c r="AA127" s="903"/>
      <c r="AB127" s="919">
        <f t="shared" si="47"/>
        <v>445985</v>
      </c>
      <c r="AC127" s="954"/>
    </row>
    <row r="128" ht="16.9" customHeight="1" spans="1:29">
      <c r="A128" s="897" t="s">
        <v>4551</v>
      </c>
      <c r="B128" s="898" t="s">
        <v>4868</v>
      </c>
      <c r="C128" s="899" t="s">
        <v>4560</v>
      </c>
      <c r="D128" s="904" t="s">
        <v>4559</v>
      </c>
      <c r="E128" s="905"/>
      <c r="F128" s="902">
        <f t="shared" si="36"/>
        <v>0</v>
      </c>
      <c r="G128" s="903"/>
      <c r="H128" s="902">
        <f t="shared" si="37"/>
        <v>0</v>
      </c>
      <c r="I128" s="903"/>
      <c r="J128" s="902">
        <f t="shared" si="38"/>
        <v>0</v>
      </c>
      <c r="K128" s="903"/>
      <c r="L128" s="902">
        <f t="shared" si="39"/>
        <v>0</v>
      </c>
      <c r="M128" s="903"/>
      <c r="N128" s="902">
        <f t="shared" si="40"/>
        <v>0</v>
      </c>
      <c r="O128" s="903"/>
      <c r="P128" s="902">
        <f t="shared" si="41"/>
        <v>0</v>
      </c>
      <c r="Q128" s="903"/>
      <c r="R128" s="902">
        <f t="shared" si="42"/>
        <v>0</v>
      </c>
      <c r="S128" s="903"/>
      <c r="T128" s="902">
        <f t="shared" si="43"/>
        <v>0</v>
      </c>
      <c r="U128" s="903"/>
      <c r="V128" s="902">
        <f t="shared" si="44"/>
        <v>397884</v>
      </c>
      <c r="W128" s="903">
        <v>1</v>
      </c>
      <c r="X128" s="902">
        <f t="shared" si="45"/>
        <v>0</v>
      </c>
      <c r="Y128" s="903"/>
      <c r="Z128" s="902">
        <f t="shared" si="46"/>
        <v>0</v>
      </c>
      <c r="AA128" s="903"/>
      <c r="AB128" s="919">
        <f t="shared" si="47"/>
        <v>397884</v>
      </c>
      <c r="AC128" s="954"/>
    </row>
    <row r="129" ht="16.9" customHeight="1" spans="1:29">
      <c r="A129" s="897" t="s">
        <v>4562</v>
      </c>
      <c r="B129" s="898" t="s">
        <v>4869</v>
      </c>
      <c r="C129" s="899" t="s">
        <v>4513</v>
      </c>
      <c r="D129" s="904" t="s">
        <v>4564</v>
      </c>
      <c r="E129" s="905"/>
      <c r="F129" s="902">
        <f t="shared" si="36"/>
        <v>0</v>
      </c>
      <c r="G129" s="903"/>
      <c r="H129" s="902">
        <f t="shared" si="37"/>
        <v>485680</v>
      </c>
      <c r="I129" s="903">
        <v>1</v>
      </c>
      <c r="J129" s="902">
        <f t="shared" si="38"/>
        <v>0</v>
      </c>
      <c r="K129" s="903"/>
      <c r="L129" s="902">
        <f t="shared" si="39"/>
        <v>0</v>
      </c>
      <c r="M129" s="903"/>
      <c r="N129" s="902">
        <f t="shared" si="40"/>
        <v>0</v>
      </c>
      <c r="O129" s="903"/>
      <c r="P129" s="902">
        <f t="shared" si="41"/>
        <v>0</v>
      </c>
      <c r="Q129" s="903"/>
      <c r="R129" s="902">
        <f t="shared" si="42"/>
        <v>0</v>
      </c>
      <c r="S129" s="903"/>
      <c r="T129" s="902">
        <f t="shared" si="43"/>
        <v>0</v>
      </c>
      <c r="U129" s="903"/>
      <c r="V129" s="902">
        <f t="shared" si="44"/>
        <v>0</v>
      </c>
      <c r="W129" s="903"/>
      <c r="X129" s="902">
        <f t="shared" si="45"/>
        <v>0</v>
      </c>
      <c r="Y129" s="903"/>
      <c r="Z129" s="902">
        <f t="shared" si="46"/>
        <v>0</v>
      </c>
      <c r="AA129" s="903"/>
      <c r="AB129" s="919">
        <f t="shared" si="47"/>
        <v>485680</v>
      </c>
      <c r="AC129" s="918"/>
    </row>
    <row r="130" ht="16.9" customHeight="1" spans="1:29">
      <c r="A130" s="897" t="s">
        <v>4590</v>
      </c>
      <c r="B130" s="898" t="s">
        <v>4873</v>
      </c>
      <c r="C130" s="899" t="s">
        <v>4592</v>
      </c>
      <c r="D130" s="904" t="s">
        <v>4591</v>
      </c>
      <c r="E130" s="905"/>
      <c r="F130" s="902">
        <v>0</v>
      </c>
      <c r="G130" s="903"/>
      <c r="H130" s="902">
        <v>83200</v>
      </c>
      <c r="I130" s="903">
        <v>1</v>
      </c>
      <c r="J130" s="902">
        <v>0</v>
      </c>
      <c r="K130" s="903"/>
      <c r="L130" s="902">
        <v>0</v>
      </c>
      <c r="M130" s="903"/>
      <c r="N130" s="902">
        <f t="shared" si="40"/>
        <v>0</v>
      </c>
      <c r="O130" s="903"/>
      <c r="P130" s="902">
        <v>0</v>
      </c>
      <c r="Q130" s="903"/>
      <c r="R130" s="902">
        <v>0</v>
      </c>
      <c r="S130" s="903"/>
      <c r="T130" s="902">
        <v>0</v>
      </c>
      <c r="U130" s="903"/>
      <c r="V130" s="902">
        <v>0</v>
      </c>
      <c r="W130" s="903"/>
      <c r="X130" s="902">
        <v>0</v>
      </c>
      <c r="Y130" s="903"/>
      <c r="Z130" s="902">
        <v>0</v>
      </c>
      <c r="AA130" s="903"/>
      <c r="AB130" s="919">
        <v>166400</v>
      </c>
      <c r="AC130" s="918"/>
    </row>
    <row r="131" ht="16.5" customHeight="1" spans="1:29">
      <c r="A131" s="897" t="s">
        <v>4590</v>
      </c>
      <c r="B131" s="898" t="s">
        <v>4873</v>
      </c>
      <c r="C131" s="899" t="s">
        <v>4513</v>
      </c>
      <c r="D131" s="904" t="s">
        <v>4593</v>
      </c>
      <c r="E131" s="905"/>
      <c r="F131" s="902">
        <v>0</v>
      </c>
      <c r="G131" s="903"/>
      <c r="H131" s="902">
        <v>83200</v>
      </c>
      <c r="I131" s="903">
        <v>1</v>
      </c>
      <c r="J131" s="902">
        <v>0</v>
      </c>
      <c r="K131" s="903"/>
      <c r="L131" s="902">
        <v>0</v>
      </c>
      <c r="M131" s="903"/>
      <c r="N131" s="902">
        <v>0</v>
      </c>
      <c r="O131" s="903"/>
      <c r="P131" s="902">
        <v>0</v>
      </c>
      <c r="Q131" s="903"/>
      <c r="R131" s="902">
        <v>0</v>
      </c>
      <c r="S131" s="903"/>
      <c r="T131" s="902">
        <v>0</v>
      </c>
      <c r="U131" s="903"/>
      <c r="V131" s="902">
        <v>0</v>
      </c>
      <c r="W131" s="903"/>
      <c r="X131" s="902">
        <v>0</v>
      </c>
      <c r="Y131" s="903"/>
      <c r="Z131" s="902">
        <v>0</v>
      </c>
      <c r="AA131" s="903"/>
      <c r="AB131" s="919">
        <v>83200</v>
      </c>
      <c r="AC131" s="918"/>
    </row>
    <row r="132" ht="17.1" customHeight="1" spans="1:29">
      <c r="A132" s="897" t="s">
        <v>4602</v>
      </c>
      <c r="B132" s="898" t="s">
        <v>4874</v>
      </c>
      <c r="C132" s="899" t="s">
        <v>4513</v>
      </c>
      <c r="D132" s="904" t="s">
        <v>4606</v>
      </c>
      <c r="E132" s="905"/>
      <c r="F132" s="902">
        <v>0</v>
      </c>
      <c r="G132" s="903"/>
      <c r="H132" s="902">
        <v>332800</v>
      </c>
      <c r="I132" s="903">
        <v>4</v>
      </c>
      <c r="J132" s="902">
        <v>0</v>
      </c>
      <c r="K132" s="903"/>
      <c r="L132" s="902">
        <v>0</v>
      </c>
      <c r="M132" s="903"/>
      <c r="N132" s="902">
        <v>0</v>
      </c>
      <c r="O132" s="903"/>
      <c r="P132" s="902">
        <v>0</v>
      </c>
      <c r="Q132" s="903"/>
      <c r="R132" s="902">
        <v>0</v>
      </c>
      <c r="S132" s="903"/>
      <c r="T132" s="902">
        <v>0</v>
      </c>
      <c r="U132" s="903"/>
      <c r="V132" s="902">
        <v>0</v>
      </c>
      <c r="W132" s="903"/>
      <c r="X132" s="902">
        <v>0</v>
      </c>
      <c r="Y132" s="903"/>
      <c r="Z132" s="902">
        <v>0</v>
      </c>
      <c r="AA132" s="903"/>
      <c r="AB132" s="919">
        <v>332800</v>
      </c>
      <c r="AC132" s="918"/>
    </row>
    <row r="133" ht="17.1" customHeight="1" spans="1:29">
      <c r="A133" s="897" t="s">
        <v>4612</v>
      </c>
      <c r="B133" s="898" t="s">
        <v>4875</v>
      </c>
      <c r="C133" s="899" t="s">
        <v>4513</v>
      </c>
      <c r="D133" s="904" t="s">
        <v>4619</v>
      </c>
      <c r="E133" s="905"/>
      <c r="F133" s="902">
        <v>0</v>
      </c>
      <c r="G133" s="903"/>
      <c r="H133" s="902">
        <v>166400</v>
      </c>
      <c r="I133" s="903">
        <v>2</v>
      </c>
      <c r="J133" s="902">
        <v>0</v>
      </c>
      <c r="K133" s="903"/>
      <c r="L133" s="902">
        <v>0</v>
      </c>
      <c r="M133" s="903"/>
      <c r="N133" s="902">
        <v>0</v>
      </c>
      <c r="O133" s="903"/>
      <c r="P133" s="902">
        <v>0</v>
      </c>
      <c r="Q133" s="903"/>
      <c r="R133" s="902">
        <v>0</v>
      </c>
      <c r="S133" s="903"/>
      <c r="T133" s="902">
        <v>0</v>
      </c>
      <c r="U133" s="903"/>
      <c r="V133" s="902">
        <v>0</v>
      </c>
      <c r="W133" s="903"/>
      <c r="X133" s="902">
        <v>0</v>
      </c>
      <c r="Y133" s="903"/>
      <c r="Z133" s="902">
        <v>0</v>
      </c>
      <c r="AA133" s="903"/>
      <c r="AB133" s="919">
        <v>166400</v>
      </c>
      <c r="AC133" s="918"/>
    </row>
    <row r="134" ht="17.1" customHeight="1" spans="1:29">
      <c r="A134" s="897" t="s">
        <v>4612</v>
      </c>
      <c r="B134" s="898" t="s">
        <v>4875</v>
      </c>
      <c r="C134" s="899" t="s">
        <v>4513</v>
      </c>
      <c r="D134" s="904" t="s">
        <v>4620</v>
      </c>
      <c r="E134" s="905"/>
      <c r="F134" s="902">
        <v>0</v>
      </c>
      <c r="G134" s="903"/>
      <c r="H134" s="902">
        <v>166400</v>
      </c>
      <c r="I134" s="903">
        <v>2</v>
      </c>
      <c r="J134" s="902">
        <v>0</v>
      </c>
      <c r="K134" s="903"/>
      <c r="L134" s="902">
        <v>0</v>
      </c>
      <c r="M134" s="903"/>
      <c r="N134" s="902">
        <v>0</v>
      </c>
      <c r="O134" s="903"/>
      <c r="P134" s="902">
        <v>0</v>
      </c>
      <c r="Q134" s="903"/>
      <c r="R134" s="902">
        <v>0</v>
      </c>
      <c r="S134" s="903"/>
      <c r="T134" s="902">
        <v>0</v>
      </c>
      <c r="U134" s="903"/>
      <c r="V134" s="902">
        <v>0</v>
      </c>
      <c r="W134" s="903"/>
      <c r="X134" s="902">
        <v>0</v>
      </c>
      <c r="Y134" s="903"/>
      <c r="Z134" s="902">
        <v>0</v>
      </c>
      <c r="AA134" s="903"/>
      <c r="AB134" s="919">
        <v>166400</v>
      </c>
      <c r="AC134" s="918"/>
    </row>
    <row r="135" ht="17.1" customHeight="1" spans="1:29">
      <c r="A135" s="897" t="s">
        <v>4612</v>
      </c>
      <c r="B135" s="898" t="s">
        <v>4875</v>
      </c>
      <c r="C135" s="899" t="s">
        <v>4513</v>
      </c>
      <c r="D135" s="904" t="s">
        <v>4621</v>
      </c>
      <c r="E135" s="905"/>
      <c r="F135" s="902">
        <v>0</v>
      </c>
      <c r="G135" s="903"/>
      <c r="H135" s="902">
        <v>166400</v>
      </c>
      <c r="I135" s="903">
        <v>2</v>
      </c>
      <c r="J135" s="902">
        <v>0</v>
      </c>
      <c r="K135" s="903"/>
      <c r="L135" s="902">
        <v>0</v>
      </c>
      <c r="M135" s="903"/>
      <c r="N135" s="902">
        <v>0</v>
      </c>
      <c r="O135" s="903"/>
      <c r="P135" s="902">
        <v>0</v>
      </c>
      <c r="Q135" s="903"/>
      <c r="R135" s="902">
        <v>0</v>
      </c>
      <c r="S135" s="903"/>
      <c r="T135" s="902">
        <v>0</v>
      </c>
      <c r="U135" s="903"/>
      <c r="V135" s="902">
        <v>0</v>
      </c>
      <c r="W135" s="903"/>
      <c r="X135" s="902">
        <v>0</v>
      </c>
      <c r="Y135" s="903"/>
      <c r="Z135" s="902">
        <v>0</v>
      </c>
      <c r="AA135" s="903"/>
      <c r="AB135" s="919">
        <v>166400</v>
      </c>
      <c r="AC135" s="918"/>
    </row>
    <row r="136" ht="17.1" customHeight="1" spans="1:29">
      <c r="A136" s="897" t="s">
        <v>4641</v>
      </c>
      <c r="B136" s="898" t="s">
        <v>4879</v>
      </c>
      <c r="C136" s="899" t="s">
        <v>4513</v>
      </c>
      <c r="D136" s="904" t="s">
        <v>4651</v>
      </c>
      <c r="E136" s="905"/>
      <c r="F136" s="902">
        <v>0</v>
      </c>
      <c r="G136" s="903"/>
      <c r="H136" s="902">
        <v>166400</v>
      </c>
      <c r="I136" s="903">
        <v>2</v>
      </c>
      <c r="J136" s="902">
        <v>0</v>
      </c>
      <c r="K136" s="903"/>
      <c r="L136" s="902">
        <v>0</v>
      </c>
      <c r="M136" s="903"/>
      <c r="N136" s="902">
        <v>0</v>
      </c>
      <c r="O136" s="903"/>
      <c r="P136" s="902">
        <v>0</v>
      </c>
      <c r="Q136" s="903"/>
      <c r="R136" s="902">
        <v>0</v>
      </c>
      <c r="S136" s="903"/>
      <c r="T136" s="902">
        <v>0</v>
      </c>
      <c r="U136" s="903"/>
      <c r="V136" s="902">
        <v>0</v>
      </c>
      <c r="W136" s="903"/>
      <c r="X136" s="902">
        <v>0</v>
      </c>
      <c r="Y136" s="903"/>
      <c r="Z136" s="902">
        <v>0</v>
      </c>
      <c r="AA136" s="903"/>
      <c r="AB136" s="919">
        <v>166400</v>
      </c>
      <c r="AC136" s="918"/>
    </row>
    <row r="137" ht="17.1" customHeight="1" spans="1:29">
      <c r="A137" s="897" t="s">
        <v>4641</v>
      </c>
      <c r="B137" s="898" t="s">
        <v>4879</v>
      </c>
      <c r="C137" s="899" t="s">
        <v>4513</v>
      </c>
      <c r="D137" s="904" t="s">
        <v>4652</v>
      </c>
      <c r="E137" s="905"/>
      <c r="F137" s="902">
        <v>0</v>
      </c>
      <c r="G137" s="903"/>
      <c r="H137" s="902">
        <v>166400</v>
      </c>
      <c r="I137" s="903">
        <v>2</v>
      </c>
      <c r="J137" s="902">
        <v>0</v>
      </c>
      <c r="K137" s="903"/>
      <c r="L137" s="902">
        <v>0</v>
      </c>
      <c r="M137" s="903"/>
      <c r="N137" s="902">
        <v>0</v>
      </c>
      <c r="O137" s="903"/>
      <c r="P137" s="902">
        <v>0</v>
      </c>
      <c r="Q137" s="903"/>
      <c r="R137" s="902">
        <v>0</v>
      </c>
      <c r="S137" s="903"/>
      <c r="T137" s="902">
        <v>0</v>
      </c>
      <c r="U137" s="903"/>
      <c r="V137" s="902">
        <v>0</v>
      </c>
      <c r="W137" s="903"/>
      <c r="X137" s="902">
        <v>0</v>
      </c>
      <c r="Y137" s="903"/>
      <c r="Z137" s="902">
        <v>0</v>
      </c>
      <c r="AA137" s="903"/>
      <c r="AB137" s="919">
        <v>166400</v>
      </c>
      <c r="AC137" s="918"/>
    </row>
    <row r="138" ht="17.1" customHeight="1" spans="1:29">
      <c r="A138" s="897" t="s">
        <v>4641</v>
      </c>
      <c r="B138" s="898" t="s">
        <v>4879</v>
      </c>
      <c r="C138" s="899" t="s">
        <v>4513</v>
      </c>
      <c r="D138" s="904" t="s">
        <v>4653</v>
      </c>
      <c r="E138" s="905"/>
      <c r="F138" s="902">
        <v>0</v>
      </c>
      <c r="G138" s="903"/>
      <c r="H138" s="902">
        <v>166400</v>
      </c>
      <c r="I138" s="903">
        <v>2</v>
      </c>
      <c r="J138" s="902">
        <v>0</v>
      </c>
      <c r="K138" s="903"/>
      <c r="L138" s="902">
        <v>0</v>
      </c>
      <c r="M138" s="903"/>
      <c r="N138" s="902">
        <v>0</v>
      </c>
      <c r="O138" s="903"/>
      <c r="P138" s="902">
        <v>0</v>
      </c>
      <c r="Q138" s="903"/>
      <c r="R138" s="902">
        <v>0</v>
      </c>
      <c r="S138" s="903"/>
      <c r="T138" s="902">
        <v>0</v>
      </c>
      <c r="U138" s="903"/>
      <c r="V138" s="902">
        <v>0</v>
      </c>
      <c r="W138" s="903"/>
      <c r="X138" s="902">
        <v>0</v>
      </c>
      <c r="Y138" s="903"/>
      <c r="Z138" s="902">
        <v>0</v>
      </c>
      <c r="AA138" s="903"/>
      <c r="AB138" s="919">
        <v>166400</v>
      </c>
      <c r="AC138" s="918"/>
    </row>
    <row r="139" ht="17.1" customHeight="1" spans="1:29">
      <c r="A139" s="897" t="s">
        <v>4667</v>
      </c>
      <c r="B139" s="898" t="s">
        <v>4881</v>
      </c>
      <c r="C139" s="899" t="s">
        <v>4669</v>
      </c>
      <c r="D139" s="904" t="s">
        <v>4668</v>
      </c>
      <c r="E139" s="905"/>
      <c r="F139" s="902">
        <v>0</v>
      </c>
      <c r="G139" s="903"/>
      <c r="H139" s="902">
        <v>83200</v>
      </c>
      <c r="I139" s="903">
        <v>1</v>
      </c>
      <c r="J139" s="902">
        <v>0</v>
      </c>
      <c r="K139" s="903"/>
      <c r="L139" s="902">
        <v>0</v>
      </c>
      <c r="M139" s="903"/>
      <c r="N139" s="902">
        <v>0</v>
      </c>
      <c r="O139" s="903"/>
      <c r="P139" s="902">
        <v>0</v>
      </c>
      <c r="Q139" s="903"/>
      <c r="R139" s="902">
        <v>0</v>
      </c>
      <c r="S139" s="903"/>
      <c r="T139" s="902">
        <v>0</v>
      </c>
      <c r="U139" s="903"/>
      <c r="V139" s="902">
        <v>0</v>
      </c>
      <c r="W139" s="903"/>
      <c r="X139" s="902">
        <v>0</v>
      </c>
      <c r="Y139" s="903"/>
      <c r="Z139" s="902">
        <v>0</v>
      </c>
      <c r="AA139" s="903"/>
      <c r="AB139" s="919">
        <v>538720</v>
      </c>
      <c r="AC139" s="918"/>
    </row>
    <row r="140" ht="16.9" customHeight="1" spans="1:29">
      <c r="A140" s="897" t="s">
        <v>4681</v>
      </c>
      <c r="B140" s="898"/>
      <c r="C140" s="899" t="s">
        <v>4592</v>
      </c>
      <c r="D140" s="904" t="s">
        <v>4682</v>
      </c>
      <c r="E140" s="905"/>
      <c r="F140" s="902">
        <v>0</v>
      </c>
      <c r="G140" s="903"/>
      <c r="H140" s="902">
        <v>83200</v>
      </c>
      <c r="I140" s="903">
        <v>2</v>
      </c>
      <c r="J140" s="902">
        <v>0</v>
      </c>
      <c r="K140" s="903"/>
      <c r="L140" s="902">
        <v>0</v>
      </c>
      <c r="M140" s="903"/>
      <c r="N140" s="902">
        <v>0</v>
      </c>
      <c r="O140" s="903"/>
      <c r="P140" s="902">
        <v>0</v>
      </c>
      <c r="Q140" s="903"/>
      <c r="R140" s="902">
        <v>0</v>
      </c>
      <c r="S140" s="903"/>
      <c r="T140" s="902">
        <v>0</v>
      </c>
      <c r="U140" s="903"/>
      <c r="V140" s="902">
        <v>0</v>
      </c>
      <c r="W140" s="903"/>
      <c r="X140" s="902">
        <v>0</v>
      </c>
      <c r="Y140" s="903"/>
      <c r="Z140" s="902">
        <v>0</v>
      </c>
      <c r="AA140" s="903"/>
      <c r="AB140" s="919">
        <v>166400</v>
      </c>
      <c r="AC140" s="918"/>
    </row>
    <row r="141" ht="16.9" customHeight="1" spans="1:29">
      <c r="A141" s="897" t="s">
        <v>4683</v>
      </c>
      <c r="B141" s="898"/>
      <c r="C141" s="899" t="s">
        <v>4513</v>
      </c>
      <c r="D141" s="904" t="s">
        <v>4684</v>
      </c>
      <c r="E141" s="905"/>
      <c r="F141" s="902">
        <v>0</v>
      </c>
      <c r="G141" s="903"/>
      <c r="H141" s="902">
        <v>83200</v>
      </c>
      <c r="I141" s="903">
        <v>1</v>
      </c>
      <c r="J141" s="902">
        <v>0</v>
      </c>
      <c r="K141" s="903"/>
      <c r="L141" s="902">
        <v>0</v>
      </c>
      <c r="M141" s="903"/>
      <c r="N141" s="902">
        <v>0</v>
      </c>
      <c r="O141" s="903"/>
      <c r="P141" s="902">
        <v>0</v>
      </c>
      <c r="Q141" s="903"/>
      <c r="R141" s="902">
        <v>0</v>
      </c>
      <c r="S141" s="903"/>
      <c r="T141" s="902">
        <v>0</v>
      </c>
      <c r="U141" s="903"/>
      <c r="V141" s="902">
        <v>0</v>
      </c>
      <c r="W141" s="903"/>
      <c r="X141" s="902">
        <v>0</v>
      </c>
      <c r="Y141" s="903"/>
      <c r="Z141" s="902">
        <v>0</v>
      </c>
      <c r="AA141" s="903"/>
      <c r="AB141" s="919">
        <v>83200</v>
      </c>
      <c r="AC141" s="918"/>
    </row>
    <row r="142" ht="16.9" customHeight="1" spans="1:29">
      <c r="A142" s="897" t="s">
        <v>4569</v>
      </c>
      <c r="B142" s="898" t="s">
        <v>4870</v>
      </c>
      <c r="C142" s="899" t="s">
        <v>4516</v>
      </c>
      <c r="D142" s="904" t="s">
        <v>4577</v>
      </c>
      <c r="E142" s="905"/>
      <c r="F142" s="902">
        <v>0</v>
      </c>
      <c r="G142" s="903"/>
      <c r="H142" s="902">
        <v>0</v>
      </c>
      <c r="I142" s="903"/>
      <c r="J142" s="902">
        <v>76400</v>
      </c>
      <c r="K142" s="903">
        <v>1</v>
      </c>
      <c r="L142" s="902">
        <v>0</v>
      </c>
      <c r="M142" s="903"/>
      <c r="N142" s="902">
        <v>0</v>
      </c>
      <c r="O142" s="903"/>
      <c r="P142" s="902">
        <v>0</v>
      </c>
      <c r="Q142" s="903"/>
      <c r="R142" s="902">
        <v>0</v>
      </c>
      <c r="S142" s="903"/>
      <c r="T142" s="902">
        <v>0</v>
      </c>
      <c r="U142" s="903"/>
      <c r="V142" s="902">
        <v>0</v>
      </c>
      <c r="W142" s="903"/>
      <c r="X142" s="902">
        <v>0</v>
      </c>
      <c r="Y142" s="903"/>
      <c r="Z142" s="902">
        <v>0</v>
      </c>
      <c r="AA142" s="903"/>
      <c r="AB142" s="919">
        <v>76400</v>
      </c>
      <c r="AC142" s="918"/>
    </row>
    <row r="143" ht="24" customHeight="1" spans="1:29">
      <c r="A143" s="897" t="s">
        <v>4579</v>
      </c>
      <c r="B143" s="898" t="s">
        <v>4871</v>
      </c>
      <c r="C143" s="899" t="s">
        <v>4581</v>
      </c>
      <c r="D143" s="904" t="s">
        <v>4580</v>
      </c>
      <c r="E143" s="905"/>
      <c r="F143" s="902">
        <v>0</v>
      </c>
      <c r="G143" s="903"/>
      <c r="H143" s="902">
        <v>0</v>
      </c>
      <c r="I143" s="903"/>
      <c r="J143" s="902">
        <v>76400</v>
      </c>
      <c r="K143" s="903">
        <v>1</v>
      </c>
      <c r="L143" s="902">
        <v>0</v>
      </c>
      <c r="M143" s="903"/>
      <c r="N143" s="902">
        <v>0</v>
      </c>
      <c r="O143" s="903"/>
      <c r="P143" s="902">
        <v>0</v>
      </c>
      <c r="Q143" s="903"/>
      <c r="R143" s="902">
        <v>0</v>
      </c>
      <c r="S143" s="903"/>
      <c r="T143" s="902">
        <v>0</v>
      </c>
      <c r="U143" s="903"/>
      <c r="V143" s="902">
        <v>0</v>
      </c>
      <c r="W143" s="903"/>
      <c r="X143" s="902">
        <v>0</v>
      </c>
      <c r="Y143" s="903"/>
      <c r="Z143" s="902">
        <v>0</v>
      </c>
      <c r="AA143" s="903"/>
      <c r="AB143" s="919">
        <v>242800</v>
      </c>
      <c r="AC143" s="918"/>
    </row>
    <row r="144" ht="16.9" customHeight="1" spans="1:29">
      <c r="A144" s="897" t="s">
        <v>4579</v>
      </c>
      <c r="B144" s="898" t="s">
        <v>4871</v>
      </c>
      <c r="C144" s="899" t="s">
        <v>4581</v>
      </c>
      <c r="D144" s="904" t="s">
        <v>4582</v>
      </c>
      <c r="E144" s="905"/>
      <c r="F144" s="902">
        <v>0</v>
      </c>
      <c r="G144" s="903"/>
      <c r="H144" s="902">
        <v>0</v>
      </c>
      <c r="I144" s="903"/>
      <c r="J144" s="902">
        <v>76400</v>
      </c>
      <c r="K144" s="903">
        <v>1</v>
      </c>
      <c r="L144" s="902">
        <v>0</v>
      </c>
      <c r="M144" s="903"/>
      <c r="N144" s="902">
        <v>0</v>
      </c>
      <c r="O144" s="903"/>
      <c r="P144" s="902">
        <v>0</v>
      </c>
      <c r="Q144" s="903"/>
      <c r="R144" s="902">
        <v>0</v>
      </c>
      <c r="S144" s="903"/>
      <c r="T144" s="902">
        <v>0</v>
      </c>
      <c r="U144" s="903"/>
      <c r="V144" s="902">
        <v>0</v>
      </c>
      <c r="W144" s="903"/>
      <c r="X144" s="902">
        <v>0</v>
      </c>
      <c r="Y144" s="903"/>
      <c r="Z144" s="902">
        <v>0</v>
      </c>
      <c r="AA144" s="903"/>
      <c r="AB144" s="919">
        <v>242800</v>
      </c>
      <c r="AC144" s="918"/>
    </row>
    <row r="145" ht="22.5" customHeight="1" spans="1:29">
      <c r="A145" s="897" t="s">
        <v>4590</v>
      </c>
      <c r="B145" s="898" t="s">
        <v>4873</v>
      </c>
      <c r="C145" s="899" t="s">
        <v>4598</v>
      </c>
      <c r="D145" s="904" t="s">
        <v>4597</v>
      </c>
      <c r="E145" s="905"/>
      <c r="F145" s="902">
        <v>0</v>
      </c>
      <c r="G145" s="903"/>
      <c r="H145" s="902">
        <v>0</v>
      </c>
      <c r="I145" s="903"/>
      <c r="J145" s="902">
        <v>76400</v>
      </c>
      <c r="K145" s="903">
        <v>1</v>
      </c>
      <c r="L145" s="902">
        <v>0</v>
      </c>
      <c r="M145" s="903"/>
      <c r="N145" s="902">
        <v>0</v>
      </c>
      <c r="O145" s="903"/>
      <c r="P145" s="902">
        <v>0</v>
      </c>
      <c r="Q145" s="903"/>
      <c r="R145" s="902">
        <v>0</v>
      </c>
      <c r="S145" s="903"/>
      <c r="T145" s="902">
        <v>0</v>
      </c>
      <c r="U145" s="903"/>
      <c r="V145" s="902">
        <v>0</v>
      </c>
      <c r="W145" s="903"/>
      <c r="X145" s="902">
        <v>0</v>
      </c>
      <c r="Y145" s="903"/>
      <c r="Z145" s="902">
        <v>0</v>
      </c>
      <c r="AA145" s="903"/>
      <c r="AB145" s="919">
        <v>326000</v>
      </c>
      <c r="AC145" s="918"/>
    </row>
    <row r="146" ht="22.5" customHeight="1" spans="1:29">
      <c r="A146" s="897" t="s">
        <v>4590</v>
      </c>
      <c r="B146" s="898" t="s">
        <v>4873</v>
      </c>
      <c r="C146" s="899" t="s">
        <v>4598</v>
      </c>
      <c r="D146" s="904" t="s">
        <v>4599</v>
      </c>
      <c r="E146" s="905"/>
      <c r="F146" s="902">
        <v>0</v>
      </c>
      <c r="G146" s="903"/>
      <c r="H146" s="902">
        <v>0</v>
      </c>
      <c r="I146" s="903"/>
      <c r="J146" s="902">
        <v>76400</v>
      </c>
      <c r="K146" s="903">
        <v>1</v>
      </c>
      <c r="L146" s="902">
        <v>0</v>
      </c>
      <c r="M146" s="903"/>
      <c r="N146" s="902">
        <v>0</v>
      </c>
      <c r="O146" s="903"/>
      <c r="P146" s="902">
        <v>0</v>
      </c>
      <c r="Q146" s="903"/>
      <c r="R146" s="902">
        <v>0</v>
      </c>
      <c r="S146" s="903"/>
      <c r="T146" s="902">
        <v>0</v>
      </c>
      <c r="U146" s="903"/>
      <c r="V146" s="902">
        <v>0</v>
      </c>
      <c r="W146" s="903"/>
      <c r="X146" s="902">
        <v>0</v>
      </c>
      <c r="Y146" s="903"/>
      <c r="Z146" s="902">
        <v>0</v>
      </c>
      <c r="AA146" s="903"/>
      <c r="AB146" s="919">
        <v>326000</v>
      </c>
      <c r="AC146" s="918"/>
    </row>
    <row r="147" ht="17.1" customHeight="1" spans="1:29">
      <c r="A147" s="897" t="s">
        <v>4602</v>
      </c>
      <c r="B147" s="898" t="s">
        <v>4874</v>
      </c>
      <c r="C147" s="899" t="s">
        <v>4516</v>
      </c>
      <c r="D147" s="904" t="s">
        <v>4611</v>
      </c>
      <c r="E147" s="905"/>
      <c r="F147" s="902">
        <v>0</v>
      </c>
      <c r="G147" s="903"/>
      <c r="H147" s="902">
        <v>0</v>
      </c>
      <c r="I147" s="903"/>
      <c r="J147" s="902">
        <v>229200</v>
      </c>
      <c r="K147" s="903">
        <v>6</v>
      </c>
      <c r="L147" s="902">
        <v>0</v>
      </c>
      <c r="M147" s="903"/>
      <c r="N147" s="902">
        <v>0</v>
      </c>
      <c r="O147" s="903"/>
      <c r="P147" s="902">
        <v>0</v>
      </c>
      <c r="Q147" s="903"/>
      <c r="R147" s="902">
        <v>0</v>
      </c>
      <c r="S147" s="903"/>
      <c r="T147" s="902">
        <v>0</v>
      </c>
      <c r="U147" s="903"/>
      <c r="V147" s="902">
        <v>0</v>
      </c>
      <c r="W147" s="903"/>
      <c r="X147" s="902">
        <v>0</v>
      </c>
      <c r="Y147" s="903"/>
      <c r="Z147" s="902">
        <v>0</v>
      </c>
      <c r="AA147" s="903"/>
      <c r="AB147" s="919">
        <v>229200</v>
      </c>
      <c r="AC147" s="955" t="s">
        <v>4884</v>
      </c>
    </row>
    <row r="148" ht="17.1" customHeight="1" spans="1:29">
      <c r="A148" s="897" t="s">
        <v>4612</v>
      </c>
      <c r="B148" s="898" t="s">
        <v>4875</v>
      </c>
      <c r="C148" s="899" t="s">
        <v>4516</v>
      </c>
      <c r="D148" s="904" t="s">
        <v>4615</v>
      </c>
      <c r="E148" s="905"/>
      <c r="F148" s="902">
        <v>0</v>
      </c>
      <c r="G148" s="903"/>
      <c r="H148" s="902">
        <v>0</v>
      </c>
      <c r="I148" s="903"/>
      <c r="J148" s="902">
        <v>229200</v>
      </c>
      <c r="K148" s="903">
        <v>6</v>
      </c>
      <c r="L148" s="902">
        <v>0</v>
      </c>
      <c r="M148" s="903"/>
      <c r="N148" s="902">
        <v>0</v>
      </c>
      <c r="O148" s="903"/>
      <c r="P148" s="902">
        <v>0</v>
      </c>
      <c r="Q148" s="903"/>
      <c r="R148" s="902">
        <v>0</v>
      </c>
      <c r="S148" s="903"/>
      <c r="T148" s="902">
        <v>0</v>
      </c>
      <c r="U148" s="903"/>
      <c r="V148" s="902">
        <v>0</v>
      </c>
      <c r="W148" s="903"/>
      <c r="X148" s="902">
        <v>0</v>
      </c>
      <c r="Y148" s="903"/>
      <c r="Z148" s="902">
        <v>0</v>
      </c>
      <c r="AA148" s="903"/>
      <c r="AB148" s="919">
        <v>229200</v>
      </c>
      <c r="AC148" s="954"/>
    </row>
    <row r="149" ht="17.1" customHeight="1" spans="1:29">
      <c r="A149" s="897" t="s">
        <v>4622</v>
      </c>
      <c r="B149" s="898" t="s">
        <v>4876</v>
      </c>
      <c r="C149" s="899" t="s">
        <v>4626</v>
      </c>
      <c r="D149" s="904" t="s">
        <v>4625</v>
      </c>
      <c r="E149" s="905"/>
      <c r="F149" s="902">
        <v>0</v>
      </c>
      <c r="G149" s="903"/>
      <c r="H149" s="902">
        <v>0</v>
      </c>
      <c r="I149" s="903"/>
      <c r="J149" s="902">
        <v>152800</v>
      </c>
      <c r="K149" s="903">
        <v>4</v>
      </c>
      <c r="L149" s="902">
        <v>0</v>
      </c>
      <c r="M149" s="903"/>
      <c r="N149" s="902">
        <v>0</v>
      </c>
      <c r="O149" s="903"/>
      <c r="P149" s="902">
        <v>0</v>
      </c>
      <c r="Q149" s="903"/>
      <c r="R149" s="902">
        <v>0</v>
      </c>
      <c r="S149" s="903"/>
      <c r="T149" s="902">
        <v>0</v>
      </c>
      <c r="U149" s="903"/>
      <c r="V149" s="902">
        <v>0</v>
      </c>
      <c r="W149" s="903"/>
      <c r="X149" s="902">
        <v>0</v>
      </c>
      <c r="Y149" s="903"/>
      <c r="Z149" s="902">
        <v>0</v>
      </c>
      <c r="AA149" s="903"/>
      <c r="AB149" s="919">
        <v>1137600</v>
      </c>
      <c r="AC149" s="954"/>
    </row>
    <row r="150" ht="17.1" customHeight="1" spans="1:29">
      <c r="A150" s="897" t="s">
        <v>4628</v>
      </c>
      <c r="B150" s="898" t="s">
        <v>4877</v>
      </c>
      <c r="C150" s="899" t="s">
        <v>4630</v>
      </c>
      <c r="D150" s="904" t="s">
        <v>4629</v>
      </c>
      <c r="E150" s="905"/>
      <c r="F150" s="902">
        <v>0</v>
      </c>
      <c r="G150" s="903"/>
      <c r="H150" s="902">
        <v>0</v>
      </c>
      <c r="I150" s="903"/>
      <c r="J150" s="902">
        <v>611200</v>
      </c>
      <c r="K150" s="903">
        <v>16</v>
      </c>
      <c r="L150" s="902">
        <v>0</v>
      </c>
      <c r="M150" s="903"/>
      <c r="N150" s="902">
        <v>0</v>
      </c>
      <c r="O150" s="903"/>
      <c r="P150" s="902">
        <v>0</v>
      </c>
      <c r="Q150" s="903"/>
      <c r="R150" s="902">
        <v>0</v>
      </c>
      <c r="S150" s="903"/>
      <c r="T150" s="902">
        <v>0</v>
      </c>
      <c r="U150" s="903"/>
      <c r="V150" s="902">
        <v>0</v>
      </c>
      <c r="W150" s="903"/>
      <c r="X150" s="902">
        <v>0</v>
      </c>
      <c r="Y150" s="903"/>
      <c r="Z150" s="902">
        <v>0</v>
      </c>
      <c r="AA150" s="903"/>
      <c r="AB150" s="919">
        <v>1027200</v>
      </c>
      <c r="AC150" s="954"/>
    </row>
    <row r="151" ht="17.1" customHeight="1" spans="1:29">
      <c r="A151" s="897" t="s">
        <v>4667</v>
      </c>
      <c r="B151" s="898" t="s">
        <v>4881</v>
      </c>
      <c r="C151" s="899" t="s">
        <v>4669</v>
      </c>
      <c r="D151" s="904" t="s">
        <v>4668</v>
      </c>
      <c r="E151" s="905"/>
      <c r="F151" s="902">
        <v>0</v>
      </c>
      <c r="G151" s="903"/>
      <c r="H151" s="902">
        <v>0</v>
      </c>
      <c r="I151" s="903"/>
      <c r="J151" s="902">
        <v>76400</v>
      </c>
      <c r="K151" s="903">
        <v>2</v>
      </c>
      <c r="L151" s="902">
        <v>0</v>
      </c>
      <c r="M151" s="903"/>
      <c r="N151" s="902">
        <v>0</v>
      </c>
      <c r="O151" s="903"/>
      <c r="P151" s="902">
        <v>0</v>
      </c>
      <c r="Q151" s="903"/>
      <c r="R151" s="902">
        <v>0</v>
      </c>
      <c r="S151" s="903"/>
      <c r="T151" s="902">
        <v>0</v>
      </c>
      <c r="U151" s="903"/>
      <c r="V151" s="902">
        <v>0</v>
      </c>
      <c r="W151" s="903"/>
      <c r="X151" s="902">
        <v>0</v>
      </c>
      <c r="Y151" s="903"/>
      <c r="Z151" s="902">
        <v>0</v>
      </c>
      <c r="AA151" s="903"/>
      <c r="AB151" s="919">
        <v>538720</v>
      </c>
      <c r="AC151" s="956"/>
    </row>
    <row r="152" ht="17.1" customHeight="1" spans="1:29">
      <c r="A152" s="897" t="s">
        <v>4662</v>
      </c>
      <c r="B152" s="898" t="s">
        <v>4606</v>
      </c>
      <c r="C152" s="899" t="s">
        <v>4516</v>
      </c>
      <c r="D152" s="904" t="s">
        <v>4664</v>
      </c>
      <c r="E152" s="905"/>
      <c r="F152" s="902">
        <v>0</v>
      </c>
      <c r="G152" s="903"/>
      <c r="H152" s="902">
        <v>0</v>
      </c>
      <c r="I152" s="903"/>
      <c r="J152" s="902">
        <v>152800</v>
      </c>
      <c r="K152" s="903">
        <v>2</v>
      </c>
      <c r="L152" s="902">
        <v>0</v>
      </c>
      <c r="M152" s="903"/>
      <c r="N152" s="902">
        <v>0</v>
      </c>
      <c r="O152" s="903"/>
      <c r="P152" s="902">
        <v>0</v>
      </c>
      <c r="Q152" s="903"/>
      <c r="R152" s="902">
        <v>0</v>
      </c>
      <c r="S152" s="903"/>
      <c r="T152" s="902">
        <v>0</v>
      </c>
      <c r="U152" s="903"/>
      <c r="V152" s="902">
        <v>0</v>
      </c>
      <c r="W152" s="903"/>
      <c r="X152" s="902">
        <v>0</v>
      </c>
      <c r="Y152" s="903"/>
      <c r="Z152" s="902">
        <v>0</v>
      </c>
      <c r="AA152" s="903"/>
      <c r="AB152" s="919">
        <v>152800</v>
      </c>
      <c r="AC152" s="918"/>
    </row>
    <row r="153" ht="17.1" customHeight="1" spans="1:29">
      <c r="A153" s="897" t="s">
        <v>4671</v>
      </c>
      <c r="B153" s="898"/>
      <c r="C153" s="899" t="s">
        <v>4598</v>
      </c>
      <c r="D153" s="904" t="s">
        <v>4672</v>
      </c>
      <c r="E153" s="905"/>
      <c r="F153" s="902">
        <v>0</v>
      </c>
      <c r="G153" s="903"/>
      <c r="H153" s="902">
        <v>0</v>
      </c>
      <c r="I153" s="903"/>
      <c r="J153" s="902">
        <v>76400</v>
      </c>
      <c r="K153" s="903">
        <v>1</v>
      </c>
      <c r="L153" s="902">
        <v>0</v>
      </c>
      <c r="M153" s="903"/>
      <c r="N153" s="902">
        <v>0</v>
      </c>
      <c r="O153" s="903"/>
      <c r="P153" s="902">
        <v>0</v>
      </c>
      <c r="Q153" s="903"/>
      <c r="R153" s="902">
        <v>0</v>
      </c>
      <c r="S153" s="903"/>
      <c r="T153" s="902">
        <v>0</v>
      </c>
      <c r="U153" s="903"/>
      <c r="V153" s="902">
        <v>0</v>
      </c>
      <c r="W153" s="903"/>
      <c r="X153" s="902">
        <v>0</v>
      </c>
      <c r="Y153" s="903"/>
      <c r="Z153" s="902">
        <v>0</v>
      </c>
      <c r="AA153" s="903"/>
      <c r="AB153" s="919">
        <v>326000</v>
      </c>
      <c r="AC153" s="918"/>
    </row>
    <row r="154" ht="17.1" customHeight="1" spans="1:29">
      <c r="A154" s="897" t="s">
        <v>4673</v>
      </c>
      <c r="B154" s="898"/>
      <c r="C154" s="899" t="s">
        <v>4581</v>
      </c>
      <c r="D154" s="904" t="s">
        <v>4674</v>
      </c>
      <c r="E154" s="905"/>
      <c r="F154" s="902">
        <v>0</v>
      </c>
      <c r="G154" s="903"/>
      <c r="H154" s="902">
        <v>0</v>
      </c>
      <c r="I154" s="903"/>
      <c r="J154" s="902">
        <v>76400</v>
      </c>
      <c r="K154" s="903">
        <v>1</v>
      </c>
      <c r="L154" s="902">
        <v>0</v>
      </c>
      <c r="M154" s="903"/>
      <c r="N154" s="902">
        <v>0</v>
      </c>
      <c r="O154" s="903"/>
      <c r="P154" s="902">
        <v>0</v>
      </c>
      <c r="Q154" s="903"/>
      <c r="R154" s="902">
        <v>0</v>
      </c>
      <c r="S154" s="903"/>
      <c r="T154" s="902">
        <v>0</v>
      </c>
      <c r="U154" s="903"/>
      <c r="V154" s="902">
        <v>0</v>
      </c>
      <c r="W154" s="903"/>
      <c r="X154" s="902">
        <v>0</v>
      </c>
      <c r="Y154" s="903"/>
      <c r="Z154" s="902">
        <v>0</v>
      </c>
      <c r="AA154" s="903"/>
      <c r="AB154" s="919">
        <v>242800</v>
      </c>
      <c r="AC154" s="918"/>
    </row>
  </sheetData>
  <autoFilter xmlns:etc="http://www.wps.cn/officeDocument/2017/etCustomData" ref="A4:AC109" etc:filterBottomFollowUsedRange="0">
    <extLst/>
  </autoFilter>
  <mergeCells count="3">
    <mergeCell ref="AC111:AC121"/>
    <mergeCell ref="AC123:AC128"/>
    <mergeCell ref="AC147:AC151"/>
  </mergeCells>
  <pageMargins left="0.7" right="0.7" top="0.75" bottom="0.75" header="0.3" footer="0.3"/>
  <pageSetup paperSize="9" scale="25" orientation="landscape"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
  <sheetViews>
    <sheetView zoomScale="70" zoomScaleNormal="70" topLeftCell="A5" workbookViewId="0">
      <selection activeCell="G10" sqref="G10"/>
    </sheetView>
  </sheetViews>
  <sheetFormatPr defaultColWidth="8.225" defaultRowHeight="13.5"/>
  <cols>
    <col min="1" max="1" width="17.8583333333333" style="822" customWidth="1"/>
    <col min="2" max="2" width="16.075" style="822" customWidth="1"/>
    <col min="3" max="3" width="13.4916666666667" style="822" customWidth="1"/>
    <col min="4" max="4" width="27.125" style="822" customWidth="1"/>
    <col min="5" max="8" width="14.0166666666667" style="822" customWidth="1"/>
    <col min="9" max="9" width="14.375" style="822" customWidth="1"/>
    <col min="10" max="10" width="14.0166666666667" style="822" customWidth="1"/>
    <col min="11" max="11" width="16.375" style="823" customWidth="1"/>
    <col min="12" max="12" width="8.225" style="823"/>
    <col min="13" max="13" width="9.91666666666667" style="823"/>
    <col min="14" max="19" width="10.2666666666667" style="823" customWidth="1"/>
    <col min="20" max="16384" width="8.225" style="823"/>
  </cols>
  <sheetData>
    <row r="1" ht="33" customHeight="1" spans="1:26">
      <c r="A1" s="824" t="s">
        <v>4885</v>
      </c>
      <c r="B1" s="824" t="s">
        <v>4886</v>
      </c>
      <c r="C1" s="825" t="s">
        <v>4887</v>
      </c>
      <c r="D1" s="824" t="s">
        <v>4888</v>
      </c>
      <c r="E1" s="824" t="s">
        <v>4889</v>
      </c>
      <c r="F1" s="824" t="s">
        <v>4890</v>
      </c>
      <c r="G1" s="824" t="s">
        <v>4891</v>
      </c>
      <c r="H1" s="826" t="s">
        <v>38</v>
      </c>
      <c r="I1" s="836" t="s">
        <v>4892</v>
      </c>
      <c r="J1" s="837" t="s">
        <v>4893</v>
      </c>
      <c r="K1" s="825" t="s">
        <v>4894</v>
      </c>
      <c r="T1" s="845"/>
      <c r="U1" s="845"/>
      <c r="V1" s="845"/>
      <c r="W1" s="845"/>
      <c r="X1" s="845"/>
      <c r="Y1" s="845"/>
      <c r="Z1" s="845"/>
    </row>
    <row r="2" s="821" customFormat="1" ht="30" customHeight="1" spans="1:26">
      <c r="A2" s="827"/>
      <c r="B2" s="827"/>
      <c r="C2" s="827"/>
      <c r="D2" s="827"/>
      <c r="E2" s="828" t="s">
        <v>37</v>
      </c>
      <c r="F2" s="827">
        <f>'生产MA Summary'!O4</f>
        <v>4670000</v>
      </c>
      <c r="G2" s="827">
        <f>'77515 DIY厨艺大师'!AH56</f>
        <v>3905423</v>
      </c>
      <c r="H2" s="827">
        <f>'77515 DIY厨艺大师'!AI56</f>
        <v>69682</v>
      </c>
      <c r="I2" s="827">
        <f>'77515 DIY厨艺大师'!AJ56</f>
        <v>8136</v>
      </c>
      <c r="J2" s="838">
        <f>I2+H2</f>
        <v>77818</v>
      </c>
      <c r="K2" s="827">
        <f>F2-G2</f>
        <v>764577</v>
      </c>
      <c r="N2" s="839" t="s">
        <v>4895</v>
      </c>
      <c r="O2" s="839" t="s">
        <v>4896</v>
      </c>
      <c r="P2" s="839" t="s">
        <v>4897</v>
      </c>
      <c r="Q2" s="839" t="s">
        <v>4898</v>
      </c>
      <c r="R2" s="839" t="s">
        <v>4899</v>
      </c>
      <c r="S2" s="839" t="s">
        <v>4900</v>
      </c>
      <c r="T2" s="846" t="s">
        <v>4901</v>
      </c>
      <c r="U2" s="847"/>
      <c r="V2" s="847"/>
      <c r="W2" s="847"/>
      <c r="X2" s="847"/>
      <c r="Y2" s="847"/>
      <c r="Z2" s="857"/>
    </row>
    <row r="3" s="821" customFormat="1" ht="99.95" customHeight="1" spans="1:26">
      <c r="A3" s="829" t="s">
        <v>4523</v>
      </c>
      <c r="B3" s="830" t="s">
        <v>4524</v>
      </c>
      <c r="C3" s="831" t="s">
        <v>4830</v>
      </c>
      <c r="D3" s="829"/>
      <c r="E3" s="832">
        <v>0.104</v>
      </c>
      <c r="F3" s="827">
        <f t="shared" ref="F3:F13" si="0">$F$2*E3</f>
        <v>485680</v>
      </c>
      <c r="G3" s="827">
        <f t="shared" ref="G3:G13" si="1">$G$2*E3</f>
        <v>406163.992</v>
      </c>
      <c r="H3" s="833">
        <v>0.10717230008244</v>
      </c>
      <c r="I3" s="833">
        <f>10.4%+8.52%/10</f>
        <v>0.11252</v>
      </c>
      <c r="J3" s="827">
        <f>$I$2*I3+$H3*$H$2</f>
        <v>8383.44293434458</v>
      </c>
      <c r="K3" s="827">
        <f>F3-G3-J3</f>
        <v>71132.5650656554</v>
      </c>
      <c r="N3" s="840">
        <f>$E$3*24</f>
        <v>2.496</v>
      </c>
      <c r="O3" s="840">
        <f>$E3*13</f>
        <v>1.352</v>
      </c>
      <c r="P3" s="840">
        <f>$E3*25</f>
        <v>2.6</v>
      </c>
      <c r="Q3" s="840">
        <f>$E3*30</f>
        <v>3.12</v>
      </c>
      <c r="R3" s="840">
        <f>$E3*60</f>
        <v>6.24</v>
      </c>
      <c r="S3" s="840">
        <f>$E3*21</f>
        <v>2.184</v>
      </c>
      <c r="T3" s="848" t="s">
        <v>4902</v>
      </c>
      <c r="U3" s="849"/>
      <c r="V3" s="849"/>
      <c r="W3" s="849"/>
      <c r="X3" s="849"/>
      <c r="Y3" s="849"/>
      <c r="Z3" s="858"/>
    </row>
    <row r="4" s="821" customFormat="1" ht="99.95" customHeight="1" spans="1:26">
      <c r="A4" s="829" t="s">
        <v>4513</v>
      </c>
      <c r="B4" s="829" t="s">
        <v>4514</v>
      </c>
      <c r="C4" s="831" t="s">
        <v>4903</v>
      </c>
      <c r="D4" s="829"/>
      <c r="E4" s="832">
        <v>0.104</v>
      </c>
      <c r="F4" s="827">
        <f t="shared" si="0"/>
        <v>485680</v>
      </c>
      <c r="G4" s="827">
        <f t="shared" si="1"/>
        <v>406163.992</v>
      </c>
      <c r="H4" s="833">
        <v>0.10717230008244</v>
      </c>
      <c r="I4" s="833">
        <f>10.4%+8.52%/10</f>
        <v>0.11252</v>
      </c>
      <c r="J4" s="827">
        <f t="shared" ref="J4:J13" si="2">$I$2*I4+$H4*$H$2</f>
        <v>8383.44293434458</v>
      </c>
      <c r="K4" s="827">
        <f t="shared" ref="K4:K13" si="3">F4-G4-J4</f>
        <v>71132.5650656554</v>
      </c>
      <c r="N4" s="840">
        <f t="shared" ref="N4:N13" si="4">E4*24</f>
        <v>2.496</v>
      </c>
      <c r="O4" s="840">
        <f t="shared" ref="O4:O13" si="5">$E4*13</f>
        <v>1.352</v>
      </c>
      <c r="P4" s="840">
        <f t="shared" ref="P4:P13" si="6">$E4*25</f>
        <v>2.6</v>
      </c>
      <c r="Q4" s="840">
        <f t="shared" ref="Q4:Q13" si="7">$E4*30</f>
        <v>3.12</v>
      </c>
      <c r="R4" s="840">
        <f t="shared" ref="R4:R13" si="8">$E4*60</f>
        <v>6.24</v>
      </c>
      <c r="S4" s="840">
        <f t="shared" ref="S4:S13" si="9">$E4*21</f>
        <v>2.184</v>
      </c>
      <c r="T4" s="848" t="s">
        <v>4904</v>
      </c>
      <c r="U4" s="849"/>
      <c r="V4" s="849"/>
      <c r="W4" s="849"/>
      <c r="X4" s="849"/>
      <c r="Y4" s="849"/>
      <c r="Z4" s="858"/>
    </row>
    <row r="5" s="821" customFormat="1" ht="99.95" customHeight="1" spans="1:26">
      <c r="A5" s="829" t="s">
        <v>4516</v>
      </c>
      <c r="B5" s="829" t="s">
        <v>4517</v>
      </c>
      <c r="C5" s="831" t="s">
        <v>4905</v>
      </c>
      <c r="D5" s="829"/>
      <c r="E5" s="832">
        <v>0.0955</v>
      </c>
      <c r="F5" s="827">
        <f t="shared" si="0"/>
        <v>445985</v>
      </c>
      <c r="G5" s="827">
        <f t="shared" si="1"/>
        <v>372967.8965</v>
      </c>
      <c r="H5" s="833">
        <v>0.0984130255564716</v>
      </c>
      <c r="I5" s="833">
        <f>9.55%+8.52%/10</f>
        <v>0.10402</v>
      </c>
      <c r="J5" s="827">
        <f t="shared" si="2"/>
        <v>7703.92316682605</v>
      </c>
      <c r="K5" s="827">
        <f t="shared" si="3"/>
        <v>65313.1803331739</v>
      </c>
      <c r="N5" s="840">
        <f t="shared" si="4"/>
        <v>2.292</v>
      </c>
      <c r="O5" s="840">
        <f t="shared" si="5"/>
        <v>1.2415</v>
      </c>
      <c r="P5" s="840">
        <f t="shared" si="6"/>
        <v>2.3875</v>
      </c>
      <c r="Q5" s="840">
        <f t="shared" si="7"/>
        <v>2.865</v>
      </c>
      <c r="R5" s="840">
        <f t="shared" si="8"/>
        <v>5.73</v>
      </c>
      <c r="S5" s="840">
        <f t="shared" si="9"/>
        <v>2.0055</v>
      </c>
      <c r="T5" s="848" t="s">
        <v>4906</v>
      </c>
      <c r="U5" s="849"/>
      <c r="V5" s="849"/>
      <c r="W5" s="849"/>
      <c r="X5" s="849"/>
      <c r="Y5" s="849"/>
      <c r="Z5" s="858"/>
    </row>
    <row r="6" s="821" customFormat="1" ht="99.95" customHeight="1" spans="1:26">
      <c r="A6" s="829" t="s">
        <v>4525</v>
      </c>
      <c r="B6" s="829" t="s">
        <v>4526</v>
      </c>
      <c r="C6" s="834" t="s">
        <v>4907</v>
      </c>
      <c r="D6" s="829"/>
      <c r="E6" s="832">
        <v>0.0955</v>
      </c>
      <c r="F6" s="827">
        <f t="shared" si="0"/>
        <v>445985</v>
      </c>
      <c r="G6" s="827">
        <f t="shared" si="1"/>
        <v>372967.8965</v>
      </c>
      <c r="H6" s="833">
        <v>0.0984130255564716</v>
      </c>
      <c r="I6" s="833">
        <f>9.55%+8.52%/10</f>
        <v>0.10402</v>
      </c>
      <c r="J6" s="827">
        <f t="shared" si="2"/>
        <v>7703.92316682605</v>
      </c>
      <c r="K6" s="827">
        <f t="shared" si="3"/>
        <v>65313.1803331739</v>
      </c>
      <c r="N6" s="840">
        <f t="shared" si="4"/>
        <v>2.292</v>
      </c>
      <c r="O6" s="840">
        <f t="shared" si="5"/>
        <v>1.2415</v>
      </c>
      <c r="P6" s="840">
        <f t="shared" si="6"/>
        <v>2.3875</v>
      </c>
      <c r="Q6" s="840">
        <f t="shared" si="7"/>
        <v>2.865</v>
      </c>
      <c r="R6" s="840">
        <f t="shared" si="8"/>
        <v>5.73</v>
      </c>
      <c r="S6" s="840">
        <f t="shared" si="9"/>
        <v>2.0055</v>
      </c>
      <c r="T6" s="848" t="s">
        <v>4908</v>
      </c>
      <c r="U6" s="849"/>
      <c r="V6" s="849"/>
      <c r="W6" s="849"/>
      <c r="X6" s="849"/>
      <c r="Y6" s="849"/>
      <c r="Z6" s="858"/>
    </row>
    <row r="7" s="821" customFormat="1" ht="99.95" customHeight="1" spans="1:26">
      <c r="A7" s="829" t="s">
        <v>4508</v>
      </c>
      <c r="B7" s="829" t="s">
        <v>4509</v>
      </c>
      <c r="C7" s="834" t="s">
        <v>4833</v>
      </c>
      <c r="D7" s="829"/>
      <c r="E7" s="832">
        <v>0.104</v>
      </c>
      <c r="F7" s="827">
        <f t="shared" si="0"/>
        <v>485680</v>
      </c>
      <c r="G7" s="827">
        <f t="shared" si="1"/>
        <v>406163.992</v>
      </c>
      <c r="H7" s="833">
        <v>0.10717230008244</v>
      </c>
      <c r="I7" s="833">
        <f>10.4%+8.52%/10</f>
        <v>0.11252</v>
      </c>
      <c r="J7" s="827">
        <f t="shared" si="2"/>
        <v>8383.44293434458</v>
      </c>
      <c r="K7" s="827">
        <f t="shared" si="3"/>
        <v>71132.5650656554</v>
      </c>
      <c r="L7" s="841" t="s">
        <v>4909</v>
      </c>
      <c r="N7" s="840">
        <f t="shared" si="4"/>
        <v>2.496</v>
      </c>
      <c r="O7" s="840">
        <f t="shared" si="5"/>
        <v>1.352</v>
      </c>
      <c r="P7" s="840">
        <f t="shared" si="6"/>
        <v>2.6</v>
      </c>
      <c r="Q7" s="840">
        <f t="shared" si="7"/>
        <v>3.12</v>
      </c>
      <c r="R7" s="840">
        <f t="shared" si="8"/>
        <v>6.24</v>
      </c>
      <c r="S7" s="840">
        <f t="shared" si="9"/>
        <v>2.184</v>
      </c>
      <c r="T7" s="848" t="s">
        <v>4910</v>
      </c>
      <c r="U7" s="849"/>
      <c r="V7" s="849"/>
      <c r="W7" s="849"/>
      <c r="X7" s="849"/>
      <c r="Y7" s="849"/>
      <c r="Z7" s="858"/>
    </row>
    <row r="8" s="821" customFormat="1" ht="99.95" customHeight="1" spans="1:26">
      <c r="A8" s="829" t="s">
        <v>4527</v>
      </c>
      <c r="B8" s="829" t="s">
        <v>4528</v>
      </c>
      <c r="C8" s="834" t="s">
        <v>4834</v>
      </c>
      <c r="D8" s="829"/>
      <c r="E8" s="832">
        <v>0.104</v>
      </c>
      <c r="F8" s="827">
        <f t="shared" si="0"/>
        <v>485680</v>
      </c>
      <c r="G8" s="827">
        <f t="shared" si="1"/>
        <v>406163.992</v>
      </c>
      <c r="H8" s="833">
        <v>0.10717230008244</v>
      </c>
      <c r="I8" s="833">
        <f>10.4%+8.52%/10</f>
        <v>0.11252</v>
      </c>
      <c r="J8" s="827">
        <f t="shared" si="2"/>
        <v>8383.44293434458</v>
      </c>
      <c r="K8" s="827">
        <f t="shared" si="3"/>
        <v>71132.5650656554</v>
      </c>
      <c r="M8" s="821">
        <f>E8*410000</f>
        <v>42640</v>
      </c>
      <c r="N8" s="840">
        <f t="shared" si="4"/>
        <v>2.496</v>
      </c>
      <c r="O8" s="840">
        <f t="shared" si="5"/>
        <v>1.352</v>
      </c>
      <c r="P8" s="840">
        <f t="shared" si="6"/>
        <v>2.6</v>
      </c>
      <c r="Q8" s="840">
        <f t="shared" si="7"/>
        <v>3.12</v>
      </c>
      <c r="R8" s="840">
        <f t="shared" si="8"/>
        <v>6.24</v>
      </c>
      <c r="S8" s="840">
        <f t="shared" si="9"/>
        <v>2.184</v>
      </c>
      <c r="T8" s="848" t="s">
        <v>4911</v>
      </c>
      <c r="U8" s="849"/>
      <c r="V8" s="849"/>
      <c r="W8" s="849"/>
      <c r="X8" s="849"/>
      <c r="Y8" s="849"/>
      <c r="Z8" s="858"/>
    </row>
    <row r="9" s="821" customFormat="1" ht="99.95" customHeight="1" spans="1:26">
      <c r="A9" s="829" t="s">
        <v>4529</v>
      </c>
      <c r="B9" s="829" t="s">
        <v>4530</v>
      </c>
      <c r="C9" s="834" t="s">
        <v>4835</v>
      </c>
      <c r="D9" s="829"/>
      <c r="E9" s="832">
        <v>0.0296</v>
      </c>
      <c r="F9" s="827">
        <f t="shared" si="0"/>
        <v>138232</v>
      </c>
      <c r="G9" s="827">
        <f t="shared" si="1"/>
        <v>115600.5208</v>
      </c>
      <c r="H9" s="835"/>
      <c r="I9" s="842">
        <f>2.96%+8.52%/10</f>
        <v>0.03812</v>
      </c>
      <c r="J9" s="827">
        <f t="shared" si="2"/>
        <v>310.14432</v>
      </c>
      <c r="K9" s="827">
        <f t="shared" si="3"/>
        <v>22321.33488</v>
      </c>
      <c r="N9" s="840">
        <f t="shared" si="4"/>
        <v>0.7104</v>
      </c>
      <c r="O9" s="840">
        <f t="shared" si="5"/>
        <v>0.3848</v>
      </c>
      <c r="P9" s="840">
        <f t="shared" si="6"/>
        <v>0.74</v>
      </c>
      <c r="Q9" s="840">
        <f t="shared" si="7"/>
        <v>0.888</v>
      </c>
      <c r="R9" s="840">
        <f t="shared" si="8"/>
        <v>1.776</v>
      </c>
      <c r="S9" s="840">
        <f t="shared" si="9"/>
        <v>0.6216</v>
      </c>
      <c r="T9" s="848" t="s">
        <v>4912</v>
      </c>
      <c r="U9" s="849"/>
      <c r="V9" s="849"/>
      <c r="W9" s="849"/>
      <c r="X9" s="849"/>
      <c r="Y9" s="849"/>
      <c r="Z9" s="858"/>
    </row>
    <row r="10" s="821" customFormat="1" ht="99.95" customHeight="1" spans="1:26">
      <c r="A10" s="829" t="s">
        <v>4518</v>
      </c>
      <c r="B10" s="830" t="s">
        <v>4519</v>
      </c>
      <c r="C10" s="831" t="s">
        <v>4913</v>
      </c>
      <c r="D10" s="829"/>
      <c r="E10" s="832">
        <v>0.104</v>
      </c>
      <c r="F10" s="827">
        <f t="shared" si="0"/>
        <v>485680</v>
      </c>
      <c r="G10" s="827">
        <f t="shared" si="1"/>
        <v>406163.992</v>
      </c>
      <c r="H10" s="833">
        <v>0.10717230008244</v>
      </c>
      <c r="I10" s="833">
        <f>10.4%+8.52%/10</f>
        <v>0.11252</v>
      </c>
      <c r="J10" s="827">
        <f t="shared" si="2"/>
        <v>8383.44293434458</v>
      </c>
      <c r="K10" s="827">
        <f t="shared" si="3"/>
        <v>71132.5650656554</v>
      </c>
      <c r="N10" s="840">
        <f t="shared" si="4"/>
        <v>2.496</v>
      </c>
      <c r="O10" s="840">
        <f t="shared" si="5"/>
        <v>1.352</v>
      </c>
      <c r="P10" s="840">
        <f t="shared" si="6"/>
        <v>2.6</v>
      </c>
      <c r="Q10" s="840">
        <f t="shared" si="7"/>
        <v>3.12</v>
      </c>
      <c r="R10" s="840">
        <f t="shared" si="8"/>
        <v>6.24</v>
      </c>
      <c r="S10" s="840">
        <f t="shared" si="9"/>
        <v>2.184</v>
      </c>
      <c r="T10" s="850" t="s">
        <v>4914</v>
      </c>
      <c r="U10" s="851"/>
      <c r="V10" s="851"/>
      <c r="W10" s="851"/>
      <c r="X10" s="851"/>
      <c r="Y10" s="851"/>
      <c r="Z10" s="859"/>
    </row>
    <row r="11" s="821" customFormat="1" ht="99.95" customHeight="1" spans="1:26">
      <c r="A11" s="829" t="s">
        <v>4520</v>
      </c>
      <c r="B11" s="829" t="s">
        <v>4521</v>
      </c>
      <c r="C11" s="834" t="s">
        <v>4915</v>
      </c>
      <c r="D11" s="829"/>
      <c r="E11" s="832">
        <v>0.0852</v>
      </c>
      <c r="F11" s="827">
        <f t="shared" si="0"/>
        <v>397884</v>
      </c>
      <c r="G11" s="827">
        <f t="shared" si="1"/>
        <v>332742.0396</v>
      </c>
      <c r="H11" s="833">
        <v>0.0877988458367683</v>
      </c>
      <c r="I11" s="833">
        <f>8.52%+8.52%/10</f>
        <v>0.09372</v>
      </c>
      <c r="J11" s="827">
        <f t="shared" si="2"/>
        <v>6880.50509559769</v>
      </c>
      <c r="K11" s="827">
        <f t="shared" si="3"/>
        <v>58261.4553044023</v>
      </c>
      <c r="N11" s="840">
        <f t="shared" si="4"/>
        <v>2.0448</v>
      </c>
      <c r="O11" s="840">
        <f t="shared" si="5"/>
        <v>1.1076</v>
      </c>
      <c r="P11" s="840">
        <f t="shared" si="6"/>
        <v>2.13</v>
      </c>
      <c r="Q11" s="840">
        <f t="shared" si="7"/>
        <v>2.556</v>
      </c>
      <c r="R11" s="840">
        <f t="shared" si="8"/>
        <v>5.112</v>
      </c>
      <c r="S11" s="840">
        <f t="shared" si="9"/>
        <v>1.7892</v>
      </c>
      <c r="T11" s="852" t="s">
        <v>4916</v>
      </c>
      <c r="U11" s="853"/>
      <c r="V11" s="853"/>
      <c r="W11" s="853"/>
      <c r="X11" s="853"/>
      <c r="Y11" s="853"/>
      <c r="Z11" s="860"/>
    </row>
    <row r="12" s="821" customFormat="1" ht="99.95" customHeight="1" spans="1:26">
      <c r="A12" s="829" t="s">
        <v>4531</v>
      </c>
      <c r="B12" s="830" t="s">
        <v>4532</v>
      </c>
      <c r="C12" s="831" t="s">
        <v>4917</v>
      </c>
      <c r="D12" s="829"/>
      <c r="E12" s="832">
        <v>0.0852</v>
      </c>
      <c r="F12" s="827">
        <f t="shared" si="0"/>
        <v>397884</v>
      </c>
      <c r="G12" s="827">
        <f t="shared" si="1"/>
        <v>332742.0396</v>
      </c>
      <c r="H12" s="833">
        <v>0.0877988458367683</v>
      </c>
      <c r="I12" s="843"/>
      <c r="J12" s="827">
        <f t="shared" si="2"/>
        <v>6117.99917559769</v>
      </c>
      <c r="K12" s="827">
        <f t="shared" si="3"/>
        <v>59023.9612244023</v>
      </c>
      <c r="M12" s="821">
        <f>E12*410000</f>
        <v>34932</v>
      </c>
      <c r="N12" s="840">
        <f t="shared" si="4"/>
        <v>2.0448</v>
      </c>
      <c r="O12" s="840">
        <f t="shared" si="5"/>
        <v>1.1076</v>
      </c>
      <c r="P12" s="840">
        <f t="shared" si="6"/>
        <v>2.13</v>
      </c>
      <c r="Q12" s="840">
        <f t="shared" si="7"/>
        <v>2.556</v>
      </c>
      <c r="R12" s="840">
        <f t="shared" si="8"/>
        <v>5.112</v>
      </c>
      <c r="S12" s="840">
        <f t="shared" si="9"/>
        <v>1.7892</v>
      </c>
      <c r="T12" s="854"/>
      <c r="U12" s="854"/>
      <c r="V12" s="854"/>
      <c r="W12" s="854"/>
      <c r="X12" s="854"/>
      <c r="Y12" s="854"/>
      <c r="Z12" s="854"/>
    </row>
    <row r="13" s="821" customFormat="1" ht="99.95" customHeight="1" spans="1:26">
      <c r="A13" s="829" t="s">
        <v>4533</v>
      </c>
      <c r="B13" s="829" t="s">
        <v>4534</v>
      </c>
      <c r="C13" s="834" t="s">
        <v>4665</v>
      </c>
      <c r="D13" s="829"/>
      <c r="E13" s="832">
        <v>0.089</v>
      </c>
      <c r="F13" s="827">
        <f t="shared" si="0"/>
        <v>415630</v>
      </c>
      <c r="G13" s="827">
        <f t="shared" si="1"/>
        <v>347582.647</v>
      </c>
      <c r="H13" s="833">
        <v>0.091714756801319</v>
      </c>
      <c r="I13" s="833">
        <f>8.9%+8.52%/10</f>
        <v>0.09752</v>
      </c>
      <c r="J13" s="827">
        <f t="shared" si="2"/>
        <v>7184.29040342951</v>
      </c>
      <c r="K13" s="827">
        <f t="shared" si="3"/>
        <v>60863.0625965705</v>
      </c>
      <c r="N13" s="840">
        <f t="shared" si="4"/>
        <v>2.136</v>
      </c>
      <c r="O13" s="840">
        <f t="shared" si="5"/>
        <v>1.157</v>
      </c>
      <c r="P13" s="840">
        <f t="shared" si="6"/>
        <v>2.225</v>
      </c>
      <c r="Q13" s="840">
        <f t="shared" si="7"/>
        <v>2.67</v>
      </c>
      <c r="R13" s="840">
        <f t="shared" si="8"/>
        <v>5.34</v>
      </c>
      <c r="S13" s="840">
        <f t="shared" si="9"/>
        <v>1.869</v>
      </c>
      <c r="T13" s="854"/>
      <c r="U13" s="854"/>
      <c r="V13" s="854"/>
      <c r="W13" s="854"/>
      <c r="X13" s="854"/>
      <c r="Y13" s="854"/>
      <c r="Z13" s="854"/>
    </row>
    <row r="14" ht="17.25" spans="14:26">
      <c r="N14" s="844">
        <f t="shared" ref="N14:S14" si="10">SUM(N3:N13)</f>
        <v>24</v>
      </c>
      <c r="O14" s="844">
        <f t="shared" si="10"/>
        <v>13</v>
      </c>
      <c r="P14" s="844">
        <f t="shared" si="10"/>
        <v>25</v>
      </c>
      <c r="Q14" s="844">
        <f t="shared" si="10"/>
        <v>30</v>
      </c>
      <c r="R14" s="844">
        <f t="shared" si="10"/>
        <v>60</v>
      </c>
      <c r="S14" s="855">
        <f t="shared" si="10"/>
        <v>21</v>
      </c>
      <c r="T14" s="856"/>
      <c r="U14" s="856"/>
      <c r="V14" s="856"/>
      <c r="W14" s="856"/>
      <c r="X14" s="856"/>
      <c r="Y14" s="856"/>
      <c r="Z14" s="856"/>
    </row>
  </sheetData>
  <mergeCells count="10">
    <mergeCell ref="T2:Z2"/>
    <mergeCell ref="T3:Z3"/>
    <mergeCell ref="T4:Z4"/>
    <mergeCell ref="T5:Z5"/>
    <mergeCell ref="T6:Z6"/>
    <mergeCell ref="T7:Z7"/>
    <mergeCell ref="T8:Z8"/>
    <mergeCell ref="T9:Z9"/>
    <mergeCell ref="T10:Z10"/>
    <mergeCell ref="T11:Z11"/>
  </mergeCell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65125"/>
  <sheetViews>
    <sheetView zoomScale="70" zoomScaleNormal="70" workbookViewId="0">
      <pane xSplit="14" ySplit="2" topLeftCell="O233" activePane="bottomRight" state="frozen"/>
      <selection/>
      <selection pane="topRight"/>
      <selection pane="bottomLeft"/>
      <selection pane="bottomRight" activeCell="G246" sqref="G246:H246"/>
    </sheetView>
  </sheetViews>
  <sheetFormatPr defaultColWidth="9" defaultRowHeight="15"/>
  <cols>
    <col min="1" max="1" width="10.275" style="404" customWidth="1"/>
    <col min="2" max="2" width="12.2416666666667" style="1" customWidth="1"/>
    <col min="3" max="3" width="10.7416666666667" style="1" customWidth="1"/>
    <col min="4" max="4" width="14.025" style="3" customWidth="1"/>
    <col min="5" max="5" width="10.8166666666667" style="1" customWidth="1"/>
    <col min="6" max="6" width="14.4666666666667" style="1" customWidth="1"/>
    <col min="7" max="7" width="16.0666666666667" style="3" customWidth="1"/>
    <col min="8" max="8" width="15.35" style="1" customWidth="1"/>
    <col min="9" max="9" width="11.7083333333333" style="3" customWidth="1"/>
    <col min="10" max="10" width="7" style="3" customWidth="1"/>
    <col min="11" max="11" width="6.875" style="3" customWidth="1"/>
    <col min="12" max="12" width="9.20833333333333" style="3" customWidth="1"/>
    <col min="13" max="13" width="13.1333333333333" style="3" customWidth="1"/>
    <col min="14" max="14" width="13.2416666666667" style="3" customWidth="1"/>
    <col min="15" max="15" width="11.4333333333333" style="405" customWidth="1"/>
    <col min="16" max="16" width="9.475" style="1" customWidth="1"/>
    <col min="17" max="17" width="12.5" style="1" customWidth="1"/>
    <col min="18" max="18" width="10" style="3" customWidth="1"/>
    <col min="19" max="19" width="6.34166666666667" style="3" customWidth="1"/>
    <col min="20" max="20" width="11.0916666666667" style="405" customWidth="1"/>
    <col min="21" max="23" width="9.10833333333333" style="405" customWidth="1"/>
    <col min="24" max="24" width="30.2083333333333" style="406" customWidth="1"/>
    <col min="25" max="25" width="10.7166666666667" style="3" customWidth="1"/>
    <col min="26" max="26" width="8.75" style="3" customWidth="1"/>
    <col min="27" max="27" width="14.5083333333333" style="407" customWidth="1"/>
    <col min="28" max="28" width="11.75" style="408" customWidth="1"/>
    <col min="29" max="29" width="16.425" style="408" customWidth="1"/>
    <col min="30" max="31" width="12.2" style="408" customWidth="1"/>
    <col min="32" max="32" width="12.2" style="409" customWidth="1"/>
    <col min="33" max="33" width="9.81666666666667" style="409" customWidth="1"/>
    <col min="34" max="34" width="7.85" style="408" customWidth="1"/>
    <col min="35" max="35" width="8.49166666666667" style="408" customWidth="1"/>
    <col min="36" max="37" width="10.35" style="408" customWidth="1"/>
    <col min="38" max="38" width="9.25" style="1" customWidth="1"/>
    <col min="39" max="39" width="7.75" style="410" customWidth="1"/>
    <col min="40" max="41" width="7.75" style="1" customWidth="1"/>
    <col min="42" max="49" width="9" style="1" customWidth="1"/>
    <col min="50" max="60" width="9.375" style="411" customWidth="1"/>
    <col min="61" max="64" width="9.83333333333333" style="411" customWidth="1"/>
    <col min="65" max="66" width="9.375" style="411" customWidth="1"/>
    <col min="67" max="68" width="9" style="3"/>
    <col min="69" max="69" width="10.275" style="3" customWidth="1"/>
    <col min="70" max="16384" width="9" style="3"/>
  </cols>
  <sheetData>
    <row r="1" s="399" customFormat="1" ht="43" customHeight="1" spans="1:66">
      <c r="A1" s="412" t="s">
        <v>4918</v>
      </c>
      <c r="B1" s="413"/>
      <c r="C1" s="414"/>
      <c r="D1" s="415"/>
      <c r="E1" s="416"/>
      <c r="F1" s="417"/>
      <c r="G1" s="418"/>
      <c r="H1" s="419" t="s">
        <v>4919</v>
      </c>
      <c r="J1" s="433"/>
      <c r="K1" s="433"/>
      <c r="M1" s="433"/>
      <c r="N1" s="434"/>
      <c r="O1" s="435"/>
      <c r="P1" s="414"/>
      <c r="Q1" s="414"/>
      <c r="R1" s="433"/>
      <c r="S1" s="433"/>
      <c r="T1" s="443"/>
      <c r="U1" s="443"/>
      <c r="V1" s="443"/>
      <c r="W1" s="443"/>
      <c r="X1" s="444"/>
      <c r="Y1" s="461"/>
      <c r="Z1" s="433"/>
      <c r="AA1" s="462"/>
      <c r="AB1" s="463"/>
      <c r="AC1" s="463"/>
      <c r="AD1" s="463"/>
      <c r="AE1" s="463"/>
      <c r="AF1" s="464"/>
      <c r="AG1" s="464"/>
      <c r="AH1" s="463"/>
      <c r="AI1" s="463"/>
      <c r="AJ1" s="463"/>
      <c r="AK1" s="463"/>
      <c r="AL1" s="480" t="s">
        <v>3</v>
      </c>
      <c r="AM1" s="480"/>
      <c r="AN1" s="480"/>
      <c r="AO1" s="495"/>
      <c r="AP1" s="495" t="s">
        <v>4</v>
      </c>
      <c r="AQ1" s="496"/>
      <c r="AR1" s="495" t="s">
        <v>4920</v>
      </c>
      <c r="AS1" s="497"/>
      <c r="AT1" s="497" t="s">
        <v>4921</v>
      </c>
      <c r="AU1" s="497"/>
      <c r="AV1" s="497"/>
      <c r="AW1" s="497"/>
      <c r="AX1" s="507" t="s">
        <v>3404</v>
      </c>
      <c r="AY1" s="508"/>
      <c r="AZ1" s="509"/>
      <c r="BA1" s="510" t="s">
        <v>4922</v>
      </c>
      <c r="BB1" s="510"/>
      <c r="BC1" s="510" t="s">
        <v>4923</v>
      </c>
      <c r="BD1" s="510" t="s">
        <v>4924</v>
      </c>
      <c r="BE1" s="515" t="s">
        <v>4925</v>
      </c>
      <c r="BF1" s="515"/>
      <c r="BG1" s="515"/>
      <c r="BH1" s="515"/>
      <c r="BI1" s="515"/>
      <c r="BJ1" s="515"/>
      <c r="BK1" s="515"/>
      <c r="BL1" s="515"/>
      <c r="BM1" s="510" t="s">
        <v>4926</v>
      </c>
      <c r="BN1" s="510"/>
    </row>
    <row r="2" s="1" customFormat="1" ht="60" customHeight="1" spans="1:67">
      <c r="A2" s="7" t="s">
        <v>6</v>
      </c>
      <c r="B2" s="8" t="s">
        <v>7</v>
      </c>
      <c r="C2" s="8" t="s">
        <v>8</v>
      </c>
      <c r="D2" s="8" t="s">
        <v>9</v>
      </c>
      <c r="E2" s="9" t="s">
        <v>10</v>
      </c>
      <c r="F2" s="8" t="s">
        <v>11</v>
      </c>
      <c r="G2" s="8" t="s">
        <v>12</v>
      </c>
      <c r="H2" s="10" t="s">
        <v>13</v>
      </c>
      <c r="I2" s="10" t="s">
        <v>14</v>
      </c>
      <c r="J2" s="10" t="s">
        <v>15</v>
      </c>
      <c r="K2" s="8" t="s">
        <v>16</v>
      </c>
      <c r="L2" s="8" t="s">
        <v>17</v>
      </c>
      <c r="M2" s="82" t="s">
        <v>18</v>
      </c>
      <c r="N2" s="82" t="s">
        <v>19</v>
      </c>
      <c r="O2" s="83" t="s">
        <v>20</v>
      </c>
      <c r="P2" s="8" t="s">
        <v>21</v>
      </c>
      <c r="Q2" s="8" t="s">
        <v>22</v>
      </c>
      <c r="R2" s="8" t="s">
        <v>23</v>
      </c>
      <c r="S2" s="9" t="s">
        <v>24</v>
      </c>
      <c r="T2" s="83" t="s">
        <v>25</v>
      </c>
      <c r="U2" s="445" t="s">
        <v>4927</v>
      </c>
      <c r="V2" s="445" t="s">
        <v>4928</v>
      </c>
      <c r="W2" s="445" t="s">
        <v>4929</v>
      </c>
      <c r="X2" s="107" t="s">
        <v>26</v>
      </c>
      <c r="Y2" s="8" t="s">
        <v>27</v>
      </c>
      <c r="Z2" s="8" t="s">
        <v>28</v>
      </c>
      <c r="AA2" s="108" t="s">
        <v>29</v>
      </c>
      <c r="AB2" s="148" t="s">
        <v>30</v>
      </c>
      <c r="AC2" s="465" t="s">
        <v>31</v>
      </c>
      <c r="AD2" s="466" t="s">
        <v>32</v>
      </c>
      <c r="AE2" s="466" t="s">
        <v>4930</v>
      </c>
      <c r="AF2" s="466" t="s">
        <v>4931</v>
      </c>
      <c r="AG2" s="466" t="s">
        <v>34</v>
      </c>
      <c r="AH2" s="466" t="s">
        <v>35</v>
      </c>
      <c r="AI2" s="465" t="s">
        <v>4932</v>
      </c>
      <c r="AJ2" s="481" t="s">
        <v>37</v>
      </c>
      <c r="AK2" s="481" t="s">
        <v>4933</v>
      </c>
      <c r="AL2" s="8" t="s">
        <v>4934</v>
      </c>
      <c r="AM2" s="168" t="s">
        <v>4935</v>
      </c>
      <c r="AN2" s="482" t="s">
        <v>4936</v>
      </c>
      <c r="AO2" s="498" t="s">
        <v>4937</v>
      </c>
      <c r="AP2" s="8" t="s">
        <v>4938</v>
      </c>
      <c r="AQ2" s="9" t="s">
        <v>4939</v>
      </c>
      <c r="AR2" s="8" t="s">
        <v>4940</v>
      </c>
      <c r="AS2" s="499" t="s">
        <v>4941</v>
      </c>
      <c r="AT2" s="500" t="s">
        <v>4942</v>
      </c>
      <c r="AU2" s="501" t="s">
        <v>4943</v>
      </c>
      <c r="AV2" s="502" t="s">
        <v>4944</v>
      </c>
      <c r="AW2" s="502" t="s">
        <v>4945</v>
      </c>
      <c r="AX2" s="170" t="s">
        <v>4946</v>
      </c>
      <c r="AY2" s="100" t="s">
        <v>4947</v>
      </c>
      <c r="AZ2" s="124" t="s">
        <v>4948</v>
      </c>
      <c r="BA2" s="170" t="s">
        <v>4949</v>
      </c>
      <c r="BB2" s="100" t="s">
        <v>4950</v>
      </c>
      <c r="BC2" s="511" t="s">
        <v>4951</v>
      </c>
      <c r="BD2" s="511" t="s">
        <v>4952</v>
      </c>
      <c r="BE2" s="189" t="s">
        <v>4953</v>
      </c>
      <c r="BF2" s="170" t="s">
        <v>4954</v>
      </c>
      <c r="BG2" s="16" t="s">
        <v>4955</v>
      </c>
      <c r="BH2" s="100" t="s">
        <v>4956</v>
      </c>
      <c r="BI2" s="188" t="s">
        <v>4957</v>
      </c>
      <c r="BJ2" s="188" t="s">
        <v>4958</v>
      </c>
      <c r="BK2" s="16" t="s">
        <v>4959</v>
      </c>
      <c r="BL2" s="16" t="s">
        <v>4960</v>
      </c>
      <c r="BM2" s="189" t="s">
        <v>67</v>
      </c>
      <c r="BN2" s="189" t="s">
        <v>4961</v>
      </c>
      <c r="BO2" s="190"/>
    </row>
    <row r="3" s="3" customFormat="1" ht="36" customHeight="1" spans="1:69">
      <c r="A3" s="74"/>
      <c r="B3" s="75"/>
      <c r="C3" s="76" t="s">
        <v>4962</v>
      </c>
      <c r="D3" s="77"/>
      <c r="E3" s="114"/>
      <c r="F3" s="77"/>
      <c r="G3" s="23" t="s">
        <v>4963</v>
      </c>
      <c r="H3" s="24" t="s">
        <v>4964</v>
      </c>
      <c r="I3" s="88">
        <v>500</v>
      </c>
      <c r="J3" s="89">
        <v>0</v>
      </c>
      <c r="K3" s="23">
        <v>24</v>
      </c>
      <c r="L3" s="436">
        <f t="shared" ref="L3:L66" si="0">I3/K3</f>
        <v>20.8333333333333</v>
      </c>
      <c r="M3" s="90"/>
      <c r="N3" s="90"/>
      <c r="O3" s="91"/>
      <c r="P3" s="91" t="s">
        <v>75</v>
      </c>
      <c r="Q3" s="91"/>
      <c r="R3" s="91"/>
      <c r="S3" s="91"/>
      <c r="T3" s="91"/>
      <c r="U3" s="91"/>
      <c r="V3" s="91"/>
      <c r="W3" s="91"/>
      <c r="X3" s="114"/>
      <c r="Y3" s="139"/>
      <c r="Z3" s="116"/>
      <c r="AA3" s="117"/>
      <c r="AB3" s="88"/>
      <c r="AC3" s="153"/>
      <c r="AD3" s="467"/>
      <c r="AE3" s="467"/>
      <c r="AF3" s="468"/>
      <c r="AG3" s="468"/>
      <c r="AH3" s="467"/>
      <c r="AI3" s="153"/>
      <c r="AJ3" s="155"/>
      <c r="AK3" s="155"/>
      <c r="AL3" s="175"/>
      <c r="AM3" s="88"/>
      <c r="AN3" s="88"/>
      <c r="AO3" s="88"/>
      <c r="AP3" s="175"/>
      <c r="AQ3" s="175"/>
      <c r="AR3" s="175"/>
      <c r="AS3" s="175"/>
      <c r="AT3" s="175"/>
      <c r="AU3" s="175"/>
      <c r="AV3" s="175"/>
      <c r="AW3" s="175"/>
      <c r="AX3" s="181"/>
      <c r="AY3" s="181"/>
      <c r="AZ3" s="181"/>
      <c r="BA3" s="181"/>
      <c r="BB3" s="181"/>
      <c r="BC3" s="181"/>
      <c r="BD3" s="181"/>
      <c r="BE3" s="181"/>
      <c r="BF3" s="181"/>
      <c r="BG3" s="181"/>
      <c r="BH3" s="181"/>
      <c r="BI3" s="181"/>
      <c r="BJ3" s="181"/>
      <c r="BK3" s="181"/>
      <c r="BL3" s="181"/>
      <c r="BM3" s="181"/>
      <c r="BN3" s="181"/>
      <c r="BQ3" s="3">
        <f>AJ3</f>
        <v>0</v>
      </c>
    </row>
    <row r="4" s="3" customFormat="1" ht="36" customHeight="1" spans="1:69">
      <c r="A4" s="74">
        <v>45838</v>
      </c>
      <c r="B4" s="75" t="s">
        <v>70</v>
      </c>
      <c r="C4" s="76" t="s">
        <v>71</v>
      </c>
      <c r="D4" s="77" t="s">
        <v>4965</v>
      </c>
      <c r="E4" s="114"/>
      <c r="F4" s="77"/>
      <c r="G4" s="23" t="s">
        <v>4963</v>
      </c>
      <c r="H4" s="24" t="s">
        <v>4964</v>
      </c>
      <c r="I4" s="88">
        <v>1008</v>
      </c>
      <c r="J4" s="89">
        <v>0</v>
      </c>
      <c r="K4" s="23">
        <v>24</v>
      </c>
      <c r="L4" s="88">
        <f t="shared" si="0"/>
        <v>42</v>
      </c>
      <c r="M4" s="90">
        <v>45882</v>
      </c>
      <c r="N4" s="90">
        <v>45882</v>
      </c>
      <c r="O4" s="91"/>
      <c r="P4" s="91" t="s">
        <v>75</v>
      </c>
      <c r="Q4" s="91"/>
      <c r="R4" s="91" t="s">
        <v>77</v>
      </c>
      <c r="S4" s="91" t="s">
        <v>77</v>
      </c>
      <c r="T4" s="91" t="s">
        <v>77</v>
      </c>
      <c r="U4" s="91"/>
      <c r="V4" s="91"/>
      <c r="W4" s="91"/>
      <c r="X4" s="114" t="s">
        <v>4966</v>
      </c>
      <c r="Y4" s="139" t="s">
        <v>2968</v>
      </c>
      <c r="Z4" s="116"/>
      <c r="AA4" s="117"/>
      <c r="AB4" s="88" t="s">
        <v>4967</v>
      </c>
      <c r="AC4" s="153"/>
      <c r="AD4" s="467"/>
      <c r="AE4" s="467"/>
      <c r="AF4" s="468"/>
      <c r="AG4" s="468"/>
      <c r="AH4" s="467"/>
      <c r="AI4" s="153"/>
      <c r="AJ4" s="155">
        <f t="shared" ref="AJ4:AJ31" si="1">I4</f>
        <v>1008</v>
      </c>
      <c r="AK4" s="155"/>
      <c r="AL4" s="175">
        <f t="shared" ref="AL4:AL18" si="2">I4</f>
        <v>1008</v>
      </c>
      <c r="AM4" s="88"/>
      <c r="AN4" s="88"/>
      <c r="AO4" s="88"/>
      <c r="AP4" s="175">
        <f t="shared" ref="AP4:AP31" si="3">I4</f>
        <v>1008</v>
      </c>
      <c r="AQ4" s="175"/>
      <c r="AR4" s="175">
        <f t="shared" ref="AR4:AR18" si="4">AP4</f>
        <v>1008</v>
      </c>
      <c r="AS4" s="175"/>
      <c r="AT4" s="175"/>
      <c r="AU4" s="175"/>
      <c r="AV4" s="175"/>
      <c r="AW4" s="175"/>
      <c r="AX4" s="181"/>
      <c r="AY4" s="181"/>
      <c r="AZ4" s="181"/>
      <c r="BA4" s="181"/>
      <c r="BB4" s="181"/>
      <c r="BC4" s="181"/>
      <c r="BD4" s="181"/>
      <c r="BE4" s="181"/>
      <c r="BF4" s="181"/>
      <c r="BG4" s="181"/>
      <c r="BH4" s="181"/>
      <c r="BI4" s="181"/>
      <c r="BJ4" s="181"/>
      <c r="BK4" s="181"/>
      <c r="BL4" s="181"/>
      <c r="BM4" s="181"/>
      <c r="BN4" s="181"/>
      <c r="BQ4" s="3">
        <f t="shared" ref="BQ4:BQ67" si="5">AJ4+BQ3</f>
        <v>1008</v>
      </c>
    </row>
    <row r="5" s="3" customFormat="1" ht="36" customHeight="1" spans="1:69">
      <c r="A5" s="74">
        <v>45838</v>
      </c>
      <c r="B5" s="75" t="s">
        <v>70</v>
      </c>
      <c r="C5" s="76" t="s">
        <v>71</v>
      </c>
      <c r="D5" s="77" t="s">
        <v>4965</v>
      </c>
      <c r="E5" s="114"/>
      <c r="F5" s="77"/>
      <c r="G5" s="23" t="s">
        <v>4963</v>
      </c>
      <c r="H5" s="24" t="s">
        <v>4968</v>
      </c>
      <c r="I5" s="88">
        <v>10</v>
      </c>
      <c r="J5" s="89">
        <v>0</v>
      </c>
      <c r="K5" s="23">
        <v>10</v>
      </c>
      <c r="L5" s="88">
        <f t="shared" si="0"/>
        <v>1</v>
      </c>
      <c r="M5" s="90">
        <v>45882</v>
      </c>
      <c r="N5" s="90">
        <v>45882</v>
      </c>
      <c r="O5" s="91"/>
      <c r="P5" s="91"/>
      <c r="Q5" s="91"/>
      <c r="R5" s="91" t="s">
        <v>77</v>
      </c>
      <c r="S5" s="91" t="s">
        <v>77</v>
      </c>
      <c r="T5" s="91" t="s">
        <v>77</v>
      </c>
      <c r="U5" s="91"/>
      <c r="V5" s="91"/>
      <c r="W5" s="91"/>
      <c r="X5" s="114" t="s">
        <v>4969</v>
      </c>
      <c r="Y5" s="139" t="s">
        <v>2968</v>
      </c>
      <c r="Z5" s="116"/>
      <c r="AA5" s="117"/>
      <c r="AB5" s="88" t="s">
        <v>4967</v>
      </c>
      <c r="AC5" s="153"/>
      <c r="AD5" s="467"/>
      <c r="AE5" s="467"/>
      <c r="AF5" s="468"/>
      <c r="AG5" s="468"/>
      <c r="AH5" s="467"/>
      <c r="AI5" s="153">
        <v>10</v>
      </c>
      <c r="AJ5" s="155">
        <f t="shared" si="1"/>
        <v>10</v>
      </c>
      <c r="AK5" s="155"/>
      <c r="AL5" s="175"/>
      <c r="AM5" s="88"/>
      <c r="AN5" s="88"/>
      <c r="AO5" s="88"/>
      <c r="AP5" s="175"/>
      <c r="AQ5" s="175"/>
      <c r="AR5" s="175"/>
      <c r="AS5" s="175"/>
      <c r="AT5" s="175"/>
      <c r="AU5" s="175"/>
      <c r="AV5" s="175"/>
      <c r="AW5" s="175"/>
      <c r="AX5" s="181"/>
      <c r="AY5" s="181"/>
      <c r="AZ5" s="181"/>
      <c r="BA5" s="181"/>
      <c r="BB5" s="181"/>
      <c r="BC5" s="181"/>
      <c r="BD5" s="181"/>
      <c r="BE5" s="181"/>
      <c r="BF5" s="181"/>
      <c r="BG5" s="181"/>
      <c r="BH5" s="181"/>
      <c r="BI5" s="181"/>
      <c r="BJ5" s="181"/>
      <c r="BK5" s="181"/>
      <c r="BL5" s="181"/>
      <c r="BM5" s="181"/>
      <c r="BN5" s="181"/>
      <c r="BQ5" s="3">
        <f t="shared" si="5"/>
        <v>1018</v>
      </c>
    </row>
    <row r="6" s="3" customFormat="1" ht="36" customHeight="1" spans="1:69">
      <c r="A6" s="74">
        <v>45838</v>
      </c>
      <c r="B6" s="75" t="s">
        <v>70</v>
      </c>
      <c r="C6" s="76" t="s">
        <v>71</v>
      </c>
      <c r="D6" s="77" t="s">
        <v>4965</v>
      </c>
      <c r="E6" s="114"/>
      <c r="F6" s="77"/>
      <c r="G6" s="23" t="s">
        <v>4970</v>
      </c>
      <c r="H6" s="24" t="s">
        <v>4971</v>
      </c>
      <c r="I6" s="88">
        <v>20</v>
      </c>
      <c r="J6" s="89">
        <v>0</v>
      </c>
      <c r="K6" s="692">
        <v>20</v>
      </c>
      <c r="L6" s="436">
        <f t="shared" si="0"/>
        <v>1</v>
      </c>
      <c r="M6" s="90">
        <v>45882</v>
      </c>
      <c r="N6" s="90">
        <v>45882</v>
      </c>
      <c r="O6" s="91"/>
      <c r="P6" s="91" t="s">
        <v>4972</v>
      </c>
      <c r="Q6" s="91"/>
      <c r="R6" s="91" t="s">
        <v>77</v>
      </c>
      <c r="S6" s="91" t="s">
        <v>77</v>
      </c>
      <c r="T6" s="91" t="s">
        <v>77</v>
      </c>
      <c r="U6" s="91"/>
      <c r="V6" s="91"/>
      <c r="W6" s="91"/>
      <c r="X6" s="114" t="s">
        <v>4973</v>
      </c>
      <c r="Y6" s="139" t="s">
        <v>2968</v>
      </c>
      <c r="Z6" s="116"/>
      <c r="AA6" s="117"/>
      <c r="AB6" s="88" t="s">
        <v>4967</v>
      </c>
      <c r="AC6" s="153"/>
      <c r="AD6" s="467"/>
      <c r="AE6" s="467"/>
      <c r="AF6" s="468"/>
      <c r="AG6" s="468"/>
      <c r="AH6" s="467"/>
      <c r="AI6" s="153">
        <v>20</v>
      </c>
      <c r="AJ6" s="155">
        <f t="shared" si="1"/>
        <v>20</v>
      </c>
      <c r="AK6" s="155"/>
      <c r="AL6" s="175"/>
      <c r="AM6" s="175"/>
      <c r="AN6" s="175"/>
      <c r="AO6" s="175"/>
      <c r="AP6" s="175"/>
      <c r="AQ6" s="175"/>
      <c r="AR6" s="175"/>
      <c r="AS6" s="175"/>
      <c r="AT6" s="175"/>
      <c r="AU6" s="175"/>
      <c r="AV6" s="175"/>
      <c r="AW6" s="175"/>
      <c r="AX6" s="181">
        <f>I6</f>
        <v>20</v>
      </c>
      <c r="AY6" s="181"/>
      <c r="AZ6" s="181"/>
      <c r="BA6" s="181"/>
      <c r="BB6" s="181"/>
      <c r="BC6" s="181"/>
      <c r="BD6" s="181"/>
      <c r="BE6" s="181"/>
      <c r="BF6" s="181"/>
      <c r="BG6" s="181"/>
      <c r="BH6" s="181"/>
      <c r="BI6" s="181"/>
      <c r="BJ6" s="181"/>
      <c r="BK6" s="181"/>
      <c r="BL6" s="181"/>
      <c r="BM6" s="181"/>
      <c r="BN6" s="181"/>
      <c r="BQ6" s="3">
        <f t="shared" si="5"/>
        <v>1038</v>
      </c>
    </row>
    <row r="7" s="3" customFormat="1" ht="36" customHeight="1" spans="1:69">
      <c r="A7" s="74">
        <v>45838</v>
      </c>
      <c r="B7" s="75" t="s">
        <v>70</v>
      </c>
      <c r="C7" s="76" t="s">
        <v>71</v>
      </c>
      <c r="D7" s="77" t="s">
        <v>4965</v>
      </c>
      <c r="E7" s="114"/>
      <c r="F7" s="77"/>
      <c r="G7" s="23" t="s">
        <v>4974</v>
      </c>
      <c r="H7" s="24" t="s">
        <v>4975</v>
      </c>
      <c r="I7" s="88">
        <v>20</v>
      </c>
      <c r="J7" s="89">
        <v>0</v>
      </c>
      <c r="K7" s="23">
        <v>25</v>
      </c>
      <c r="L7" s="436">
        <f t="shared" si="0"/>
        <v>0.8</v>
      </c>
      <c r="M7" s="90">
        <v>45882</v>
      </c>
      <c r="N7" s="90">
        <v>45882</v>
      </c>
      <c r="O7" s="91"/>
      <c r="P7" s="91" t="s">
        <v>4972</v>
      </c>
      <c r="Q7" s="91"/>
      <c r="R7" s="91" t="s">
        <v>77</v>
      </c>
      <c r="S7" s="91" t="s">
        <v>77</v>
      </c>
      <c r="T7" s="91" t="s">
        <v>77</v>
      </c>
      <c r="U7" s="91"/>
      <c r="V7" s="91"/>
      <c r="W7" s="91"/>
      <c r="X7" s="114" t="s">
        <v>4973</v>
      </c>
      <c r="Y7" s="139" t="s">
        <v>2968</v>
      </c>
      <c r="Z7" s="116"/>
      <c r="AA7" s="117"/>
      <c r="AB7" s="88" t="s">
        <v>4967</v>
      </c>
      <c r="AC7" s="470"/>
      <c r="AD7" s="23"/>
      <c r="AE7" s="23"/>
      <c r="AF7" s="472"/>
      <c r="AG7" s="472"/>
      <c r="AH7" s="23"/>
      <c r="AI7" s="470">
        <v>20</v>
      </c>
      <c r="AJ7" s="155">
        <f t="shared" si="1"/>
        <v>20</v>
      </c>
      <c r="AK7" s="155"/>
      <c r="AL7" s="175"/>
      <c r="AM7" s="88"/>
      <c r="AN7" s="88"/>
      <c r="AO7" s="88"/>
      <c r="AP7" s="175"/>
      <c r="AQ7" s="175"/>
      <c r="AR7" s="175"/>
      <c r="AS7" s="175"/>
      <c r="AT7" s="175"/>
      <c r="AU7" s="175"/>
      <c r="AV7" s="175"/>
      <c r="AW7" s="175"/>
      <c r="AX7" s="181"/>
      <c r="AY7" s="181"/>
      <c r="AZ7" s="181"/>
      <c r="BA7" s="181">
        <f>I7</f>
        <v>20</v>
      </c>
      <c r="BB7" s="181"/>
      <c r="BC7" s="181"/>
      <c r="BD7" s="181"/>
      <c r="BE7" s="181"/>
      <c r="BF7" s="181"/>
      <c r="BG7" s="181"/>
      <c r="BH7" s="181"/>
      <c r="BI7" s="181"/>
      <c r="BJ7" s="181"/>
      <c r="BK7" s="181"/>
      <c r="BL7" s="181"/>
      <c r="BM7" s="181"/>
      <c r="BN7" s="181"/>
      <c r="BQ7" s="3">
        <f t="shared" si="5"/>
        <v>1058</v>
      </c>
    </row>
    <row r="8" s="200" customFormat="1" ht="36" customHeight="1" spans="1:69">
      <c r="A8" s="533">
        <v>45884</v>
      </c>
      <c r="B8" s="527" t="s">
        <v>4976</v>
      </c>
      <c r="C8" s="528" t="s">
        <v>117</v>
      </c>
      <c r="D8" s="534">
        <v>4500177106</v>
      </c>
      <c r="E8" s="1678" t="s">
        <v>4977</v>
      </c>
      <c r="F8" s="534" t="s">
        <v>4978</v>
      </c>
      <c r="G8" s="531" t="s">
        <v>4979</v>
      </c>
      <c r="H8" s="532" t="s">
        <v>4980</v>
      </c>
      <c r="I8" s="401">
        <v>960</v>
      </c>
      <c r="J8" s="562">
        <v>0</v>
      </c>
      <c r="K8" s="531">
        <v>16</v>
      </c>
      <c r="L8" s="503">
        <f t="shared" si="0"/>
        <v>60</v>
      </c>
      <c r="M8" s="563">
        <v>45930</v>
      </c>
      <c r="N8" s="563">
        <v>45926</v>
      </c>
      <c r="O8" s="564" t="s">
        <v>4981</v>
      </c>
      <c r="P8" s="564" t="s">
        <v>92</v>
      </c>
      <c r="Q8" s="564" t="s">
        <v>2650</v>
      </c>
      <c r="R8" s="564">
        <v>45887</v>
      </c>
      <c r="S8" s="564" t="s">
        <v>123</v>
      </c>
      <c r="T8" s="564" t="s">
        <v>4982</v>
      </c>
      <c r="U8" s="564" t="s">
        <v>4983</v>
      </c>
      <c r="V8" s="564" t="s">
        <v>863</v>
      </c>
      <c r="W8" s="564"/>
      <c r="X8" s="530" t="s">
        <v>4984</v>
      </c>
      <c r="Y8" s="596" t="s">
        <v>634</v>
      </c>
      <c r="Z8" s="592">
        <v>0.96</v>
      </c>
      <c r="AA8" s="593">
        <f t="shared" ref="AA8:AA21" si="6">Z8*I8</f>
        <v>921.6</v>
      </c>
      <c r="AB8" s="401" t="s">
        <v>4985</v>
      </c>
      <c r="AC8" s="531" t="s">
        <v>4979</v>
      </c>
      <c r="AD8" s="595" t="s">
        <v>128</v>
      </c>
      <c r="AE8" s="595"/>
      <c r="AF8" s="531"/>
      <c r="AG8" s="531"/>
      <c r="AH8" s="531"/>
      <c r="AI8" s="607"/>
      <c r="AJ8" s="608">
        <f t="shared" si="1"/>
        <v>960</v>
      </c>
      <c r="AK8" s="608"/>
      <c r="AL8" s="609">
        <f t="shared" si="2"/>
        <v>960</v>
      </c>
      <c r="AM8" s="401"/>
      <c r="AN8" s="401"/>
      <c r="AO8" s="401"/>
      <c r="AP8" s="609">
        <f t="shared" si="3"/>
        <v>960</v>
      </c>
      <c r="AQ8" s="609"/>
      <c r="AR8" s="609">
        <f t="shared" si="4"/>
        <v>960</v>
      </c>
      <c r="AS8" s="609"/>
      <c r="AT8" s="609"/>
      <c r="AU8" s="609"/>
      <c r="AV8" s="609"/>
      <c r="AW8" s="609"/>
      <c r="AX8" s="633"/>
      <c r="AY8" s="633"/>
      <c r="AZ8" s="633"/>
      <c r="BA8" s="633"/>
      <c r="BB8" s="633"/>
      <c r="BC8" s="633">
        <f t="shared" ref="BC8:BC13" si="7">I8/16</f>
        <v>60</v>
      </c>
      <c r="BD8" s="633"/>
      <c r="BE8" s="633"/>
      <c r="BF8" s="633"/>
      <c r="BG8" s="633"/>
      <c r="BH8" s="633"/>
      <c r="BI8" s="633"/>
      <c r="BJ8" s="633"/>
      <c r="BK8" s="633"/>
      <c r="BL8" s="633"/>
      <c r="BM8" s="633"/>
      <c r="BN8" s="633"/>
      <c r="BQ8" s="3">
        <f t="shared" si="5"/>
        <v>2018</v>
      </c>
    </row>
    <row r="9" s="200" customFormat="1" ht="36" customHeight="1" spans="1:69">
      <c r="A9" s="533">
        <v>45888</v>
      </c>
      <c r="B9" s="527" t="s">
        <v>116</v>
      </c>
      <c r="C9" s="528" t="s">
        <v>117</v>
      </c>
      <c r="D9" s="534">
        <v>4500177334</v>
      </c>
      <c r="E9" s="530" t="s">
        <v>4986</v>
      </c>
      <c r="F9" s="534" t="s">
        <v>4987</v>
      </c>
      <c r="G9" s="531" t="s">
        <v>4988</v>
      </c>
      <c r="H9" s="532" t="s">
        <v>4989</v>
      </c>
      <c r="I9" s="401">
        <v>21975</v>
      </c>
      <c r="J9" s="562">
        <v>0</v>
      </c>
      <c r="K9" s="531">
        <v>25</v>
      </c>
      <c r="L9" s="503">
        <f t="shared" si="0"/>
        <v>879</v>
      </c>
      <c r="M9" s="563">
        <v>45930</v>
      </c>
      <c r="N9" s="563">
        <v>45926</v>
      </c>
      <c r="O9" s="564"/>
      <c r="P9" s="564" t="s">
        <v>92</v>
      </c>
      <c r="Q9" s="564" t="s">
        <v>4990</v>
      </c>
      <c r="R9" s="564">
        <v>45891</v>
      </c>
      <c r="S9" s="564" t="s">
        <v>123</v>
      </c>
      <c r="T9" s="564" t="s">
        <v>4991</v>
      </c>
      <c r="U9" s="564"/>
      <c r="V9" s="564"/>
      <c r="W9" s="564"/>
      <c r="X9" s="530" t="s">
        <v>4992</v>
      </c>
      <c r="Y9" s="596" t="s">
        <v>126</v>
      </c>
      <c r="Z9" s="592">
        <v>0.96</v>
      </c>
      <c r="AA9" s="593">
        <f t="shared" si="6"/>
        <v>21096</v>
      </c>
      <c r="AB9" s="401" t="s">
        <v>4993</v>
      </c>
      <c r="AC9" s="607" t="s">
        <v>4988</v>
      </c>
      <c r="AD9" s="595" t="s">
        <v>128</v>
      </c>
      <c r="AE9" s="595"/>
      <c r="AF9" s="531"/>
      <c r="AG9" s="531"/>
      <c r="AH9" s="531"/>
      <c r="AI9" s="607"/>
      <c r="AJ9" s="608">
        <f t="shared" si="1"/>
        <v>21975</v>
      </c>
      <c r="AK9" s="608"/>
      <c r="AL9" s="609">
        <f t="shared" si="2"/>
        <v>21975</v>
      </c>
      <c r="AM9" s="401"/>
      <c r="AN9" s="401"/>
      <c r="AO9" s="401"/>
      <c r="AP9" s="609">
        <f t="shared" si="3"/>
        <v>21975</v>
      </c>
      <c r="AQ9" s="609"/>
      <c r="AR9" s="609">
        <f t="shared" si="4"/>
        <v>21975</v>
      </c>
      <c r="AS9" s="609"/>
      <c r="AT9" s="609"/>
      <c r="AU9" s="609"/>
      <c r="AV9" s="609"/>
      <c r="AW9" s="609"/>
      <c r="AX9" s="633"/>
      <c r="AY9" s="633"/>
      <c r="AZ9" s="633"/>
      <c r="BA9" s="633">
        <f>I9/25</f>
        <v>879</v>
      </c>
      <c r="BB9" s="633"/>
      <c r="BC9" s="633"/>
      <c r="BD9" s="633"/>
      <c r="BE9" s="633"/>
      <c r="BF9" s="633"/>
      <c r="BG9" s="633"/>
      <c r="BH9" s="633"/>
      <c r="BI9" s="633"/>
      <c r="BJ9" s="633"/>
      <c r="BK9" s="633"/>
      <c r="BL9" s="633"/>
      <c r="BM9" s="633"/>
      <c r="BN9" s="633"/>
      <c r="BQ9" s="3">
        <f t="shared" si="5"/>
        <v>23993</v>
      </c>
    </row>
    <row r="10" s="200" customFormat="1" ht="36" customHeight="1" spans="1:69">
      <c r="A10" s="533">
        <v>45884</v>
      </c>
      <c r="B10" s="527" t="s">
        <v>4976</v>
      </c>
      <c r="C10" s="528" t="s">
        <v>117</v>
      </c>
      <c r="D10" s="534">
        <v>4500177107</v>
      </c>
      <c r="E10" s="1678" t="s">
        <v>4994</v>
      </c>
      <c r="F10" s="534" t="s">
        <v>4995</v>
      </c>
      <c r="G10" s="531" t="s">
        <v>4979</v>
      </c>
      <c r="H10" s="532" t="s">
        <v>4980</v>
      </c>
      <c r="I10" s="401">
        <v>6752</v>
      </c>
      <c r="J10" s="562">
        <v>0</v>
      </c>
      <c r="K10" s="531">
        <v>16</v>
      </c>
      <c r="L10" s="503">
        <f t="shared" si="0"/>
        <v>422</v>
      </c>
      <c r="M10" s="563">
        <v>45938</v>
      </c>
      <c r="N10" s="563">
        <v>45934</v>
      </c>
      <c r="O10" s="564" t="s">
        <v>4996</v>
      </c>
      <c r="P10" s="564" t="s">
        <v>92</v>
      </c>
      <c r="Q10" s="564" t="s">
        <v>4997</v>
      </c>
      <c r="R10" s="564">
        <v>45887</v>
      </c>
      <c r="S10" s="564" t="s">
        <v>123</v>
      </c>
      <c r="T10" s="564" t="s">
        <v>4998</v>
      </c>
      <c r="U10" s="564" t="s">
        <v>4999</v>
      </c>
      <c r="V10" s="564"/>
      <c r="W10" s="564"/>
      <c r="X10" s="530" t="s">
        <v>5000</v>
      </c>
      <c r="Y10" s="596" t="s">
        <v>634</v>
      </c>
      <c r="Z10" s="592">
        <v>0.96</v>
      </c>
      <c r="AA10" s="593">
        <f t="shared" si="6"/>
        <v>6481.92</v>
      </c>
      <c r="AB10" s="401" t="s">
        <v>5001</v>
      </c>
      <c r="AC10" s="531" t="s">
        <v>4979</v>
      </c>
      <c r="AD10" s="595" t="s">
        <v>128</v>
      </c>
      <c r="AE10" s="595"/>
      <c r="AF10" s="531"/>
      <c r="AG10" s="531"/>
      <c r="AH10" s="531"/>
      <c r="AI10" s="607"/>
      <c r="AJ10" s="608">
        <f t="shared" si="1"/>
        <v>6752</v>
      </c>
      <c r="AK10" s="608"/>
      <c r="AL10" s="609">
        <f t="shared" si="2"/>
        <v>6752</v>
      </c>
      <c r="AM10" s="401"/>
      <c r="AN10" s="401"/>
      <c r="AO10" s="401"/>
      <c r="AP10" s="609">
        <f t="shared" si="3"/>
        <v>6752</v>
      </c>
      <c r="AQ10" s="609"/>
      <c r="AR10" s="609">
        <f t="shared" si="4"/>
        <v>6752</v>
      </c>
      <c r="AS10" s="609"/>
      <c r="AT10" s="609"/>
      <c r="AU10" s="609"/>
      <c r="AV10" s="609"/>
      <c r="AW10" s="609"/>
      <c r="AX10" s="633"/>
      <c r="AY10" s="633"/>
      <c r="AZ10" s="633"/>
      <c r="BA10" s="633"/>
      <c r="BB10" s="633"/>
      <c r="BC10" s="633">
        <f t="shared" si="7"/>
        <v>422</v>
      </c>
      <c r="BD10" s="633"/>
      <c r="BE10" s="633"/>
      <c r="BF10" s="633"/>
      <c r="BG10" s="633"/>
      <c r="BH10" s="633"/>
      <c r="BI10" s="633"/>
      <c r="BJ10" s="633"/>
      <c r="BK10" s="633"/>
      <c r="BL10" s="633"/>
      <c r="BM10" s="633"/>
      <c r="BN10" s="633"/>
      <c r="BQ10" s="3">
        <f t="shared" si="5"/>
        <v>30745</v>
      </c>
    </row>
    <row r="11" s="200" customFormat="1" ht="36" customHeight="1" spans="1:69">
      <c r="A11" s="533">
        <v>45891</v>
      </c>
      <c r="B11" s="527" t="s">
        <v>4976</v>
      </c>
      <c r="C11" s="528" t="s">
        <v>117</v>
      </c>
      <c r="D11" s="534">
        <v>4500177643</v>
      </c>
      <c r="E11" s="1678" t="s">
        <v>5002</v>
      </c>
      <c r="F11" s="534" t="s">
        <v>5003</v>
      </c>
      <c r="G11" s="531" t="s">
        <v>4979</v>
      </c>
      <c r="H11" s="532" t="s">
        <v>4980</v>
      </c>
      <c r="I11" s="401">
        <v>960</v>
      </c>
      <c r="J11" s="562">
        <v>0</v>
      </c>
      <c r="K11" s="531">
        <v>16</v>
      </c>
      <c r="L11" s="503">
        <f t="shared" si="0"/>
        <v>60</v>
      </c>
      <c r="M11" s="563">
        <v>45938</v>
      </c>
      <c r="N11" s="563">
        <v>45934</v>
      </c>
      <c r="O11" s="564" t="s">
        <v>4996</v>
      </c>
      <c r="P11" s="564" t="s">
        <v>92</v>
      </c>
      <c r="Q11" s="564" t="s">
        <v>5004</v>
      </c>
      <c r="R11" s="564" t="s">
        <v>1102</v>
      </c>
      <c r="S11" s="564" t="s">
        <v>123</v>
      </c>
      <c r="T11" s="564" t="s">
        <v>4982</v>
      </c>
      <c r="U11" s="564" t="s">
        <v>4983</v>
      </c>
      <c r="V11" s="564"/>
      <c r="W11" s="564"/>
      <c r="X11" s="530" t="s">
        <v>5005</v>
      </c>
      <c r="Y11" s="596" t="s">
        <v>634</v>
      </c>
      <c r="Z11" s="592">
        <v>0.96</v>
      </c>
      <c r="AA11" s="593">
        <f t="shared" si="6"/>
        <v>921.6</v>
      </c>
      <c r="AB11" s="401" t="s">
        <v>5006</v>
      </c>
      <c r="AC11" s="531" t="s">
        <v>4979</v>
      </c>
      <c r="AD11" s="595" t="s">
        <v>128</v>
      </c>
      <c r="AE11" s="595"/>
      <c r="AF11" s="531">
        <v>960</v>
      </c>
      <c r="AG11" s="531">
        <f t="shared" ref="AG11:AG74" si="8">AF11-I11</f>
        <v>0</v>
      </c>
      <c r="AH11" s="531"/>
      <c r="AI11" s="607"/>
      <c r="AJ11" s="608">
        <f t="shared" si="1"/>
        <v>960</v>
      </c>
      <c r="AK11" s="608"/>
      <c r="AL11" s="609">
        <f t="shared" si="2"/>
        <v>960</v>
      </c>
      <c r="AM11" s="401"/>
      <c r="AN11" s="401"/>
      <c r="AO11" s="401"/>
      <c r="AP11" s="609">
        <f t="shared" si="3"/>
        <v>960</v>
      </c>
      <c r="AQ11" s="609"/>
      <c r="AR11" s="609">
        <f t="shared" si="4"/>
        <v>960</v>
      </c>
      <c r="AS11" s="609"/>
      <c r="AT11" s="609"/>
      <c r="AU11" s="609"/>
      <c r="AV11" s="609"/>
      <c r="AW11" s="609"/>
      <c r="AX11" s="633"/>
      <c r="AY11" s="633"/>
      <c r="AZ11" s="633"/>
      <c r="BA11" s="633"/>
      <c r="BB11" s="633"/>
      <c r="BC11" s="633">
        <f t="shared" si="7"/>
        <v>60</v>
      </c>
      <c r="BD11" s="633"/>
      <c r="BE11" s="633"/>
      <c r="BF11" s="633"/>
      <c r="BG11" s="633"/>
      <c r="BH11" s="633"/>
      <c r="BI11" s="633"/>
      <c r="BJ11" s="633"/>
      <c r="BK11" s="633"/>
      <c r="BL11" s="633"/>
      <c r="BM11" s="633"/>
      <c r="BN11" s="633"/>
      <c r="BQ11" s="3">
        <f t="shared" si="5"/>
        <v>31705</v>
      </c>
    </row>
    <row r="12" s="200" customFormat="1" ht="36" customHeight="1" spans="1:69">
      <c r="A12" s="533">
        <v>45891</v>
      </c>
      <c r="B12" s="527" t="s">
        <v>4976</v>
      </c>
      <c r="C12" s="528" t="s">
        <v>117</v>
      </c>
      <c r="D12" s="534">
        <v>4500177643</v>
      </c>
      <c r="E12" s="1678" t="s">
        <v>5007</v>
      </c>
      <c r="F12" s="534" t="s">
        <v>5008</v>
      </c>
      <c r="G12" s="531" t="s">
        <v>4979</v>
      </c>
      <c r="H12" s="532" t="s">
        <v>4980</v>
      </c>
      <c r="I12" s="401">
        <v>960</v>
      </c>
      <c r="J12" s="562">
        <v>0</v>
      </c>
      <c r="K12" s="531">
        <v>16</v>
      </c>
      <c r="L12" s="503">
        <f t="shared" si="0"/>
        <v>60</v>
      </c>
      <c r="M12" s="563">
        <v>45938</v>
      </c>
      <c r="N12" s="563">
        <v>45934</v>
      </c>
      <c r="O12" s="564" t="s">
        <v>4996</v>
      </c>
      <c r="P12" s="564" t="s">
        <v>92</v>
      </c>
      <c r="Q12" s="564" t="s">
        <v>4997</v>
      </c>
      <c r="R12" s="564" t="s">
        <v>1102</v>
      </c>
      <c r="S12" s="564" t="s">
        <v>123</v>
      </c>
      <c r="T12" s="564" t="s">
        <v>4982</v>
      </c>
      <c r="U12" s="564" t="s">
        <v>4983</v>
      </c>
      <c r="V12" s="564"/>
      <c r="W12" s="564"/>
      <c r="X12" s="530" t="s">
        <v>5005</v>
      </c>
      <c r="Y12" s="596" t="s">
        <v>634</v>
      </c>
      <c r="Z12" s="592">
        <v>0.96</v>
      </c>
      <c r="AA12" s="593">
        <f t="shared" si="6"/>
        <v>921.6</v>
      </c>
      <c r="AB12" s="401" t="s">
        <v>5009</v>
      </c>
      <c r="AC12" s="531" t="s">
        <v>4979</v>
      </c>
      <c r="AD12" s="595" t="s">
        <v>128</v>
      </c>
      <c r="AE12" s="595"/>
      <c r="AF12" s="531">
        <v>960</v>
      </c>
      <c r="AG12" s="531">
        <f t="shared" si="8"/>
        <v>0</v>
      </c>
      <c r="AH12" s="531"/>
      <c r="AI12" s="607"/>
      <c r="AJ12" s="608">
        <f t="shared" si="1"/>
        <v>960</v>
      </c>
      <c r="AK12" s="608"/>
      <c r="AL12" s="609">
        <f t="shared" si="2"/>
        <v>960</v>
      </c>
      <c r="AM12" s="401"/>
      <c r="AN12" s="401"/>
      <c r="AO12" s="401"/>
      <c r="AP12" s="609">
        <f t="shared" si="3"/>
        <v>960</v>
      </c>
      <c r="AQ12" s="609"/>
      <c r="AR12" s="609">
        <f t="shared" si="4"/>
        <v>960</v>
      </c>
      <c r="AS12" s="609"/>
      <c r="AT12" s="609"/>
      <c r="AU12" s="609"/>
      <c r="AV12" s="609"/>
      <c r="AW12" s="609"/>
      <c r="AX12" s="633"/>
      <c r="AY12" s="633"/>
      <c r="AZ12" s="633"/>
      <c r="BA12" s="633"/>
      <c r="BB12" s="633"/>
      <c r="BC12" s="633">
        <f t="shared" si="7"/>
        <v>60</v>
      </c>
      <c r="BD12" s="633"/>
      <c r="BE12" s="633"/>
      <c r="BF12" s="633"/>
      <c r="BG12" s="633"/>
      <c r="BH12" s="633"/>
      <c r="BI12" s="633"/>
      <c r="BJ12" s="633"/>
      <c r="BK12" s="633"/>
      <c r="BL12" s="633"/>
      <c r="BM12" s="633"/>
      <c r="BN12" s="633"/>
      <c r="BQ12" s="3">
        <f t="shared" si="5"/>
        <v>32665</v>
      </c>
    </row>
    <row r="13" s="200" customFormat="1" ht="36" customHeight="1" spans="1:69">
      <c r="A13" s="533">
        <v>45891</v>
      </c>
      <c r="B13" s="527" t="s">
        <v>4976</v>
      </c>
      <c r="C13" s="528" t="s">
        <v>117</v>
      </c>
      <c r="D13" s="534">
        <v>4500177643</v>
      </c>
      <c r="E13" s="1678" t="s">
        <v>5010</v>
      </c>
      <c r="F13" s="534" t="s">
        <v>5011</v>
      </c>
      <c r="G13" s="531" t="s">
        <v>4979</v>
      </c>
      <c r="H13" s="532" t="s">
        <v>4980</v>
      </c>
      <c r="I13" s="401">
        <v>960</v>
      </c>
      <c r="J13" s="562">
        <v>0</v>
      </c>
      <c r="K13" s="531">
        <v>16</v>
      </c>
      <c r="L13" s="503">
        <f t="shared" si="0"/>
        <v>60</v>
      </c>
      <c r="M13" s="563">
        <v>45938</v>
      </c>
      <c r="N13" s="563">
        <v>45934</v>
      </c>
      <c r="O13" s="564" t="s">
        <v>4996</v>
      </c>
      <c r="P13" s="564" t="s">
        <v>92</v>
      </c>
      <c r="Q13" s="564" t="s">
        <v>4223</v>
      </c>
      <c r="R13" s="564" t="s">
        <v>1102</v>
      </c>
      <c r="S13" s="564" t="s">
        <v>123</v>
      </c>
      <c r="T13" s="564" t="s">
        <v>4982</v>
      </c>
      <c r="U13" s="564" t="s">
        <v>4983</v>
      </c>
      <c r="V13" s="564"/>
      <c r="W13" s="564"/>
      <c r="X13" s="530" t="s">
        <v>5005</v>
      </c>
      <c r="Y13" s="596" t="s">
        <v>634</v>
      </c>
      <c r="Z13" s="592">
        <v>0.96</v>
      </c>
      <c r="AA13" s="593">
        <f t="shared" si="6"/>
        <v>921.6</v>
      </c>
      <c r="AB13" s="401"/>
      <c r="AC13" s="531" t="s">
        <v>4979</v>
      </c>
      <c r="AD13" s="595" t="s">
        <v>128</v>
      </c>
      <c r="AE13" s="595"/>
      <c r="AF13" s="531">
        <v>960</v>
      </c>
      <c r="AG13" s="531">
        <f t="shared" si="8"/>
        <v>0</v>
      </c>
      <c r="AH13" s="531"/>
      <c r="AI13" s="607"/>
      <c r="AJ13" s="608">
        <f t="shared" si="1"/>
        <v>960</v>
      </c>
      <c r="AK13" s="608"/>
      <c r="AL13" s="609">
        <f t="shared" si="2"/>
        <v>960</v>
      </c>
      <c r="AM13" s="401"/>
      <c r="AN13" s="401"/>
      <c r="AO13" s="401"/>
      <c r="AP13" s="609">
        <f t="shared" si="3"/>
        <v>960</v>
      </c>
      <c r="AQ13" s="609"/>
      <c r="AR13" s="609">
        <f t="shared" si="4"/>
        <v>960</v>
      </c>
      <c r="AS13" s="609"/>
      <c r="AT13" s="609"/>
      <c r="AU13" s="609"/>
      <c r="AV13" s="609"/>
      <c r="AW13" s="609"/>
      <c r="AX13" s="633"/>
      <c r="AY13" s="633"/>
      <c r="AZ13" s="633"/>
      <c r="BA13" s="633"/>
      <c r="BB13" s="633"/>
      <c r="BC13" s="633">
        <f t="shared" si="7"/>
        <v>60</v>
      </c>
      <c r="BD13" s="633"/>
      <c r="BE13" s="633"/>
      <c r="BF13" s="633"/>
      <c r="BG13" s="633"/>
      <c r="BH13" s="633"/>
      <c r="BI13" s="633"/>
      <c r="BJ13" s="633"/>
      <c r="BK13" s="633"/>
      <c r="BL13" s="633"/>
      <c r="BM13" s="633"/>
      <c r="BN13" s="633"/>
      <c r="BQ13" s="3">
        <f t="shared" si="5"/>
        <v>33625</v>
      </c>
    </row>
    <row r="14" s="200" customFormat="1" ht="36" customHeight="1" spans="1:69">
      <c r="A14" s="533">
        <v>45888</v>
      </c>
      <c r="B14" s="527" t="s">
        <v>116</v>
      </c>
      <c r="C14" s="528" t="s">
        <v>117</v>
      </c>
      <c r="D14" s="534">
        <v>4500177333</v>
      </c>
      <c r="E14" s="530" t="s">
        <v>5012</v>
      </c>
      <c r="F14" s="534" t="s">
        <v>5013</v>
      </c>
      <c r="G14" s="531" t="s">
        <v>4988</v>
      </c>
      <c r="H14" s="532" t="s">
        <v>4989</v>
      </c>
      <c r="I14" s="401">
        <v>30275</v>
      </c>
      <c r="J14" s="562">
        <v>0</v>
      </c>
      <c r="K14" s="531">
        <v>25</v>
      </c>
      <c r="L14" s="503">
        <f t="shared" si="0"/>
        <v>1211</v>
      </c>
      <c r="M14" s="563">
        <v>45940</v>
      </c>
      <c r="N14" s="563">
        <v>45936</v>
      </c>
      <c r="O14" s="564"/>
      <c r="P14" s="564" t="s">
        <v>92</v>
      </c>
      <c r="Q14" s="564" t="s">
        <v>5014</v>
      </c>
      <c r="R14" s="564">
        <v>45891</v>
      </c>
      <c r="S14" s="564" t="s">
        <v>123</v>
      </c>
      <c r="T14" s="564" t="s">
        <v>5015</v>
      </c>
      <c r="U14" s="564"/>
      <c r="V14" s="564"/>
      <c r="W14" s="564"/>
      <c r="X14" s="530" t="s">
        <v>5016</v>
      </c>
      <c r="Y14" s="596" t="s">
        <v>126</v>
      </c>
      <c r="Z14" s="592">
        <v>0.96</v>
      </c>
      <c r="AA14" s="593">
        <f t="shared" si="6"/>
        <v>29064</v>
      </c>
      <c r="AB14" s="401" t="s">
        <v>5017</v>
      </c>
      <c r="AC14" s="607" t="s">
        <v>4988</v>
      </c>
      <c r="AD14" s="595" t="s">
        <v>128</v>
      </c>
      <c r="AE14" s="595"/>
      <c r="AF14" s="531">
        <f>24750+50+5475</f>
        <v>30275</v>
      </c>
      <c r="AG14" s="531">
        <f t="shared" si="8"/>
        <v>0</v>
      </c>
      <c r="AH14" s="531"/>
      <c r="AI14" s="607"/>
      <c r="AJ14" s="608">
        <f t="shared" si="1"/>
        <v>30275</v>
      </c>
      <c r="AK14" s="608"/>
      <c r="AL14" s="609">
        <f t="shared" si="2"/>
        <v>30275</v>
      </c>
      <c r="AM14" s="401"/>
      <c r="AN14" s="401"/>
      <c r="AO14" s="401"/>
      <c r="AP14" s="609">
        <f t="shared" si="3"/>
        <v>30275</v>
      </c>
      <c r="AQ14" s="609"/>
      <c r="AR14" s="609">
        <f t="shared" si="4"/>
        <v>30275</v>
      </c>
      <c r="AS14" s="609"/>
      <c r="AT14" s="609"/>
      <c r="AU14" s="609"/>
      <c r="AV14" s="609"/>
      <c r="AW14" s="609"/>
      <c r="AX14" s="633"/>
      <c r="AY14" s="633"/>
      <c r="AZ14" s="633"/>
      <c r="BA14" s="633">
        <f>I14/25</f>
        <v>1211</v>
      </c>
      <c r="BB14" s="633"/>
      <c r="BC14" s="633"/>
      <c r="BD14" s="633"/>
      <c r="BE14" s="633"/>
      <c r="BF14" s="633"/>
      <c r="BG14" s="633"/>
      <c r="BH14" s="633"/>
      <c r="BI14" s="633"/>
      <c r="BJ14" s="633"/>
      <c r="BK14" s="633"/>
      <c r="BL14" s="633"/>
      <c r="BM14" s="633"/>
      <c r="BN14" s="633"/>
      <c r="BQ14" s="3">
        <f t="shared" si="5"/>
        <v>63900</v>
      </c>
    </row>
    <row r="15" s="200" customFormat="1" ht="36" customHeight="1" spans="1:69">
      <c r="A15" s="533">
        <v>45884</v>
      </c>
      <c r="B15" s="527" t="s">
        <v>4976</v>
      </c>
      <c r="C15" s="528" t="s">
        <v>117</v>
      </c>
      <c r="D15" s="534">
        <v>4500177108</v>
      </c>
      <c r="E15" s="1678" t="s">
        <v>5018</v>
      </c>
      <c r="F15" s="534" t="s">
        <v>5019</v>
      </c>
      <c r="G15" s="531" t="s">
        <v>4979</v>
      </c>
      <c r="H15" s="532" t="s">
        <v>4980</v>
      </c>
      <c r="I15" s="401">
        <v>7824</v>
      </c>
      <c r="J15" s="562">
        <v>0</v>
      </c>
      <c r="K15" s="531">
        <v>16</v>
      </c>
      <c r="L15" s="503">
        <f t="shared" si="0"/>
        <v>489</v>
      </c>
      <c r="M15" s="563">
        <v>45943</v>
      </c>
      <c r="N15" s="563">
        <v>45939</v>
      </c>
      <c r="O15" s="579" t="s">
        <v>5020</v>
      </c>
      <c r="P15" s="564" t="s">
        <v>92</v>
      </c>
      <c r="Q15" s="564" t="s">
        <v>2885</v>
      </c>
      <c r="R15" s="564">
        <v>45887</v>
      </c>
      <c r="S15" s="564" t="s">
        <v>123</v>
      </c>
      <c r="T15" s="564" t="s">
        <v>4998</v>
      </c>
      <c r="U15" s="564" t="s">
        <v>4999</v>
      </c>
      <c r="V15" s="564"/>
      <c r="W15" s="564"/>
      <c r="X15" s="530" t="s">
        <v>5000</v>
      </c>
      <c r="Y15" s="596" t="s">
        <v>634</v>
      </c>
      <c r="Z15" s="592">
        <v>0.96</v>
      </c>
      <c r="AA15" s="593">
        <f t="shared" si="6"/>
        <v>7511.04</v>
      </c>
      <c r="AB15" s="401" t="s">
        <v>5021</v>
      </c>
      <c r="AC15" s="531" t="s">
        <v>4979</v>
      </c>
      <c r="AD15" s="595" t="s">
        <v>128</v>
      </c>
      <c r="AE15" s="595"/>
      <c r="AF15" s="531">
        <f>7808+16</f>
        <v>7824</v>
      </c>
      <c r="AG15" s="531">
        <f t="shared" si="8"/>
        <v>0</v>
      </c>
      <c r="AH15" s="531"/>
      <c r="AI15" s="607"/>
      <c r="AJ15" s="608">
        <f t="shared" si="1"/>
        <v>7824</v>
      </c>
      <c r="AK15" s="608"/>
      <c r="AL15" s="609">
        <f t="shared" si="2"/>
        <v>7824</v>
      </c>
      <c r="AM15" s="401"/>
      <c r="AN15" s="401"/>
      <c r="AO15" s="401"/>
      <c r="AP15" s="609">
        <f t="shared" si="3"/>
        <v>7824</v>
      </c>
      <c r="AQ15" s="609"/>
      <c r="AR15" s="609">
        <f t="shared" si="4"/>
        <v>7824</v>
      </c>
      <c r="AS15" s="609"/>
      <c r="AT15" s="609"/>
      <c r="AU15" s="609"/>
      <c r="AV15" s="609"/>
      <c r="AW15" s="609"/>
      <c r="AX15" s="633"/>
      <c r="AY15" s="633"/>
      <c r="AZ15" s="633"/>
      <c r="BA15" s="633"/>
      <c r="BB15" s="633"/>
      <c r="BC15" s="633">
        <f t="shared" ref="BC15:BC17" si="9">I15/16</f>
        <v>489</v>
      </c>
      <c r="BD15" s="633"/>
      <c r="BE15" s="633"/>
      <c r="BF15" s="633"/>
      <c r="BG15" s="633"/>
      <c r="BH15" s="633"/>
      <c r="BI15" s="633"/>
      <c r="BJ15" s="633"/>
      <c r="BK15" s="633"/>
      <c r="BL15" s="633"/>
      <c r="BM15" s="633"/>
      <c r="BN15" s="633"/>
      <c r="BQ15" s="3">
        <f t="shared" si="5"/>
        <v>71724</v>
      </c>
    </row>
    <row r="16" s="200" customFormat="1" ht="36" customHeight="1" spans="1:69">
      <c r="A16" s="533">
        <v>45884</v>
      </c>
      <c r="B16" s="527" t="s">
        <v>4976</v>
      </c>
      <c r="C16" s="528" t="s">
        <v>117</v>
      </c>
      <c r="D16" s="534">
        <v>4500177108</v>
      </c>
      <c r="E16" s="1678" t="s">
        <v>5022</v>
      </c>
      <c r="F16" s="534" t="s">
        <v>5023</v>
      </c>
      <c r="G16" s="531" t="s">
        <v>4979</v>
      </c>
      <c r="H16" s="532" t="s">
        <v>4980</v>
      </c>
      <c r="I16" s="401">
        <v>8896</v>
      </c>
      <c r="J16" s="562">
        <v>0</v>
      </c>
      <c r="K16" s="531">
        <v>16</v>
      </c>
      <c r="L16" s="503">
        <f t="shared" si="0"/>
        <v>556</v>
      </c>
      <c r="M16" s="563">
        <v>45943</v>
      </c>
      <c r="N16" s="563">
        <v>45939</v>
      </c>
      <c r="O16" s="579" t="s">
        <v>5020</v>
      </c>
      <c r="P16" s="564" t="s">
        <v>92</v>
      </c>
      <c r="Q16" s="564" t="s">
        <v>2885</v>
      </c>
      <c r="R16" s="564">
        <v>45887</v>
      </c>
      <c r="S16" s="564" t="s">
        <v>123</v>
      </c>
      <c r="T16" s="564" t="s">
        <v>4998</v>
      </c>
      <c r="U16" s="564" t="s">
        <v>4999</v>
      </c>
      <c r="V16" s="564"/>
      <c r="W16" s="564"/>
      <c r="X16" s="530" t="s">
        <v>5000</v>
      </c>
      <c r="Y16" s="596" t="s">
        <v>634</v>
      </c>
      <c r="Z16" s="592">
        <v>0.96</v>
      </c>
      <c r="AA16" s="593">
        <f t="shared" si="6"/>
        <v>8540.16</v>
      </c>
      <c r="AB16" s="401" t="s">
        <v>5024</v>
      </c>
      <c r="AC16" s="531" t="s">
        <v>4979</v>
      </c>
      <c r="AD16" s="595" t="s">
        <v>128</v>
      </c>
      <c r="AE16" s="595"/>
      <c r="AF16" s="531">
        <f>8848+48</f>
        <v>8896</v>
      </c>
      <c r="AG16" s="531">
        <f t="shared" si="8"/>
        <v>0</v>
      </c>
      <c r="AH16" s="531"/>
      <c r="AI16" s="607"/>
      <c r="AJ16" s="608">
        <f t="shared" si="1"/>
        <v>8896</v>
      </c>
      <c r="AK16" s="608"/>
      <c r="AL16" s="609">
        <f t="shared" si="2"/>
        <v>8896</v>
      </c>
      <c r="AM16" s="401"/>
      <c r="AN16" s="401"/>
      <c r="AO16" s="401"/>
      <c r="AP16" s="609">
        <f t="shared" si="3"/>
        <v>8896</v>
      </c>
      <c r="AQ16" s="609"/>
      <c r="AR16" s="609">
        <f t="shared" si="4"/>
        <v>8896</v>
      </c>
      <c r="AS16" s="609"/>
      <c r="AT16" s="609"/>
      <c r="AU16" s="609"/>
      <c r="AV16" s="609"/>
      <c r="AW16" s="609"/>
      <c r="AX16" s="633"/>
      <c r="AY16" s="633"/>
      <c r="AZ16" s="633"/>
      <c r="BA16" s="633"/>
      <c r="BB16" s="633"/>
      <c r="BC16" s="633">
        <f t="shared" si="9"/>
        <v>556</v>
      </c>
      <c r="BD16" s="633"/>
      <c r="BE16" s="633"/>
      <c r="BF16" s="633"/>
      <c r="BG16" s="633"/>
      <c r="BH16" s="633"/>
      <c r="BI16" s="633"/>
      <c r="BJ16" s="633"/>
      <c r="BK16" s="633"/>
      <c r="BL16" s="633"/>
      <c r="BM16" s="633"/>
      <c r="BN16" s="633"/>
      <c r="BQ16" s="3">
        <f t="shared" si="5"/>
        <v>80620</v>
      </c>
    </row>
    <row r="17" s="200" customFormat="1" ht="36" customHeight="1" spans="1:69">
      <c r="A17" s="533">
        <v>45891</v>
      </c>
      <c r="B17" s="527" t="s">
        <v>4976</v>
      </c>
      <c r="C17" s="528" t="s">
        <v>117</v>
      </c>
      <c r="D17" s="534">
        <v>4500177644</v>
      </c>
      <c r="E17" s="1678" t="s">
        <v>5025</v>
      </c>
      <c r="F17" s="534" t="s">
        <v>5026</v>
      </c>
      <c r="G17" s="531" t="s">
        <v>4979</v>
      </c>
      <c r="H17" s="532" t="s">
        <v>4980</v>
      </c>
      <c r="I17" s="401">
        <v>960</v>
      </c>
      <c r="J17" s="562">
        <v>0</v>
      </c>
      <c r="K17" s="531">
        <v>16</v>
      </c>
      <c r="L17" s="503">
        <f t="shared" si="0"/>
        <v>60</v>
      </c>
      <c r="M17" s="563">
        <v>45943</v>
      </c>
      <c r="N17" s="563">
        <v>45939</v>
      </c>
      <c r="O17" s="564" t="s">
        <v>5020</v>
      </c>
      <c r="P17" s="564" t="s">
        <v>92</v>
      </c>
      <c r="Q17" s="564" t="s">
        <v>5027</v>
      </c>
      <c r="R17" s="564" t="s">
        <v>1102</v>
      </c>
      <c r="S17" s="564" t="s">
        <v>123</v>
      </c>
      <c r="T17" s="564" t="s">
        <v>5028</v>
      </c>
      <c r="U17" s="564" t="s">
        <v>4983</v>
      </c>
      <c r="V17" s="564"/>
      <c r="W17" s="564"/>
      <c r="X17" s="530" t="s">
        <v>5029</v>
      </c>
      <c r="Y17" s="596" t="s">
        <v>634</v>
      </c>
      <c r="Z17" s="592">
        <v>0.96</v>
      </c>
      <c r="AA17" s="593">
        <f t="shared" si="6"/>
        <v>921.6</v>
      </c>
      <c r="AB17" s="401" t="s">
        <v>5030</v>
      </c>
      <c r="AC17" s="531" t="s">
        <v>4979</v>
      </c>
      <c r="AD17" s="595" t="s">
        <v>128</v>
      </c>
      <c r="AE17" s="595"/>
      <c r="AF17" s="531">
        <f>944+16</f>
        <v>960</v>
      </c>
      <c r="AG17" s="531">
        <f t="shared" si="8"/>
        <v>0</v>
      </c>
      <c r="AH17" s="531"/>
      <c r="AI17" s="607"/>
      <c r="AJ17" s="608">
        <f t="shared" si="1"/>
        <v>960</v>
      </c>
      <c r="AK17" s="608"/>
      <c r="AL17" s="609">
        <f t="shared" si="2"/>
        <v>960</v>
      </c>
      <c r="AM17" s="401"/>
      <c r="AN17" s="401"/>
      <c r="AO17" s="401"/>
      <c r="AP17" s="609">
        <f t="shared" si="3"/>
        <v>960</v>
      </c>
      <c r="AQ17" s="609"/>
      <c r="AR17" s="609">
        <f t="shared" si="4"/>
        <v>960</v>
      </c>
      <c r="AS17" s="609"/>
      <c r="AT17" s="609"/>
      <c r="AU17" s="609"/>
      <c r="AV17" s="609"/>
      <c r="AW17" s="609"/>
      <c r="AX17" s="633"/>
      <c r="AY17" s="633"/>
      <c r="AZ17" s="633"/>
      <c r="BA17" s="633"/>
      <c r="BB17" s="633"/>
      <c r="BC17" s="633">
        <f t="shared" si="9"/>
        <v>60</v>
      </c>
      <c r="BD17" s="633"/>
      <c r="BE17" s="633"/>
      <c r="BF17" s="633"/>
      <c r="BG17" s="633"/>
      <c r="BH17" s="633"/>
      <c r="BI17" s="633"/>
      <c r="BJ17" s="633"/>
      <c r="BK17" s="633"/>
      <c r="BL17" s="633"/>
      <c r="BM17" s="633"/>
      <c r="BN17" s="633"/>
      <c r="BQ17" s="3">
        <f t="shared" si="5"/>
        <v>81580</v>
      </c>
    </row>
    <row r="18" s="400" customFormat="1" ht="36" customHeight="1" spans="1:69">
      <c r="A18" s="420">
        <v>45896</v>
      </c>
      <c r="B18" s="421" t="s">
        <v>116</v>
      </c>
      <c r="C18" s="422" t="s">
        <v>117</v>
      </c>
      <c r="D18" s="423">
        <v>4500177938</v>
      </c>
      <c r="E18" s="424" t="s">
        <v>5031</v>
      </c>
      <c r="F18" s="423" t="s">
        <v>5032</v>
      </c>
      <c r="G18" s="425" t="s">
        <v>4988</v>
      </c>
      <c r="H18" s="426" t="s">
        <v>4989</v>
      </c>
      <c r="I18" s="437">
        <v>26600</v>
      </c>
      <c r="J18" s="438">
        <v>0</v>
      </c>
      <c r="K18" s="425">
        <v>25</v>
      </c>
      <c r="L18" s="439">
        <f t="shared" si="0"/>
        <v>1064</v>
      </c>
      <c r="M18" s="440">
        <v>45943</v>
      </c>
      <c r="N18" s="440">
        <v>45950</v>
      </c>
      <c r="O18" s="441"/>
      <c r="P18" s="564" t="s">
        <v>92</v>
      </c>
      <c r="Q18" s="441" t="s">
        <v>5033</v>
      </c>
      <c r="R18" s="441">
        <v>45904</v>
      </c>
      <c r="S18" s="441" t="s">
        <v>123</v>
      </c>
      <c r="T18" s="441" t="s">
        <v>5034</v>
      </c>
      <c r="U18" s="441"/>
      <c r="V18" s="441"/>
      <c r="W18" s="441"/>
      <c r="X18" s="424" t="s">
        <v>5035</v>
      </c>
      <c r="Y18" s="473" t="s">
        <v>126</v>
      </c>
      <c r="Z18" s="474">
        <v>0.96</v>
      </c>
      <c r="AA18" s="475">
        <f t="shared" si="6"/>
        <v>25536</v>
      </c>
      <c r="AB18" s="437" t="s">
        <v>5036</v>
      </c>
      <c r="AC18" s="478" t="s">
        <v>4988</v>
      </c>
      <c r="AD18" s="477" t="s">
        <v>128</v>
      </c>
      <c r="AE18" s="477"/>
      <c r="AF18" s="425">
        <f>26250+350</f>
        <v>26600</v>
      </c>
      <c r="AG18" s="425">
        <f t="shared" si="8"/>
        <v>0</v>
      </c>
      <c r="AH18" s="425"/>
      <c r="AI18" s="478"/>
      <c r="AJ18" s="488">
        <f t="shared" si="1"/>
        <v>26600</v>
      </c>
      <c r="AK18" s="488"/>
      <c r="AL18" s="489">
        <f t="shared" si="2"/>
        <v>26600</v>
      </c>
      <c r="AM18" s="437"/>
      <c r="AN18" s="437"/>
      <c r="AO18" s="437"/>
      <c r="AP18" s="489">
        <f t="shared" si="3"/>
        <v>26600</v>
      </c>
      <c r="AQ18" s="489"/>
      <c r="AR18" s="489">
        <f t="shared" si="4"/>
        <v>26600</v>
      </c>
      <c r="AS18" s="489"/>
      <c r="AT18" s="489"/>
      <c r="AU18" s="489"/>
      <c r="AV18" s="489"/>
      <c r="AW18" s="489"/>
      <c r="AX18" s="512"/>
      <c r="AY18" s="512"/>
      <c r="AZ18" s="512"/>
      <c r="BA18" s="512">
        <f>I18/25</f>
        <v>1064</v>
      </c>
      <c r="BB18" s="512"/>
      <c r="BC18" s="512"/>
      <c r="BD18" s="512"/>
      <c r="BE18" s="512"/>
      <c r="BF18" s="512"/>
      <c r="BG18" s="512"/>
      <c r="BH18" s="512"/>
      <c r="BI18" s="512"/>
      <c r="BJ18" s="512"/>
      <c r="BK18" s="512"/>
      <c r="BL18" s="512"/>
      <c r="BM18" s="512"/>
      <c r="BN18" s="512"/>
      <c r="BQ18" s="3">
        <f t="shared" si="5"/>
        <v>108180</v>
      </c>
    </row>
    <row r="19" s="400" customFormat="1" ht="36" customHeight="1" spans="1:69">
      <c r="A19" s="420">
        <v>45882</v>
      </c>
      <c r="B19" s="421" t="s">
        <v>5037</v>
      </c>
      <c r="C19" s="422" t="s">
        <v>477</v>
      </c>
      <c r="D19" s="423">
        <v>4500176500</v>
      </c>
      <c r="E19" s="424" t="s">
        <v>5038</v>
      </c>
      <c r="F19" s="423" t="s">
        <v>5039</v>
      </c>
      <c r="G19" s="425" t="s">
        <v>4988</v>
      </c>
      <c r="H19" s="426" t="s">
        <v>4989</v>
      </c>
      <c r="I19" s="437">
        <v>3500</v>
      </c>
      <c r="J19" s="438">
        <v>0</v>
      </c>
      <c r="K19" s="425">
        <v>25</v>
      </c>
      <c r="L19" s="439">
        <f t="shared" si="0"/>
        <v>140</v>
      </c>
      <c r="M19" s="440">
        <v>45945</v>
      </c>
      <c r="N19" s="440">
        <v>45950</v>
      </c>
      <c r="O19" s="441"/>
      <c r="P19" s="564" t="s">
        <v>92</v>
      </c>
      <c r="Q19" s="441" t="s">
        <v>5014</v>
      </c>
      <c r="R19" s="441">
        <v>45882</v>
      </c>
      <c r="S19" s="441" t="s">
        <v>77</v>
      </c>
      <c r="T19" s="441" t="s">
        <v>5040</v>
      </c>
      <c r="U19" s="441"/>
      <c r="V19" s="441"/>
      <c r="W19" s="441"/>
      <c r="X19" s="424" t="s">
        <v>5041</v>
      </c>
      <c r="Y19" s="473" t="s">
        <v>230</v>
      </c>
      <c r="Z19" s="474">
        <v>1.6</v>
      </c>
      <c r="AA19" s="475">
        <f t="shared" si="6"/>
        <v>5600</v>
      </c>
      <c r="AB19" s="437"/>
      <c r="AC19" s="478" t="s">
        <v>5042</v>
      </c>
      <c r="AD19" s="477" t="s">
        <v>128</v>
      </c>
      <c r="AE19" s="477"/>
      <c r="AF19" s="425">
        <v>3500</v>
      </c>
      <c r="AG19" s="425">
        <f t="shared" si="8"/>
        <v>0</v>
      </c>
      <c r="AH19" s="425"/>
      <c r="AI19" s="478"/>
      <c r="AJ19" s="488">
        <f t="shared" si="1"/>
        <v>3500</v>
      </c>
      <c r="AK19" s="488"/>
      <c r="AL19" s="489"/>
      <c r="AM19" s="437">
        <f t="shared" ref="AM19:AM22" si="10">I19</f>
        <v>3500</v>
      </c>
      <c r="AN19" s="437"/>
      <c r="AO19" s="437"/>
      <c r="AP19" s="489">
        <f t="shared" si="3"/>
        <v>3500</v>
      </c>
      <c r="AQ19" s="489"/>
      <c r="AR19" s="489">
        <f t="shared" ref="AR19:AR22" si="11">AJ19</f>
        <v>3500</v>
      </c>
      <c r="AS19" s="437"/>
      <c r="AT19" s="437"/>
      <c r="AU19" s="437">
        <f t="shared" ref="AU19:AU22" si="12">I19</f>
        <v>3500</v>
      </c>
      <c r="AV19" s="437"/>
      <c r="AW19" s="437"/>
      <c r="AX19" s="512"/>
      <c r="AY19" s="512"/>
      <c r="AZ19" s="512"/>
      <c r="BA19" s="512"/>
      <c r="BB19" s="512">
        <f>I19/25</f>
        <v>140</v>
      </c>
      <c r="BC19" s="512"/>
      <c r="BD19" s="512"/>
      <c r="BE19" s="512"/>
      <c r="BF19" s="512"/>
      <c r="BG19" s="512"/>
      <c r="BH19" s="512"/>
      <c r="BI19" s="512"/>
      <c r="BJ19" s="512"/>
      <c r="BK19" s="512"/>
      <c r="BL19" s="512"/>
      <c r="BM19" s="512"/>
      <c r="BN19" s="512"/>
      <c r="BQ19" s="3">
        <f t="shared" si="5"/>
        <v>111680</v>
      </c>
    </row>
    <row r="20" s="400" customFormat="1" ht="36" customHeight="1" spans="1:69">
      <c r="A20" s="420">
        <v>45882</v>
      </c>
      <c r="B20" s="421" t="s">
        <v>5037</v>
      </c>
      <c r="C20" s="422" t="s">
        <v>477</v>
      </c>
      <c r="D20" s="423">
        <v>4500176504</v>
      </c>
      <c r="E20" s="424">
        <v>4400499612</v>
      </c>
      <c r="F20" s="423" t="s">
        <v>5043</v>
      </c>
      <c r="G20" s="425" t="s">
        <v>4988</v>
      </c>
      <c r="H20" s="426" t="s">
        <v>4989</v>
      </c>
      <c r="I20" s="437">
        <v>3500</v>
      </c>
      <c r="J20" s="438">
        <v>0</v>
      </c>
      <c r="K20" s="425">
        <v>25</v>
      </c>
      <c r="L20" s="439">
        <f t="shared" si="0"/>
        <v>140</v>
      </c>
      <c r="M20" s="440">
        <v>45945</v>
      </c>
      <c r="N20" s="440">
        <v>45950</v>
      </c>
      <c r="O20" s="441"/>
      <c r="P20" s="564" t="s">
        <v>92</v>
      </c>
      <c r="Q20" s="693" t="s">
        <v>5014</v>
      </c>
      <c r="R20" s="441">
        <v>45882</v>
      </c>
      <c r="S20" s="441" t="s">
        <v>77</v>
      </c>
      <c r="T20" s="441" t="s">
        <v>5040</v>
      </c>
      <c r="U20" s="441"/>
      <c r="V20" s="441"/>
      <c r="W20" s="441"/>
      <c r="X20" s="424" t="s">
        <v>5044</v>
      </c>
      <c r="Y20" s="473" t="s">
        <v>230</v>
      </c>
      <c r="Z20" s="474">
        <v>1.6</v>
      </c>
      <c r="AA20" s="475">
        <f t="shared" si="6"/>
        <v>5600</v>
      </c>
      <c r="AB20" s="437"/>
      <c r="AC20" s="478" t="s">
        <v>5042</v>
      </c>
      <c r="AD20" s="477" t="s">
        <v>128</v>
      </c>
      <c r="AE20" s="477"/>
      <c r="AF20" s="425">
        <v>3500</v>
      </c>
      <c r="AG20" s="425">
        <f t="shared" si="8"/>
        <v>0</v>
      </c>
      <c r="AH20" s="425"/>
      <c r="AI20" s="478"/>
      <c r="AJ20" s="488">
        <f t="shared" si="1"/>
        <v>3500</v>
      </c>
      <c r="AK20" s="488"/>
      <c r="AL20" s="489"/>
      <c r="AM20" s="437">
        <f t="shared" si="10"/>
        <v>3500</v>
      </c>
      <c r="AN20" s="437"/>
      <c r="AO20" s="437"/>
      <c r="AP20" s="489">
        <f t="shared" si="3"/>
        <v>3500</v>
      </c>
      <c r="AQ20" s="489"/>
      <c r="AR20" s="489">
        <f t="shared" si="11"/>
        <v>3500</v>
      </c>
      <c r="AS20" s="437"/>
      <c r="AT20" s="437"/>
      <c r="AU20" s="437">
        <f t="shared" si="12"/>
        <v>3500</v>
      </c>
      <c r="AV20" s="437"/>
      <c r="AW20" s="437"/>
      <c r="AX20" s="512"/>
      <c r="AY20" s="512"/>
      <c r="AZ20" s="512"/>
      <c r="BA20" s="512"/>
      <c r="BB20" s="512">
        <f>I20/25</f>
        <v>140</v>
      </c>
      <c r="BC20" s="512"/>
      <c r="BD20" s="512"/>
      <c r="BE20" s="512"/>
      <c r="BF20" s="512"/>
      <c r="BG20" s="512"/>
      <c r="BH20" s="512"/>
      <c r="BI20" s="512"/>
      <c r="BJ20" s="512"/>
      <c r="BK20" s="512"/>
      <c r="BL20" s="512"/>
      <c r="BM20" s="512"/>
      <c r="BN20" s="512"/>
      <c r="BQ20" s="3">
        <f t="shared" si="5"/>
        <v>115180</v>
      </c>
    </row>
    <row r="21" s="400" customFormat="1" ht="36" customHeight="1" spans="1:69">
      <c r="A21" s="420">
        <v>45883</v>
      </c>
      <c r="B21" s="421" t="s">
        <v>5045</v>
      </c>
      <c r="C21" s="422" t="s">
        <v>180</v>
      </c>
      <c r="D21" s="423">
        <v>4500176669</v>
      </c>
      <c r="E21" s="424">
        <v>5200007405</v>
      </c>
      <c r="F21" s="423" t="s">
        <v>5046</v>
      </c>
      <c r="G21" s="425" t="s">
        <v>5047</v>
      </c>
      <c r="H21" s="426" t="s">
        <v>5048</v>
      </c>
      <c r="I21" s="437">
        <v>5018</v>
      </c>
      <c r="J21" s="438">
        <v>0</v>
      </c>
      <c r="K21" s="425">
        <v>13</v>
      </c>
      <c r="L21" s="439">
        <f t="shared" si="0"/>
        <v>386</v>
      </c>
      <c r="M21" s="440">
        <v>45945</v>
      </c>
      <c r="N21" s="440">
        <v>45950</v>
      </c>
      <c r="O21" s="441"/>
      <c r="P21" s="564" t="s">
        <v>92</v>
      </c>
      <c r="Q21" s="441" t="s">
        <v>2650</v>
      </c>
      <c r="R21" s="441">
        <v>45894</v>
      </c>
      <c r="S21" s="441" t="s">
        <v>77</v>
      </c>
      <c r="T21" s="441" t="s">
        <v>5049</v>
      </c>
      <c r="U21" s="441"/>
      <c r="V21" s="441"/>
      <c r="W21" s="441" t="s">
        <v>5050</v>
      </c>
      <c r="X21" s="424" t="s">
        <v>5051</v>
      </c>
      <c r="Y21" s="473" t="s">
        <v>3007</v>
      </c>
      <c r="Z21" s="474">
        <v>1.43</v>
      </c>
      <c r="AA21" s="475">
        <f t="shared" si="6"/>
        <v>7175.74</v>
      </c>
      <c r="AB21" s="437"/>
      <c r="AC21" s="425" t="s">
        <v>5052</v>
      </c>
      <c r="AD21" s="477" t="s">
        <v>128</v>
      </c>
      <c r="AE21" s="477"/>
      <c r="AF21" s="425">
        <v>5018</v>
      </c>
      <c r="AG21" s="425">
        <f t="shared" si="8"/>
        <v>0</v>
      </c>
      <c r="AH21" s="425"/>
      <c r="AI21" s="478"/>
      <c r="AJ21" s="488">
        <f t="shared" si="1"/>
        <v>5018</v>
      </c>
      <c r="AK21" s="488"/>
      <c r="AL21" s="489"/>
      <c r="AM21" s="490">
        <f t="shared" si="10"/>
        <v>5018</v>
      </c>
      <c r="AN21" s="490"/>
      <c r="AO21" s="490"/>
      <c r="AP21" s="489">
        <f t="shared" si="3"/>
        <v>5018</v>
      </c>
      <c r="AQ21" s="489"/>
      <c r="AR21" s="489">
        <f t="shared" si="11"/>
        <v>5018</v>
      </c>
      <c r="AS21" s="437"/>
      <c r="AT21" s="437"/>
      <c r="AU21" s="437">
        <f t="shared" si="12"/>
        <v>5018</v>
      </c>
      <c r="AV21" s="437"/>
      <c r="AW21" s="437"/>
      <c r="AX21" s="512"/>
      <c r="AY21" s="512">
        <f>I21/13</f>
        <v>386</v>
      </c>
      <c r="AZ21" s="512"/>
      <c r="BA21" s="512"/>
      <c r="BB21" s="512"/>
      <c r="BC21" s="512"/>
      <c r="BD21" s="512"/>
      <c r="BE21" s="512"/>
      <c r="BF21" s="512"/>
      <c r="BG21" s="512"/>
      <c r="BH21" s="512"/>
      <c r="BI21" s="512"/>
      <c r="BJ21" s="512"/>
      <c r="BK21" s="512"/>
      <c r="BL21" s="512"/>
      <c r="BM21" s="512"/>
      <c r="BN21" s="512"/>
      <c r="BQ21" s="3">
        <f t="shared" si="5"/>
        <v>120198</v>
      </c>
    </row>
    <row r="22" s="400" customFormat="1" ht="36" customHeight="1" spans="1:69">
      <c r="A22" s="420">
        <v>45887</v>
      </c>
      <c r="B22" s="421" t="s">
        <v>5045</v>
      </c>
      <c r="C22" s="422" t="s">
        <v>180</v>
      </c>
      <c r="D22" s="423">
        <v>4500176669</v>
      </c>
      <c r="E22" s="424">
        <v>5200007405</v>
      </c>
      <c r="F22" s="423" t="s">
        <v>5053</v>
      </c>
      <c r="G22" s="425" t="s">
        <v>5054</v>
      </c>
      <c r="H22" s="426" t="s">
        <v>5055</v>
      </c>
      <c r="I22" s="437">
        <v>1500</v>
      </c>
      <c r="J22" s="438">
        <v>0</v>
      </c>
      <c r="K22" s="425">
        <v>30</v>
      </c>
      <c r="L22" s="439">
        <f t="shared" si="0"/>
        <v>50</v>
      </c>
      <c r="M22" s="440">
        <v>45945</v>
      </c>
      <c r="N22" s="440">
        <v>45950</v>
      </c>
      <c r="O22" s="441"/>
      <c r="P22" s="564" t="s">
        <v>92</v>
      </c>
      <c r="Q22" s="441" t="s">
        <v>2650</v>
      </c>
      <c r="R22" s="441">
        <v>45894</v>
      </c>
      <c r="S22" s="441" t="s">
        <v>77</v>
      </c>
      <c r="T22" s="441" t="s">
        <v>5049</v>
      </c>
      <c r="U22" s="441"/>
      <c r="V22" s="441"/>
      <c r="W22" s="441" t="s">
        <v>5050</v>
      </c>
      <c r="X22" s="424" t="s">
        <v>5056</v>
      </c>
      <c r="Y22" s="473" t="s">
        <v>3007</v>
      </c>
      <c r="Z22" s="474">
        <v>56.4558</v>
      </c>
      <c r="AA22" s="475">
        <f>Z22*L22</f>
        <v>2822.79</v>
      </c>
      <c r="AB22" s="437"/>
      <c r="AC22" s="425" t="s">
        <v>5057</v>
      </c>
      <c r="AD22" s="477" t="s">
        <v>128</v>
      </c>
      <c r="AE22" s="477"/>
      <c r="AF22" s="425">
        <v>1500</v>
      </c>
      <c r="AG22" s="425">
        <f t="shared" si="8"/>
        <v>0</v>
      </c>
      <c r="AH22" s="425"/>
      <c r="AI22" s="478"/>
      <c r="AJ22" s="488">
        <f t="shared" si="1"/>
        <v>1500</v>
      </c>
      <c r="AK22" s="488"/>
      <c r="AL22" s="489"/>
      <c r="AM22" s="437">
        <f t="shared" si="10"/>
        <v>1500</v>
      </c>
      <c r="AN22" s="437"/>
      <c r="AO22" s="437"/>
      <c r="AP22" s="489">
        <f t="shared" si="3"/>
        <v>1500</v>
      </c>
      <c r="AQ22" s="489"/>
      <c r="AR22" s="489">
        <f t="shared" si="11"/>
        <v>1500</v>
      </c>
      <c r="AS22" s="437"/>
      <c r="AT22" s="437"/>
      <c r="AU22" s="437">
        <f t="shared" si="12"/>
        <v>1500</v>
      </c>
      <c r="AV22" s="437"/>
      <c r="AW22" s="437"/>
      <c r="AX22" s="512"/>
      <c r="AY22" s="512"/>
      <c r="AZ22" s="512"/>
      <c r="BA22" s="512"/>
      <c r="BB22" s="512"/>
      <c r="BC22" s="512"/>
      <c r="BD22" s="512"/>
      <c r="BE22" s="512"/>
      <c r="BF22" s="512"/>
      <c r="BG22" s="512"/>
      <c r="BH22" s="512"/>
      <c r="BJ22" s="512"/>
      <c r="BK22" s="512">
        <f>I22/30</f>
        <v>50</v>
      </c>
      <c r="BL22" s="512">
        <f>I22/30</f>
        <v>50</v>
      </c>
      <c r="BM22" s="512"/>
      <c r="BN22" s="512"/>
      <c r="BQ22" s="3">
        <f t="shared" si="5"/>
        <v>121698</v>
      </c>
    </row>
    <row r="23" s="400" customFormat="1" ht="36" customHeight="1" spans="1:69">
      <c r="A23" s="420">
        <v>45884</v>
      </c>
      <c r="B23" s="421" t="s">
        <v>4976</v>
      </c>
      <c r="C23" s="422" t="s">
        <v>117</v>
      </c>
      <c r="D23" s="423">
        <v>4500177109</v>
      </c>
      <c r="E23" s="1692" t="s">
        <v>5058</v>
      </c>
      <c r="F23" s="423" t="s">
        <v>5059</v>
      </c>
      <c r="G23" s="425" t="s">
        <v>4979</v>
      </c>
      <c r="H23" s="426" t="s">
        <v>4980</v>
      </c>
      <c r="I23" s="437">
        <v>12336</v>
      </c>
      <c r="J23" s="438">
        <v>0</v>
      </c>
      <c r="K23" s="425">
        <v>16</v>
      </c>
      <c r="L23" s="439">
        <f t="shared" si="0"/>
        <v>771</v>
      </c>
      <c r="M23" s="440">
        <v>45946</v>
      </c>
      <c r="N23" s="440">
        <v>45950</v>
      </c>
      <c r="O23" s="441" t="s">
        <v>5060</v>
      </c>
      <c r="P23" s="564" t="s">
        <v>92</v>
      </c>
      <c r="Q23" s="441" t="s">
        <v>4244</v>
      </c>
      <c r="R23" s="441">
        <v>45887</v>
      </c>
      <c r="S23" s="441" t="s">
        <v>123</v>
      </c>
      <c r="T23" s="441" t="s">
        <v>4998</v>
      </c>
      <c r="U23" s="441" t="s">
        <v>4999</v>
      </c>
      <c r="V23" s="441"/>
      <c r="W23" s="441"/>
      <c r="X23" s="424" t="s">
        <v>5000</v>
      </c>
      <c r="Y23" s="473" t="s">
        <v>634</v>
      </c>
      <c r="Z23" s="474">
        <v>0.96</v>
      </c>
      <c r="AA23" s="475">
        <f t="shared" ref="AA23:AA39" si="13">Z23*I23</f>
        <v>11842.56</v>
      </c>
      <c r="AB23" s="437" t="s">
        <v>5061</v>
      </c>
      <c r="AC23" s="425" t="s">
        <v>4979</v>
      </c>
      <c r="AD23" s="477" t="s">
        <v>128</v>
      </c>
      <c r="AE23" s="477"/>
      <c r="AF23" s="425">
        <f>8960+3376</f>
        <v>12336</v>
      </c>
      <c r="AG23" s="425">
        <f t="shared" si="8"/>
        <v>0</v>
      </c>
      <c r="AH23" s="425"/>
      <c r="AI23" s="478"/>
      <c r="AJ23" s="488">
        <f t="shared" si="1"/>
        <v>12336</v>
      </c>
      <c r="AK23" s="488"/>
      <c r="AL23" s="489">
        <f t="shared" ref="AL23:AL31" si="14">I23</f>
        <v>12336</v>
      </c>
      <c r="AM23" s="437"/>
      <c r="AN23" s="437"/>
      <c r="AO23" s="437"/>
      <c r="AP23" s="489">
        <f t="shared" si="3"/>
        <v>12336</v>
      </c>
      <c r="AQ23" s="489"/>
      <c r="AR23" s="489">
        <f t="shared" ref="AR23:AR38" si="15">AP23</f>
        <v>12336</v>
      </c>
      <c r="AS23" s="489"/>
      <c r="AT23" s="489"/>
      <c r="AU23" s="489"/>
      <c r="AV23" s="489"/>
      <c r="AW23" s="489"/>
      <c r="AX23" s="512"/>
      <c r="AY23" s="512"/>
      <c r="AZ23" s="512"/>
      <c r="BA23" s="512"/>
      <c r="BB23" s="512"/>
      <c r="BC23" s="512">
        <f t="shared" ref="BC23:BC31" si="16">I23/16</f>
        <v>771</v>
      </c>
      <c r="BD23" s="512"/>
      <c r="BE23" s="512"/>
      <c r="BF23" s="512"/>
      <c r="BG23" s="512"/>
      <c r="BH23" s="512"/>
      <c r="BI23" s="512"/>
      <c r="BJ23" s="512"/>
      <c r="BK23" s="512"/>
      <c r="BL23" s="512"/>
      <c r="BM23" s="512"/>
      <c r="BN23" s="512"/>
      <c r="BQ23" s="3">
        <f t="shared" si="5"/>
        <v>134034</v>
      </c>
    </row>
    <row r="24" s="400" customFormat="1" ht="36" customHeight="1" spans="1:69">
      <c r="A24" s="420">
        <v>45884</v>
      </c>
      <c r="B24" s="421" t="s">
        <v>4976</v>
      </c>
      <c r="C24" s="422" t="s">
        <v>117</v>
      </c>
      <c r="D24" s="423">
        <v>4500177109</v>
      </c>
      <c r="E24" s="1692" t="s">
        <v>5062</v>
      </c>
      <c r="F24" s="423" t="s">
        <v>5063</v>
      </c>
      <c r="G24" s="425" t="s">
        <v>4979</v>
      </c>
      <c r="H24" s="426" t="s">
        <v>4980</v>
      </c>
      <c r="I24" s="437">
        <v>10512</v>
      </c>
      <c r="J24" s="438">
        <v>0</v>
      </c>
      <c r="K24" s="425">
        <v>16</v>
      </c>
      <c r="L24" s="439">
        <f t="shared" si="0"/>
        <v>657</v>
      </c>
      <c r="M24" s="440">
        <v>45946</v>
      </c>
      <c r="N24" s="440">
        <v>45950</v>
      </c>
      <c r="O24" s="441" t="s">
        <v>5060</v>
      </c>
      <c r="P24" s="564" t="s">
        <v>92</v>
      </c>
      <c r="Q24" s="441" t="s">
        <v>2770</v>
      </c>
      <c r="R24" s="441">
        <v>45887</v>
      </c>
      <c r="S24" s="441" t="s">
        <v>123</v>
      </c>
      <c r="T24" s="441" t="s">
        <v>4998</v>
      </c>
      <c r="U24" s="441" t="s">
        <v>4999</v>
      </c>
      <c r="V24" s="441"/>
      <c r="W24" s="441"/>
      <c r="X24" s="424" t="s">
        <v>5000</v>
      </c>
      <c r="Y24" s="473" t="s">
        <v>634</v>
      </c>
      <c r="Z24" s="474">
        <v>0.96</v>
      </c>
      <c r="AA24" s="475">
        <f t="shared" si="13"/>
        <v>10091.52</v>
      </c>
      <c r="AB24" s="437" t="s">
        <v>5064</v>
      </c>
      <c r="AC24" s="425" t="s">
        <v>4979</v>
      </c>
      <c r="AD24" s="477" t="s">
        <v>128</v>
      </c>
      <c r="AE24" s="477"/>
      <c r="AF24" s="425">
        <v>10512</v>
      </c>
      <c r="AG24" s="425">
        <f t="shared" si="8"/>
        <v>0</v>
      </c>
      <c r="AH24" s="425"/>
      <c r="AI24" s="478"/>
      <c r="AJ24" s="488">
        <f t="shared" si="1"/>
        <v>10512</v>
      </c>
      <c r="AK24" s="488"/>
      <c r="AL24" s="489">
        <f t="shared" si="14"/>
        <v>10512</v>
      </c>
      <c r="AM24" s="437"/>
      <c r="AN24" s="437"/>
      <c r="AO24" s="437"/>
      <c r="AP24" s="489">
        <f t="shared" si="3"/>
        <v>10512</v>
      </c>
      <c r="AQ24" s="489"/>
      <c r="AR24" s="489">
        <f t="shared" si="15"/>
        <v>10512</v>
      </c>
      <c r="AS24" s="489"/>
      <c r="AT24" s="489"/>
      <c r="AU24" s="489"/>
      <c r="AV24" s="489"/>
      <c r="AW24" s="489"/>
      <c r="AX24" s="512"/>
      <c r="AY24" s="512"/>
      <c r="AZ24" s="512"/>
      <c r="BA24" s="512"/>
      <c r="BB24" s="512"/>
      <c r="BC24" s="512">
        <f t="shared" si="16"/>
        <v>657</v>
      </c>
      <c r="BD24" s="512"/>
      <c r="BE24" s="512"/>
      <c r="BF24" s="512"/>
      <c r="BG24" s="512"/>
      <c r="BH24" s="512"/>
      <c r="BI24" s="512"/>
      <c r="BJ24" s="512"/>
      <c r="BK24" s="512"/>
      <c r="BL24" s="512"/>
      <c r="BM24" s="512"/>
      <c r="BN24" s="512"/>
      <c r="BQ24" s="3">
        <f t="shared" si="5"/>
        <v>144546</v>
      </c>
    </row>
    <row r="25" s="400" customFormat="1" ht="36" customHeight="1" spans="1:69">
      <c r="A25" s="420">
        <v>45890</v>
      </c>
      <c r="B25" s="421" t="s">
        <v>3710</v>
      </c>
      <c r="C25" s="422" t="s">
        <v>117</v>
      </c>
      <c r="D25" s="423">
        <v>4500177481</v>
      </c>
      <c r="E25" s="424">
        <v>217985660</v>
      </c>
      <c r="F25" s="423" t="s">
        <v>5065</v>
      </c>
      <c r="G25" s="425" t="s">
        <v>5066</v>
      </c>
      <c r="H25" s="426" t="s">
        <v>5048</v>
      </c>
      <c r="I25" s="437">
        <v>1391</v>
      </c>
      <c r="J25" s="438">
        <v>0</v>
      </c>
      <c r="K25" s="425">
        <v>13</v>
      </c>
      <c r="L25" s="439">
        <f t="shared" si="0"/>
        <v>107</v>
      </c>
      <c r="M25" s="440">
        <v>45950</v>
      </c>
      <c r="N25" s="440">
        <v>45950</v>
      </c>
      <c r="O25" s="441"/>
      <c r="P25" s="441" t="s">
        <v>1690</v>
      </c>
      <c r="Q25" s="441" t="s">
        <v>5067</v>
      </c>
      <c r="R25" s="441">
        <v>45905</v>
      </c>
      <c r="S25" s="441" t="s">
        <v>77</v>
      </c>
      <c r="T25" s="441" t="s">
        <v>77</v>
      </c>
      <c r="U25" s="441"/>
      <c r="V25" s="441"/>
      <c r="W25" s="441"/>
      <c r="X25" s="424" t="s">
        <v>3713</v>
      </c>
      <c r="Y25" s="473" t="s">
        <v>156</v>
      </c>
      <c r="Z25" s="474">
        <v>0.9</v>
      </c>
      <c r="AA25" s="475">
        <f t="shared" si="13"/>
        <v>1251.9</v>
      </c>
      <c r="AB25" s="437" t="s">
        <v>5068</v>
      </c>
      <c r="AC25" s="478" t="s">
        <v>5066</v>
      </c>
      <c r="AD25" s="477" t="s">
        <v>128</v>
      </c>
      <c r="AE25" s="477"/>
      <c r="AF25" s="425">
        <v>1391</v>
      </c>
      <c r="AG25" s="425">
        <f t="shared" si="8"/>
        <v>0</v>
      </c>
      <c r="AH25" s="425"/>
      <c r="AI25" s="478"/>
      <c r="AJ25" s="488">
        <f t="shared" si="1"/>
        <v>1391</v>
      </c>
      <c r="AK25" s="488"/>
      <c r="AL25" s="489">
        <f t="shared" si="14"/>
        <v>1391</v>
      </c>
      <c r="AM25" s="437"/>
      <c r="AN25" s="437"/>
      <c r="AO25" s="437"/>
      <c r="AP25" s="489">
        <f t="shared" si="3"/>
        <v>1391</v>
      </c>
      <c r="AQ25" s="489"/>
      <c r="AR25" s="489">
        <f t="shared" si="15"/>
        <v>1391</v>
      </c>
      <c r="AS25" s="489"/>
      <c r="AT25" s="489"/>
      <c r="AU25" s="489"/>
      <c r="AV25" s="489"/>
      <c r="AW25" s="489"/>
      <c r="AX25" s="512">
        <f>I25/13</f>
        <v>107</v>
      </c>
      <c r="AY25" s="512"/>
      <c r="AZ25" s="512"/>
      <c r="BA25" s="512"/>
      <c r="BB25" s="512"/>
      <c r="BC25" s="512"/>
      <c r="BD25" s="512"/>
      <c r="BE25" s="512"/>
      <c r="BF25" s="512"/>
      <c r="BG25" s="512"/>
      <c r="BH25" s="512"/>
      <c r="BI25" s="512"/>
      <c r="BJ25" s="512"/>
      <c r="BK25" s="512"/>
      <c r="BL25" s="512"/>
      <c r="BM25" s="512"/>
      <c r="BN25" s="512"/>
      <c r="BQ25" s="3">
        <f t="shared" si="5"/>
        <v>145937</v>
      </c>
    </row>
    <row r="26" s="400" customFormat="1" ht="36" customHeight="1" spans="1:69">
      <c r="A26" s="420">
        <v>45890</v>
      </c>
      <c r="B26" s="421" t="s">
        <v>3710</v>
      </c>
      <c r="C26" s="422" t="s">
        <v>117</v>
      </c>
      <c r="D26" s="423">
        <v>4500177483</v>
      </c>
      <c r="E26" s="424">
        <v>217985584</v>
      </c>
      <c r="F26" s="423" t="s">
        <v>5069</v>
      </c>
      <c r="G26" s="425" t="s">
        <v>5066</v>
      </c>
      <c r="H26" s="426" t="s">
        <v>5048</v>
      </c>
      <c r="I26" s="437">
        <v>2574</v>
      </c>
      <c r="J26" s="438">
        <v>0</v>
      </c>
      <c r="K26" s="425">
        <v>13</v>
      </c>
      <c r="L26" s="439">
        <f t="shared" si="0"/>
        <v>198</v>
      </c>
      <c r="M26" s="440">
        <v>45950</v>
      </c>
      <c r="N26" s="440">
        <v>45950</v>
      </c>
      <c r="O26" s="441"/>
      <c r="P26" s="441" t="s">
        <v>1690</v>
      </c>
      <c r="Q26" s="441" t="s">
        <v>5067</v>
      </c>
      <c r="R26" s="441">
        <v>45905</v>
      </c>
      <c r="S26" s="441" t="s">
        <v>77</v>
      </c>
      <c r="T26" s="441" t="s">
        <v>77</v>
      </c>
      <c r="U26" s="441"/>
      <c r="V26" s="441"/>
      <c r="W26" s="441"/>
      <c r="X26" s="424" t="s">
        <v>3713</v>
      </c>
      <c r="Y26" s="473" t="s">
        <v>156</v>
      </c>
      <c r="Z26" s="474">
        <v>0.9</v>
      </c>
      <c r="AA26" s="475">
        <f t="shared" si="13"/>
        <v>2316.6</v>
      </c>
      <c r="AB26" s="437" t="s">
        <v>5070</v>
      </c>
      <c r="AC26" s="478" t="s">
        <v>5066</v>
      </c>
      <c r="AD26" s="477" t="s">
        <v>128</v>
      </c>
      <c r="AE26" s="477"/>
      <c r="AF26" s="425">
        <v>2574</v>
      </c>
      <c r="AG26" s="425">
        <f t="shared" si="8"/>
        <v>0</v>
      </c>
      <c r="AH26" s="425"/>
      <c r="AI26" s="478"/>
      <c r="AJ26" s="488">
        <f t="shared" si="1"/>
        <v>2574</v>
      </c>
      <c r="AK26" s="493"/>
      <c r="AL26" s="494">
        <f t="shared" si="14"/>
        <v>2574</v>
      </c>
      <c r="AM26" s="437"/>
      <c r="AN26" s="437"/>
      <c r="AO26" s="437"/>
      <c r="AP26" s="489">
        <f t="shared" si="3"/>
        <v>2574</v>
      </c>
      <c r="AQ26" s="489"/>
      <c r="AR26" s="489">
        <f t="shared" si="15"/>
        <v>2574</v>
      </c>
      <c r="AS26" s="489"/>
      <c r="AT26" s="489"/>
      <c r="AU26" s="489"/>
      <c r="AV26" s="489"/>
      <c r="AW26" s="489"/>
      <c r="AX26" s="512">
        <f>I26/13</f>
        <v>198</v>
      </c>
      <c r="AY26" s="512"/>
      <c r="AZ26" s="512"/>
      <c r="BA26" s="512"/>
      <c r="BB26" s="512"/>
      <c r="BC26" s="512"/>
      <c r="BD26" s="512"/>
      <c r="BE26" s="512"/>
      <c r="BF26" s="512"/>
      <c r="BG26" s="512"/>
      <c r="BH26" s="512"/>
      <c r="BI26" s="512"/>
      <c r="BJ26" s="512"/>
      <c r="BK26" s="512"/>
      <c r="BL26" s="512"/>
      <c r="BM26" s="512"/>
      <c r="BN26" s="512"/>
      <c r="BQ26" s="3">
        <f t="shared" si="5"/>
        <v>148511</v>
      </c>
    </row>
    <row r="27" s="400" customFormat="1" ht="36" customHeight="1" spans="1:69">
      <c r="A27" s="420">
        <v>45897</v>
      </c>
      <c r="B27" s="421" t="s">
        <v>4976</v>
      </c>
      <c r="C27" s="422" t="s">
        <v>117</v>
      </c>
      <c r="D27" s="423">
        <v>4500178134</v>
      </c>
      <c r="E27" s="424">
        <v>938210508</v>
      </c>
      <c r="F27" s="423" t="s">
        <v>5071</v>
      </c>
      <c r="G27" s="425" t="s">
        <v>4979</v>
      </c>
      <c r="H27" s="426" t="s">
        <v>4980</v>
      </c>
      <c r="I27" s="437">
        <v>960</v>
      </c>
      <c r="J27" s="438">
        <v>0</v>
      </c>
      <c r="K27" s="425">
        <v>16</v>
      </c>
      <c r="L27" s="439">
        <f t="shared" si="0"/>
        <v>60</v>
      </c>
      <c r="M27" s="440">
        <v>45951</v>
      </c>
      <c r="N27" s="440">
        <v>45950</v>
      </c>
      <c r="O27" s="441" t="s">
        <v>5072</v>
      </c>
      <c r="P27" s="441" t="s">
        <v>92</v>
      </c>
      <c r="Q27" s="441" t="s">
        <v>2821</v>
      </c>
      <c r="R27" s="441" t="s">
        <v>1102</v>
      </c>
      <c r="S27" s="441" t="s">
        <v>123</v>
      </c>
      <c r="T27" s="441" t="s">
        <v>5073</v>
      </c>
      <c r="U27" s="441" t="s">
        <v>4983</v>
      </c>
      <c r="V27" s="441"/>
      <c r="W27" s="441"/>
      <c r="X27" s="424" t="s">
        <v>5074</v>
      </c>
      <c r="Y27" s="473" t="s">
        <v>634</v>
      </c>
      <c r="Z27" s="474">
        <v>0.96</v>
      </c>
      <c r="AA27" s="475">
        <f t="shared" si="13"/>
        <v>921.6</v>
      </c>
      <c r="AB27" s="437" t="s">
        <v>5075</v>
      </c>
      <c r="AC27" s="425" t="s">
        <v>4979</v>
      </c>
      <c r="AD27" s="477" t="s">
        <v>128</v>
      </c>
      <c r="AE27" s="477"/>
      <c r="AF27" s="425">
        <f t="shared" ref="AF27:AF31" si="17">32+928</f>
        <v>960</v>
      </c>
      <c r="AG27" s="425">
        <f t="shared" si="8"/>
        <v>0</v>
      </c>
      <c r="AH27" s="425"/>
      <c r="AI27" s="478"/>
      <c r="AJ27" s="488">
        <f t="shared" si="1"/>
        <v>960</v>
      </c>
      <c r="AK27" s="488"/>
      <c r="AL27" s="489">
        <f t="shared" si="14"/>
        <v>960</v>
      </c>
      <c r="AM27" s="437"/>
      <c r="AN27" s="437"/>
      <c r="AO27" s="437"/>
      <c r="AP27" s="489">
        <f t="shared" si="3"/>
        <v>960</v>
      </c>
      <c r="AQ27" s="489"/>
      <c r="AR27" s="489">
        <f t="shared" si="15"/>
        <v>960</v>
      </c>
      <c r="AS27" s="489"/>
      <c r="AT27" s="489"/>
      <c r="AU27" s="489"/>
      <c r="AV27" s="489"/>
      <c r="AW27" s="489"/>
      <c r="AX27" s="512"/>
      <c r="AY27" s="512"/>
      <c r="AZ27" s="512"/>
      <c r="BA27" s="512"/>
      <c r="BB27" s="512"/>
      <c r="BC27" s="512">
        <f t="shared" si="16"/>
        <v>60</v>
      </c>
      <c r="BD27" s="512"/>
      <c r="BE27" s="512"/>
      <c r="BF27" s="512"/>
      <c r="BG27" s="512"/>
      <c r="BH27" s="512"/>
      <c r="BI27" s="512"/>
      <c r="BJ27" s="512"/>
      <c r="BK27" s="512"/>
      <c r="BL27" s="512"/>
      <c r="BM27" s="512"/>
      <c r="BN27" s="512"/>
      <c r="BQ27" s="3">
        <f t="shared" si="5"/>
        <v>149471</v>
      </c>
    </row>
    <row r="28" s="400" customFormat="1" ht="36" customHeight="1" spans="1:69">
      <c r="A28" s="420">
        <v>45897</v>
      </c>
      <c r="B28" s="421" t="s">
        <v>4976</v>
      </c>
      <c r="C28" s="422" t="s">
        <v>117</v>
      </c>
      <c r="D28" s="423">
        <v>4500178134</v>
      </c>
      <c r="E28" s="1692" t="s">
        <v>5076</v>
      </c>
      <c r="F28" s="423" t="s">
        <v>5077</v>
      </c>
      <c r="G28" s="425" t="s">
        <v>4979</v>
      </c>
      <c r="H28" s="426" t="s">
        <v>4980</v>
      </c>
      <c r="I28" s="437">
        <v>960</v>
      </c>
      <c r="J28" s="438">
        <v>0</v>
      </c>
      <c r="K28" s="425">
        <v>16</v>
      </c>
      <c r="L28" s="439">
        <f t="shared" si="0"/>
        <v>60</v>
      </c>
      <c r="M28" s="440">
        <v>45951</v>
      </c>
      <c r="N28" s="440">
        <v>45950</v>
      </c>
      <c r="O28" s="441" t="s">
        <v>5072</v>
      </c>
      <c r="P28" s="441" t="s">
        <v>92</v>
      </c>
      <c r="Q28" s="441" t="s">
        <v>2854</v>
      </c>
      <c r="R28" s="441" t="s">
        <v>1102</v>
      </c>
      <c r="S28" s="441" t="s">
        <v>123</v>
      </c>
      <c r="T28" s="441" t="s">
        <v>5073</v>
      </c>
      <c r="U28" s="441" t="s">
        <v>4983</v>
      </c>
      <c r="V28" s="441"/>
      <c r="W28" s="441"/>
      <c r="X28" s="424" t="s">
        <v>5074</v>
      </c>
      <c r="Y28" s="473" t="s">
        <v>634</v>
      </c>
      <c r="Z28" s="474">
        <v>0.96</v>
      </c>
      <c r="AA28" s="475">
        <f t="shared" si="13"/>
        <v>921.6</v>
      </c>
      <c r="AB28" s="437" t="s">
        <v>5078</v>
      </c>
      <c r="AC28" s="425" t="s">
        <v>4979</v>
      </c>
      <c r="AD28" s="477" t="s">
        <v>128</v>
      </c>
      <c r="AE28" s="477"/>
      <c r="AF28" s="425">
        <f t="shared" si="17"/>
        <v>960</v>
      </c>
      <c r="AG28" s="425">
        <f t="shared" si="8"/>
        <v>0</v>
      </c>
      <c r="AH28" s="425"/>
      <c r="AI28" s="478"/>
      <c r="AJ28" s="488">
        <f t="shared" si="1"/>
        <v>960</v>
      </c>
      <c r="AK28" s="488"/>
      <c r="AL28" s="489">
        <f t="shared" si="14"/>
        <v>960</v>
      </c>
      <c r="AM28" s="437"/>
      <c r="AN28" s="437"/>
      <c r="AO28" s="437"/>
      <c r="AP28" s="489">
        <f t="shared" si="3"/>
        <v>960</v>
      </c>
      <c r="AQ28" s="489"/>
      <c r="AR28" s="489">
        <f t="shared" si="15"/>
        <v>960</v>
      </c>
      <c r="AS28" s="489"/>
      <c r="AT28" s="489"/>
      <c r="AU28" s="489"/>
      <c r="AV28" s="489"/>
      <c r="AW28" s="489"/>
      <c r="AX28" s="512"/>
      <c r="AY28" s="512"/>
      <c r="AZ28" s="512"/>
      <c r="BA28" s="512"/>
      <c r="BB28" s="512"/>
      <c r="BC28" s="512">
        <f t="shared" si="16"/>
        <v>60</v>
      </c>
      <c r="BD28" s="512"/>
      <c r="BE28" s="512"/>
      <c r="BF28" s="512"/>
      <c r="BG28" s="512"/>
      <c r="BH28" s="512"/>
      <c r="BI28" s="512"/>
      <c r="BJ28" s="512"/>
      <c r="BK28" s="512"/>
      <c r="BL28" s="512"/>
      <c r="BM28" s="512"/>
      <c r="BN28" s="512"/>
      <c r="BQ28" s="3">
        <f t="shared" si="5"/>
        <v>150431</v>
      </c>
    </row>
    <row r="29" s="400" customFormat="1" ht="36" customHeight="1" spans="1:69">
      <c r="A29" s="420">
        <v>45897</v>
      </c>
      <c r="B29" s="421" t="s">
        <v>4976</v>
      </c>
      <c r="C29" s="422" t="s">
        <v>117</v>
      </c>
      <c r="D29" s="423">
        <v>4500178134</v>
      </c>
      <c r="E29" s="1692" t="s">
        <v>5079</v>
      </c>
      <c r="F29" s="423" t="s">
        <v>5080</v>
      </c>
      <c r="G29" s="425" t="s">
        <v>4979</v>
      </c>
      <c r="H29" s="426" t="s">
        <v>4980</v>
      </c>
      <c r="I29" s="437">
        <v>960</v>
      </c>
      <c r="J29" s="438">
        <v>0</v>
      </c>
      <c r="K29" s="425">
        <v>16</v>
      </c>
      <c r="L29" s="439">
        <f t="shared" si="0"/>
        <v>60</v>
      </c>
      <c r="M29" s="440">
        <v>45951</v>
      </c>
      <c r="N29" s="440">
        <v>45950</v>
      </c>
      <c r="O29" s="441" t="s">
        <v>5072</v>
      </c>
      <c r="P29" s="441" t="s">
        <v>92</v>
      </c>
      <c r="Q29" s="441" t="s">
        <v>5081</v>
      </c>
      <c r="R29" s="441" t="s">
        <v>1102</v>
      </c>
      <c r="S29" s="441" t="s">
        <v>123</v>
      </c>
      <c r="T29" s="441" t="s">
        <v>5073</v>
      </c>
      <c r="U29" s="441" t="s">
        <v>4983</v>
      </c>
      <c r="V29" s="441"/>
      <c r="W29" s="441"/>
      <c r="X29" s="424" t="s">
        <v>5074</v>
      </c>
      <c r="Y29" s="473" t="s">
        <v>634</v>
      </c>
      <c r="Z29" s="474">
        <v>0.96</v>
      </c>
      <c r="AA29" s="475">
        <f t="shared" si="13"/>
        <v>921.6</v>
      </c>
      <c r="AB29" s="437" t="s">
        <v>5082</v>
      </c>
      <c r="AC29" s="425" t="s">
        <v>4979</v>
      </c>
      <c r="AD29" s="477" t="s">
        <v>128</v>
      </c>
      <c r="AE29" s="477"/>
      <c r="AF29" s="425">
        <f t="shared" si="17"/>
        <v>960</v>
      </c>
      <c r="AG29" s="425">
        <f t="shared" si="8"/>
        <v>0</v>
      </c>
      <c r="AH29" s="425"/>
      <c r="AI29" s="478"/>
      <c r="AJ29" s="488">
        <f t="shared" si="1"/>
        <v>960</v>
      </c>
      <c r="AK29" s="488"/>
      <c r="AL29" s="489">
        <f t="shared" si="14"/>
        <v>960</v>
      </c>
      <c r="AM29" s="437"/>
      <c r="AN29" s="437"/>
      <c r="AO29" s="437"/>
      <c r="AP29" s="489">
        <f t="shared" si="3"/>
        <v>960</v>
      </c>
      <c r="AQ29" s="489"/>
      <c r="AR29" s="489">
        <f t="shared" si="15"/>
        <v>960</v>
      </c>
      <c r="AS29" s="489"/>
      <c r="AT29" s="489"/>
      <c r="AU29" s="489"/>
      <c r="AV29" s="489"/>
      <c r="AW29" s="489"/>
      <c r="AX29" s="512"/>
      <c r="AY29" s="512"/>
      <c r="AZ29" s="512"/>
      <c r="BA29" s="512"/>
      <c r="BB29" s="512"/>
      <c r="BC29" s="512">
        <f t="shared" si="16"/>
        <v>60</v>
      </c>
      <c r="BD29" s="512"/>
      <c r="BE29" s="512"/>
      <c r="BF29" s="512"/>
      <c r="BG29" s="512"/>
      <c r="BH29" s="512"/>
      <c r="BI29" s="512"/>
      <c r="BJ29" s="512"/>
      <c r="BK29" s="512"/>
      <c r="BL29" s="512"/>
      <c r="BM29" s="512"/>
      <c r="BN29" s="512"/>
      <c r="BQ29" s="3">
        <f t="shared" si="5"/>
        <v>151391</v>
      </c>
    </row>
    <row r="30" s="400" customFormat="1" ht="36" customHeight="1" spans="1:69">
      <c r="A30" s="420">
        <v>45897</v>
      </c>
      <c r="B30" s="421" t="s">
        <v>4976</v>
      </c>
      <c r="C30" s="422" t="s">
        <v>117</v>
      </c>
      <c r="D30" s="423">
        <v>4500178134</v>
      </c>
      <c r="E30" s="1692" t="s">
        <v>5083</v>
      </c>
      <c r="F30" s="423" t="s">
        <v>5084</v>
      </c>
      <c r="G30" s="425" t="s">
        <v>4979</v>
      </c>
      <c r="H30" s="426" t="s">
        <v>4980</v>
      </c>
      <c r="I30" s="437">
        <v>960</v>
      </c>
      <c r="J30" s="438">
        <v>0</v>
      </c>
      <c r="K30" s="425">
        <v>16</v>
      </c>
      <c r="L30" s="439">
        <f t="shared" si="0"/>
        <v>60</v>
      </c>
      <c r="M30" s="440">
        <v>45951</v>
      </c>
      <c r="N30" s="440">
        <v>45950</v>
      </c>
      <c r="O30" s="441" t="s">
        <v>5072</v>
      </c>
      <c r="P30" s="441" t="s">
        <v>92</v>
      </c>
      <c r="Q30" s="441" t="s">
        <v>5085</v>
      </c>
      <c r="R30" s="441" t="s">
        <v>1102</v>
      </c>
      <c r="S30" s="441" t="s">
        <v>123</v>
      </c>
      <c r="T30" s="441" t="s">
        <v>5073</v>
      </c>
      <c r="U30" s="441" t="s">
        <v>4983</v>
      </c>
      <c r="V30" s="441"/>
      <c r="W30" s="441"/>
      <c r="X30" s="424" t="s">
        <v>5074</v>
      </c>
      <c r="Y30" s="473" t="s">
        <v>634</v>
      </c>
      <c r="Z30" s="474">
        <v>0.96</v>
      </c>
      <c r="AA30" s="475">
        <f t="shared" si="13"/>
        <v>921.6</v>
      </c>
      <c r="AB30" s="437" t="s">
        <v>5086</v>
      </c>
      <c r="AC30" s="425" t="s">
        <v>4979</v>
      </c>
      <c r="AD30" s="477" t="s">
        <v>128</v>
      </c>
      <c r="AE30" s="477"/>
      <c r="AF30" s="425">
        <f t="shared" si="17"/>
        <v>960</v>
      </c>
      <c r="AG30" s="425">
        <f t="shared" si="8"/>
        <v>0</v>
      </c>
      <c r="AH30" s="425"/>
      <c r="AI30" s="478"/>
      <c r="AJ30" s="488">
        <f t="shared" si="1"/>
        <v>960</v>
      </c>
      <c r="AK30" s="488"/>
      <c r="AL30" s="489">
        <f t="shared" si="14"/>
        <v>960</v>
      </c>
      <c r="AM30" s="437"/>
      <c r="AN30" s="437"/>
      <c r="AO30" s="437"/>
      <c r="AP30" s="489">
        <f t="shared" si="3"/>
        <v>960</v>
      </c>
      <c r="AQ30" s="489"/>
      <c r="AR30" s="489">
        <f t="shared" si="15"/>
        <v>960</v>
      </c>
      <c r="AS30" s="489"/>
      <c r="AT30" s="489"/>
      <c r="AU30" s="489"/>
      <c r="AV30" s="489"/>
      <c r="AW30" s="489"/>
      <c r="AX30" s="512"/>
      <c r="AY30" s="512"/>
      <c r="AZ30" s="512"/>
      <c r="BA30" s="512"/>
      <c r="BB30" s="512"/>
      <c r="BC30" s="512">
        <f t="shared" si="16"/>
        <v>60</v>
      </c>
      <c r="BD30" s="512"/>
      <c r="BE30" s="512"/>
      <c r="BF30" s="512"/>
      <c r="BG30" s="512"/>
      <c r="BH30" s="512"/>
      <c r="BI30" s="512"/>
      <c r="BJ30" s="512"/>
      <c r="BK30" s="512"/>
      <c r="BL30" s="512"/>
      <c r="BM30" s="512"/>
      <c r="BN30" s="512"/>
      <c r="BQ30" s="3">
        <f t="shared" si="5"/>
        <v>152351</v>
      </c>
    </row>
    <row r="31" s="400" customFormat="1" ht="36" customHeight="1" spans="1:69">
      <c r="A31" s="420">
        <v>45897</v>
      </c>
      <c r="B31" s="421" t="s">
        <v>4976</v>
      </c>
      <c r="C31" s="422" t="s">
        <v>117</v>
      </c>
      <c r="D31" s="423">
        <v>4500178134</v>
      </c>
      <c r="E31" s="1692" t="s">
        <v>5087</v>
      </c>
      <c r="F31" s="423" t="s">
        <v>5088</v>
      </c>
      <c r="G31" s="425" t="s">
        <v>4979</v>
      </c>
      <c r="H31" s="426" t="s">
        <v>4980</v>
      </c>
      <c r="I31" s="437">
        <v>960</v>
      </c>
      <c r="J31" s="438">
        <v>0</v>
      </c>
      <c r="K31" s="425">
        <v>16</v>
      </c>
      <c r="L31" s="439">
        <f t="shared" si="0"/>
        <v>60</v>
      </c>
      <c r="M31" s="440">
        <v>45951</v>
      </c>
      <c r="N31" s="440">
        <v>45950</v>
      </c>
      <c r="O31" s="441" t="s">
        <v>5072</v>
      </c>
      <c r="P31" s="441" t="s">
        <v>92</v>
      </c>
      <c r="Q31" s="441" t="s">
        <v>5081</v>
      </c>
      <c r="R31" s="441" t="s">
        <v>1102</v>
      </c>
      <c r="S31" s="441" t="s">
        <v>123</v>
      </c>
      <c r="T31" s="441" t="s">
        <v>5073</v>
      </c>
      <c r="U31" s="441" t="s">
        <v>4983</v>
      </c>
      <c r="V31" s="441"/>
      <c r="W31" s="441"/>
      <c r="X31" s="424" t="s">
        <v>5074</v>
      </c>
      <c r="Y31" s="473" t="s">
        <v>634</v>
      </c>
      <c r="Z31" s="474">
        <v>0.96</v>
      </c>
      <c r="AA31" s="475">
        <f t="shared" si="13"/>
        <v>921.6</v>
      </c>
      <c r="AB31" s="437" t="s">
        <v>5089</v>
      </c>
      <c r="AC31" s="425" t="s">
        <v>4979</v>
      </c>
      <c r="AD31" s="477" t="s">
        <v>128</v>
      </c>
      <c r="AE31" s="477"/>
      <c r="AF31" s="425">
        <f t="shared" si="17"/>
        <v>960</v>
      </c>
      <c r="AG31" s="425">
        <f t="shared" si="8"/>
        <v>0</v>
      </c>
      <c r="AH31" s="425"/>
      <c r="AI31" s="478"/>
      <c r="AJ31" s="488">
        <f t="shared" si="1"/>
        <v>960</v>
      </c>
      <c r="AK31" s="488"/>
      <c r="AL31" s="489">
        <f t="shared" si="14"/>
        <v>960</v>
      </c>
      <c r="AM31" s="437"/>
      <c r="AN31" s="437"/>
      <c r="AO31" s="437"/>
      <c r="AP31" s="489">
        <f t="shared" si="3"/>
        <v>960</v>
      </c>
      <c r="AQ31" s="489"/>
      <c r="AR31" s="489">
        <f t="shared" si="15"/>
        <v>960</v>
      </c>
      <c r="AS31" s="489"/>
      <c r="AT31" s="489"/>
      <c r="AU31" s="489"/>
      <c r="AV31" s="489"/>
      <c r="AW31" s="489"/>
      <c r="AX31" s="512"/>
      <c r="AY31" s="512"/>
      <c r="AZ31" s="512"/>
      <c r="BA31" s="512"/>
      <c r="BB31" s="512"/>
      <c r="BC31" s="512">
        <f t="shared" si="16"/>
        <v>60</v>
      </c>
      <c r="BD31" s="512"/>
      <c r="BE31" s="512"/>
      <c r="BF31" s="512"/>
      <c r="BG31" s="512"/>
      <c r="BH31" s="512"/>
      <c r="BI31" s="512"/>
      <c r="BJ31" s="512"/>
      <c r="BK31" s="512"/>
      <c r="BL31" s="512"/>
      <c r="BM31" s="512"/>
      <c r="BN31" s="512"/>
      <c r="BQ31" s="3">
        <f t="shared" si="5"/>
        <v>153311</v>
      </c>
    </row>
    <row r="32" s="400" customFormat="1" ht="36" customHeight="1" spans="1:69">
      <c r="A32" s="420">
        <v>45918</v>
      </c>
      <c r="B32" s="421" t="s">
        <v>3991</v>
      </c>
      <c r="C32" s="422" t="s">
        <v>117</v>
      </c>
      <c r="D32" s="423">
        <v>4500179751</v>
      </c>
      <c r="E32" s="424" t="s">
        <v>5090</v>
      </c>
      <c r="F32" s="423" t="s">
        <v>5091</v>
      </c>
      <c r="G32" s="425" t="s">
        <v>5092</v>
      </c>
      <c r="H32" s="426" t="s">
        <v>5093</v>
      </c>
      <c r="I32" s="437">
        <v>13872</v>
      </c>
      <c r="J32" s="438">
        <v>0</v>
      </c>
      <c r="K32" s="425">
        <v>12</v>
      </c>
      <c r="L32" s="439">
        <f t="shared" si="0"/>
        <v>1156</v>
      </c>
      <c r="M32" s="440">
        <v>45953</v>
      </c>
      <c r="N32" s="440">
        <v>45951</v>
      </c>
      <c r="O32" s="441" t="s">
        <v>5094</v>
      </c>
      <c r="P32" s="441" t="s">
        <v>1690</v>
      </c>
      <c r="Q32" s="441" t="s">
        <v>4244</v>
      </c>
      <c r="R32" s="441">
        <v>45918</v>
      </c>
      <c r="S32" s="441" t="s">
        <v>123</v>
      </c>
      <c r="T32" s="441" t="s">
        <v>5095</v>
      </c>
      <c r="U32" s="441"/>
      <c r="V32" s="441"/>
      <c r="W32" s="441"/>
      <c r="X32" s="424" t="s">
        <v>5096</v>
      </c>
      <c r="Y32" s="473" t="s">
        <v>3759</v>
      </c>
      <c r="Z32" s="474">
        <v>1.908</v>
      </c>
      <c r="AA32" s="475">
        <f t="shared" si="13"/>
        <v>26467.776</v>
      </c>
      <c r="AB32" s="437" t="s">
        <v>5097</v>
      </c>
      <c r="AC32" s="478" t="s">
        <v>5098</v>
      </c>
      <c r="AD32" s="477" t="s">
        <v>128</v>
      </c>
      <c r="AE32" s="477"/>
      <c r="AF32" s="425">
        <f>1944+13872</f>
        <v>15816</v>
      </c>
      <c r="AG32" s="425">
        <f t="shared" si="8"/>
        <v>1944</v>
      </c>
      <c r="AH32" s="425"/>
      <c r="AI32" s="478"/>
      <c r="AJ32" s="488">
        <f>I32*2</f>
        <v>27744</v>
      </c>
      <c r="AK32" s="493"/>
      <c r="AL32" s="494"/>
      <c r="AM32" s="437"/>
      <c r="AN32" s="437">
        <f>I32*2</f>
        <v>27744</v>
      </c>
      <c r="AO32" s="437"/>
      <c r="AP32" s="489">
        <f>I32*2</f>
        <v>27744</v>
      </c>
      <c r="AQ32" s="489"/>
      <c r="AR32" s="489">
        <f t="shared" si="15"/>
        <v>27744</v>
      </c>
      <c r="AS32" s="489"/>
      <c r="AT32" s="489"/>
      <c r="AU32" s="489"/>
      <c r="AV32" s="489"/>
      <c r="AW32" s="489"/>
      <c r="AX32" s="512"/>
      <c r="AY32" s="512"/>
      <c r="AZ32" s="512"/>
      <c r="BA32" s="512"/>
      <c r="BB32" s="512"/>
      <c r="BC32" s="512"/>
      <c r="BD32" s="512"/>
      <c r="BE32" s="512"/>
      <c r="BF32" s="512"/>
      <c r="BG32" s="512"/>
      <c r="BH32" s="512"/>
      <c r="BI32" s="512"/>
      <c r="BJ32" s="512"/>
      <c r="BK32" s="512"/>
      <c r="BL32" s="512"/>
      <c r="BM32" s="512">
        <f>I32</f>
        <v>13872</v>
      </c>
      <c r="BN32" s="512">
        <f>I32</f>
        <v>13872</v>
      </c>
      <c r="BQ32" s="3">
        <f t="shared" si="5"/>
        <v>181055</v>
      </c>
    </row>
    <row r="33" s="400" customFormat="1" ht="36" customHeight="1" spans="1:69">
      <c r="A33" s="420">
        <v>45916</v>
      </c>
      <c r="B33" s="421" t="s">
        <v>5099</v>
      </c>
      <c r="C33" s="422" t="s">
        <v>233</v>
      </c>
      <c r="D33" s="423">
        <v>4500179471</v>
      </c>
      <c r="E33" s="424" t="s">
        <v>5100</v>
      </c>
      <c r="F33" s="423" t="s">
        <v>5101</v>
      </c>
      <c r="G33" s="425" t="s">
        <v>5047</v>
      </c>
      <c r="H33" s="426" t="s">
        <v>5048</v>
      </c>
      <c r="I33" s="437">
        <v>156</v>
      </c>
      <c r="J33" s="438">
        <v>0</v>
      </c>
      <c r="K33" s="425">
        <v>13</v>
      </c>
      <c r="L33" s="439">
        <f t="shared" si="0"/>
        <v>12</v>
      </c>
      <c r="M33" s="440">
        <v>45950</v>
      </c>
      <c r="N33" s="440">
        <v>45954</v>
      </c>
      <c r="O33" s="441"/>
      <c r="P33" s="441" t="s">
        <v>1262</v>
      </c>
      <c r="Q33" s="441" t="s">
        <v>2854</v>
      </c>
      <c r="R33" s="441">
        <v>45915</v>
      </c>
      <c r="S33" s="441" t="s">
        <v>123</v>
      </c>
      <c r="T33" s="441" t="s">
        <v>5102</v>
      </c>
      <c r="U33" s="441"/>
      <c r="V33" s="441"/>
      <c r="W33" s="441"/>
      <c r="X33" s="424" t="s">
        <v>5103</v>
      </c>
      <c r="Y33" s="473" t="s">
        <v>5104</v>
      </c>
      <c r="Z33" s="474">
        <v>1.42</v>
      </c>
      <c r="AA33" s="475">
        <f t="shared" si="13"/>
        <v>221.52</v>
      </c>
      <c r="AB33" s="437" t="s">
        <v>5105</v>
      </c>
      <c r="AC33" s="425" t="s">
        <v>5066</v>
      </c>
      <c r="AD33" s="477" t="s">
        <v>128</v>
      </c>
      <c r="AE33" s="477"/>
      <c r="AF33" s="425">
        <v>156</v>
      </c>
      <c r="AG33" s="425">
        <f t="shared" si="8"/>
        <v>0</v>
      </c>
      <c r="AH33" s="425"/>
      <c r="AI33" s="478"/>
      <c r="AJ33" s="488">
        <f t="shared" ref="AJ33:AJ48" si="18">I33</f>
        <v>156</v>
      </c>
      <c r="AK33" s="493"/>
      <c r="AL33" s="494">
        <f t="shared" ref="AL33:AL38" si="19">I33</f>
        <v>156</v>
      </c>
      <c r="AM33" s="437"/>
      <c r="AN33" s="437"/>
      <c r="AO33" s="437"/>
      <c r="AP33" s="489">
        <f t="shared" ref="AP33:AP48" si="20">I33</f>
        <v>156</v>
      </c>
      <c r="AQ33" s="489"/>
      <c r="AR33" s="489">
        <f t="shared" si="15"/>
        <v>156</v>
      </c>
      <c r="AS33" s="489"/>
      <c r="AT33" s="489"/>
      <c r="AU33" s="489"/>
      <c r="AV33" s="489"/>
      <c r="AW33" s="489"/>
      <c r="AX33" s="512">
        <f>I33/13</f>
        <v>12</v>
      </c>
      <c r="BA33" s="512"/>
      <c r="BB33" s="512"/>
      <c r="BC33" s="512"/>
      <c r="BD33" s="512"/>
      <c r="BE33" s="512"/>
      <c r="BF33" s="512"/>
      <c r="BG33" s="512"/>
      <c r="BH33" s="512"/>
      <c r="BI33" s="512"/>
      <c r="BJ33" s="512"/>
      <c r="BK33" s="512"/>
      <c r="BL33" s="512"/>
      <c r="BM33" s="512"/>
      <c r="BN33" s="512"/>
      <c r="BQ33" s="3">
        <f t="shared" si="5"/>
        <v>181211</v>
      </c>
    </row>
    <row r="34" s="400" customFormat="1" ht="36" customHeight="1" spans="1:69">
      <c r="A34" s="420">
        <v>45896</v>
      </c>
      <c r="B34" s="421" t="s">
        <v>116</v>
      </c>
      <c r="C34" s="422" t="s">
        <v>117</v>
      </c>
      <c r="D34" s="423">
        <v>4500177942</v>
      </c>
      <c r="E34" s="424" t="s">
        <v>5106</v>
      </c>
      <c r="F34" s="423" t="s">
        <v>5107</v>
      </c>
      <c r="G34" s="425" t="s">
        <v>4988</v>
      </c>
      <c r="H34" s="426" t="s">
        <v>4989</v>
      </c>
      <c r="I34" s="437">
        <v>36625</v>
      </c>
      <c r="J34" s="438">
        <v>0</v>
      </c>
      <c r="K34" s="425">
        <v>25</v>
      </c>
      <c r="L34" s="439">
        <f t="shared" si="0"/>
        <v>1465</v>
      </c>
      <c r="M34" s="440">
        <v>45954</v>
      </c>
      <c r="N34" s="440">
        <v>45954</v>
      </c>
      <c r="O34" s="441"/>
      <c r="P34" s="441" t="s">
        <v>92</v>
      </c>
      <c r="Q34" s="441" t="s">
        <v>4244</v>
      </c>
      <c r="R34" s="441">
        <v>45904</v>
      </c>
      <c r="S34" s="441" t="s">
        <v>123</v>
      </c>
      <c r="T34" s="441" t="s">
        <v>5034</v>
      </c>
      <c r="U34" s="441"/>
      <c r="V34" s="441"/>
      <c r="W34" s="441"/>
      <c r="X34" s="424" t="s">
        <v>5108</v>
      </c>
      <c r="Y34" s="473" t="s">
        <v>126</v>
      </c>
      <c r="Z34" s="474">
        <v>0.96</v>
      </c>
      <c r="AA34" s="475">
        <f t="shared" si="13"/>
        <v>35160</v>
      </c>
      <c r="AB34" s="437" t="s">
        <v>5109</v>
      </c>
      <c r="AC34" s="478" t="s">
        <v>4988</v>
      </c>
      <c r="AD34" s="477" t="s">
        <v>128</v>
      </c>
      <c r="AE34" s="477" t="s">
        <v>5110</v>
      </c>
      <c r="AF34" s="425">
        <v>36625</v>
      </c>
      <c r="AG34" s="425">
        <f t="shared" si="8"/>
        <v>0</v>
      </c>
      <c r="AH34" s="425"/>
      <c r="AI34" s="478"/>
      <c r="AJ34" s="488">
        <f t="shared" si="18"/>
        <v>36625</v>
      </c>
      <c r="AK34" s="488"/>
      <c r="AL34" s="489">
        <f t="shared" si="19"/>
        <v>36625</v>
      </c>
      <c r="AM34" s="437"/>
      <c r="AN34" s="437"/>
      <c r="AO34" s="437"/>
      <c r="AP34" s="489">
        <f t="shared" si="20"/>
        <v>36625</v>
      </c>
      <c r="AQ34" s="489"/>
      <c r="AR34" s="489">
        <f t="shared" si="15"/>
        <v>36625</v>
      </c>
      <c r="AS34" s="489"/>
      <c r="AT34" s="489"/>
      <c r="AU34" s="489"/>
      <c r="AV34" s="489"/>
      <c r="AW34" s="489"/>
      <c r="AX34" s="512"/>
      <c r="AY34" s="512"/>
      <c r="AZ34" s="512"/>
      <c r="BA34" s="512">
        <f>I34/25</f>
        <v>1465</v>
      </c>
      <c r="BB34" s="512"/>
      <c r="BC34" s="512"/>
      <c r="BD34" s="512"/>
      <c r="BE34" s="512"/>
      <c r="BF34" s="512"/>
      <c r="BG34" s="512"/>
      <c r="BH34" s="512"/>
      <c r="BI34" s="512"/>
      <c r="BJ34" s="512"/>
      <c r="BK34" s="512"/>
      <c r="BL34" s="512"/>
      <c r="BM34" s="512"/>
      <c r="BN34" s="512"/>
      <c r="BQ34" s="3">
        <f t="shared" si="5"/>
        <v>217836</v>
      </c>
    </row>
    <row r="35" s="400" customFormat="1" ht="36" customHeight="1" spans="1:69">
      <c r="A35" s="420">
        <v>45908</v>
      </c>
      <c r="B35" s="421" t="s">
        <v>116</v>
      </c>
      <c r="C35" s="422" t="s">
        <v>117</v>
      </c>
      <c r="D35" s="423">
        <v>4500179008</v>
      </c>
      <c r="E35" s="424" t="s">
        <v>5111</v>
      </c>
      <c r="F35" s="423" t="s">
        <v>5112</v>
      </c>
      <c r="G35" s="425" t="s">
        <v>4988</v>
      </c>
      <c r="H35" s="426" t="s">
        <v>4989</v>
      </c>
      <c r="I35" s="437">
        <v>7275</v>
      </c>
      <c r="J35" s="438">
        <v>0</v>
      </c>
      <c r="K35" s="425">
        <v>25</v>
      </c>
      <c r="L35" s="439">
        <f t="shared" si="0"/>
        <v>291</v>
      </c>
      <c r="M35" s="440">
        <v>45956</v>
      </c>
      <c r="N35" s="440">
        <v>45955</v>
      </c>
      <c r="O35" s="441"/>
      <c r="P35" s="441" t="s">
        <v>92</v>
      </c>
      <c r="Q35" s="441" t="s">
        <v>5113</v>
      </c>
      <c r="R35" s="449">
        <v>45919</v>
      </c>
      <c r="S35" s="441" t="s">
        <v>123</v>
      </c>
      <c r="T35" s="441" t="s">
        <v>5114</v>
      </c>
      <c r="U35" s="441"/>
      <c r="V35" s="441"/>
      <c r="W35" s="441"/>
      <c r="X35" s="424" t="s">
        <v>5115</v>
      </c>
      <c r="Y35" s="473" t="s">
        <v>126</v>
      </c>
      <c r="Z35" s="474">
        <v>0.96</v>
      </c>
      <c r="AA35" s="475">
        <f t="shared" si="13"/>
        <v>6984</v>
      </c>
      <c r="AB35" s="437" t="s">
        <v>5116</v>
      </c>
      <c r="AC35" s="478" t="s">
        <v>4988</v>
      </c>
      <c r="AD35" s="477" t="s">
        <v>128</v>
      </c>
      <c r="AE35" s="477"/>
      <c r="AF35" s="425">
        <f>7225+50</f>
        <v>7275</v>
      </c>
      <c r="AG35" s="425">
        <f t="shared" si="8"/>
        <v>0</v>
      </c>
      <c r="AH35" s="425"/>
      <c r="AI35" s="478"/>
      <c r="AJ35" s="488">
        <f t="shared" si="18"/>
        <v>7275</v>
      </c>
      <c r="AK35" s="488"/>
      <c r="AL35" s="489">
        <f t="shared" si="19"/>
        <v>7275</v>
      </c>
      <c r="AM35" s="437"/>
      <c r="AN35" s="437"/>
      <c r="AO35" s="437"/>
      <c r="AP35" s="489">
        <f t="shared" si="20"/>
        <v>7275</v>
      </c>
      <c r="AQ35" s="489"/>
      <c r="AR35" s="489">
        <f t="shared" si="15"/>
        <v>7275</v>
      </c>
      <c r="AS35" s="489"/>
      <c r="AT35" s="489"/>
      <c r="AU35" s="489"/>
      <c r="AV35" s="489"/>
      <c r="AW35" s="489"/>
      <c r="AX35" s="512"/>
      <c r="AY35" s="512"/>
      <c r="AZ35" s="512"/>
      <c r="BA35" s="512">
        <f>I35/25</f>
        <v>291</v>
      </c>
      <c r="BB35" s="512"/>
      <c r="BC35" s="512"/>
      <c r="BD35" s="512"/>
      <c r="BE35" s="512"/>
      <c r="BF35" s="512"/>
      <c r="BG35" s="512"/>
      <c r="BH35" s="512"/>
      <c r="BI35" s="512"/>
      <c r="BJ35" s="512"/>
      <c r="BK35" s="512"/>
      <c r="BL35" s="512"/>
      <c r="BM35" s="512"/>
      <c r="BN35" s="512"/>
      <c r="BQ35" s="3">
        <f t="shared" si="5"/>
        <v>225111</v>
      </c>
    </row>
    <row r="36" s="400" customFormat="1" ht="36" customHeight="1" spans="1:69">
      <c r="A36" s="420">
        <v>45884</v>
      </c>
      <c r="B36" s="421" t="s">
        <v>4976</v>
      </c>
      <c r="C36" s="422" t="s">
        <v>117</v>
      </c>
      <c r="D36" s="423">
        <v>4500177110</v>
      </c>
      <c r="E36" s="1692" t="s">
        <v>5117</v>
      </c>
      <c r="F36" s="423" t="s">
        <v>5118</v>
      </c>
      <c r="G36" s="425" t="s">
        <v>4979</v>
      </c>
      <c r="H36" s="426" t="s">
        <v>4980</v>
      </c>
      <c r="I36" s="437">
        <v>8368</v>
      </c>
      <c r="J36" s="438">
        <v>0</v>
      </c>
      <c r="K36" s="425">
        <v>16</v>
      </c>
      <c r="L36" s="439">
        <f t="shared" si="0"/>
        <v>523</v>
      </c>
      <c r="M36" s="440">
        <v>45957</v>
      </c>
      <c r="N36" s="440">
        <v>45955</v>
      </c>
      <c r="O36" s="441" t="s">
        <v>5119</v>
      </c>
      <c r="P36" s="441" t="s">
        <v>92</v>
      </c>
      <c r="Q36" s="441" t="s">
        <v>2854</v>
      </c>
      <c r="R36" s="441">
        <v>45887</v>
      </c>
      <c r="S36" s="441" t="s">
        <v>123</v>
      </c>
      <c r="T36" s="441" t="s">
        <v>4998</v>
      </c>
      <c r="U36" s="441" t="s">
        <v>4999</v>
      </c>
      <c r="V36" s="441"/>
      <c r="W36" s="441"/>
      <c r="X36" s="424" t="s">
        <v>5000</v>
      </c>
      <c r="Y36" s="473" t="s">
        <v>634</v>
      </c>
      <c r="Z36" s="474">
        <v>0.96</v>
      </c>
      <c r="AA36" s="475">
        <f t="shared" si="13"/>
        <v>8033.28</v>
      </c>
      <c r="AB36" s="437" t="s">
        <v>5120</v>
      </c>
      <c r="AC36" s="425" t="s">
        <v>4979</v>
      </c>
      <c r="AD36" s="477" t="s">
        <v>128</v>
      </c>
      <c r="AE36" s="477"/>
      <c r="AF36" s="425">
        <v>8368</v>
      </c>
      <c r="AG36" s="425">
        <f t="shared" si="8"/>
        <v>0</v>
      </c>
      <c r="AH36" s="425"/>
      <c r="AI36" s="478"/>
      <c r="AJ36" s="488">
        <f t="shared" si="18"/>
        <v>8368</v>
      </c>
      <c r="AK36" s="488"/>
      <c r="AL36" s="489">
        <f t="shared" si="19"/>
        <v>8368</v>
      </c>
      <c r="AM36" s="437"/>
      <c r="AN36" s="437"/>
      <c r="AO36" s="437"/>
      <c r="AP36" s="489">
        <f t="shared" si="20"/>
        <v>8368</v>
      </c>
      <c r="AQ36" s="489"/>
      <c r="AR36" s="489">
        <f t="shared" si="15"/>
        <v>8368</v>
      </c>
      <c r="AS36" s="489"/>
      <c r="AT36" s="489"/>
      <c r="AU36" s="489"/>
      <c r="AV36" s="489"/>
      <c r="AW36" s="489"/>
      <c r="AX36" s="512"/>
      <c r="AY36" s="512"/>
      <c r="AZ36" s="512"/>
      <c r="BA36" s="512"/>
      <c r="BB36" s="512"/>
      <c r="BC36" s="512">
        <f t="shared" ref="BC36:BC38" si="21">I36/16</f>
        <v>523</v>
      </c>
      <c r="BD36" s="512"/>
      <c r="BE36" s="512"/>
      <c r="BF36" s="512"/>
      <c r="BG36" s="512"/>
      <c r="BH36" s="512"/>
      <c r="BI36" s="512"/>
      <c r="BJ36" s="512"/>
      <c r="BK36" s="512"/>
      <c r="BL36" s="512"/>
      <c r="BM36" s="512"/>
      <c r="BN36" s="512"/>
      <c r="BQ36" s="3">
        <f t="shared" si="5"/>
        <v>233479</v>
      </c>
    </row>
    <row r="37" s="400" customFormat="1" ht="36" customHeight="1" spans="1:69">
      <c r="A37" s="420">
        <v>45884</v>
      </c>
      <c r="B37" s="421" t="s">
        <v>4976</v>
      </c>
      <c r="C37" s="422" t="s">
        <v>117</v>
      </c>
      <c r="D37" s="423">
        <v>4500177110</v>
      </c>
      <c r="E37" s="1692" t="s">
        <v>5121</v>
      </c>
      <c r="F37" s="423" t="s">
        <v>5122</v>
      </c>
      <c r="G37" s="425" t="s">
        <v>4979</v>
      </c>
      <c r="H37" s="426" t="s">
        <v>4980</v>
      </c>
      <c r="I37" s="437">
        <v>7984</v>
      </c>
      <c r="J37" s="438">
        <v>0</v>
      </c>
      <c r="K37" s="425">
        <v>16</v>
      </c>
      <c r="L37" s="439">
        <f t="shared" si="0"/>
        <v>499</v>
      </c>
      <c r="M37" s="440">
        <v>45957</v>
      </c>
      <c r="N37" s="440">
        <v>45955</v>
      </c>
      <c r="O37" s="441" t="s">
        <v>5119</v>
      </c>
      <c r="P37" s="441" t="s">
        <v>92</v>
      </c>
      <c r="Q37" s="441" t="s">
        <v>2854</v>
      </c>
      <c r="R37" s="441">
        <v>45887</v>
      </c>
      <c r="S37" s="441" t="s">
        <v>123</v>
      </c>
      <c r="T37" s="441" t="s">
        <v>4998</v>
      </c>
      <c r="U37" s="441" t="s">
        <v>4999</v>
      </c>
      <c r="V37" s="441"/>
      <c r="W37" s="441"/>
      <c r="X37" s="424" t="s">
        <v>5000</v>
      </c>
      <c r="Y37" s="473" t="s">
        <v>634</v>
      </c>
      <c r="Z37" s="474">
        <v>0.96</v>
      </c>
      <c r="AA37" s="475">
        <f t="shared" si="13"/>
        <v>7664.64</v>
      </c>
      <c r="AB37" s="437" t="s">
        <v>5123</v>
      </c>
      <c r="AC37" s="425" t="s">
        <v>4979</v>
      </c>
      <c r="AD37" s="477" t="s">
        <v>128</v>
      </c>
      <c r="AE37" s="477"/>
      <c r="AF37" s="425">
        <f>7968+16</f>
        <v>7984</v>
      </c>
      <c r="AG37" s="425">
        <f t="shared" si="8"/>
        <v>0</v>
      </c>
      <c r="AH37" s="425"/>
      <c r="AI37" s="478"/>
      <c r="AJ37" s="488">
        <f t="shared" si="18"/>
        <v>7984</v>
      </c>
      <c r="AK37" s="488"/>
      <c r="AL37" s="489">
        <f t="shared" si="19"/>
        <v>7984</v>
      </c>
      <c r="AM37" s="437"/>
      <c r="AN37" s="437"/>
      <c r="AO37" s="437"/>
      <c r="AP37" s="489">
        <f t="shared" si="20"/>
        <v>7984</v>
      </c>
      <c r="AQ37" s="489"/>
      <c r="AR37" s="489">
        <f t="shared" si="15"/>
        <v>7984</v>
      </c>
      <c r="AS37" s="489"/>
      <c r="AT37" s="489"/>
      <c r="AU37" s="489"/>
      <c r="AV37" s="489"/>
      <c r="AW37" s="489"/>
      <c r="AX37" s="512"/>
      <c r="AY37" s="512"/>
      <c r="AZ37" s="512"/>
      <c r="BA37" s="512"/>
      <c r="BB37" s="512"/>
      <c r="BC37" s="512">
        <f t="shared" si="21"/>
        <v>499</v>
      </c>
      <c r="BD37" s="512"/>
      <c r="BE37" s="512"/>
      <c r="BF37" s="512"/>
      <c r="BG37" s="512"/>
      <c r="BH37" s="512"/>
      <c r="BI37" s="512"/>
      <c r="BJ37" s="512"/>
      <c r="BK37" s="512"/>
      <c r="BL37" s="512"/>
      <c r="BM37" s="512"/>
      <c r="BN37" s="512"/>
      <c r="BQ37" s="3">
        <f t="shared" si="5"/>
        <v>241463</v>
      </c>
    </row>
    <row r="38" s="400" customFormat="1" ht="36" customHeight="1" spans="1:69">
      <c r="A38" s="420">
        <v>45897</v>
      </c>
      <c r="B38" s="421" t="s">
        <v>4976</v>
      </c>
      <c r="C38" s="422" t="s">
        <v>117</v>
      </c>
      <c r="D38" s="423">
        <v>4500178135</v>
      </c>
      <c r="E38" s="1692" t="s">
        <v>5124</v>
      </c>
      <c r="F38" s="423" t="s">
        <v>5125</v>
      </c>
      <c r="G38" s="425" t="s">
        <v>4979</v>
      </c>
      <c r="H38" s="426" t="s">
        <v>4980</v>
      </c>
      <c r="I38" s="437">
        <v>960</v>
      </c>
      <c r="J38" s="438">
        <v>0</v>
      </c>
      <c r="K38" s="425">
        <v>16</v>
      </c>
      <c r="L38" s="439">
        <f t="shared" si="0"/>
        <v>60</v>
      </c>
      <c r="M38" s="440">
        <v>45957</v>
      </c>
      <c r="N38" s="440">
        <v>45955</v>
      </c>
      <c r="O38" s="441" t="s">
        <v>5119</v>
      </c>
      <c r="P38" s="441" t="s">
        <v>92</v>
      </c>
      <c r="Q38" s="441" t="s">
        <v>5126</v>
      </c>
      <c r="R38" s="441" t="s">
        <v>1102</v>
      </c>
      <c r="S38" s="441" t="s">
        <v>123</v>
      </c>
      <c r="T38" s="441" t="s">
        <v>5028</v>
      </c>
      <c r="U38" s="441" t="s">
        <v>4983</v>
      </c>
      <c r="V38" s="441"/>
      <c r="W38" s="441"/>
      <c r="X38" s="424" t="s">
        <v>5005</v>
      </c>
      <c r="Y38" s="473" t="s">
        <v>634</v>
      </c>
      <c r="Z38" s="474">
        <v>0.96</v>
      </c>
      <c r="AA38" s="475">
        <f t="shared" si="13"/>
        <v>921.6</v>
      </c>
      <c r="AB38" s="437" t="s">
        <v>5127</v>
      </c>
      <c r="AC38" s="425" t="s">
        <v>4979</v>
      </c>
      <c r="AD38" s="477" t="s">
        <v>128</v>
      </c>
      <c r="AE38" s="477"/>
      <c r="AF38" s="425">
        <v>960</v>
      </c>
      <c r="AG38" s="425">
        <f t="shared" si="8"/>
        <v>0</v>
      </c>
      <c r="AH38" s="425"/>
      <c r="AI38" s="478"/>
      <c r="AJ38" s="488">
        <f t="shared" si="18"/>
        <v>960</v>
      </c>
      <c r="AK38" s="488"/>
      <c r="AL38" s="489">
        <f t="shared" si="19"/>
        <v>960</v>
      </c>
      <c r="AM38" s="437"/>
      <c r="AN38" s="437"/>
      <c r="AO38" s="437"/>
      <c r="AP38" s="489">
        <f t="shared" si="20"/>
        <v>960</v>
      </c>
      <c r="AQ38" s="489"/>
      <c r="AR38" s="489">
        <f t="shared" si="15"/>
        <v>960</v>
      </c>
      <c r="AS38" s="489"/>
      <c r="AT38" s="489"/>
      <c r="AU38" s="489"/>
      <c r="AV38" s="489"/>
      <c r="AW38" s="489"/>
      <c r="AX38" s="512"/>
      <c r="AY38" s="512"/>
      <c r="AZ38" s="512"/>
      <c r="BA38" s="512"/>
      <c r="BB38" s="512"/>
      <c r="BC38" s="512">
        <f t="shared" si="21"/>
        <v>60</v>
      </c>
      <c r="BD38" s="512"/>
      <c r="BE38" s="512"/>
      <c r="BF38" s="512"/>
      <c r="BG38" s="512"/>
      <c r="BH38" s="512"/>
      <c r="BI38" s="512"/>
      <c r="BJ38" s="512"/>
      <c r="BK38" s="512"/>
      <c r="BL38" s="512"/>
      <c r="BM38" s="512"/>
      <c r="BN38" s="512"/>
      <c r="BQ38" s="3">
        <f t="shared" si="5"/>
        <v>242423</v>
      </c>
    </row>
    <row r="39" s="400" customFormat="1" ht="36" customHeight="1" spans="1:69">
      <c r="A39" s="420">
        <v>45909</v>
      </c>
      <c r="B39" s="421" t="s">
        <v>5128</v>
      </c>
      <c r="C39" s="422" t="s">
        <v>477</v>
      </c>
      <c r="D39" s="423">
        <v>4500179091</v>
      </c>
      <c r="E39" s="424">
        <v>5200007703</v>
      </c>
      <c r="F39" s="423" t="s">
        <v>5129</v>
      </c>
      <c r="G39" s="425" t="s">
        <v>5047</v>
      </c>
      <c r="H39" s="426" t="s">
        <v>5048</v>
      </c>
      <c r="I39" s="437">
        <v>5200</v>
      </c>
      <c r="J39" s="438">
        <v>0</v>
      </c>
      <c r="K39" s="425">
        <v>13</v>
      </c>
      <c r="L39" s="439">
        <f t="shared" si="0"/>
        <v>400</v>
      </c>
      <c r="M39" s="440">
        <v>45958</v>
      </c>
      <c r="N39" s="440">
        <v>45957</v>
      </c>
      <c r="O39" s="441"/>
      <c r="P39" s="441" t="s">
        <v>92</v>
      </c>
      <c r="Q39" s="441" t="s">
        <v>5130</v>
      </c>
      <c r="R39" s="449">
        <v>45923</v>
      </c>
      <c r="S39" s="448" t="s">
        <v>77</v>
      </c>
      <c r="T39" s="441" t="s">
        <v>5131</v>
      </c>
      <c r="U39" s="441"/>
      <c r="V39" s="441"/>
      <c r="W39" s="441"/>
      <c r="X39" s="424" t="s">
        <v>5132</v>
      </c>
      <c r="Y39" s="473" t="s">
        <v>5133</v>
      </c>
      <c r="Z39" s="474">
        <v>1.43</v>
      </c>
      <c r="AA39" s="475">
        <f t="shared" si="13"/>
        <v>7436</v>
      </c>
      <c r="AB39" s="437" t="s">
        <v>5134</v>
      </c>
      <c r="AC39" s="425" t="s">
        <v>5052</v>
      </c>
      <c r="AD39" s="477" t="s">
        <v>128</v>
      </c>
      <c r="AE39" s="471" t="s">
        <v>4930</v>
      </c>
      <c r="AF39" s="425">
        <v>5200</v>
      </c>
      <c r="AG39" s="425">
        <f t="shared" si="8"/>
        <v>0</v>
      </c>
      <c r="AH39" s="425"/>
      <c r="AI39" s="478"/>
      <c r="AJ39" s="488">
        <f t="shared" si="18"/>
        <v>5200</v>
      </c>
      <c r="AK39" s="488"/>
      <c r="AL39" s="489"/>
      <c r="AM39" s="490">
        <f>I39</f>
        <v>5200</v>
      </c>
      <c r="AN39" s="437"/>
      <c r="AO39" s="437"/>
      <c r="AP39" s="489">
        <f t="shared" si="20"/>
        <v>5200</v>
      </c>
      <c r="AQ39" s="489"/>
      <c r="AR39" s="489"/>
      <c r="AS39" s="489">
        <f>AJ39</f>
        <v>5200</v>
      </c>
      <c r="AT39" s="489"/>
      <c r="AU39" s="489">
        <f>I39</f>
        <v>5200</v>
      </c>
      <c r="AV39" s="489"/>
      <c r="AW39" s="489"/>
      <c r="AX39" s="512">
        <f>I39/13</f>
        <v>400</v>
      </c>
      <c r="BA39" s="512"/>
      <c r="BB39" s="512"/>
      <c r="BC39" s="512"/>
      <c r="BD39" s="512"/>
      <c r="BE39" s="512"/>
      <c r="BF39" s="512"/>
      <c r="BG39" s="512"/>
      <c r="BH39" s="512"/>
      <c r="BI39" s="512"/>
      <c r="BJ39" s="512"/>
      <c r="BK39" s="512"/>
      <c r="BL39" s="512"/>
      <c r="BM39" s="512"/>
      <c r="BN39" s="512"/>
      <c r="BQ39" s="3">
        <f t="shared" si="5"/>
        <v>247623</v>
      </c>
    </row>
    <row r="40" s="3" customFormat="1" ht="36" customHeight="1" spans="1:69">
      <c r="A40" s="74">
        <v>45953</v>
      </c>
      <c r="B40" s="75"/>
      <c r="C40" s="76"/>
      <c r="D40" s="77" t="s">
        <v>5135</v>
      </c>
      <c r="E40" s="114"/>
      <c r="F40" s="77"/>
      <c r="G40" s="23" t="s">
        <v>4963</v>
      </c>
      <c r="H40" s="24" t="s">
        <v>5136</v>
      </c>
      <c r="I40" s="88">
        <f>12*11</f>
        <v>132</v>
      </c>
      <c r="J40" s="89">
        <v>0</v>
      </c>
      <c r="K40" s="23">
        <v>24</v>
      </c>
      <c r="L40" s="436">
        <f t="shared" si="0"/>
        <v>5.5</v>
      </c>
      <c r="M40" s="90">
        <v>45958</v>
      </c>
      <c r="N40" s="90">
        <v>45957</v>
      </c>
      <c r="O40" s="87"/>
      <c r="P40" s="91" t="s">
        <v>5137</v>
      </c>
      <c r="Q40" s="91"/>
      <c r="R40" s="452" t="s">
        <v>3580</v>
      </c>
      <c r="S40" s="453" t="s">
        <v>77</v>
      </c>
      <c r="T40" s="453" t="s">
        <v>77</v>
      </c>
      <c r="U40" s="87"/>
      <c r="V40" s="91"/>
      <c r="W40" s="91"/>
      <c r="X40" s="114" t="s">
        <v>5138</v>
      </c>
      <c r="Y40" s="139" t="s">
        <v>5139</v>
      </c>
      <c r="Z40" s="116"/>
      <c r="AA40" s="117"/>
      <c r="AB40" s="88" t="s">
        <v>5140</v>
      </c>
      <c r="AC40" s="23" t="s">
        <v>4963</v>
      </c>
      <c r="AD40" s="467" t="s">
        <v>128</v>
      </c>
      <c r="AE40" s="467"/>
      <c r="AF40" s="472">
        <v>132</v>
      </c>
      <c r="AG40" s="483">
        <f t="shared" si="8"/>
        <v>0</v>
      </c>
      <c r="AH40" s="23"/>
      <c r="AI40" s="470"/>
      <c r="AJ40" s="155">
        <f t="shared" si="18"/>
        <v>132</v>
      </c>
      <c r="AK40" s="155"/>
      <c r="AL40" s="175">
        <f t="shared" ref="AL40:AL45" si="22">I40</f>
        <v>132</v>
      </c>
      <c r="AM40" s="486"/>
      <c r="AN40" s="88"/>
      <c r="AO40" s="88"/>
      <c r="AP40" s="175">
        <f t="shared" si="20"/>
        <v>132</v>
      </c>
      <c r="AQ40" s="175"/>
      <c r="AR40" s="175">
        <f>AJ40</f>
        <v>132</v>
      </c>
      <c r="AT40" s="175"/>
      <c r="AU40" s="175"/>
      <c r="AV40" s="175"/>
      <c r="AW40" s="175"/>
      <c r="AX40" s="181"/>
      <c r="BA40" s="181"/>
      <c r="BB40" s="181"/>
      <c r="BC40" s="181"/>
      <c r="BD40" s="181"/>
      <c r="BE40" s="181"/>
      <c r="BF40" s="181"/>
      <c r="BG40" s="181"/>
      <c r="BH40" s="181"/>
      <c r="BI40" s="181"/>
      <c r="BJ40" s="181"/>
      <c r="BK40" s="181"/>
      <c r="BL40" s="181"/>
      <c r="BM40" s="181"/>
      <c r="BN40" s="181"/>
      <c r="BQ40" s="3">
        <f t="shared" si="5"/>
        <v>247755</v>
      </c>
    </row>
    <row r="41" s="400" customFormat="1" ht="36" customHeight="1" spans="1:69">
      <c r="A41" s="420">
        <v>45918</v>
      </c>
      <c r="B41" s="421" t="s">
        <v>5141</v>
      </c>
      <c r="C41" s="422" t="s">
        <v>117</v>
      </c>
      <c r="D41" s="423">
        <v>4500179747</v>
      </c>
      <c r="E41" s="424" t="s">
        <v>5142</v>
      </c>
      <c r="F41" s="423" t="s">
        <v>5143</v>
      </c>
      <c r="G41" s="425" t="s">
        <v>4970</v>
      </c>
      <c r="H41" s="426" t="s">
        <v>5144</v>
      </c>
      <c r="I41" s="437">
        <v>5200</v>
      </c>
      <c r="J41" s="438">
        <v>0</v>
      </c>
      <c r="K41" s="425">
        <v>52</v>
      </c>
      <c r="L41" s="439">
        <f t="shared" si="0"/>
        <v>100</v>
      </c>
      <c r="M41" s="440">
        <v>45961</v>
      </c>
      <c r="N41" s="440">
        <v>45957</v>
      </c>
      <c r="O41" s="441"/>
      <c r="P41" s="441" t="s">
        <v>92</v>
      </c>
      <c r="Q41" s="441" t="s">
        <v>2854</v>
      </c>
      <c r="R41" s="449">
        <v>45926</v>
      </c>
      <c r="S41" s="448" t="s">
        <v>123</v>
      </c>
      <c r="T41" s="441" t="s">
        <v>5145</v>
      </c>
      <c r="U41" s="441"/>
      <c r="V41" s="441"/>
      <c r="W41" s="441"/>
      <c r="X41" s="424" t="s">
        <v>5146</v>
      </c>
      <c r="Y41" s="473" t="s">
        <v>5147</v>
      </c>
      <c r="Z41" s="474">
        <v>0.876</v>
      </c>
      <c r="AA41" s="475">
        <f t="shared" ref="AA41:AA45" si="23">Z41*I41</f>
        <v>4555.2</v>
      </c>
      <c r="AB41" s="437" t="s">
        <v>5148</v>
      </c>
      <c r="AC41" s="425" t="s">
        <v>4970</v>
      </c>
      <c r="AD41" s="477" t="s">
        <v>128</v>
      </c>
      <c r="AE41" s="477" t="s">
        <v>5110</v>
      </c>
      <c r="AF41" s="425">
        <v>5200</v>
      </c>
      <c r="AG41" s="425">
        <f t="shared" si="8"/>
        <v>0</v>
      </c>
      <c r="AH41" s="425"/>
      <c r="AI41" s="478"/>
      <c r="AJ41" s="488">
        <f t="shared" si="18"/>
        <v>5200</v>
      </c>
      <c r="AK41" s="488"/>
      <c r="AL41" s="489">
        <f t="shared" si="22"/>
        <v>5200</v>
      </c>
      <c r="AM41" s="437"/>
      <c r="AN41" s="437"/>
      <c r="AO41" s="437"/>
      <c r="AP41" s="489">
        <f t="shared" si="20"/>
        <v>5200</v>
      </c>
      <c r="AQ41" s="489"/>
      <c r="AR41" s="489">
        <f t="shared" ref="AR41:AR45" si="24">AP41</f>
        <v>5200</v>
      </c>
      <c r="AS41" s="489"/>
      <c r="AT41" s="489"/>
      <c r="AU41" s="489"/>
      <c r="AV41" s="489"/>
      <c r="AW41" s="489"/>
      <c r="AX41" s="512">
        <f>I41/13</f>
        <v>400</v>
      </c>
      <c r="AY41" s="512"/>
      <c r="AZ41" s="512"/>
      <c r="BA41" s="512"/>
      <c r="BB41" s="512"/>
      <c r="BC41" s="512"/>
      <c r="BD41" s="512"/>
      <c r="BE41" s="512"/>
      <c r="BF41" s="512"/>
      <c r="BG41" s="512"/>
      <c r="BH41" s="512"/>
      <c r="BI41" s="512"/>
      <c r="BJ41" s="512"/>
      <c r="BK41" s="512"/>
      <c r="BL41" s="512"/>
      <c r="BM41" s="512"/>
      <c r="BN41" s="512"/>
      <c r="BQ41" s="3">
        <f t="shared" si="5"/>
        <v>252955</v>
      </c>
    </row>
    <row r="42" s="400" customFormat="1" ht="36" customHeight="1" spans="1:69">
      <c r="A42" s="420">
        <v>45908</v>
      </c>
      <c r="B42" s="421" t="s">
        <v>5128</v>
      </c>
      <c r="C42" s="422" t="s">
        <v>477</v>
      </c>
      <c r="D42" s="423">
        <v>4500179003</v>
      </c>
      <c r="E42" s="424">
        <v>5200007428</v>
      </c>
      <c r="F42" s="423" t="s">
        <v>5149</v>
      </c>
      <c r="G42" s="425" t="s">
        <v>5047</v>
      </c>
      <c r="H42" s="426" t="s">
        <v>5048</v>
      </c>
      <c r="I42" s="437">
        <v>1209</v>
      </c>
      <c r="J42" s="438">
        <v>0</v>
      </c>
      <c r="K42" s="425">
        <v>13</v>
      </c>
      <c r="L42" s="439">
        <f t="shared" si="0"/>
        <v>93</v>
      </c>
      <c r="M42" s="440">
        <v>45965</v>
      </c>
      <c r="N42" s="440">
        <f t="shared" ref="N42:N45" si="25">M42-4</f>
        <v>45961</v>
      </c>
      <c r="O42" s="441"/>
      <c r="P42" s="441" t="s">
        <v>92</v>
      </c>
      <c r="Q42" s="441" t="s">
        <v>5150</v>
      </c>
      <c r="R42" s="449">
        <v>45918</v>
      </c>
      <c r="S42" s="448" t="s">
        <v>77</v>
      </c>
      <c r="T42" s="441" t="s">
        <v>5151</v>
      </c>
      <c r="U42" s="441"/>
      <c r="V42" s="441"/>
      <c r="W42" s="441"/>
      <c r="X42" s="424" t="s">
        <v>5152</v>
      </c>
      <c r="Y42" s="473" t="s">
        <v>5153</v>
      </c>
      <c r="Z42" s="474">
        <v>1.42</v>
      </c>
      <c r="AA42" s="475">
        <f t="shared" si="23"/>
        <v>1716.78</v>
      </c>
      <c r="AB42" s="437" t="s">
        <v>5154</v>
      </c>
      <c r="AC42" s="425" t="s">
        <v>5052</v>
      </c>
      <c r="AD42" s="477" t="s">
        <v>128</v>
      </c>
      <c r="AE42" s="471" t="s">
        <v>4930</v>
      </c>
      <c r="AF42" s="425">
        <v>1209</v>
      </c>
      <c r="AG42" s="425">
        <f t="shared" si="8"/>
        <v>0</v>
      </c>
      <c r="AH42" s="425"/>
      <c r="AI42" s="478"/>
      <c r="AJ42" s="488">
        <f t="shared" si="18"/>
        <v>1209</v>
      </c>
      <c r="AK42" s="488"/>
      <c r="AL42" s="489"/>
      <c r="AM42" s="490">
        <f>I42</f>
        <v>1209</v>
      </c>
      <c r="AN42" s="437"/>
      <c r="AO42" s="437"/>
      <c r="AP42" s="489">
        <f t="shared" si="20"/>
        <v>1209</v>
      </c>
      <c r="AQ42" s="489"/>
      <c r="AR42" s="489"/>
      <c r="AS42" s="489">
        <f>AJ42</f>
        <v>1209</v>
      </c>
      <c r="AT42" s="489"/>
      <c r="AU42" s="489">
        <f>I42</f>
        <v>1209</v>
      </c>
      <c r="AV42" s="489"/>
      <c r="AW42" s="489"/>
      <c r="AX42" s="512"/>
      <c r="AY42" s="512">
        <f>I42/13</f>
        <v>93</v>
      </c>
      <c r="AZ42" s="512"/>
      <c r="BA42" s="512"/>
      <c r="BB42" s="512"/>
      <c r="BC42" s="512"/>
      <c r="BD42" s="512"/>
      <c r="BE42" s="512"/>
      <c r="BF42" s="512"/>
      <c r="BG42" s="512"/>
      <c r="BH42" s="512"/>
      <c r="BI42" s="512"/>
      <c r="BJ42" s="512"/>
      <c r="BK42" s="512"/>
      <c r="BL42" s="512"/>
      <c r="BM42" s="512"/>
      <c r="BN42" s="512"/>
      <c r="BQ42" s="3">
        <f t="shared" si="5"/>
        <v>254164</v>
      </c>
    </row>
    <row r="43" s="400" customFormat="1" ht="36" customHeight="1" spans="1:69">
      <c r="A43" s="420">
        <v>45929</v>
      </c>
      <c r="B43" s="421" t="s">
        <v>4976</v>
      </c>
      <c r="C43" s="422" t="s">
        <v>117</v>
      </c>
      <c r="D43" s="423">
        <v>4500180994</v>
      </c>
      <c r="E43" s="1692" t="s">
        <v>5155</v>
      </c>
      <c r="F43" s="423" t="s">
        <v>5156</v>
      </c>
      <c r="G43" s="425" t="s">
        <v>4979</v>
      </c>
      <c r="H43" s="426" t="s">
        <v>4980</v>
      </c>
      <c r="I43" s="437">
        <v>960</v>
      </c>
      <c r="J43" s="438">
        <v>0</v>
      </c>
      <c r="K43" s="425">
        <v>16</v>
      </c>
      <c r="L43" s="439">
        <f t="shared" si="0"/>
        <v>60</v>
      </c>
      <c r="M43" s="440">
        <v>45965</v>
      </c>
      <c r="N43" s="440">
        <f t="shared" si="25"/>
        <v>45961</v>
      </c>
      <c r="O43" s="441" t="s">
        <v>5157</v>
      </c>
      <c r="P43" s="441" t="s">
        <v>92</v>
      </c>
      <c r="Q43" s="441" t="s">
        <v>5158</v>
      </c>
      <c r="R43" s="441" t="s">
        <v>1102</v>
      </c>
      <c r="S43" s="441" t="s">
        <v>123</v>
      </c>
      <c r="T43" s="441" t="s">
        <v>5159</v>
      </c>
      <c r="U43" s="441" t="s">
        <v>4983</v>
      </c>
      <c r="V43" s="441"/>
      <c r="W43" s="441"/>
      <c r="X43" s="424" t="s">
        <v>5160</v>
      </c>
      <c r="Y43" s="473" t="s">
        <v>634</v>
      </c>
      <c r="Z43" s="474">
        <v>0.96</v>
      </c>
      <c r="AA43" s="475">
        <f t="shared" si="23"/>
        <v>921.6</v>
      </c>
      <c r="AB43" s="437" t="s">
        <v>5161</v>
      </c>
      <c r="AC43" s="425" t="s">
        <v>4979</v>
      </c>
      <c r="AD43" s="477" t="s">
        <v>128</v>
      </c>
      <c r="AE43" s="471" t="s">
        <v>4930</v>
      </c>
      <c r="AF43" s="425">
        <v>960</v>
      </c>
      <c r="AG43" s="425">
        <f t="shared" si="8"/>
        <v>0</v>
      </c>
      <c r="AH43" s="425"/>
      <c r="AI43" s="478"/>
      <c r="AJ43" s="488">
        <f t="shared" si="18"/>
        <v>960</v>
      </c>
      <c r="AK43" s="488"/>
      <c r="AL43" s="489">
        <f t="shared" si="22"/>
        <v>960</v>
      </c>
      <c r="AM43" s="490"/>
      <c r="AN43" s="437"/>
      <c r="AO43" s="437"/>
      <c r="AP43" s="489">
        <f t="shared" si="20"/>
        <v>960</v>
      </c>
      <c r="AQ43" s="489"/>
      <c r="AR43" s="489">
        <f t="shared" si="24"/>
        <v>960</v>
      </c>
      <c r="AS43" s="489"/>
      <c r="AT43" s="489"/>
      <c r="AU43" s="489"/>
      <c r="AV43" s="489"/>
      <c r="AW43" s="489"/>
      <c r="AX43" s="512"/>
      <c r="AY43" s="512"/>
      <c r="AZ43" s="512"/>
      <c r="BA43" s="512"/>
      <c r="BB43" s="512"/>
      <c r="BC43" s="512">
        <f t="shared" ref="BC43:BC45" si="26">I43/16</f>
        <v>60</v>
      </c>
      <c r="BD43" s="512"/>
      <c r="BE43" s="512"/>
      <c r="BF43" s="512"/>
      <c r="BG43" s="512"/>
      <c r="BH43" s="512"/>
      <c r="BI43" s="512"/>
      <c r="BJ43" s="512"/>
      <c r="BK43" s="512"/>
      <c r="BL43" s="512"/>
      <c r="BM43" s="512"/>
      <c r="BN43" s="512"/>
      <c r="BQ43" s="3">
        <f t="shared" si="5"/>
        <v>255124</v>
      </c>
    </row>
    <row r="44" s="400" customFormat="1" ht="36" customHeight="1" spans="1:69">
      <c r="A44" s="420">
        <v>45929</v>
      </c>
      <c r="B44" s="421" t="s">
        <v>4976</v>
      </c>
      <c r="C44" s="422" t="s">
        <v>117</v>
      </c>
      <c r="D44" s="423">
        <v>4500180994</v>
      </c>
      <c r="E44" s="1692" t="s">
        <v>5162</v>
      </c>
      <c r="F44" s="423" t="s">
        <v>5163</v>
      </c>
      <c r="G44" s="425" t="s">
        <v>4979</v>
      </c>
      <c r="H44" s="426" t="s">
        <v>4980</v>
      </c>
      <c r="I44" s="437">
        <v>960</v>
      </c>
      <c r="J44" s="438">
        <v>0</v>
      </c>
      <c r="K44" s="425">
        <v>16</v>
      </c>
      <c r="L44" s="439">
        <f t="shared" si="0"/>
        <v>60</v>
      </c>
      <c r="M44" s="440">
        <v>45965</v>
      </c>
      <c r="N44" s="440">
        <f t="shared" si="25"/>
        <v>45961</v>
      </c>
      <c r="O44" s="441" t="s">
        <v>5157</v>
      </c>
      <c r="P44" s="441" t="s">
        <v>92</v>
      </c>
      <c r="Q44" s="441" t="s">
        <v>5164</v>
      </c>
      <c r="R44" s="441" t="s">
        <v>1102</v>
      </c>
      <c r="S44" s="441" t="s">
        <v>123</v>
      </c>
      <c r="T44" s="441" t="s">
        <v>5159</v>
      </c>
      <c r="U44" s="441" t="s">
        <v>4983</v>
      </c>
      <c r="V44" s="441"/>
      <c r="W44" s="441"/>
      <c r="X44" s="424" t="s">
        <v>5160</v>
      </c>
      <c r="Y44" s="473" t="s">
        <v>634</v>
      </c>
      <c r="Z44" s="474">
        <v>0.96</v>
      </c>
      <c r="AA44" s="475">
        <f t="shared" si="23"/>
        <v>921.6</v>
      </c>
      <c r="AB44" s="437" t="s">
        <v>5165</v>
      </c>
      <c r="AC44" s="425" t="s">
        <v>4979</v>
      </c>
      <c r="AD44" s="477" t="s">
        <v>128</v>
      </c>
      <c r="AE44" s="471" t="s">
        <v>4930</v>
      </c>
      <c r="AF44" s="425">
        <v>960</v>
      </c>
      <c r="AG44" s="425">
        <f t="shared" si="8"/>
        <v>0</v>
      </c>
      <c r="AH44" s="425"/>
      <c r="AI44" s="478"/>
      <c r="AJ44" s="488">
        <f t="shared" si="18"/>
        <v>960</v>
      </c>
      <c r="AK44" s="488"/>
      <c r="AL44" s="489">
        <f t="shared" si="22"/>
        <v>960</v>
      </c>
      <c r="AM44" s="490"/>
      <c r="AN44" s="437"/>
      <c r="AO44" s="437"/>
      <c r="AP44" s="489">
        <f t="shared" si="20"/>
        <v>960</v>
      </c>
      <c r="AQ44" s="489"/>
      <c r="AR44" s="489">
        <f t="shared" si="24"/>
        <v>960</v>
      </c>
      <c r="AS44" s="489"/>
      <c r="AT44" s="489"/>
      <c r="AU44" s="489"/>
      <c r="AV44" s="489"/>
      <c r="AW44" s="489"/>
      <c r="AX44" s="512"/>
      <c r="AY44" s="512"/>
      <c r="AZ44" s="512"/>
      <c r="BA44" s="512"/>
      <c r="BB44" s="512"/>
      <c r="BC44" s="512">
        <f t="shared" si="26"/>
        <v>60</v>
      </c>
      <c r="BD44" s="512"/>
      <c r="BE44" s="512"/>
      <c r="BF44" s="512"/>
      <c r="BG44" s="512"/>
      <c r="BH44" s="512"/>
      <c r="BI44" s="512"/>
      <c r="BJ44" s="512"/>
      <c r="BK44" s="512"/>
      <c r="BL44" s="512"/>
      <c r="BM44" s="512"/>
      <c r="BN44" s="512"/>
      <c r="BQ44" s="3">
        <f t="shared" si="5"/>
        <v>256084</v>
      </c>
    </row>
    <row r="45" s="400" customFormat="1" ht="36" customHeight="1" spans="1:69">
      <c r="A45" s="420">
        <v>45929</v>
      </c>
      <c r="B45" s="421" t="s">
        <v>4976</v>
      </c>
      <c r="C45" s="422" t="s">
        <v>117</v>
      </c>
      <c r="D45" s="423">
        <v>4500180994</v>
      </c>
      <c r="E45" s="1692" t="s">
        <v>5166</v>
      </c>
      <c r="F45" s="423" t="s">
        <v>5167</v>
      </c>
      <c r="G45" s="425" t="s">
        <v>4979</v>
      </c>
      <c r="H45" s="426" t="s">
        <v>4980</v>
      </c>
      <c r="I45" s="437">
        <v>960</v>
      </c>
      <c r="J45" s="438">
        <v>0</v>
      </c>
      <c r="K45" s="425">
        <v>16</v>
      </c>
      <c r="L45" s="439">
        <f t="shared" si="0"/>
        <v>60</v>
      </c>
      <c r="M45" s="440">
        <v>45965</v>
      </c>
      <c r="N45" s="440">
        <f t="shared" si="25"/>
        <v>45961</v>
      </c>
      <c r="O45" s="441" t="s">
        <v>5157</v>
      </c>
      <c r="P45" s="441" t="s">
        <v>92</v>
      </c>
      <c r="Q45" s="441" t="s">
        <v>5168</v>
      </c>
      <c r="R45" s="441" t="s">
        <v>1102</v>
      </c>
      <c r="S45" s="441" t="s">
        <v>123</v>
      </c>
      <c r="T45" s="441" t="s">
        <v>5159</v>
      </c>
      <c r="U45" s="441" t="s">
        <v>4983</v>
      </c>
      <c r="V45" s="441"/>
      <c r="W45" s="441"/>
      <c r="X45" s="424" t="s">
        <v>5160</v>
      </c>
      <c r="Y45" s="473" t="s">
        <v>634</v>
      </c>
      <c r="Z45" s="474">
        <v>0.96</v>
      </c>
      <c r="AA45" s="475">
        <f t="shared" si="23"/>
        <v>921.6</v>
      </c>
      <c r="AB45" s="437" t="s">
        <v>5169</v>
      </c>
      <c r="AC45" s="425" t="s">
        <v>4979</v>
      </c>
      <c r="AD45" s="477" t="s">
        <v>128</v>
      </c>
      <c r="AE45" s="471" t="s">
        <v>4930</v>
      </c>
      <c r="AF45" s="425">
        <v>960</v>
      </c>
      <c r="AG45" s="425">
        <f t="shared" si="8"/>
        <v>0</v>
      </c>
      <c r="AH45" s="425"/>
      <c r="AI45" s="478"/>
      <c r="AJ45" s="488">
        <f t="shared" si="18"/>
        <v>960</v>
      </c>
      <c r="AK45" s="488"/>
      <c r="AL45" s="489">
        <f t="shared" si="22"/>
        <v>960</v>
      </c>
      <c r="AM45" s="490"/>
      <c r="AN45" s="437"/>
      <c r="AO45" s="437"/>
      <c r="AP45" s="489">
        <f t="shared" si="20"/>
        <v>960</v>
      </c>
      <c r="AQ45" s="489"/>
      <c r="AR45" s="489">
        <f t="shared" si="24"/>
        <v>960</v>
      </c>
      <c r="AS45" s="489"/>
      <c r="AT45" s="489"/>
      <c r="AU45" s="489"/>
      <c r="AV45" s="489"/>
      <c r="AW45" s="489"/>
      <c r="AX45" s="512"/>
      <c r="AY45" s="512"/>
      <c r="AZ45" s="512"/>
      <c r="BA45" s="512"/>
      <c r="BB45" s="512"/>
      <c r="BC45" s="512">
        <f t="shared" si="26"/>
        <v>60</v>
      </c>
      <c r="BD45" s="512"/>
      <c r="BE45" s="512"/>
      <c r="BF45" s="512"/>
      <c r="BG45" s="512"/>
      <c r="BH45" s="512"/>
      <c r="BI45" s="512"/>
      <c r="BJ45" s="512"/>
      <c r="BK45" s="512"/>
      <c r="BL45" s="512"/>
      <c r="BM45" s="512"/>
      <c r="BN45" s="512"/>
      <c r="BQ45" s="3">
        <f t="shared" si="5"/>
        <v>257044</v>
      </c>
    </row>
    <row r="46" s="400" customFormat="1" ht="36" customHeight="1" spans="1:69">
      <c r="A46" s="420">
        <v>45925</v>
      </c>
      <c r="B46" s="421" t="s">
        <v>3264</v>
      </c>
      <c r="C46" s="422" t="s">
        <v>373</v>
      </c>
      <c r="D46" s="423">
        <v>4500180284</v>
      </c>
      <c r="E46" s="424">
        <v>2236250205</v>
      </c>
      <c r="F46" s="423" t="s">
        <v>5170</v>
      </c>
      <c r="G46" s="425" t="s">
        <v>5171</v>
      </c>
      <c r="H46" s="426" t="s">
        <v>5055</v>
      </c>
      <c r="I46" s="437">
        <v>5040</v>
      </c>
      <c r="J46" s="438">
        <v>0</v>
      </c>
      <c r="K46" s="425">
        <v>30</v>
      </c>
      <c r="L46" s="439">
        <f t="shared" si="0"/>
        <v>168</v>
      </c>
      <c r="M46" s="440">
        <v>45967</v>
      </c>
      <c r="N46" s="440">
        <v>45964</v>
      </c>
      <c r="O46" s="441"/>
      <c r="P46" s="441" t="s">
        <v>92</v>
      </c>
      <c r="Q46" s="441" t="s">
        <v>5126</v>
      </c>
      <c r="R46" s="449">
        <v>45940</v>
      </c>
      <c r="S46" s="441" t="s">
        <v>77</v>
      </c>
      <c r="T46" s="441" t="s">
        <v>5172</v>
      </c>
      <c r="U46" s="441"/>
      <c r="V46" s="441" t="s">
        <v>863</v>
      </c>
      <c r="W46" s="441"/>
      <c r="X46" s="424" t="s">
        <v>5173</v>
      </c>
      <c r="Y46" s="473" t="s">
        <v>5174</v>
      </c>
      <c r="Z46" s="474">
        <v>56.3058</v>
      </c>
      <c r="AA46" s="475">
        <f>Z46*L46</f>
        <v>9459.3744</v>
      </c>
      <c r="AB46" s="437"/>
      <c r="AC46" s="425" t="s">
        <v>5057</v>
      </c>
      <c r="AD46" s="477" t="s">
        <v>128</v>
      </c>
      <c r="AE46" s="471" t="s">
        <v>4930</v>
      </c>
      <c r="AF46" s="425">
        <f>5010+30</f>
        <v>5040</v>
      </c>
      <c r="AG46" s="425">
        <f t="shared" si="8"/>
        <v>0</v>
      </c>
      <c r="AH46" s="425"/>
      <c r="AI46" s="478"/>
      <c r="AJ46" s="488">
        <f t="shared" si="18"/>
        <v>5040</v>
      </c>
      <c r="AK46" s="493"/>
      <c r="AL46" s="494"/>
      <c r="AM46" s="437">
        <f>I46</f>
        <v>5040</v>
      </c>
      <c r="AN46" s="437"/>
      <c r="AO46" s="437"/>
      <c r="AP46" s="489">
        <f t="shared" si="20"/>
        <v>5040</v>
      </c>
      <c r="AQ46" s="489"/>
      <c r="AR46" s="489"/>
      <c r="AS46" s="489">
        <f t="shared" ref="AS46:AS50" si="27">AJ46</f>
        <v>5040</v>
      </c>
      <c r="AT46" s="489"/>
      <c r="AU46" s="489">
        <f>I46</f>
        <v>5040</v>
      </c>
      <c r="AV46" s="489"/>
      <c r="AW46" s="489"/>
      <c r="AX46" s="512"/>
      <c r="AY46" s="512"/>
      <c r="AZ46" s="512"/>
      <c r="BA46" s="512"/>
      <c r="BB46" s="512"/>
      <c r="BC46" s="512"/>
      <c r="BD46" s="512"/>
      <c r="BE46" s="512"/>
      <c r="BF46" s="512"/>
      <c r="BG46" s="512"/>
      <c r="BH46" s="512"/>
      <c r="BI46" s="512"/>
      <c r="BJ46" s="512"/>
      <c r="BK46" s="512">
        <f>I46/30</f>
        <v>168</v>
      </c>
      <c r="BL46" s="512">
        <f>I46/30</f>
        <v>168</v>
      </c>
      <c r="BM46" s="512"/>
      <c r="BN46" s="512"/>
      <c r="BQ46" s="3">
        <f t="shared" si="5"/>
        <v>262084</v>
      </c>
    </row>
    <row r="47" s="400" customFormat="1" ht="36" customHeight="1" spans="1:69">
      <c r="A47" s="420">
        <v>45922</v>
      </c>
      <c r="B47" s="421" t="s">
        <v>116</v>
      </c>
      <c r="C47" s="422" t="s">
        <v>117</v>
      </c>
      <c r="D47" s="423">
        <v>4500180027</v>
      </c>
      <c r="E47" s="424" t="s">
        <v>5175</v>
      </c>
      <c r="F47" s="423" t="s">
        <v>5176</v>
      </c>
      <c r="G47" s="425" t="s">
        <v>4988</v>
      </c>
      <c r="H47" s="426" t="s">
        <v>4989</v>
      </c>
      <c r="I47" s="437">
        <v>10025</v>
      </c>
      <c r="J47" s="438">
        <v>0</v>
      </c>
      <c r="K47" s="425">
        <v>25</v>
      </c>
      <c r="L47" s="439">
        <f t="shared" si="0"/>
        <v>401</v>
      </c>
      <c r="M47" s="440">
        <v>45968</v>
      </c>
      <c r="N47" s="440">
        <v>45969</v>
      </c>
      <c r="O47" s="441"/>
      <c r="P47" s="441" t="s">
        <v>92</v>
      </c>
      <c r="Q47" s="441" t="s">
        <v>5177</v>
      </c>
      <c r="R47" s="449">
        <v>45929</v>
      </c>
      <c r="S47" s="441" t="s">
        <v>123</v>
      </c>
      <c r="T47" s="441" t="s">
        <v>5178</v>
      </c>
      <c r="U47" s="441"/>
      <c r="V47" s="441"/>
      <c r="W47" s="441"/>
      <c r="X47" s="424" t="s">
        <v>5179</v>
      </c>
      <c r="Y47" s="473" t="s">
        <v>126</v>
      </c>
      <c r="Z47" s="474">
        <v>0.96</v>
      </c>
      <c r="AA47" s="475">
        <f t="shared" ref="AA47:AA51" si="28">Z47*I47</f>
        <v>9624</v>
      </c>
      <c r="AB47" s="437" t="s">
        <v>5180</v>
      </c>
      <c r="AC47" s="478" t="s">
        <v>4988</v>
      </c>
      <c r="AD47" s="477" t="s">
        <v>128</v>
      </c>
      <c r="AE47" s="471" t="s">
        <v>4930</v>
      </c>
      <c r="AF47" s="425">
        <f>4500+5525</f>
        <v>10025</v>
      </c>
      <c r="AG47" s="425">
        <f t="shared" si="8"/>
        <v>0</v>
      </c>
      <c r="AH47" s="425"/>
      <c r="AI47" s="478"/>
      <c r="AJ47" s="488">
        <f t="shared" si="18"/>
        <v>10025</v>
      </c>
      <c r="AK47" s="488"/>
      <c r="AL47" s="489">
        <f t="shared" ref="AL47:AL51" si="29">I47</f>
        <v>10025</v>
      </c>
      <c r="AM47" s="490"/>
      <c r="AN47" s="437"/>
      <c r="AO47" s="437"/>
      <c r="AP47" s="489">
        <f t="shared" si="20"/>
        <v>10025</v>
      </c>
      <c r="AQ47" s="489"/>
      <c r="AR47" s="489">
        <f>AP47</f>
        <v>10025</v>
      </c>
      <c r="AS47" s="489"/>
      <c r="AT47" s="489"/>
      <c r="AU47" s="489"/>
      <c r="AV47" s="489"/>
      <c r="AW47" s="489"/>
      <c r="AX47" s="512"/>
      <c r="AY47" s="512"/>
      <c r="AZ47" s="512"/>
      <c r="BA47" s="512">
        <f>I47/25</f>
        <v>401</v>
      </c>
      <c r="BB47" s="512"/>
      <c r="BC47" s="512"/>
      <c r="BD47" s="512"/>
      <c r="BE47" s="512"/>
      <c r="BF47" s="512"/>
      <c r="BG47" s="512"/>
      <c r="BH47" s="512"/>
      <c r="BI47" s="512"/>
      <c r="BJ47" s="512"/>
      <c r="BK47" s="512"/>
      <c r="BL47" s="512"/>
      <c r="BM47" s="512"/>
      <c r="BN47" s="512"/>
      <c r="BQ47" s="3">
        <f t="shared" si="5"/>
        <v>272109</v>
      </c>
    </row>
    <row r="48" s="400" customFormat="1" ht="36" customHeight="1" spans="1:69">
      <c r="A48" s="420">
        <v>45947</v>
      </c>
      <c r="B48" s="421"/>
      <c r="C48" s="422"/>
      <c r="D48" s="423" t="s">
        <v>5181</v>
      </c>
      <c r="E48" s="424"/>
      <c r="F48" s="423"/>
      <c r="G48" s="425" t="s">
        <v>4963</v>
      </c>
      <c r="H48" s="426" t="s">
        <v>4964</v>
      </c>
      <c r="I48" s="437">
        <v>960</v>
      </c>
      <c r="J48" s="438">
        <v>0</v>
      </c>
      <c r="K48" s="425">
        <v>24</v>
      </c>
      <c r="L48" s="437">
        <f t="shared" si="0"/>
        <v>40</v>
      </c>
      <c r="M48" s="440">
        <v>45969</v>
      </c>
      <c r="N48" s="440">
        <v>45969</v>
      </c>
      <c r="O48" s="441"/>
      <c r="P48" s="441" t="s">
        <v>92</v>
      </c>
      <c r="Q48" s="441"/>
      <c r="R48" s="449">
        <v>45947</v>
      </c>
      <c r="S48" s="457" t="s">
        <v>77</v>
      </c>
      <c r="T48" s="460" t="s">
        <v>77</v>
      </c>
      <c r="U48" s="441"/>
      <c r="V48" s="441"/>
      <c r="W48" s="441"/>
      <c r="X48" s="424" t="s">
        <v>5182</v>
      </c>
      <c r="Y48" s="473" t="s">
        <v>2968</v>
      </c>
      <c r="Z48" s="474"/>
      <c r="AA48" s="475"/>
      <c r="AB48" s="437" t="s">
        <v>5183</v>
      </c>
      <c r="AC48" s="425" t="s">
        <v>4963</v>
      </c>
      <c r="AD48" s="477" t="s">
        <v>128</v>
      </c>
      <c r="AE48" s="696" t="s">
        <v>4930</v>
      </c>
      <c r="AF48" s="425">
        <v>960</v>
      </c>
      <c r="AG48" s="425">
        <f t="shared" si="8"/>
        <v>0</v>
      </c>
      <c r="AH48" s="425"/>
      <c r="AI48" s="478"/>
      <c r="AJ48" s="488">
        <f t="shared" si="18"/>
        <v>960</v>
      </c>
      <c r="AK48" s="488"/>
      <c r="AL48" s="489">
        <f t="shared" si="29"/>
        <v>960</v>
      </c>
      <c r="AM48" s="490"/>
      <c r="AN48" s="437"/>
      <c r="AO48" s="437"/>
      <c r="AP48" s="489">
        <f t="shared" si="20"/>
        <v>960</v>
      </c>
      <c r="AQ48" s="489"/>
      <c r="AR48" s="489"/>
      <c r="AS48" s="489">
        <f t="shared" si="27"/>
        <v>960</v>
      </c>
      <c r="AT48" s="489"/>
      <c r="AU48" s="489"/>
      <c r="AV48" s="489"/>
      <c r="AW48" s="489"/>
      <c r="AX48" s="512"/>
      <c r="AY48" s="512"/>
      <c r="AZ48" s="512"/>
      <c r="BA48" s="512"/>
      <c r="BB48" s="512"/>
      <c r="BC48" s="512"/>
      <c r="BD48" s="512"/>
      <c r="BE48" s="512"/>
      <c r="BF48" s="512"/>
      <c r="BG48" s="512"/>
      <c r="BH48" s="512"/>
      <c r="BI48" s="512"/>
      <c r="BJ48" s="512"/>
      <c r="BK48" s="512"/>
      <c r="BL48" s="512"/>
      <c r="BM48" s="512"/>
      <c r="BN48" s="512"/>
      <c r="BQ48" s="3">
        <f t="shared" si="5"/>
        <v>273069</v>
      </c>
    </row>
    <row r="49" s="3" customFormat="1" ht="36" customHeight="1" spans="1:69">
      <c r="A49" s="74">
        <v>45945</v>
      </c>
      <c r="B49" s="75"/>
      <c r="C49" s="76"/>
      <c r="D49" s="77" t="s">
        <v>5184</v>
      </c>
      <c r="E49" s="114"/>
      <c r="F49" s="77"/>
      <c r="G49" s="23" t="s">
        <v>4974</v>
      </c>
      <c r="H49" s="24" t="s">
        <v>5185</v>
      </c>
      <c r="I49" s="88">
        <v>5</v>
      </c>
      <c r="J49" s="89">
        <v>0</v>
      </c>
      <c r="K49" s="23">
        <v>5</v>
      </c>
      <c r="L49" s="88">
        <f t="shared" si="0"/>
        <v>1</v>
      </c>
      <c r="M49" s="90">
        <v>45970</v>
      </c>
      <c r="N49" s="90">
        <v>45969</v>
      </c>
      <c r="O49" s="87"/>
      <c r="P49" s="91" t="s">
        <v>5137</v>
      </c>
      <c r="Q49" s="91"/>
      <c r="R49" s="446" t="s">
        <v>77</v>
      </c>
      <c r="S49" s="446" t="s">
        <v>77</v>
      </c>
      <c r="T49" s="447" t="s">
        <v>77</v>
      </c>
      <c r="U49" s="91"/>
      <c r="V49" s="91"/>
      <c r="W49" s="91"/>
      <c r="X49" s="114" t="s">
        <v>5186</v>
      </c>
      <c r="Y49" s="139" t="s">
        <v>2968</v>
      </c>
      <c r="Z49" s="116"/>
      <c r="AA49" s="117"/>
      <c r="AB49" s="469" t="s">
        <v>3582</v>
      </c>
      <c r="AC49" s="470" t="s">
        <v>5187</v>
      </c>
      <c r="AD49" s="467" t="s">
        <v>128</v>
      </c>
      <c r="AE49" s="471"/>
      <c r="AF49" s="472">
        <v>5</v>
      </c>
      <c r="AG49" s="483">
        <f t="shared" si="8"/>
        <v>0</v>
      </c>
      <c r="AH49" s="23"/>
      <c r="AI49" s="470"/>
      <c r="AJ49" s="155"/>
      <c r="AK49" s="484"/>
      <c r="AL49" s="485"/>
      <c r="AM49" s="486"/>
      <c r="AN49" s="88"/>
      <c r="AO49" s="88"/>
      <c r="AP49" s="175"/>
      <c r="AQ49" s="175"/>
      <c r="AR49" s="175"/>
      <c r="AS49" s="175"/>
      <c r="AT49" s="175"/>
      <c r="AU49" s="175"/>
      <c r="AV49" s="175"/>
      <c r="AW49" s="175"/>
      <c r="AX49" s="181"/>
      <c r="AY49" s="181"/>
      <c r="AZ49" s="181"/>
      <c r="BA49" s="181"/>
      <c r="BB49" s="181"/>
      <c r="BC49" s="181"/>
      <c r="BD49" s="181"/>
      <c r="BE49" s="181"/>
      <c r="BF49" s="181"/>
      <c r="BG49" s="181"/>
      <c r="BH49" s="181"/>
      <c r="BI49" s="181"/>
      <c r="BJ49" s="181"/>
      <c r="BK49" s="181"/>
      <c r="BL49" s="181"/>
      <c r="BM49" s="181"/>
      <c r="BN49" s="181"/>
      <c r="BQ49" s="3">
        <f t="shared" si="5"/>
        <v>273069</v>
      </c>
    </row>
    <row r="50" s="400" customFormat="1" ht="36" customHeight="1" spans="1:69">
      <c r="A50" s="420">
        <v>45912</v>
      </c>
      <c r="B50" s="421" t="s">
        <v>5188</v>
      </c>
      <c r="C50" s="422" t="s">
        <v>373</v>
      </c>
      <c r="D50" s="423">
        <v>4500179447</v>
      </c>
      <c r="E50" s="424">
        <v>5200007734</v>
      </c>
      <c r="F50" s="423" t="s">
        <v>5189</v>
      </c>
      <c r="G50" s="425" t="s">
        <v>5047</v>
      </c>
      <c r="H50" s="426" t="s">
        <v>5048</v>
      </c>
      <c r="I50" s="437">
        <v>3003</v>
      </c>
      <c r="J50" s="438">
        <v>0</v>
      </c>
      <c r="K50" s="425">
        <v>13</v>
      </c>
      <c r="L50" s="439">
        <f t="shared" si="0"/>
        <v>231</v>
      </c>
      <c r="M50" s="440">
        <v>45971</v>
      </c>
      <c r="N50" s="440">
        <v>45969</v>
      </c>
      <c r="O50" s="441"/>
      <c r="P50" s="441" t="s">
        <v>92</v>
      </c>
      <c r="Q50" s="441"/>
      <c r="R50" s="449">
        <v>45924</v>
      </c>
      <c r="S50" s="448" t="s">
        <v>77</v>
      </c>
      <c r="T50" s="441" t="s">
        <v>5190</v>
      </c>
      <c r="U50" s="441"/>
      <c r="V50" s="441" t="s">
        <v>863</v>
      </c>
      <c r="W50" s="441" t="s">
        <v>5191</v>
      </c>
      <c r="X50" s="424" t="s">
        <v>5192</v>
      </c>
      <c r="Y50" s="473" t="s">
        <v>3550</v>
      </c>
      <c r="Z50" s="474">
        <v>1.43</v>
      </c>
      <c r="AA50" s="475">
        <f t="shared" si="28"/>
        <v>4294.29</v>
      </c>
      <c r="AB50" s="437" t="s">
        <v>5193</v>
      </c>
      <c r="AC50" s="425" t="s">
        <v>5052</v>
      </c>
      <c r="AD50" s="477" t="s">
        <v>128</v>
      </c>
      <c r="AE50" s="471" t="s">
        <v>4930</v>
      </c>
      <c r="AF50" s="425">
        <v>3003</v>
      </c>
      <c r="AG50" s="425">
        <f t="shared" si="8"/>
        <v>0</v>
      </c>
      <c r="AH50" s="425"/>
      <c r="AI50" s="478"/>
      <c r="AJ50" s="488">
        <f t="shared" ref="AJ50:AJ73" si="30">I50</f>
        <v>3003</v>
      </c>
      <c r="AK50" s="488"/>
      <c r="AL50" s="489"/>
      <c r="AM50" s="490">
        <f>I50</f>
        <v>3003</v>
      </c>
      <c r="AN50" s="437"/>
      <c r="AO50" s="437"/>
      <c r="AP50" s="489">
        <f t="shared" ref="AP50:AP73" si="31">I50</f>
        <v>3003</v>
      </c>
      <c r="AQ50" s="489"/>
      <c r="AR50" s="489"/>
      <c r="AS50" s="489">
        <f t="shared" si="27"/>
        <v>3003</v>
      </c>
      <c r="AT50" s="489"/>
      <c r="AU50" s="489">
        <f>I50</f>
        <v>3003</v>
      </c>
      <c r="AV50" s="489"/>
      <c r="AW50" s="489"/>
      <c r="AX50" s="512"/>
      <c r="AY50" s="512">
        <f>I50/13</f>
        <v>231</v>
      </c>
      <c r="AZ50" s="512"/>
      <c r="BA50" s="512"/>
      <c r="BB50" s="512"/>
      <c r="BC50" s="512"/>
      <c r="BD50" s="512"/>
      <c r="BE50" s="512"/>
      <c r="BF50" s="512"/>
      <c r="BG50" s="512"/>
      <c r="BH50" s="512"/>
      <c r="BI50" s="512"/>
      <c r="BJ50" s="512"/>
      <c r="BK50" s="512"/>
      <c r="BL50" s="512"/>
      <c r="BM50" s="512"/>
      <c r="BN50" s="512"/>
      <c r="BQ50" s="3">
        <f t="shared" si="5"/>
        <v>276072</v>
      </c>
    </row>
    <row r="51" s="400" customFormat="1" ht="36" customHeight="1" spans="1:69">
      <c r="A51" s="420">
        <v>45929</v>
      </c>
      <c r="B51" s="421" t="s">
        <v>4976</v>
      </c>
      <c r="C51" s="422" t="s">
        <v>117</v>
      </c>
      <c r="D51" s="423">
        <v>4500180996</v>
      </c>
      <c r="E51" s="1692" t="s">
        <v>5194</v>
      </c>
      <c r="F51" s="423" t="s">
        <v>5195</v>
      </c>
      <c r="G51" s="425" t="s">
        <v>4979</v>
      </c>
      <c r="H51" s="426" t="s">
        <v>4980</v>
      </c>
      <c r="I51" s="437">
        <v>960</v>
      </c>
      <c r="J51" s="438">
        <v>0</v>
      </c>
      <c r="K51" s="425">
        <v>16</v>
      </c>
      <c r="L51" s="439">
        <f t="shared" si="0"/>
        <v>60</v>
      </c>
      <c r="M51" s="440">
        <v>45971</v>
      </c>
      <c r="N51" s="440">
        <v>45969</v>
      </c>
      <c r="O51" s="441" t="s">
        <v>5196</v>
      </c>
      <c r="P51" s="441" t="s">
        <v>1690</v>
      </c>
      <c r="Q51" s="441" t="s">
        <v>2939</v>
      </c>
      <c r="R51" s="441" t="s">
        <v>1102</v>
      </c>
      <c r="S51" s="441" t="s">
        <v>123</v>
      </c>
      <c r="T51" s="441" t="s">
        <v>5197</v>
      </c>
      <c r="U51" s="441" t="s">
        <v>4983</v>
      </c>
      <c r="V51" s="441"/>
      <c r="W51" s="441"/>
      <c r="X51" s="424" t="s">
        <v>5160</v>
      </c>
      <c r="Y51" s="473" t="s">
        <v>634</v>
      </c>
      <c r="Z51" s="474">
        <v>0.96</v>
      </c>
      <c r="AA51" s="475">
        <f t="shared" si="28"/>
        <v>921.6</v>
      </c>
      <c r="AB51" s="437" t="s">
        <v>5198</v>
      </c>
      <c r="AC51" s="425" t="s">
        <v>4979</v>
      </c>
      <c r="AD51" s="477" t="s">
        <v>128</v>
      </c>
      <c r="AE51" s="471" t="s">
        <v>4930</v>
      </c>
      <c r="AF51" s="425">
        <f>32+928</f>
        <v>960</v>
      </c>
      <c r="AG51" s="425">
        <f t="shared" si="8"/>
        <v>0</v>
      </c>
      <c r="AH51" s="425"/>
      <c r="AI51" s="478"/>
      <c r="AJ51" s="488">
        <f t="shared" si="30"/>
        <v>960</v>
      </c>
      <c r="AK51" s="488"/>
      <c r="AL51" s="489">
        <f t="shared" si="29"/>
        <v>960</v>
      </c>
      <c r="AM51" s="490"/>
      <c r="AN51" s="437"/>
      <c r="AO51" s="437"/>
      <c r="AP51" s="489">
        <f t="shared" si="31"/>
        <v>960</v>
      </c>
      <c r="AQ51" s="489"/>
      <c r="AR51" s="437"/>
      <c r="AS51" s="489">
        <f t="shared" ref="AS51:AS56" si="32">AP51</f>
        <v>960</v>
      </c>
      <c r="AT51" s="489"/>
      <c r="AU51" s="489"/>
      <c r="AV51" s="489"/>
      <c r="AW51" s="489"/>
      <c r="AX51" s="512"/>
      <c r="AY51" s="512"/>
      <c r="AZ51" s="512"/>
      <c r="BA51" s="512"/>
      <c r="BB51" s="512"/>
      <c r="BC51" s="512">
        <f>I51/16</f>
        <v>60</v>
      </c>
      <c r="BD51" s="512"/>
      <c r="BE51" s="512"/>
      <c r="BF51" s="512"/>
      <c r="BG51" s="512"/>
      <c r="BH51" s="512"/>
      <c r="BI51" s="512"/>
      <c r="BJ51" s="512"/>
      <c r="BK51" s="512"/>
      <c r="BL51" s="512"/>
      <c r="BM51" s="512"/>
      <c r="BN51" s="512"/>
      <c r="BQ51" s="3">
        <f t="shared" si="5"/>
        <v>277032</v>
      </c>
    </row>
    <row r="52" s="3" customFormat="1" ht="36" customHeight="1" spans="1:69">
      <c r="A52" s="74">
        <v>45951</v>
      </c>
      <c r="B52" s="75"/>
      <c r="C52" s="76"/>
      <c r="D52" s="77" t="s">
        <v>5199</v>
      </c>
      <c r="E52" s="114"/>
      <c r="F52" s="77"/>
      <c r="G52" s="23" t="s">
        <v>4963</v>
      </c>
      <c r="H52" s="24" t="s">
        <v>5200</v>
      </c>
      <c r="I52" s="88">
        <v>50</v>
      </c>
      <c r="J52" s="89">
        <v>0</v>
      </c>
      <c r="K52" s="23">
        <v>50</v>
      </c>
      <c r="L52" s="436">
        <f t="shared" si="0"/>
        <v>1</v>
      </c>
      <c r="M52" s="90">
        <v>45973</v>
      </c>
      <c r="N52" s="90">
        <v>45969</v>
      </c>
      <c r="O52" s="87"/>
      <c r="P52" s="91" t="s">
        <v>5137</v>
      </c>
      <c r="Q52" s="91"/>
      <c r="R52" s="452">
        <v>45952</v>
      </c>
      <c r="S52" s="453" t="s">
        <v>77</v>
      </c>
      <c r="T52" s="453" t="s">
        <v>77</v>
      </c>
      <c r="U52" s="87"/>
      <c r="V52" s="91"/>
      <c r="W52" s="91"/>
      <c r="X52" s="114" t="s">
        <v>5201</v>
      </c>
      <c r="Y52" s="139" t="s">
        <v>2968</v>
      </c>
      <c r="Z52" s="116"/>
      <c r="AA52" s="117"/>
      <c r="AB52" s="88" t="s">
        <v>5202</v>
      </c>
      <c r="AC52" s="23" t="s">
        <v>5203</v>
      </c>
      <c r="AD52" s="467" t="s">
        <v>128</v>
      </c>
      <c r="AE52" s="467"/>
      <c r="AF52" s="472">
        <v>50</v>
      </c>
      <c r="AG52" s="483">
        <f t="shared" si="8"/>
        <v>0</v>
      </c>
      <c r="AH52" s="23"/>
      <c r="AI52" s="470">
        <v>50</v>
      </c>
      <c r="AJ52" s="155">
        <v>50</v>
      </c>
      <c r="AK52" s="484"/>
      <c r="AL52" s="485"/>
      <c r="AM52" s="486"/>
      <c r="AN52" s="88"/>
      <c r="AO52" s="88"/>
      <c r="AP52" s="175"/>
      <c r="AQ52" s="175"/>
      <c r="AR52" s="175"/>
      <c r="AS52" s="175"/>
      <c r="AT52" s="175"/>
      <c r="AU52" s="175"/>
      <c r="AV52" s="175"/>
      <c r="AW52" s="175"/>
      <c r="AX52" s="181"/>
      <c r="AY52" s="181"/>
      <c r="AZ52" s="181"/>
      <c r="BA52" s="181"/>
      <c r="BB52" s="181"/>
      <c r="BC52" s="181"/>
      <c r="BD52" s="181"/>
      <c r="BE52" s="181"/>
      <c r="BF52" s="181"/>
      <c r="BG52" s="181"/>
      <c r="BH52" s="181"/>
      <c r="BI52" s="181"/>
      <c r="BJ52" s="181"/>
      <c r="BK52" s="181"/>
      <c r="BL52" s="181"/>
      <c r="BM52" s="181"/>
      <c r="BN52" s="181"/>
      <c r="BQ52" s="3">
        <f t="shared" si="5"/>
        <v>277082</v>
      </c>
    </row>
    <row r="53" s="400" customFormat="1" ht="36" customHeight="1" spans="1:69">
      <c r="A53" s="420">
        <v>45951</v>
      </c>
      <c r="B53" s="421"/>
      <c r="C53" s="422"/>
      <c r="D53" s="423" t="s">
        <v>5199</v>
      </c>
      <c r="E53" s="424"/>
      <c r="F53" s="423"/>
      <c r="G53" s="425" t="s">
        <v>4970</v>
      </c>
      <c r="H53" s="426" t="s">
        <v>5144</v>
      </c>
      <c r="I53" s="437">
        <v>650</v>
      </c>
      <c r="J53" s="438">
        <v>0</v>
      </c>
      <c r="K53" s="425">
        <v>52</v>
      </c>
      <c r="L53" s="439">
        <f t="shared" si="0"/>
        <v>12.5</v>
      </c>
      <c r="M53" s="440">
        <v>45973</v>
      </c>
      <c r="N53" s="440">
        <v>45969</v>
      </c>
      <c r="O53" s="441"/>
      <c r="P53" s="441" t="s">
        <v>1262</v>
      </c>
      <c r="Q53" s="441"/>
      <c r="R53" s="449">
        <v>45952</v>
      </c>
      <c r="S53" s="448" t="s">
        <v>77</v>
      </c>
      <c r="T53" s="448" t="s">
        <v>77</v>
      </c>
      <c r="U53" s="441"/>
      <c r="V53" s="441"/>
      <c r="W53" s="441"/>
      <c r="X53" s="424" t="s">
        <v>5204</v>
      </c>
      <c r="Y53" s="473" t="s">
        <v>2968</v>
      </c>
      <c r="Z53" s="474"/>
      <c r="AA53" s="475"/>
      <c r="AB53" s="88" t="s">
        <v>5202</v>
      </c>
      <c r="AC53" s="425" t="s">
        <v>4970</v>
      </c>
      <c r="AD53" s="477" t="s">
        <v>128</v>
      </c>
      <c r="AE53" s="471" t="s">
        <v>4930</v>
      </c>
      <c r="AF53" s="425">
        <v>650</v>
      </c>
      <c r="AG53" s="425">
        <f t="shared" si="8"/>
        <v>0</v>
      </c>
      <c r="AH53" s="425"/>
      <c r="AI53" s="478"/>
      <c r="AJ53" s="488">
        <f t="shared" si="30"/>
        <v>650</v>
      </c>
      <c r="AK53" s="488"/>
      <c r="AL53" s="489">
        <f t="shared" ref="AL53:AL72" si="33">I53</f>
        <v>650</v>
      </c>
      <c r="AM53" s="490"/>
      <c r="AN53" s="437"/>
      <c r="AO53" s="437"/>
      <c r="AP53" s="489">
        <f t="shared" si="31"/>
        <v>650</v>
      </c>
      <c r="AQ53" s="489"/>
      <c r="AR53" s="437"/>
      <c r="AS53" s="489">
        <f t="shared" si="32"/>
        <v>650</v>
      </c>
      <c r="AT53" s="489"/>
      <c r="AU53" s="489"/>
      <c r="AV53" s="489"/>
      <c r="AW53" s="489"/>
      <c r="AX53" s="512">
        <f t="shared" ref="AX53:AX56" si="34">I53/13</f>
        <v>50</v>
      </c>
      <c r="AY53" s="512"/>
      <c r="AZ53" s="512"/>
      <c r="BA53" s="512"/>
      <c r="BB53" s="512"/>
      <c r="BC53" s="512"/>
      <c r="BD53" s="512"/>
      <c r="BE53" s="512"/>
      <c r="BF53" s="512"/>
      <c r="BG53" s="512"/>
      <c r="BH53" s="512"/>
      <c r="BI53" s="512"/>
      <c r="BJ53" s="512"/>
      <c r="BK53" s="512"/>
      <c r="BL53" s="512"/>
      <c r="BM53" s="512"/>
      <c r="BN53" s="512"/>
      <c r="BQ53" s="3">
        <f t="shared" si="5"/>
        <v>277732</v>
      </c>
    </row>
    <row r="54" s="400" customFormat="1" ht="36" customHeight="1" spans="1:69">
      <c r="A54" s="420">
        <v>45951</v>
      </c>
      <c r="B54" s="421"/>
      <c r="C54" s="422"/>
      <c r="D54" s="423" t="s">
        <v>5199</v>
      </c>
      <c r="E54" s="424"/>
      <c r="F54" s="423"/>
      <c r="G54" s="425" t="s">
        <v>4974</v>
      </c>
      <c r="H54" s="426" t="s">
        <v>5205</v>
      </c>
      <c r="I54" s="437">
        <v>2000</v>
      </c>
      <c r="J54" s="438">
        <v>0</v>
      </c>
      <c r="K54" s="425">
        <v>50</v>
      </c>
      <c r="L54" s="439">
        <f t="shared" si="0"/>
        <v>40</v>
      </c>
      <c r="M54" s="440">
        <v>45973</v>
      </c>
      <c r="N54" s="440">
        <v>45969</v>
      </c>
      <c r="O54" s="441"/>
      <c r="P54" s="441" t="s">
        <v>1262</v>
      </c>
      <c r="Q54" s="441"/>
      <c r="R54" s="449">
        <v>45952</v>
      </c>
      <c r="S54" s="448" t="s">
        <v>77</v>
      </c>
      <c r="T54" s="448" t="s">
        <v>77</v>
      </c>
      <c r="U54" s="441"/>
      <c r="V54" s="441"/>
      <c r="W54" s="441"/>
      <c r="X54" s="424" t="s">
        <v>5204</v>
      </c>
      <c r="Y54" s="473" t="s">
        <v>2968</v>
      </c>
      <c r="Z54" s="474"/>
      <c r="AA54" s="475"/>
      <c r="AB54" s="88" t="s">
        <v>5202</v>
      </c>
      <c r="AC54" s="425" t="s">
        <v>4974</v>
      </c>
      <c r="AD54" s="477" t="s">
        <v>128</v>
      </c>
      <c r="AE54" s="471" t="s">
        <v>4930</v>
      </c>
      <c r="AF54" s="425">
        <v>2000</v>
      </c>
      <c r="AG54" s="425">
        <f t="shared" si="8"/>
        <v>0</v>
      </c>
      <c r="AH54" s="425"/>
      <c r="AI54" s="478"/>
      <c r="AJ54" s="488">
        <f t="shared" si="30"/>
        <v>2000</v>
      </c>
      <c r="AK54" s="488"/>
      <c r="AL54" s="489">
        <f t="shared" si="33"/>
        <v>2000</v>
      </c>
      <c r="AM54" s="489"/>
      <c r="AN54" s="489"/>
      <c r="AO54" s="489"/>
      <c r="AP54" s="437">
        <f t="shared" si="31"/>
        <v>2000</v>
      </c>
      <c r="AQ54" s="437"/>
      <c r="AR54" s="437"/>
      <c r="AS54" s="437">
        <f>I54</f>
        <v>2000</v>
      </c>
      <c r="AT54" s="437"/>
      <c r="AU54" s="437"/>
      <c r="AV54" s="489"/>
      <c r="AW54" s="489"/>
      <c r="AX54" s="512"/>
      <c r="AY54" s="512"/>
      <c r="AZ54" s="512"/>
      <c r="BA54" s="512">
        <f t="shared" ref="BA54:BA58" si="35">I54/25</f>
        <v>80</v>
      </c>
      <c r="BB54" s="512"/>
      <c r="BC54" s="512"/>
      <c r="BD54" s="512"/>
      <c r="BE54" s="512"/>
      <c r="BF54" s="512"/>
      <c r="BG54" s="512"/>
      <c r="BH54" s="512"/>
      <c r="BI54" s="512"/>
      <c r="BJ54" s="512"/>
      <c r="BK54" s="512"/>
      <c r="BL54" s="512"/>
      <c r="BM54" s="512"/>
      <c r="BN54" s="512"/>
      <c r="BQ54" s="3">
        <f t="shared" si="5"/>
        <v>279732</v>
      </c>
    </row>
    <row r="55" s="400" customFormat="1" ht="36" customHeight="1" spans="1:69">
      <c r="A55" s="420">
        <v>45930</v>
      </c>
      <c r="B55" s="421" t="s">
        <v>2811</v>
      </c>
      <c r="C55" s="422" t="s">
        <v>117</v>
      </c>
      <c r="D55" s="423">
        <v>4500181097</v>
      </c>
      <c r="E55" s="424" t="s">
        <v>5206</v>
      </c>
      <c r="F55" s="423" t="s">
        <v>5207</v>
      </c>
      <c r="G55" s="425" t="s">
        <v>5066</v>
      </c>
      <c r="H55" s="426" t="s">
        <v>5048</v>
      </c>
      <c r="I55" s="437">
        <v>520</v>
      </c>
      <c r="J55" s="438">
        <v>0</v>
      </c>
      <c r="K55" s="425">
        <v>13</v>
      </c>
      <c r="L55" s="439">
        <f t="shared" si="0"/>
        <v>40</v>
      </c>
      <c r="M55" s="440">
        <v>45974</v>
      </c>
      <c r="N55" s="440">
        <v>45971</v>
      </c>
      <c r="O55" s="441"/>
      <c r="P55" s="441" t="s">
        <v>1262</v>
      </c>
      <c r="Q55" s="441" t="s">
        <v>5208</v>
      </c>
      <c r="R55" s="449">
        <v>45941</v>
      </c>
      <c r="S55" s="448" t="s">
        <v>77</v>
      </c>
      <c r="T55" s="450" t="s">
        <v>77</v>
      </c>
      <c r="U55" s="441"/>
      <c r="V55" s="441"/>
      <c r="W55" s="441"/>
      <c r="X55" s="424" t="s">
        <v>5209</v>
      </c>
      <c r="Y55" s="473" t="s">
        <v>4230</v>
      </c>
      <c r="Z55" s="697">
        <v>0.8501</v>
      </c>
      <c r="AA55" s="475">
        <f t="shared" ref="AA55:AA79" si="36">Z55*I55</f>
        <v>442.052</v>
      </c>
      <c r="AB55" s="437" t="s">
        <v>5210</v>
      </c>
      <c r="AC55" s="478" t="s">
        <v>5066</v>
      </c>
      <c r="AD55" s="477" t="s">
        <v>128</v>
      </c>
      <c r="AE55" s="471" t="s">
        <v>4930</v>
      </c>
      <c r="AF55" s="425">
        <v>520</v>
      </c>
      <c r="AG55" s="425">
        <f t="shared" si="8"/>
        <v>0</v>
      </c>
      <c r="AH55" s="425"/>
      <c r="AI55" s="478"/>
      <c r="AJ55" s="488">
        <f t="shared" si="30"/>
        <v>520</v>
      </c>
      <c r="AK55" s="493"/>
      <c r="AL55" s="494">
        <f t="shared" si="33"/>
        <v>520</v>
      </c>
      <c r="AM55" s="490"/>
      <c r="AN55" s="437"/>
      <c r="AO55" s="437"/>
      <c r="AP55" s="489">
        <f t="shared" si="31"/>
        <v>520</v>
      </c>
      <c r="AQ55" s="489"/>
      <c r="AR55" s="437"/>
      <c r="AS55" s="489">
        <f t="shared" si="32"/>
        <v>520</v>
      </c>
      <c r="AT55" s="489"/>
      <c r="AU55" s="489"/>
      <c r="AV55" s="489"/>
      <c r="AW55" s="489"/>
      <c r="AX55" s="512">
        <f t="shared" si="34"/>
        <v>40</v>
      </c>
      <c r="AY55" s="512"/>
      <c r="AZ55" s="512"/>
      <c r="BA55" s="512"/>
      <c r="BB55" s="512"/>
      <c r="BC55" s="512"/>
      <c r="BD55" s="512"/>
      <c r="BE55" s="512"/>
      <c r="BF55" s="512"/>
      <c r="BG55" s="512"/>
      <c r="BH55" s="512"/>
      <c r="BI55" s="512"/>
      <c r="BJ55" s="512"/>
      <c r="BK55" s="512"/>
      <c r="BL55" s="512"/>
      <c r="BM55" s="512"/>
      <c r="BN55" s="512"/>
      <c r="BQ55" s="3">
        <f t="shared" si="5"/>
        <v>280252</v>
      </c>
    </row>
    <row r="56" s="400" customFormat="1" ht="36" customHeight="1" spans="1:69">
      <c r="A56" s="420">
        <v>45930</v>
      </c>
      <c r="B56" s="421" t="s">
        <v>5211</v>
      </c>
      <c r="C56" s="422" t="s">
        <v>117</v>
      </c>
      <c r="D56" s="423">
        <v>4500181032</v>
      </c>
      <c r="E56" s="424" t="s">
        <v>5212</v>
      </c>
      <c r="F56" s="423" t="s">
        <v>5213</v>
      </c>
      <c r="G56" s="425" t="s">
        <v>4970</v>
      </c>
      <c r="H56" s="426" t="s">
        <v>5144</v>
      </c>
      <c r="I56" s="437">
        <v>52</v>
      </c>
      <c r="J56" s="438">
        <v>0</v>
      </c>
      <c r="K56" s="425">
        <v>52</v>
      </c>
      <c r="L56" s="439">
        <f t="shared" si="0"/>
        <v>1</v>
      </c>
      <c r="M56" s="440">
        <v>45975</v>
      </c>
      <c r="N56" s="440">
        <v>45973</v>
      </c>
      <c r="O56" s="441"/>
      <c r="P56" s="441" t="s">
        <v>1262</v>
      </c>
      <c r="Q56" s="441"/>
      <c r="R56" s="449">
        <v>45945</v>
      </c>
      <c r="S56" s="448" t="s">
        <v>77</v>
      </c>
      <c r="T56" s="448" t="s">
        <v>77</v>
      </c>
      <c r="U56" s="441"/>
      <c r="V56" s="441"/>
      <c r="W56" s="441"/>
      <c r="X56" s="424" t="s">
        <v>5214</v>
      </c>
      <c r="Y56" s="473" t="s">
        <v>521</v>
      </c>
      <c r="Z56" s="474">
        <v>0.876</v>
      </c>
      <c r="AA56" s="475">
        <f t="shared" si="36"/>
        <v>45.552</v>
      </c>
      <c r="AB56" s="437" t="s">
        <v>5215</v>
      </c>
      <c r="AC56" s="425" t="s">
        <v>4970</v>
      </c>
      <c r="AD56" s="477" t="s">
        <v>128</v>
      </c>
      <c r="AE56" s="696" t="s">
        <v>4930</v>
      </c>
      <c r="AF56" s="425">
        <v>52</v>
      </c>
      <c r="AG56" s="425">
        <f t="shared" si="8"/>
        <v>0</v>
      </c>
      <c r="AH56" s="425"/>
      <c r="AI56" s="478"/>
      <c r="AJ56" s="488">
        <f t="shared" si="30"/>
        <v>52</v>
      </c>
      <c r="AK56" s="488"/>
      <c r="AL56" s="489">
        <f t="shared" si="33"/>
        <v>52</v>
      </c>
      <c r="AM56" s="490"/>
      <c r="AN56" s="437"/>
      <c r="AO56" s="437"/>
      <c r="AP56" s="489">
        <f t="shared" si="31"/>
        <v>52</v>
      </c>
      <c r="AQ56" s="489"/>
      <c r="AR56" s="437"/>
      <c r="AS56" s="489">
        <f t="shared" si="32"/>
        <v>52</v>
      </c>
      <c r="AT56" s="489"/>
      <c r="AU56" s="489"/>
      <c r="AV56" s="489"/>
      <c r="AW56" s="489"/>
      <c r="AX56" s="512">
        <f t="shared" si="34"/>
        <v>4</v>
      </c>
      <c r="AY56" s="512"/>
      <c r="AZ56" s="512"/>
      <c r="BA56" s="512"/>
      <c r="BB56" s="512"/>
      <c r="BC56" s="512"/>
      <c r="BD56" s="512"/>
      <c r="BE56" s="512"/>
      <c r="BF56" s="512"/>
      <c r="BG56" s="512"/>
      <c r="BH56" s="512"/>
      <c r="BI56" s="512"/>
      <c r="BJ56" s="512"/>
      <c r="BK56" s="512"/>
      <c r="BL56" s="512"/>
      <c r="BM56" s="512"/>
      <c r="BN56" s="512"/>
      <c r="BQ56" s="3">
        <f t="shared" si="5"/>
        <v>280304</v>
      </c>
    </row>
    <row r="57" s="400" customFormat="1" ht="36" customHeight="1" spans="1:69">
      <c r="A57" s="420">
        <v>45925</v>
      </c>
      <c r="B57" s="421" t="s">
        <v>5216</v>
      </c>
      <c r="C57" s="422" t="s">
        <v>213</v>
      </c>
      <c r="D57" s="423">
        <v>4500180232</v>
      </c>
      <c r="E57" s="424" t="s">
        <v>5217</v>
      </c>
      <c r="F57" s="423" t="s">
        <v>5218</v>
      </c>
      <c r="G57" s="425" t="s">
        <v>5219</v>
      </c>
      <c r="H57" s="426" t="s">
        <v>5220</v>
      </c>
      <c r="I57" s="437">
        <v>500</v>
      </c>
      <c r="J57" s="438">
        <v>25</v>
      </c>
      <c r="K57" s="425">
        <v>50</v>
      </c>
      <c r="L57" s="439">
        <f t="shared" si="0"/>
        <v>10</v>
      </c>
      <c r="M57" s="440">
        <v>45981</v>
      </c>
      <c r="N57" s="440">
        <v>45974</v>
      </c>
      <c r="O57" s="441"/>
      <c r="P57" s="441" t="s">
        <v>1262</v>
      </c>
      <c r="Q57" s="441" t="s">
        <v>2939</v>
      </c>
      <c r="R57" s="694">
        <v>45925</v>
      </c>
      <c r="S57" s="457" t="s">
        <v>77</v>
      </c>
      <c r="T57" s="460" t="s">
        <v>77</v>
      </c>
      <c r="U57" s="441"/>
      <c r="V57" s="441"/>
      <c r="W57" s="441"/>
      <c r="X57" s="424" t="s">
        <v>5221</v>
      </c>
      <c r="Y57" s="473" t="s">
        <v>695</v>
      </c>
      <c r="Z57" s="474">
        <v>1.83</v>
      </c>
      <c r="AA57" s="475">
        <f t="shared" si="36"/>
        <v>915</v>
      </c>
      <c r="AB57" s="698" t="s">
        <v>5222</v>
      </c>
      <c r="AC57" s="425" t="s">
        <v>5219</v>
      </c>
      <c r="AD57" s="477" t="s">
        <v>128</v>
      </c>
      <c r="AE57" s="696" t="s">
        <v>4930</v>
      </c>
      <c r="AF57" s="425">
        <v>500</v>
      </c>
      <c r="AG57" s="425">
        <f t="shared" si="8"/>
        <v>0</v>
      </c>
      <c r="AH57" s="425"/>
      <c r="AI57" s="478"/>
      <c r="AJ57" s="488">
        <f t="shared" si="30"/>
        <v>500</v>
      </c>
      <c r="AK57" s="493"/>
      <c r="AL57" s="494">
        <f t="shared" si="33"/>
        <v>500</v>
      </c>
      <c r="AM57" s="490"/>
      <c r="AN57" s="437"/>
      <c r="AO57" s="437"/>
      <c r="AP57" s="489">
        <f t="shared" si="31"/>
        <v>500</v>
      </c>
      <c r="AQ57" s="489"/>
      <c r="AR57" s="489">
        <f>AP57</f>
        <v>500</v>
      </c>
      <c r="AS57" s="489"/>
      <c r="AT57" s="489"/>
      <c r="AU57" s="489">
        <f>I57</f>
        <v>500</v>
      </c>
      <c r="AV57" s="489"/>
      <c r="AW57" s="489"/>
      <c r="AX57" s="512"/>
      <c r="AY57" s="512"/>
      <c r="AZ57" s="512"/>
      <c r="BA57" s="512">
        <f t="shared" si="35"/>
        <v>20</v>
      </c>
      <c r="BB57" s="512"/>
      <c r="BC57" s="512"/>
      <c r="BD57" s="512"/>
      <c r="BE57" s="512"/>
      <c r="BF57" s="512"/>
      <c r="BG57" s="512"/>
      <c r="BH57" s="512"/>
      <c r="BI57" s="512"/>
      <c r="BJ57" s="512"/>
      <c r="BK57" s="512"/>
      <c r="BL57" s="512"/>
      <c r="BM57" s="512"/>
      <c r="BN57" s="512"/>
      <c r="BQ57" s="3">
        <f t="shared" si="5"/>
        <v>280804</v>
      </c>
    </row>
    <row r="58" s="200" customFormat="1" ht="36" customHeight="1" spans="1:69">
      <c r="A58" s="533">
        <v>45922</v>
      </c>
      <c r="B58" s="527" t="s">
        <v>116</v>
      </c>
      <c r="C58" s="528" t="s">
        <v>117</v>
      </c>
      <c r="D58" s="534">
        <v>4500180023</v>
      </c>
      <c r="E58" s="530" t="s">
        <v>5223</v>
      </c>
      <c r="F58" s="534" t="s">
        <v>5224</v>
      </c>
      <c r="G58" s="531" t="s">
        <v>4988</v>
      </c>
      <c r="H58" s="532" t="s">
        <v>4989</v>
      </c>
      <c r="I58" s="401">
        <v>5075</v>
      </c>
      <c r="J58" s="562">
        <v>0</v>
      </c>
      <c r="K58" s="531">
        <v>25</v>
      </c>
      <c r="L58" s="503">
        <f t="shared" si="0"/>
        <v>203</v>
      </c>
      <c r="M58" s="563">
        <v>45971</v>
      </c>
      <c r="N58" s="563">
        <v>45975</v>
      </c>
      <c r="O58" s="564"/>
      <c r="P58" s="564" t="s">
        <v>92</v>
      </c>
      <c r="Q58" s="564" t="s">
        <v>5225</v>
      </c>
      <c r="R58" s="579">
        <v>45929</v>
      </c>
      <c r="S58" s="564" t="s">
        <v>123</v>
      </c>
      <c r="T58" s="564" t="s">
        <v>5178</v>
      </c>
      <c r="U58" s="564"/>
      <c r="V58" s="564"/>
      <c r="W58" s="564"/>
      <c r="X58" s="530" t="s">
        <v>5226</v>
      </c>
      <c r="Y58" s="596" t="s">
        <v>126</v>
      </c>
      <c r="Z58" s="592">
        <v>0.96</v>
      </c>
      <c r="AA58" s="593">
        <f t="shared" si="36"/>
        <v>4872</v>
      </c>
      <c r="AB58" s="401" t="s">
        <v>5227</v>
      </c>
      <c r="AC58" s="607" t="s">
        <v>4988</v>
      </c>
      <c r="AD58" s="595" t="s">
        <v>128</v>
      </c>
      <c r="AE58" s="699" t="s">
        <v>4930</v>
      </c>
      <c r="AF58" s="425">
        <v>5075</v>
      </c>
      <c r="AG58" s="531">
        <f t="shared" si="8"/>
        <v>0</v>
      </c>
      <c r="AH58" s="531"/>
      <c r="AI58" s="607"/>
      <c r="AJ58" s="608">
        <f t="shared" si="30"/>
        <v>5075</v>
      </c>
      <c r="AK58" s="608"/>
      <c r="AL58" s="609">
        <f t="shared" si="33"/>
        <v>5075</v>
      </c>
      <c r="AM58" s="616"/>
      <c r="AN58" s="401"/>
      <c r="AO58" s="401"/>
      <c r="AP58" s="609">
        <f t="shared" si="31"/>
        <v>5075</v>
      </c>
      <c r="AQ58" s="609"/>
      <c r="AR58" s="609">
        <f>AP58</f>
        <v>5075</v>
      </c>
      <c r="AS58" s="609"/>
      <c r="AT58" s="609"/>
      <c r="AU58" s="609"/>
      <c r="AV58" s="609"/>
      <c r="AW58" s="609"/>
      <c r="AX58" s="633"/>
      <c r="AY58" s="633"/>
      <c r="AZ58" s="633"/>
      <c r="BA58" s="633">
        <f t="shared" si="35"/>
        <v>203</v>
      </c>
      <c r="BB58" s="633"/>
      <c r="BC58" s="633"/>
      <c r="BD58" s="633"/>
      <c r="BE58" s="633"/>
      <c r="BF58" s="633"/>
      <c r="BG58" s="633"/>
      <c r="BH58" s="633"/>
      <c r="BI58" s="633"/>
      <c r="BJ58" s="633"/>
      <c r="BK58" s="633"/>
      <c r="BL58" s="633"/>
      <c r="BM58" s="633"/>
      <c r="BN58" s="633"/>
      <c r="BQ58" s="3">
        <f t="shared" si="5"/>
        <v>285879</v>
      </c>
    </row>
    <row r="59" s="200" customFormat="1" ht="36" customHeight="1" spans="1:69">
      <c r="A59" s="533">
        <v>45916</v>
      </c>
      <c r="B59" s="527" t="s">
        <v>3710</v>
      </c>
      <c r="C59" s="528" t="s">
        <v>117</v>
      </c>
      <c r="D59" s="534">
        <v>4500179587</v>
      </c>
      <c r="E59" s="530" t="s">
        <v>5228</v>
      </c>
      <c r="F59" s="534" t="s">
        <v>5229</v>
      </c>
      <c r="G59" s="531" t="s">
        <v>5066</v>
      </c>
      <c r="H59" s="532" t="s">
        <v>5048</v>
      </c>
      <c r="I59" s="401">
        <v>780</v>
      </c>
      <c r="J59" s="562">
        <v>0</v>
      </c>
      <c r="K59" s="531">
        <v>13</v>
      </c>
      <c r="L59" s="503">
        <f t="shared" si="0"/>
        <v>60</v>
      </c>
      <c r="M59" s="563">
        <v>45972</v>
      </c>
      <c r="N59" s="563">
        <v>45975</v>
      </c>
      <c r="O59" s="564"/>
      <c r="P59" s="564" t="s">
        <v>92</v>
      </c>
      <c r="Q59" s="564" t="s">
        <v>5230</v>
      </c>
      <c r="R59" s="579">
        <v>45916</v>
      </c>
      <c r="S59" s="578" t="s">
        <v>77</v>
      </c>
      <c r="T59" s="695" t="s">
        <v>77</v>
      </c>
      <c r="U59" s="564"/>
      <c r="V59" s="564"/>
      <c r="W59" s="564"/>
      <c r="X59" s="530" t="s">
        <v>3713</v>
      </c>
      <c r="Y59" s="596" t="s">
        <v>156</v>
      </c>
      <c r="Z59" s="592">
        <v>0.9</v>
      </c>
      <c r="AA59" s="593">
        <f t="shared" si="36"/>
        <v>702</v>
      </c>
      <c r="AB59" s="401" t="s">
        <v>5231</v>
      </c>
      <c r="AC59" s="607" t="s">
        <v>5066</v>
      </c>
      <c r="AD59" s="595" t="s">
        <v>128</v>
      </c>
      <c r="AE59" s="699" t="s">
        <v>4930</v>
      </c>
      <c r="AF59" s="425">
        <v>780</v>
      </c>
      <c r="AG59" s="531">
        <f t="shared" si="8"/>
        <v>0</v>
      </c>
      <c r="AH59" s="531"/>
      <c r="AI59" s="607"/>
      <c r="AJ59" s="608">
        <f t="shared" si="30"/>
        <v>780</v>
      </c>
      <c r="AK59" s="612"/>
      <c r="AL59" s="613">
        <f t="shared" si="33"/>
        <v>780</v>
      </c>
      <c r="AM59" s="616"/>
      <c r="AN59" s="401"/>
      <c r="AO59" s="401"/>
      <c r="AP59" s="609">
        <f t="shared" si="31"/>
        <v>780</v>
      </c>
      <c r="AQ59" s="609"/>
      <c r="AR59" s="401"/>
      <c r="AS59" s="609">
        <f t="shared" ref="AS59:AS63" si="37">AP59</f>
        <v>780</v>
      </c>
      <c r="AT59" s="609"/>
      <c r="AU59" s="609"/>
      <c r="AV59" s="609"/>
      <c r="AW59" s="609"/>
      <c r="AX59" s="633">
        <f t="shared" ref="AX59:AX61" si="38">I59/13</f>
        <v>60</v>
      </c>
      <c r="AY59" s="633"/>
      <c r="AZ59" s="633"/>
      <c r="BA59" s="633"/>
      <c r="BB59" s="633"/>
      <c r="BC59" s="633"/>
      <c r="BD59" s="633"/>
      <c r="BE59" s="633"/>
      <c r="BF59" s="633"/>
      <c r="BG59" s="633"/>
      <c r="BH59" s="633"/>
      <c r="BI59" s="633"/>
      <c r="BJ59" s="633"/>
      <c r="BK59" s="633"/>
      <c r="BL59" s="633"/>
      <c r="BM59" s="633"/>
      <c r="BN59" s="633"/>
      <c r="BQ59" s="3">
        <f t="shared" si="5"/>
        <v>286659</v>
      </c>
    </row>
    <row r="60" s="200" customFormat="1" ht="36" customHeight="1" spans="1:69">
      <c r="A60" s="533">
        <v>45916</v>
      </c>
      <c r="B60" s="527" t="s">
        <v>3710</v>
      </c>
      <c r="C60" s="528" t="s">
        <v>117</v>
      </c>
      <c r="D60" s="534">
        <v>4500179587</v>
      </c>
      <c r="E60" s="530" t="s">
        <v>5232</v>
      </c>
      <c r="F60" s="534" t="s">
        <v>5233</v>
      </c>
      <c r="G60" s="531" t="s">
        <v>5066</v>
      </c>
      <c r="H60" s="532" t="s">
        <v>5048</v>
      </c>
      <c r="I60" s="401">
        <v>429</v>
      </c>
      <c r="J60" s="562">
        <v>0</v>
      </c>
      <c r="K60" s="531">
        <v>13</v>
      </c>
      <c r="L60" s="503">
        <f t="shared" si="0"/>
        <v>33</v>
      </c>
      <c r="M60" s="563">
        <v>45972</v>
      </c>
      <c r="N60" s="563">
        <v>45975</v>
      </c>
      <c r="O60" s="564"/>
      <c r="P60" s="564" t="s">
        <v>92</v>
      </c>
      <c r="Q60" s="564" t="s">
        <v>5230</v>
      </c>
      <c r="R60" s="579">
        <v>45916</v>
      </c>
      <c r="S60" s="578" t="s">
        <v>77</v>
      </c>
      <c r="T60" s="695" t="s">
        <v>77</v>
      </c>
      <c r="U60" s="564"/>
      <c r="V60" s="564"/>
      <c r="W60" s="564"/>
      <c r="X60" s="530" t="s">
        <v>3713</v>
      </c>
      <c r="Y60" s="596" t="s">
        <v>156</v>
      </c>
      <c r="Z60" s="592">
        <v>0.9</v>
      </c>
      <c r="AA60" s="593">
        <f t="shared" si="36"/>
        <v>386.1</v>
      </c>
      <c r="AB60" s="401" t="s">
        <v>5231</v>
      </c>
      <c r="AC60" s="607" t="s">
        <v>5066</v>
      </c>
      <c r="AD60" s="595" t="s">
        <v>128</v>
      </c>
      <c r="AE60" s="699" t="s">
        <v>4930</v>
      </c>
      <c r="AF60" s="425">
        <v>429</v>
      </c>
      <c r="AG60" s="531">
        <f t="shared" si="8"/>
        <v>0</v>
      </c>
      <c r="AH60" s="531"/>
      <c r="AI60" s="607"/>
      <c r="AJ60" s="608">
        <f t="shared" si="30"/>
        <v>429</v>
      </c>
      <c r="AK60" s="612"/>
      <c r="AL60" s="613">
        <f t="shared" si="33"/>
        <v>429</v>
      </c>
      <c r="AM60" s="616"/>
      <c r="AN60" s="401"/>
      <c r="AO60" s="401"/>
      <c r="AP60" s="609">
        <f t="shared" si="31"/>
        <v>429</v>
      </c>
      <c r="AQ60" s="609"/>
      <c r="AR60" s="401"/>
      <c r="AS60" s="609">
        <f t="shared" si="37"/>
        <v>429</v>
      </c>
      <c r="AT60" s="609"/>
      <c r="AU60" s="609"/>
      <c r="AV60" s="609"/>
      <c r="AW60" s="609"/>
      <c r="AX60" s="633">
        <f t="shared" si="38"/>
        <v>33</v>
      </c>
      <c r="AY60" s="633"/>
      <c r="AZ60" s="633"/>
      <c r="BA60" s="633"/>
      <c r="BB60" s="633"/>
      <c r="BC60" s="633"/>
      <c r="BD60" s="633"/>
      <c r="BE60" s="633"/>
      <c r="BF60" s="633"/>
      <c r="BG60" s="633"/>
      <c r="BH60" s="633"/>
      <c r="BI60" s="633"/>
      <c r="BJ60" s="633"/>
      <c r="BK60" s="633"/>
      <c r="BL60" s="633"/>
      <c r="BM60" s="633"/>
      <c r="BN60" s="633"/>
      <c r="BQ60" s="3">
        <f t="shared" si="5"/>
        <v>287088</v>
      </c>
    </row>
    <row r="61" s="200" customFormat="1" ht="36" customHeight="1" spans="1:69">
      <c r="A61" s="533">
        <v>45929</v>
      </c>
      <c r="B61" s="527" t="s">
        <v>5234</v>
      </c>
      <c r="C61" s="528" t="s">
        <v>117</v>
      </c>
      <c r="D61" s="534">
        <v>4500180967</v>
      </c>
      <c r="E61" s="530" t="s">
        <v>5235</v>
      </c>
      <c r="F61" s="534" t="s">
        <v>5236</v>
      </c>
      <c r="G61" s="531" t="s">
        <v>5066</v>
      </c>
      <c r="H61" s="532" t="s">
        <v>5048</v>
      </c>
      <c r="I61" s="401">
        <v>2067</v>
      </c>
      <c r="J61" s="562">
        <v>0</v>
      </c>
      <c r="K61" s="531">
        <v>13</v>
      </c>
      <c r="L61" s="503">
        <f t="shared" si="0"/>
        <v>159</v>
      </c>
      <c r="M61" s="563">
        <v>45973</v>
      </c>
      <c r="N61" s="563">
        <v>45975</v>
      </c>
      <c r="O61" s="564"/>
      <c r="P61" s="564" t="s">
        <v>92</v>
      </c>
      <c r="Q61" s="564" t="s">
        <v>5237</v>
      </c>
      <c r="R61" s="579">
        <v>45941</v>
      </c>
      <c r="S61" s="578" t="s">
        <v>77</v>
      </c>
      <c r="T61" s="695" t="s">
        <v>77</v>
      </c>
      <c r="U61" s="564"/>
      <c r="V61" s="564" t="s">
        <v>878</v>
      </c>
      <c r="W61" s="564" t="s">
        <v>5238</v>
      </c>
      <c r="X61" s="530" t="s">
        <v>5239</v>
      </c>
      <c r="Y61" s="596" t="s">
        <v>1187</v>
      </c>
      <c r="Z61" s="592">
        <v>0.858</v>
      </c>
      <c r="AA61" s="593">
        <f t="shared" si="36"/>
        <v>1773.486</v>
      </c>
      <c r="AB61" s="401"/>
      <c r="AC61" s="607" t="s">
        <v>5066</v>
      </c>
      <c r="AD61" s="595" t="s">
        <v>128</v>
      </c>
      <c r="AE61" s="699" t="s">
        <v>4930</v>
      </c>
      <c r="AF61" s="425">
        <v>2067</v>
      </c>
      <c r="AG61" s="531">
        <f t="shared" si="8"/>
        <v>0</v>
      </c>
      <c r="AH61" s="531"/>
      <c r="AI61" s="607"/>
      <c r="AJ61" s="608">
        <f t="shared" si="30"/>
        <v>2067</v>
      </c>
      <c r="AK61" s="612"/>
      <c r="AL61" s="613">
        <f t="shared" si="33"/>
        <v>2067</v>
      </c>
      <c r="AM61" s="616"/>
      <c r="AN61" s="401"/>
      <c r="AO61" s="401"/>
      <c r="AP61" s="609">
        <f t="shared" si="31"/>
        <v>2067</v>
      </c>
      <c r="AQ61" s="609"/>
      <c r="AR61" s="401"/>
      <c r="AS61" s="609">
        <f t="shared" si="37"/>
        <v>2067</v>
      </c>
      <c r="AT61" s="609"/>
      <c r="AU61" s="609"/>
      <c r="AV61" s="609"/>
      <c r="AW61" s="609"/>
      <c r="AX61" s="633">
        <f t="shared" si="38"/>
        <v>159</v>
      </c>
      <c r="AY61" s="633"/>
      <c r="AZ61" s="633"/>
      <c r="BA61" s="633"/>
      <c r="BB61" s="633"/>
      <c r="BC61" s="633"/>
      <c r="BD61" s="633"/>
      <c r="BE61" s="633"/>
      <c r="BF61" s="633"/>
      <c r="BG61" s="633"/>
      <c r="BH61" s="633"/>
      <c r="BI61" s="633"/>
      <c r="BJ61" s="633"/>
      <c r="BK61" s="633"/>
      <c r="BL61" s="633"/>
      <c r="BM61" s="633"/>
      <c r="BN61" s="633"/>
      <c r="BQ61" s="3">
        <f t="shared" si="5"/>
        <v>289155</v>
      </c>
    </row>
    <row r="62" s="200" customFormat="1" ht="36" customHeight="1" spans="1:69">
      <c r="A62" s="533">
        <v>45946</v>
      </c>
      <c r="B62" s="527" t="s">
        <v>4976</v>
      </c>
      <c r="C62" s="528" t="s">
        <v>117</v>
      </c>
      <c r="D62" s="534">
        <v>4500182120</v>
      </c>
      <c r="E62" s="1678" t="s">
        <v>5240</v>
      </c>
      <c r="F62" s="534" t="s">
        <v>5241</v>
      </c>
      <c r="G62" s="531" t="s">
        <v>4979</v>
      </c>
      <c r="H62" s="532" t="s">
        <v>4980</v>
      </c>
      <c r="I62" s="401">
        <v>960</v>
      </c>
      <c r="J62" s="562">
        <v>0</v>
      </c>
      <c r="K62" s="531">
        <v>16</v>
      </c>
      <c r="L62" s="503">
        <f t="shared" si="0"/>
        <v>60</v>
      </c>
      <c r="M62" s="563">
        <v>45979</v>
      </c>
      <c r="N62" s="563">
        <v>45975</v>
      </c>
      <c r="O62" s="564" t="s">
        <v>5242</v>
      </c>
      <c r="P62" s="564" t="s">
        <v>92</v>
      </c>
      <c r="Q62" s="564" t="s">
        <v>5243</v>
      </c>
      <c r="R62" s="564" t="s">
        <v>1102</v>
      </c>
      <c r="S62" s="564" t="s">
        <v>123</v>
      </c>
      <c r="T62" s="578" t="s">
        <v>5244</v>
      </c>
      <c r="U62" s="564" t="s">
        <v>4983</v>
      </c>
      <c r="V62" s="564"/>
      <c r="W62" s="564"/>
      <c r="X62" s="530" t="s">
        <v>5074</v>
      </c>
      <c r="Y62" s="596" t="s">
        <v>634</v>
      </c>
      <c r="Z62" s="592">
        <v>0.96</v>
      </c>
      <c r="AA62" s="593">
        <f t="shared" si="36"/>
        <v>921.6</v>
      </c>
      <c r="AB62" s="401" t="s">
        <v>5245</v>
      </c>
      <c r="AC62" s="531" t="s">
        <v>4979</v>
      </c>
      <c r="AD62" s="595" t="s">
        <v>128</v>
      </c>
      <c r="AE62" s="700" t="s">
        <v>4930</v>
      </c>
      <c r="AF62" s="425">
        <v>960</v>
      </c>
      <c r="AG62" s="531">
        <f t="shared" si="8"/>
        <v>0</v>
      </c>
      <c r="AH62" s="531" t="s">
        <v>4335</v>
      </c>
      <c r="AI62" s="607"/>
      <c r="AJ62" s="608">
        <f t="shared" si="30"/>
        <v>960</v>
      </c>
      <c r="AK62" s="608"/>
      <c r="AL62" s="609">
        <f t="shared" si="33"/>
        <v>960</v>
      </c>
      <c r="AM62" s="616"/>
      <c r="AN62" s="401"/>
      <c r="AO62" s="401"/>
      <c r="AP62" s="609">
        <f t="shared" si="31"/>
        <v>960</v>
      </c>
      <c r="AQ62" s="609"/>
      <c r="AR62" s="401"/>
      <c r="AS62" s="609">
        <f t="shared" si="37"/>
        <v>960</v>
      </c>
      <c r="AT62" s="609"/>
      <c r="AU62" s="609"/>
      <c r="AV62" s="609"/>
      <c r="AW62" s="609"/>
      <c r="AX62" s="633"/>
      <c r="AY62" s="633"/>
      <c r="AZ62" s="633"/>
      <c r="BA62" s="633"/>
      <c r="BB62" s="633"/>
      <c r="BC62" s="633">
        <f>I62/16</f>
        <v>60</v>
      </c>
      <c r="BD62" s="633"/>
      <c r="BE62" s="633"/>
      <c r="BF62" s="633"/>
      <c r="BG62" s="633"/>
      <c r="BH62" s="633"/>
      <c r="BI62" s="633"/>
      <c r="BJ62" s="633"/>
      <c r="BK62" s="633"/>
      <c r="BL62" s="633"/>
      <c r="BM62" s="633"/>
      <c r="BN62" s="633"/>
      <c r="BQ62" s="3">
        <f t="shared" si="5"/>
        <v>290115</v>
      </c>
    </row>
    <row r="63" s="200" customFormat="1" ht="36" customHeight="1" spans="1:69">
      <c r="A63" s="533">
        <v>45946</v>
      </c>
      <c r="B63" s="527" t="s">
        <v>4976</v>
      </c>
      <c r="C63" s="528" t="s">
        <v>117</v>
      </c>
      <c r="D63" s="534">
        <v>4500182120</v>
      </c>
      <c r="E63" s="1678" t="s">
        <v>5246</v>
      </c>
      <c r="F63" s="534" t="s">
        <v>5247</v>
      </c>
      <c r="G63" s="531" t="s">
        <v>4979</v>
      </c>
      <c r="H63" s="532" t="s">
        <v>4980</v>
      </c>
      <c r="I63" s="401">
        <v>960</v>
      </c>
      <c r="J63" s="562">
        <v>0</v>
      </c>
      <c r="K63" s="531">
        <v>16</v>
      </c>
      <c r="L63" s="503">
        <f t="shared" si="0"/>
        <v>60</v>
      </c>
      <c r="M63" s="563">
        <v>45979</v>
      </c>
      <c r="N63" s="563">
        <v>45975</v>
      </c>
      <c r="O63" s="564" t="s">
        <v>5242</v>
      </c>
      <c r="P63" s="564" t="s">
        <v>1262</v>
      </c>
      <c r="Q63" s="564" t="s">
        <v>5243</v>
      </c>
      <c r="R63" s="564" t="s">
        <v>1102</v>
      </c>
      <c r="S63" s="564" t="s">
        <v>123</v>
      </c>
      <c r="T63" s="578" t="s">
        <v>5244</v>
      </c>
      <c r="U63" s="564" t="s">
        <v>4983</v>
      </c>
      <c r="V63" s="564"/>
      <c r="W63" s="564"/>
      <c r="X63" s="530" t="s">
        <v>5074</v>
      </c>
      <c r="Y63" s="596" t="s">
        <v>634</v>
      </c>
      <c r="Z63" s="592">
        <v>0.96</v>
      </c>
      <c r="AA63" s="593">
        <f t="shared" si="36"/>
        <v>921.6</v>
      </c>
      <c r="AB63" s="401"/>
      <c r="AC63" s="531" t="s">
        <v>4979</v>
      </c>
      <c r="AD63" s="595" t="s">
        <v>128</v>
      </c>
      <c r="AE63" s="700" t="s">
        <v>4930</v>
      </c>
      <c r="AF63" s="531">
        <v>960</v>
      </c>
      <c r="AG63" s="531">
        <f t="shared" si="8"/>
        <v>0</v>
      </c>
      <c r="AH63" s="531" t="s">
        <v>4335</v>
      </c>
      <c r="AI63" s="607"/>
      <c r="AJ63" s="608">
        <f t="shared" si="30"/>
        <v>960</v>
      </c>
      <c r="AK63" s="608"/>
      <c r="AL63" s="609">
        <f t="shared" si="33"/>
        <v>960</v>
      </c>
      <c r="AM63" s="616"/>
      <c r="AN63" s="401"/>
      <c r="AO63" s="401"/>
      <c r="AP63" s="609">
        <f t="shared" si="31"/>
        <v>960</v>
      </c>
      <c r="AQ63" s="609"/>
      <c r="AR63" s="401"/>
      <c r="AS63" s="609">
        <f t="shared" si="37"/>
        <v>960</v>
      </c>
      <c r="AT63" s="609"/>
      <c r="AU63" s="609"/>
      <c r="AV63" s="609"/>
      <c r="AW63" s="609"/>
      <c r="AX63" s="633"/>
      <c r="AY63" s="633"/>
      <c r="AZ63" s="633"/>
      <c r="BA63" s="633"/>
      <c r="BB63" s="633"/>
      <c r="BC63" s="633">
        <f>I63/16</f>
        <v>60</v>
      </c>
      <c r="BD63" s="633"/>
      <c r="BE63" s="633"/>
      <c r="BF63" s="633"/>
      <c r="BG63" s="633"/>
      <c r="BH63" s="633"/>
      <c r="BI63" s="633"/>
      <c r="BJ63" s="633"/>
      <c r="BK63" s="633"/>
      <c r="BL63" s="633"/>
      <c r="BM63" s="633"/>
      <c r="BN63" s="633"/>
      <c r="BQ63" s="3">
        <f t="shared" si="5"/>
        <v>291075</v>
      </c>
    </row>
    <row r="64" s="200" customFormat="1" ht="36" customHeight="1" spans="1:69">
      <c r="A64" s="533">
        <v>45917</v>
      </c>
      <c r="B64" s="527" t="s">
        <v>5248</v>
      </c>
      <c r="C64" s="528" t="s">
        <v>117</v>
      </c>
      <c r="D64" s="534">
        <v>4500179669</v>
      </c>
      <c r="E64" s="530">
        <v>4559826670</v>
      </c>
      <c r="F64" s="534" t="s">
        <v>5249</v>
      </c>
      <c r="G64" s="531" t="s">
        <v>5250</v>
      </c>
      <c r="H64" s="532" t="s">
        <v>5251</v>
      </c>
      <c r="I64" s="401">
        <v>2742</v>
      </c>
      <c r="J64" s="562">
        <v>0</v>
      </c>
      <c r="K64" s="531">
        <v>6</v>
      </c>
      <c r="L64" s="503">
        <f t="shared" si="0"/>
        <v>457</v>
      </c>
      <c r="M64" s="563">
        <v>45980</v>
      </c>
      <c r="N64" s="563">
        <v>45976</v>
      </c>
      <c r="O64" s="564" t="s">
        <v>5252</v>
      </c>
      <c r="P64" s="564" t="s">
        <v>92</v>
      </c>
      <c r="Q64" s="564" t="s">
        <v>2939</v>
      </c>
      <c r="R64" s="579">
        <v>45925</v>
      </c>
      <c r="S64" s="578" t="s">
        <v>77</v>
      </c>
      <c r="T64" s="564" t="s">
        <v>5253</v>
      </c>
      <c r="U64" s="564"/>
      <c r="V64" s="564" t="s">
        <v>878</v>
      </c>
      <c r="W64" s="564" t="s">
        <v>5254</v>
      </c>
      <c r="X64" s="530" t="s">
        <v>5255</v>
      </c>
      <c r="Y64" s="596" t="s">
        <v>903</v>
      </c>
      <c r="Z64" s="592">
        <v>0.9</v>
      </c>
      <c r="AA64" s="593">
        <f t="shared" si="36"/>
        <v>2467.8</v>
      </c>
      <c r="AB64" s="401" t="s">
        <v>5256</v>
      </c>
      <c r="AC64" s="531" t="s">
        <v>5250</v>
      </c>
      <c r="AD64" s="595" t="s">
        <v>128</v>
      </c>
      <c r="AE64" s="595"/>
      <c r="AF64" s="531">
        <v>2742</v>
      </c>
      <c r="AG64" s="531">
        <f t="shared" si="8"/>
        <v>0</v>
      </c>
      <c r="AH64" s="531" t="s">
        <v>4335</v>
      </c>
      <c r="AI64" s="607"/>
      <c r="AJ64" s="608">
        <f t="shared" si="30"/>
        <v>2742</v>
      </c>
      <c r="AK64" s="612"/>
      <c r="AL64" s="613">
        <f t="shared" si="33"/>
        <v>2742</v>
      </c>
      <c r="AM64" s="616"/>
      <c r="AN64" s="401"/>
      <c r="AO64" s="401"/>
      <c r="AP64" s="609">
        <f t="shared" si="31"/>
        <v>2742</v>
      </c>
      <c r="AQ64" s="609"/>
      <c r="AR64" s="609">
        <f>AP64</f>
        <v>2742</v>
      </c>
      <c r="AS64" s="609"/>
      <c r="AT64" s="609"/>
      <c r="AU64" s="609"/>
      <c r="AV64" s="609"/>
      <c r="AW64" s="609"/>
      <c r="AX64" s="633"/>
      <c r="AY64" s="633"/>
      <c r="AZ64" s="633"/>
      <c r="BA64" s="633"/>
      <c r="BB64" s="633"/>
      <c r="BC64" s="633"/>
      <c r="BD64" s="633">
        <f t="shared" ref="BD64:BD72" si="39">I64/6</f>
        <v>457</v>
      </c>
      <c r="BE64" s="633"/>
      <c r="BF64" s="633"/>
      <c r="BG64" s="633"/>
      <c r="BH64" s="633"/>
      <c r="BI64" s="633"/>
      <c r="BJ64" s="633"/>
      <c r="BK64" s="633"/>
      <c r="BL64" s="633"/>
      <c r="BM64" s="633"/>
      <c r="BN64" s="633"/>
      <c r="BQ64" s="3">
        <f t="shared" si="5"/>
        <v>293817</v>
      </c>
    </row>
    <row r="65" s="200" customFormat="1" ht="36" customHeight="1" spans="1:69">
      <c r="A65" s="533">
        <v>45940</v>
      </c>
      <c r="B65" s="527" t="s">
        <v>5248</v>
      </c>
      <c r="C65" s="528" t="s">
        <v>117</v>
      </c>
      <c r="D65" s="534">
        <v>4500179669</v>
      </c>
      <c r="E65" s="530">
        <v>4559826429</v>
      </c>
      <c r="F65" s="534" t="s">
        <v>5257</v>
      </c>
      <c r="G65" s="531" t="s">
        <v>5250</v>
      </c>
      <c r="H65" s="532" t="s">
        <v>5251</v>
      </c>
      <c r="I65" s="401">
        <v>5496</v>
      </c>
      <c r="J65" s="562">
        <v>0</v>
      </c>
      <c r="K65" s="531">
        <v>6</v>
      </c>
      <c r="L65" s="503">
        <f t="shared" si="0"/>
        <v>916</v>
      </c>
      <c r="M65" s="563">
        <v>45980</v>
      </c>
      <c r="N65" s="563">
        <v>45976</v>
      </c>
      <c r="O65" s="564" t="s">
        <v>5252</v>
      </c>
      <c r="P65" s="564" t="s">
        <v>92</v>
      </c>
      <c r="Q65" s="564" t="s">
        <v>2939</v>
      </c>
      <c r="R65" s="579">
        <v>45925</v>
      </c>
      <c r="S65" s="578" t="s">
        <v>77</v>
      </c>
      <c r="T65" s="564" t="s">
        <v>5253</v>
      </c>
      <c r="U65" s="564"/>
      <c r="V65" s="564"/>
      <c r="W65" s="564" t="s">
        <v>5254</v>
      </c>
      <c r="X65" s="530" t="s">
        <v>5255</v>
      </c>
      <c r="Y65" s="596" t="s">
        <v>903</v>
      </c>
      <c r="Z65" s="592">
        <v>0.9</v>
      </c>
      <c r="AA65" s="593">
        <f t="shared" si="36"/>
        <v>4946.4</v>
      </c>
      <c r="AB65" s="401" t="s">
        <v>5258</v>
      </c>
      <c r="AC65" s="531" t="s">
        <v>5250</v>
      </c>
      <c r="AD65" s="595" t="s">
        <v>128</v>
      </c>
      <c r="AE65" s="595"/>
      <c r="AF65" s="531">
        <v>5496</v>
      </c>
      <c r="AG65" s="531">
        <f t="shared" si="8"/>
        <v>0</v>
      </c>
      <c r="AH65" s="531" t="s">
        <v>4335</v>
      </c>
      <c r="AI65" s="607"/>
      <c r="AJ65" s="608">
        <f t="shared" si="30"/>
        <v>5496</v>
      </c>
      <c r="AK65" s="612"/>
      <c r="AL65" s="613">
        <f t="shared" si="33"/>
        <v>5496</v>
      </c>
      <c r="AM65" s="616"/>
      <c r="AN65" s="401"/>
      <c r="AO65" s="401"/>
      <c r="AP65" s="609">
        <f t="shared" si="31"/>
        <v>5496</v>
      </c>
      <c r="AQ65" s="609"/>
      <c r="AR65" s="609">
        <f t="shared" ref="AR65:AR72" si="40">I65</f>
        <v>5496</v>
      </c>
      <c r="AS65" s="609"/>
      <c r="AT65" s="609"/>
      <c r="AU65" s="609"/>
      <c r="AV65" s="609"/>
      <c r="AW65" s="609"/>
      <c r="AX65" s="633"/>
      <c r="AY65" s="633"/>
      <c r="AZ65" s="633"/>
      <c r="BA65" s="633"/>
      <c r="BB65" s="633"/>
      <c r="BC65" s="633"/>
      <c r="BD65" s="633">
        <f t="shared" si="39"/>
        <v>916</v>
      </c>
      <c r="BE65" s="633"/>
      <c r="BF65" s="633"/>
      <c r="BG65" s="633"/>
      <c r="BH65" s="633"/>
      <c r="BI65" s="633"/>
      <c r="BJ65" s="633"/>
      <c r="BK65" s="633"/>
      <c r="BL65" s="633"/>
      <c r="BM65" s="633"/>
      <c r="BN65" s="633"/>
      <c r="BQ65" s="3">
        <f t="shared" si="5"/>
        <v>299313</v>
      </c>
    </row>
    <row r="66" s="200" customFormat="1" ht="36" customHeight="1" spans="1:69">
      <c r="A66" s="533">
        <v>45940</v>
      </c>
      <c r="B66" s="527" t="s">
        <v>5248</v>
      </c>
      <c r="C66" s="528" t="s">
        <v>117</v>
      </c>
      <c r="D66" s="534">
        <v>4500179669</v>
      </c>
      <c r="E66" s="530">
        <v>4559826630</v>
      </c>
      <c r="F66" s="534" t="s">
        <v>5259</v>
      </c>
      <c r="G66" s="531" t="s">
        <v>5250</v>
      </c>
      <c r="H66" s="532" t="s">
        <v>5251</v>
      </c>
      <c r="I66" s="401">
        <v>5010</v>
      </c>
      <c r="J66" s="562">
        <v>0</v>
      </c>
      <c r="K66" s="531">
        <v>6</v>
      </c>
      <c r="L66" s="503">
        <f t="shared" si="0"/>
        <v>835</v>
      </c>
      <c r="M66" s="563">
        <v>45980</v>
      </c>
      <c r="N66" s="563">
        <v>45976</v>
      </c>
      <c r="O66" s="564" t="s">
        <v>5252</v>
      </c>
      <c r="P66" s="564" t="s">
        <v>92</v>
      </c>
      <c r="Q66" s="564" t="s">
        <v>2939</v>
      </c>
      <c r="R66" s="579">
        <v>45925</v>
      </c>
      <c r="S66" s="578" t="s">
        <v>77</v>
      </c>
      <c r="T66" s="564" t="s">
        <v>5253</v>
      </c>
      <c r="U66" s="564"/>
      <c r="V66" s="564"/>
      <c r="W66" s="564" t="s">
        <v>5254</v>
      </c>
      <c r="X66" s="530" t="s">
        <v>5255</v>
      </c>
      <c r="Y66" s="596" t="s">
        <v>903</v>
      </c>
      <c r="Z66" s="592">
        <v>0.9</v>
      </c>
      <c r="AA66" s="593">
        <f t="shared" si="36"/>
        <v>4509</v>
      </c>
      <c r="AB66" s="401" t="s">
        <v>5260</v>
      </c>
      <c r="AC66" s="531" t="s">
        <v>5250</v>
      </c>
      <c r="AD66" s="595" t="s">
        <v>128</v>
      </c>
      <c r="AE66" s="700" t="s">
        <v>4930</v>
      </c>
      <c r="AF66" s="531">
        <f>480+3942+588</f>
        <v>5010</v>
      </c>
      <c r="AG66" s="531">
        <f t="shared" si="8"/>
        <v>0</v>
      </c>
      <c r="AH66" s="531" t="s">
        <v>4335</v>
      </c>
      <c r="AI66" s="607"/>
      <c r="AJ66" s="608">
        <f t="shared" si="30"/>
        <v>5010</v>
      </c>
      <c r="AK66" s="612"/>
      <c r="AL66" s="613">
        <f t="shared" si="33"/>
        <v>5010</v>
      </c>
      <c r="AM66" s="616"/>
      <c r="AN66" s="401"/>
      <c r="AO66" s="401"/>
      <c r="AP66" s="609">
        <f t="shared" si="31"/>
        <v>5010</v>
      </c>
      <c r="AQ66" s="609"/>
      <c r="AR66" s="609">
        <f t="shared" si="40"/>
        <v>5010</v>
      </c>
      <c r="AS66" s="609"/>
      <c r="AT66" s="609"/>
      <c r="AU66" s="609"/>
      <c r="AV66" s="609"/>
      <c r="AW66" s="609"/>
      <c r="AX66" s="633"/>
      <c r="AY66" s="633"/>
      <c r="AZ66" s="633"/>
      <c r="BA66" s="633"/>
      <c r="BB66" s="633"/>
      <c r="BC66" s="633"/>
      <c r="BD66" s="633">
        <f t="shared" si="39"/>
        <v>835</v>
      </c>
      <c r="BE66" s="633"/>
      <c r="BF66" s="633"/>
      <c r="BG66" s="633"/>
      <c r="BH66" s="633"/>
      <c r="BI66" s="633"/>
      <c r="BJ66" s="633"/>
      <c r="BK66" s="633"/>
      <c r="BL66" s="633"/>
      <c r="BM66" s="633"/>
      <c r="BN66" s="633"/>
      <c r="BQ66" s="3">
        <f t="shared" si="5"/>
        <v>304323</v>
      </c>
    </row>
    <row r="67" s="200" customFormat="1" ht="36" customHeight="1" spans="1:69">
      <c r="A67" s="533">
        <v>45940</v>
      </c>
      <c r="B67" s="527" t="s">
        <v>5248</v>
      </c>
      <c r="C67" s="528" t="s">
        <v>117</v>
      </c>
      <c r="D67" s="534">
        <v>4500179669</v>
      </c>
      <c r="E67" s="530">
        <v>4559826671</v>
      </c>
      <c r="F67" s="534" t="s">
        <v>5261</v>
      </c>
      <c r="G67" s="531" t="s">
        <v>5250</v>
      </c>
      <c r="H67" s="532" t="s">
        <v>5251</v>
      </c>
      <c r="I67" s="401">
        <v>6372</v>
      </c>
      <c r="J67" s="562">
        <v>0</v>
      </c>
      <c r="K67" s="531">
        <v>6</v>
      </c>
      <c r="L67" s="503">
        <f t="shared" ref="L67:L130" si="41">I67/K67</f>
        <v>1062</v>
      </c>
      <c r="M67" s="563">
        <v>45980</v>
      </c>
      <c r="N67" s="563">
        <v>45976</v>
      </c>
      <c r="O67" s="564" t="s">
        <v>5252</v>
      </c>
      <c r="P67" s="564" t="s">
        <v>92</v>
      </c>
      <c r="Q67" s="564" t="s">
        <v>2939</v>
      </c>
      <c r="R67" s="579">
        <v>45925</v>
      </c>
      <c r="S67" s="578" t="s">
        <v>77</v>
      </c>
      <c r="T67" s="564" t="s">
        <v>5253</v>
      </c>
      <c r="U67" s="564"/>
      <c r="V67" s="564"/>
      <c r="W67" s="564" t="s">
        <v>5254</v>
      </c>
      <c r="X67" s="530" t="s">
        <v>5255</v>
      </c>
      <c r="Y67" s="596" t="s">
        <v>903</v>
      </c>
      <c r="Z67" s="592">
        <v>0.9</v>
      </c>
      <c r="AA67" s="593">
        <f t="shared" si="36"/>
        <v>5734.8</v>
      </c>
      <c r="AB67" s="401" t="s">
        <v>5262</v>
      </c>
      <c r="AC67" s="531" t="s">
        <v>5250</v>
      </c>
      <c r="AD67" s="595" t="s">
        <v>128</v>
      </c>
      <c r="AE67" s="700" t="s">
        <v>4930</v>
      </c>
      <c r="AF67" s="531">
        <v>6372</v>
      </c>
      <c r="AG67" s="531">
        <f t="shared" si="8"/>
        <v>0</v>
      </c>
      <c r="AH67" s="531" t="s">
        <v>4335</v>
      </c>
      <c r="AI67" s="607"/>
      <c r="AJ67" s="608">
        <f t="shared" si="30"/>
        <v>6372</v>
      </c>
      <c r="AK67" s="612"/>
      <c r="AL67" s="613">
        <f t="shared" si="33"/>
        <v>6372</v>
      </c>
      <c r="AM67" s="616"/>
      <c r="AN67" s="401"/>
      <c r="AO67" s="401"/>
      <c r="AP67" s="609">
        <f t="shared" si="31"/>
        <v>6372</v>
      </c>
      <c r="AQ67" s="609"/>
      <c r="AR67" s="609">
        <f t="shared" si="40"/>
        <v>6372</v>
      </c>
      <c r="AS67" s="609"/>
      <c r="AT67" s="609"/>
      <c r="AU67" s="609"/>
      <c r="AV67" s="609"/>
      <c r="AW67" s="609"/>
      <c r="AX67" s="633"/>
      <c r="AY67" s="633"/>
      <c r="AZ67" s="633"/>
      <c r="BA67" s="633"/>
      <c r="BB67" s="633"/>
      <c r="BC67" s="633"/>
      <c r="BD67" s="633">
        <f t="shared" si="39"/>
        <v>1062</v>
      </c>
      <c r="BE67" s="633"/>
      <c r="BF67" s="633"/>
      <c r="BG67" s="633"/>
      <c r="BH67" s="633"/>
      <c r="BI67" s="633"/>
      <c r="BJ67" s="633"/>
      <c r="BK67" s="633"/>
      <c r="BL67" s="633"/>
      <c r="BM67" s="633"/>
      <c r="BN67" s="633"/>
      <c r="BQ67" s="3">
        <f t="shared" si="5"/>
        <v>310695</v>
      </c>
    </row>
    <row r="68" s="200" customFormat="1" ht="36" customHeight="1" spans="1:69">
      <c r="A68" s="533">
        <v>45940</v>
      </c>
      <c r="B68" s="527" t="s">
        <v>5248</v>
      </c>
      <c r="C68" s="528" t="s">
        <v>117</v>
      </c>
      <c r="D68" s="534">
        <v>4500179669</v>
      </c>
      <c r="E68" s="530">
        <v>4559826486</v>
      </c>
      <c r="F68" s="534" t="s">
        <v>5263</v>
      </c>
      <c r="G68" s="531" t="s">
        <v>5250</v>
      </c>
      <c r="H68" s="532" t="s">
        <v>5251</v>
      </c>
      <c r="I68" s="401">
        <v>3780</v>
      </c>
      <c r="J68" s="562">
        <v>0</v>
      </c>
      <c r="K68" s="531">
        <v>6</v>
      </c>
      <c r="L68" s="503">
        <f t="shared" si="41"/>
        <v>630</v>
      </c>
      <c r="M68" s="563">
        <v>45980</v>
      </c>
      <c r="N68" s="563">
        <v>45976</v>
      </c>
      <c r="O68" s="564" t="s">
        <v>5252</v>
      </c>
      <c r="P68" s="564" t="s">
        <v>92</v>
      </c>
      <c r="Q68" s="564" t="s">
        <v>2939</v>
      </c>
      <c r="R68" s="579">
        <v>45925</v>
      </c>
      <c r="S68" s="578" t="s">
        <v>77</v>
      </c>
      <c r="T68" s="564" t="s">
        <v>5253</v>
      </c>
      <c r="U68" s="564"/>
      <c r="V68" s="564"/>
      <c r="W68" s="564" t="s">
        <v>5254</v>
      </c>
      <c r="X68" s="530" t="s">
        <v>5255</v>
      </c>
      <c r="Y68" s="596" t="s">
        <v>903</v>
      </c>
      <c r="Z68" s="592">
        <v>0.9</v>
      </c>
      <c r="AA68" s="593">
        <f t="shared" si="36"/>
        <v>3402</v>
      </c>
      <c r="AB68" s="401" t="s">
        <v>5264</v>
      </c>
      <c r="AC68" s="531" t="s">
        <v>5250</v>
      </c>
      <c r="AD68" s="595" t="s">
        <v>128</v>
      </c>
      <c r="AE68" s="700" t="s">
        <v>4930</v>
      </c>
      <c r="AF68" s="531">
        <v>3780</v>
      </c>
      <c r="AG68" s="531">
        <f t="shared" si="8"/>
        <v>0</v>
      </c>
      <c r="AH68" s="531" t="s">
        <v>4335</v>
      </c>
      <c r="AI68" s="607"/>
      <c r="AJ68" s="608">
        <f t="shared" si="30"/>
        <v>3780</v>
      </c>
      <c r="AK68" s="612"/>
      <c r="AL68" s="613">
        <f t="shared" si="33"/>
        <v>3780</v>
      </c>
      <c r="AM68" s="616"/>
      <c r="AN68" s="401"/>
      <c r="AO68" s="401"/>
      <c r="AP68" s="609">
        <f t="shared" si="31"/>
        <v>3780</v>
      </c>
      <c r="AQ68" s="609"/>
      <c r="AR68" s="609">
        <f t="shared" si="40"/>
        <v>3780</v>
      </c>
      <c r="AS68" s="609"/>
      <c r="AT68" s="609"/>
      <c r="AU68" s="609"/>
      <c r="AV68" s="609"/>
      <c r="AW68" s="609"/>
      <c r="AX68" s="633"/>
      <c r="AY68" s="633"/>
      <c r="AZ68" s="633"/>
      <c r="BA68" s="633"/>
      <c r="BB68" s="633"/>
      <c r="BC68" s="633"/>
      <c r="BD68" s="633">
        <f t="shared" si="39"/>
        <v>630</v>
      </c>
      <c r="BE68" s="633"/>
      <c r="BF68" s="633"/>
      <c r="BG68" s="633"/>
      <c r="BH68" s="633"/>
      <c r="BI68" s="633"/>
      <c r="BJ68" s="633"/>
      <c r="BK68" s="633"/>
      <c r="BL68" s="633"/>
      <c r="BM68" s="633"/>
      <c r="BN68" s="633"/>
      <c r="BQ68" s="3">
        <f t="shared" ref="BQ68:BQ131" si="42">AJ68+BQ67</f>
        <v>314475</v>
      </c>
    </row>
    <row r="69" s="200" customFormat="1" ht="36" customHeight="1" spans="1:69">
      <c r="A69" s="533">
        <v>45940</v>
      </c>
      <c r="B69" s="527" t="s">
        <v>5248</v>
      </c>
      <c r="C69" s="528" t="s">
        <v>117</v>
      </c>
      <c r="D69" s="534">
        <v>4500179669</v>
      </c>
      <c r="E69" s="530">
        <v>4559826721</v>
      </c>
      <c r="F69" s="534" t="s">
        <v>5265</v>
      </c>
      <c r="G69" s="531" t="s">
        <v>5250</v>
      </c>
      <c r="H69" s="532" t="s">
        <v>5251</v>
      </c>
      <c r="I69" s="401">
        <v>4098</v>
      </c>
      <c r="J69" s="562">
        <v>0</v>
      </c>
      <c r="K69" s="531">
        <v>6</v>
      </c>
      <c r="L69" s="503">
        <f t="shared" si="41"/>
        <v>683</v>
      </c>
      <c r="M69" s="563">
        <v>45980</v>
      </c>
      <c r="N69" s="563">
        <v>45976</v>
      </c>
      <c r="O69" s="564" t="s">
        <v>5252</v>
      </c>
      <c r="P69" s="564" t="s">
        <v>92</v>
      </c>
      <c r="Q69" s="564" t="s">
        <v>2939</v>
      </c>
      <c r="R69" s="579">
        <v>45925</v>
      </c>
      <c r="S69" s="578" t="s">
        <v>77</v>
      </c>
      <c r="T69" s="564" t="s">
        <v>5253</v>
      </c>
      <c r="U69" s="564"/>
      <c r="V69" s="564"/>
      <c r="W69" s="564" t="s">
        <v>5254</v>
      </c>
      <c r="X69" s="530" t="s">
        <v>5255</v>
      </c>
      <c r="Y69" s="596" t="s">
        <v>903</v>
      </c>
      <c r="Z69" s="592">
        <v>0.9</v>
      </c>
      <c r="AA69" s="593">
        <f t="shared" si="36"/>
        <v>3688.2</v>
      </c>
      <c r="AB69" s="401" t="s">
        <v>5266</v>
      </c>
      <c r="AC69" s="531" t="s">
        <v>5250</v>
      </c>
      <c r="AD69" s="595" t="s">
        <v>128</v>
      </c>
      <c r="AE69" s="700" t="s">
        <v>4930</v>
      </c>
      <c r="AF69" s="531">
        <v>4098</v>
      </c>
      <c r="AG69" s="531">
        <f t="shared" si="8"/>
        <v>0</v>
      </c>
      <c r="AH69" s="531" t="s">
        <v>4335</v>
      </c>
      <c r="AI69" s="607"/>
      <c r="AJ69" s="608">
        <f t="shared" si="30"/>
        <v>4098</v>
      </c>
      <c r="AK69" s="612"/>
      <c r="AL69" s="613">
        <f t="shared" si="33"/>
        <v>4098</v>
      </c>
      <c r="AM69" s="616"/>
      <c r="AN69" s="401"/>
      <c r="AO69" s="401"/>
      <c r="AP69" s="609">
        <f t="shared" si="31"/>
        <v>4098</v>
      </c>
      <c r="AQ69" s="609"/>
      <c r="AR69" s="609">
        <f t="shared" si="40"/>
        <v>4098</v>
      </c>
      <c r="AS69" s="609"/>
      <c r="AT69" s="609"/>
      <c r="AU69" s="609"/>
      <c r="AV69" s="609"/>
      <c r="AW69" s="609"/>
      <c r="AX69" s="633"/>
      <c r="AY69" s="633"/>
      <c r="AZ69" s="633"/>
      <c r="BA69" s="633"/>
      <c r="BB69" s="633"/>
      <c r="BC69" s="633"/>
      <c r="BD69" s="633">
        <f t="shared" si="39"/>
        <v>683</v>
      </c>
      <c r="BE69" s="633"/>
      <c r="BF69" s="633"/>
      <c r="BG69" s="633"/>
      <c r="BH69" s="633"/>
      <c r="BI69" s="633"/>
      <c r="BJ69" s="633"/>
      <c r="BK69" s="633"/>
      <c r="BL69" s="633"/>
      <c r="BM69" s="633"/>
      <c r="BN69" s="633"/>
      <c r="BQ69" s="3">
        <f t="shared" si="42"/>
        <v>318573</v>
      </c>
    </row>
    <row r="70" s="200" customFormat="1" ht="36" customHeight="1" spans="1:69">
      <c r="A70" s="533">
        <v>45940</v>
      </c>
      <c r="B70" s="527" t="s">
        <v>5248</v>
      </c>
      <c r="C70" s="528" t="s">
        <v>117</v>
      </c>
      <c r="D70" s="534">
        <v>4500179669</v>
      </c>
      <c r="E70" s="530">
        <v>4559826639</v>
      </c>
      <c r="F70" s="534" t="s">
        <v>5267</v>
      </c>
      <c r="G70" s="531" t="s">
        <v>5250</v>
      </c>
      <c r="H70" s="532" t="s">
        <v>5251</v>
      </c>
      <c r="I70" s="401">
        <v>5214</v>
      </c>
      <c r="J70" s="562">
        <v>0</v>
      </c>
      <c r="K70" s="531">
        <v>6</v>
      </c>
      <c r="L70" s="503">
        <f t="shared" si="41"/>
        <v>869</v>
      </c>
      <c r="M70" s="563">
        <v>45980</v>
      </c>
      <c r="N70" s="563">
        <v>45976</v>
      </c>
      <c r="O70" s="564" t="s">
        <v>5252</v>
      </c>
      <c r="P70" s="564" t="s">
        <v>92</v>
      </c>
      <c r="Q70" s="564" t="s">
        <v>2939</v>
      </c>
      <c r="R70" s="579">
        <v>45925</v>
      </c>
      <c r="S70" s="578" t="s">
        <v>77</v>
      </c>
      <c r="T70" s="564" t="s">
        <v>5253</v>
      </c>
      <c r="U70" s="564"/>
      <c r="V70" s="564"/>
      <c r="W70" s="564" t="s">
        <v>5254</v>
      </c>
      <c r="X70" s="530" t="s">
        <v>5255</v>
      </c>
      <c r="Y70" s="596" t="s">
        <v>903</v>
      </c>
      <c r="Z70" s="592">
        <v>0.9</v>
      </c>
      <c r="AA70" s="593">
        <f t="shared" si="36"/>
        <v>4692.6</v>
      </c>
      <c r="AB70" s="401" t="s">
        <v>5268</v>
      </c>
      <c r="AC70" s="531" t="s">
        <v>5250</v>
      </c>
      <c r="AD70" s="595" t="s">
        <v>128</v>
      </c>
      <c r="AE70" s="700" t="s">
        <v>4930</v>
      </c>
      <c r="AF70" s="531">
        <v>5214</v>
      </c>
      <c r="AG70" s="531">
        <f t="shared" si="8"/>
        <v>0</v>
      </c>
      <c r="AH70" s="531" t="s">
        <v>4335</v>
      </c>
      <c r="AI70" s="607"/>
      <c r="AJ70" s="608">
        <f t="shared" si="30"/>
        <v>5214</v>
      </c>
      <c r="AK70" s="612"/>
      <c r="AL70" s="613">
        <f t="shared" si="33"/>
        <v>5214</v>
      </c>
      <c r="AM70" s="616"/>
      <c r="AN70" s="401"/>
      <c r="AO70" s="401"/>
      <c r="AP70" s="609">
        <f t="shared" si="31"/>
        <v>5214</v>
      </c>
      <c r="AQ70" s="609"/>
      <c r="AR70" s="609">
        <f t="shared" si="40"/>
        <v>5214</v>
      </c>
      <c r="AS70" s="609"/>
      <c r="AT70" s="609"/>
      <c r="AU70" s="609"/>
      <c r="AV70" s="609"/>
      <c r="AW70" s="609"/>
      <c r="AX70" s="633"/>
      <c r="AY70" s="633"/>
      <c r="AZ70" s="633"/>
      <c r="BA70" s="633"/>
      <c r="BB70" s="633"/>
      <c r="BC70" s="633"/>
      <c r="BD70" s="633">
        <f t="shared" si="39"/>
        <v>869</v>
      </c>
      <c r="BE70" s="633"/>
      <c r="BF70" s="633"/>
      <c r="BG70" s="633"/>
      <c r="BH70" s="633"/>
      <c r="BI70" s="633"/>
      <c r="BJ70" s="633"/>
      <c r="BK70" s="633"/>
      <c r="BL70" s="633"/>
      <c r="BM70" s="633"/>
      <c r="BN70" s="633"/>
      <c r="BQ70" s="3">
        <f t="shared" si="42"/>
        <v>323787</v>
      </c>
    </row>
    <row r="71" s="200" customFormat="1" ht="36" customHeight="1" spans="1:69">
      <c r="A71" s="533">
        <v>45940</v>
      </c>
      <c r="B71" s="527" t="s">
        <v>5248</v>
      </c>
      <c r="C71" s="528" t="s">
        <v>117</v>
      </c>
      <c r="D71" s="534">
        <v>4500179669</v>
      </c>
      <c r="E71" s="530">
        <v>4559826611</v>
      </c>
      <c r="F71" s="534" t="s">
        <v>5269</v>
      </c>
      <c r="G71" s="531" t="s">
        <v>5250</v>
      </c>
      <c r="H71" s="532" t="s">
        <v>5251</v>
      </c>
      <c r="I71" s="401">
        <v>5826</v>
      </c>
      <c r="J71" s="562">
        <v>0</v>
      </c>
      <c r="K71" s="531">
        <v>6</v>
      </c>
      <c r="L71" s="503">
        <f t="shared" si="41"/>
        <v>971</v>
      </c>
      <c r="M71" s="563">
        <v>45980</v>
      </c>
      <c r="N71" s="563">
        <v>45976</v>
      </c>
      <c r="O71" s="564" t="s">
        <v>5252</v>
      </c>
      <c r="P71" s="564" t="s">
        <v>92</v>
      </c>
      <c r="Q71" s="564" t="s">
        <v>2939</v>
      </c>
      <c r="R71" s="579">
        <v>45925</v>
      </c>
      <c r="S71" s="578" t="s">
        <v>77</v>
      </c>
      <c r="T71" s="564" t="s">
        <v>5253</v>
      </c>
      <c r="U71" s="564"/>
      <c r="V71" s="564"/>
      <c r="W71" s="564" t="s">
        <v>5254</v>
      </c>
      <c r="X71" s="530" t="s">
        <v>5255</v>
      </c>
      <c r="Y71" s="596" t="s">
        <v>903</v>
      </c>
      <c r="Z71" s="592">
        <v>0.9</v>
      </c>
      <c r="AA71" s="593">
        <f t="shared" si="36"/>
        <v>5243.4</v>
      </c>
      <c r="AB71" s="401" t="s">
        <v>5270</v>
      </c>
      <c r="AC71" s="531" t="s">
        <v>5250</v>
      </c>
      <c r="AD71" s="595" t="s">
        <v>128</v>
      </c>
      <c r="AE71" s="700" t="s">
        <v>4930</v>
      </c>
      <c r="AF71" s="531">
        <f>2904+2922</f>
        <v>5826</v>
      </c>
      <c r="AG71" s="531">
        <f t="shared" si="8"/>
        <v>0</v>
      </c>
      <c r="AH71" s="531" t="s">
        <v>4335</v>
      </c>
      <c r="AI71" s="607"/>
      <c r="AJ71" s="608">
        <f t="shared" si="30"/>
        <v>5826</v>
      </c>
      <c r="AK71" s="612"/>
      <c r="AL71" s="613">
        <f t="shared" si="33"/>
        <v>5826</v>
      </c>
      <c r="AM71" s="616"/>
      <c r="AN71" s="401"/>
      <c r="AO71" s="401"/>
      <c r="AP71" s="609">
        <f t="shared" si="31"/>
        <v>5826</v>
      </c>
      <c r="AQ71" s="609"/>
      <c r="AR71" s="609">
        <f t="shared" si="40"/>
        <v>5826</v>
      </c>
      <c r="AS71" s="609"/>
      <c r="AT71" s="609"/>
      <c r="AU71" s="609"/>
      <c r="AV71" s="609"/>
      <c r="AW71" s="609"/>
      <c r="AX71" s="633"/>
      <c r="AY71" s="633"/>
      <c r="AZ71" s="633"/>
      <c r="BA71" s="633"/>
      <c r="BB71" s="633"/>
      <c r="BC71" s="633"/>
      <c r="BD71" s="633">
        <f t="shared" si="39"/>
        <v>971</v>
      </c>
      <c r="BE71" s="633"/>
      <c r="BF71" s="633"/>
      <c r="BG71" s="633"/>
      <c r="BH71" s="633"/>
      <c r="BI71" s="633"/>
      <c r="BJ71" s="633"/>
      <c r="BK71" s="633"/>
      <c r="BL71" s="633"/>
      <c r="BM71" s="633"/>
      <c r="BN71" s="633"/>
      <c r="BQ71" s="3">
        <f t="shared" si="42"/>
        <v>329613</v>
      </c>
    </row>
    <row r="72" s="200" customFormat="1" ht="36" customHeight="1" spans="1:69">
      <c r="A72" s="533">
        <v>45940</v>
      </c>
      <c r="B72" s="527" t="s">
        <v>5248</v>
      </c>
      <c r="C72" s="528" t="s">
        <v>117</v>
      </c>
      <c r="D72" s="534">
        <v>4500179669</v>
      </c>
      <c r="E72" s="530">
        <v>4559826547</v>
      </c>
      <c r="F72" s="534" t="s">
        <v>5271</v>
      </c>
      <c r="G72" s="531" t="s">
        <v>5250</v>
      </c>
      <c r="H72" s="532" t="s">
        <v>5251</v>
      </c>
      <c r="I72" s="401">
        <v>4902</v>
      </c>
      <c r="J72" s="562">
        <v>0</v>
      </c>
      <c r="K72" s="531">
        <v>6</v>
      </c>
      <c r="L72" s="503">
        <f t="shared" si="41"/>
        <v>817</v>
      </c>
      <c r="M72" s="563">
        <v>45980</v>
      </c>
      <c r="N72" s="563">
        <v>45976</v>
      </c>
      <c r="O72" s="564" t="s">
        <v>5252</v>
      </c>
      <c r="P72" s="564" t="s">
        <v>92</v>
      </c>
      <c r="Q72" s="564" t="s">
        <v>2939</v>
      </c>
      <c r="R72" s="579">
        <v>45925</v>
      </c>
      <c r="S72" s="578" t="s">
        <v>77</v>
      </c>
      <c r="T72" s="564" t="s">
        <v>5253</v>
      </c>
      <c r="U72" s="564"/>
      <c r="V72" s="564"/>
      <c r="W72" s="564" t="s">
        <v>5254</v>
      </c>
      <c r="X72" s="530" t="s">
        <v>5255</v>
      </c>
      <c r="Y72" s="596" t="s">
        <v>903</v>
      </c>
      <c r="Z72" s="592">
        <v>0.9</v>
      </c>
      <c r="AA72" s="593">
        <f t="shared" si="36"/>
        <v>4411.8</v>
      </c>
      <c r="AB72" s="401" t="s">
        <v>5272</v>
      </c>
      <c r="AC72" s="531" t="s">
        <v>5250</v>
      </c>
      <c r="AD72" s="595" t="s">
        <v>128</v>
      </c>
      <c r="AE72" s="700" t="s">
        <v>4930</v>
      </c>
      <c r="AF72" s="531">
        <v>4902</v>
      </c>
      <c r="AG72" s="531">
        <f t="shared" si="8"/>
        <v>0</v>
      </c>
      <c r="AH72" s="531" t="s">
        <v>4335</v>
      </c>
      <c r="AI72" s="607"/>
      <c r="AJ72" s="608">
        <f t="shared" si="30"/>
        <v>4902</v>
      </c>
      <c r="AK72" s="612"/>
      <c r="AL72" s="613">
        <f t="shared" si="33"/>
        <v>4902</v>
      </c>
      <c r="AM72" s="616"/>
      <c r="AN72" s="401"/>
      <c r="AO72" s="401"/>
      <c r="AP72" s="609">
        <f t="shared" si="31"/>
        <v>4902</v>
      </c>
      <c r="AQ72" s="609"/>
      <c r="AR72" s="609">
        <f t="shared" si="40"/>
        <v>4902</v>
      </c>
      <c r="AS72" s="609"/>
      <c r="AT72" s="609"/>
      <c r="AU72" s="609"/>
      <c r="AV72" s="609"/>
      <c r="AW72" s="609"/>
      <c r="AX72" s="633"/>
      <c r="AY72" s="633"/>
      <c r="AZ72" s="633"/>
      <c r="BA72" s="633"/>
      <c r="BB72" s="633"/>
      <c r="BC72" s="633"/>
      <c r="BD72" s="633">
        <f t="shared" si="39"/>
        <v>817</v>
      </c>
      <c r="BE72" s="633"/>
      <c r="BF72" s="633"/>
      <c r="BG72" s="633"/>
      <c r="BH72" s="633"/>
      <c r="BI72" s="633"/>
      <c r="BJ72" s="633"/>
      <c r="BK72" s="633"/>
      <c r="BL72" s="633"/>
      <c r="BM72" s="633"/>
      <c r="BN72" s="633"/>
      <c r="BQ72" s="3">
        <f t="shared" si="42"/>
        <v>334515</v>
      </c>
    </row>
    <row r="73" s="200" customFormat="1" ht="36" customHeight="1" spans="1:69">
      <c r="A73" s="533">
        <v>45941</v>
      </c>
      <c r="B73" s="527" t="s">
        <v>5273</v>
      </c>
      <c r="C73" s="528" t="s">
        <v>1162</v>
      </c>
      <c r="D73" s="534">
        <v>4500181278</v>
      </c>
      <c r="E73" s="530">
        <v>5200007921</v>
      </c>
      <c r="F73" s="534" t="s">
        <v>5274</v>
      </c>
      <c r="G73" s="531" t="s">
        <v>5047</v>
      </c>
      <c r="H73" s="532" t="s">
        <v>5048</v>
      </c>
      <c r="I73" s="401">
        <v>2886</v>
      </c>
      <c r="J73" s="562">
        <v>0</v>
      </c>
      <c r="K73" s="531">
        <v>13</v>
      </c>
      <c r="L73" s="503">
        <f t="shared" si="41"/>
        <v>222</v>
      </c>
      <c r="M73" s="563">
        <v>45981</v>
      </c>
      <c r="N73" s="563">
        <v>45978</v>
      </c>
      <c r="O73" s="564"/>
      <c r="P73" s="564" t="s">
        <v>92</v>
      </c>
      <c r="Q73" s="564" t="s">
        <v>5275</v>
      </c>
      <c r="R73" s="579">
        <v>45947</v>
      </c>
      <c r="S73" s="578" t="s">
        <v>77</v>
      </c>
      <c r="T73" s="578" t="s">
        <v>5276</v>
      </c>
      <c r="U73" s="564"/>
      <c r="V73" s="564"/>
      <c r="W73" s="564"/>
      <c r="X73" s="530" t="s">
        <v>5277</v>
      </c>
      <c r="Y73" s="596" t="s">
        <v>5133</v>
      </c>
      <c r="Z73" s="592">
        <v>1.43</v>
      </c>
      <c r="AA73" s="593">
        <f t="shared" si="36"/>
        <v>4126.98</v>
      </c>
      <c r="AB73" s="709" t="s">
        <v>5278</v>
      </c>
      <c r="AC73" s="531" t="s">
        <v>5047</v>
      </c>
      <c r="AD73" s="595" t="s">
        <v>128</v>
      </c>
      <c r="AE73" s="699" t="s">
        <v>4930</v>
      </c>
      <c r="AF73" s="531">
        <v>2886</v>
      </c>
      <c r="AG73" s="531">
        <f t="shared" si="8"/>
        <v>0</v>
      </c>
      <c r="AH73" s="531" t="s">
        <v>4335</v>
      </c>
      <c r="AI73" s="607"/>
      <c r="AJ73" s="608">
        <f t="shared" si="30"/>
        <v>2886</v>
      </c>
      <c r="AK73" s="612"/>
      <c r="AL73" s="613"/>
      <c r="AM73" s="616">
        <f>I73</f>
        <v>2886</v>
      </c>
      <c r="AN73" s="401"/>
      <c r="AO73" s="401"/>
      <c r="AP73" s="609">
        <f t="shared" si="31"/>
        <v>2886</v>
      </c>
      <c r="AQ73" s="609"/>
      <c r="AR73" s="401"/>
      <c r="AS73" s="609">
        <f t="shared" ref="AS73:AS77" si="43">AJ73</f>
        <v>2886</v>
      </c>
      <c r="AT73" s="609"/>
      <c r="AU73" s="609">
        <f>I73</f>
        <v>2886</v>
      </c>
      <c r="AV73" s="609">
        <f>I73</f>
        <v>2886</v>
      </c>
      <c r="AW73" s="609"/>
      <c r="AX73" s="633">
        <f>I73/13</f>
        <v>222</v>
      </c>
      <c r="AY73" s="633"/>
      <c r="AZ73" s="633"/>
      <c r="BA73" s="633"/>
      <c r="BB73" s="633"/>
      <c r="BC73" s="633"/>
      <c r="BD73" s="633"/>
      <c r="BE73" s="633"/>
      <c r="BF73" s="633"/>
      <c r="BG73" s="633"/>
      <c r="BH73" s="633"/>
      <c r="BI73" s="633"/>
      <c r="BJ73" s="633"/>
      <c r="BK73" s="633"/>
      <c r="BL73" s="633"/>
      <c r="BM73" s="633"/>
      <c r="BN73" s="633"/>
      <c r="BQ73" s="3">
        <f t="shared" si="42"/>
        <v>337401</v>
      </c>
    </row>
    <row r="74" s="200" customFormat="1" ht="36" customHeight="1" spans="1:69">
      <c r="A74" s="533">
        <v>45932</v>
      </c>
      <c r="B74" s="527" t="s">
        <v>449</v>
      </c>
      <c r="C74" s="528" t="s">
        <v>477</v>
      </c>
      <c r="D74" s="534">
        <v>4500181154</v>
      </c>
      <c r="E74" s="530" t="s">
        <v>5279</v>
      </c>
      <c r="F74" s="534" t="s">
        <v>5280</v>
      </c>
      <c r="G74" s="531" t="s">
        <v>5092</v>
      </c>
      <c r="H74" s="532" t="s">
        <v>5093</v>
      </c>
      <c r="I74" s="401">
        <v>816</v>
      </c>
      <c r="J74" s="562">
        <v>0</v>
      </c>
      <c r="K74" s="531">
        <v>12</v>
      </c>
      <c r="L74" s="503">
        <f t="shared" si="41"/>
        <v>68</v>
      </c>
      <c r="M74" s="563">
        <v>45982</v>
      </c>
      <c r="N74" s="563">
        <v>45978</v>
      </c>
      <c r="O74" s="564"/>
      <c r="P74" s="564" t="s">
        <v>92</v>
      </c>
      <c r="Q74" s="564" t="s">
        <v>5281</v>
      </c>
      <c r="R74" s="579" t="s">
        <v>5282</v>
      </c>
      <c r="S74" s="564" t="s">
        <v>123</v>
      </c>
      <c r="T74" s="564" t="s">
        <v>5283</v>
      </c>
      <c r="U74" s="564"/>
      <c r="V74" s="564"/>
      <c r="W74" s="564"/>
      <c r="X74" s="530" t="s">
        <v>5284</v>
      </c>
      <c r="Y74" s="596" t="s">
        <v>186</v>
      </c>
      <c r="Z74" s="592">
        <v>3.18</v>
      </c>
      <c r="AA74" s="593">
        <f t="shared" si="36"/>
        <v>2594.88</v>
      </c>
      <c r="AB74" s="401" t="s">
        <v>5285</v>
      </c>
      <c r="AC74" s="607" t="s">
        <v>5098</v>
      </c>
      <c r="AD74" s="595" t="s">
        <v>128</v>
      </c>
      <c r="AE74" s="699" t="s">
        <v>4930</v>
      </c>
      <c r="AF74" s="531">
        <v>816</v>
      </c>
      <c r="AG74" s="531">
        <f t="shared" si="8"/>
        <v>0</v>
      </c>
      <c r="AH74" s="531" t="s">
        <v>4335</v>
      </c>
      <c r="AI74" s="607"/>
      <c r="AJ74" s="608">
        <f>I74*2</f>
        <v>1632</v>
      </c>
      <c r="AK74" s="612"/>
      <c r="AL74" s="613"/>
      <c r="AM74" s="616"/>
      <c r="AN74" s="401">
        <f>I74*2</f>
        <v>1632</v>
      </c>
      <c r="AO74" s="401"/>
      <c r="AP74" s="609">
        <f>I74*2</f>
        <v>1632</v>
      </c>
      <c r="AQ74" s="609"/>
      <c r="AR74" s="609"/>
      <c r="AS74" s="609">
        <f t="shared" si="43"/>
        <v>1632</v>
      </c>
      <c r="AT74" s="609"/>
      <c r="AU74" s="609">
        <f>I74</f>
        <v>816</v>
      </c>
      <c r="AV74" s="609"/>
      <c r="AW74" s="609"/>
      <c r="AX74" s="633"/>
      <c r="AY74" s="633"/>
      <c r="AZ74" s="633"/>
      <c r="BA74" s="633"/>
      <c r="BB74" s="633"/>
      <c r="BC74" s="633"/>
      <c r="BD74" s="633"/>
      <c r="BE74" s="633"/>
      <c r="BF74" s="633"/>
      <c r="BG74" s="633"/>
      <c r="BH74" s="633"/>
      <c r="BI74" s="633"/>
      <c r="BJ74" s="633"/>
      <c r="BK74" s="633"/>
      <c r="BL74" s="633"/>
      <c r="BM74" s="633">
        <f>I74</f>
        <v>816</v>
      </c>
      <c r="BN74" s="633">
        <f>I74</f>
        <v>816</v>
      </c>
      <c r="BQ74" s="3">
        <f t="shared" si="42"/>
        <v>339033</v>
      </c>
    </row>
    <row r="75" s="200" customFormat="1" ht="36" customHeight="1" spans="1:69">
      <c r="A75" s="533">
        <v>45941</v>
      </c>
      <c r="B75" s="527" t="s">
        <v>116</v>
      </c>
      <c r="C75" s="528" t="s">
        <v>117</v>
      </c>
      <c r="D75" s="534">
        <v>4500181503</v>
      </c>
      <c r="E75" s="530" t="s">
        <v>5286</v>
      </c>
      <c r="F75" s="534" t="s">
        <v>5287</v>
      </c>
      <c r="G75" s="531" t="s">
        <v>4988</v>
      </c>
      <c r="H75" s="532" t="s">
        <v>4989</v>
      </c>
      <c r="I75" s="401">
        <v>7000</v>
      </c>
      <c r="J75" s="562">
        <v>0</v>
      </c>
      <c r="K75" s="531">
        <v>25</v>
      </c>
      <c r="L75" s="503">
        <f t="shared" si="41"/>
        <v>280</v>
      </c>
      <c r="M75" s="563">
        <v>45982</v>
      </c>
      <c r="N75" s="563">
        <v>45978</v>
      </c>
      <c r="O75" s="564"/>
      <c r="P75" s="564" t="s">
        <v>92</v>
      </c>
      <c r="Q75" s="564" t="s">
        <v>5281</v>
      </c>
      <c r="R75" s="579">
        <v>45944</v>
      </c>
      <c r="S75" s="564" t="s">
        <v>77</v>
      </c>
      <c r="T75" s="564" t="s">
        <v>77</v>
      </c>
      <c r="U75" s="564"/>
      <c r="V75" s="564"/>
      <c r="W75" s="564"/>
      <c r="X75" s="530" t="s">
        <v>5288</v>
      </c>
      <c r="Y75" s="596" t="s">
        <v>126</v>
      </c>
      <c r="Z75" s="592">
        <v>0.96</v>
      </c>
      <c r="AA75" s="593">
        <f t="shared" si="36"/>
        <v>6720</v>
      </c>
      <c r="AB75" s="401"/>
      <c r="AC75" s="607" t="s">
        <v>4988</v>
      </c>
      <c r="AD75" s="595" t="s">
        <v>128</v>
      </c>
      <c r="AE75" s="699" t="s">
        <v>4930</v>
      </c>
      <c r="AF75" s="531">
        <f>6950+50</f>
        <v>7000</v>
      </c>
      <c r="AG75" s="531">
        <f t="shared" ref="AG75:AG138" si="44">AF75-I75</f>
        <v>0</v>
      </c>
      <c r="AH75" s="531" t="s">
        <v>75</v>
      </c>
      <c r="AI75" s="607"/>
      <c r="AJ75" s="608">
        <f t="shared" ref="AJ75:AJ80" si="45">I75</f>
        <v>7000</v>
      </c>
      <c r="AK75" s="608"/>
      <c r="AL75" s="609">
        <f t="shared" ref="AL75:AL78" si="46">I75</f>
        <v>7000</v>
      </c>
      <c r="AM75" s="616"/>
      <c r="AN75" s="401"/>
      <c r="AO75" s="401"/>
      <c r="AP75" s="609">
        <f t="shared" ref="AP75:AP80" si="47">I75</f>
        <v>7000</v>
      </c>
      <c r="AQ75" s="609"/>
      <c r="AR75" s="609"/>
      <c r="AS75" s="609">
        <f>I75</f>
        <v>7000</v>
      </c>
      <c r="AT75" s="609"/>
      <c r="AU75" s="609"/>
      <c r="AV75" s="609"/>
      <c r="AW75" s="609"/>
      <c r="AX75" s="633"/>
      <c r="AY75" s="633"/>
      <c r="AZ75" s="633"/>
      <c r="BA75" s="633">
        <f>I75/25</f>
        <v>280</v>
      </c>
      <c r="BB75" s="633"/>
      <c r="BC75" s="633"/>
      <c r="BD75" s="633"/>
      <c r="BE75" s="633"/>
      <c r="BF75" s="633"/>
      <c r="BG75" s="633"/>
      <c r="BH75" s="633"/>
      <c r="BI75" s="633"/>
      <c r="BJ75" s="633"/>
      <c r="BK75" s="633"/>
      <c r="BL75" s="633"/>
      <c r="BM75" s="633"/>
      <c r="BN75" s="633"/>
      <c r="BQ75" s="3">
        <f t="shared" si="42"/>
        <v>346033</v>
      </c>
    </row>
    <row r="76" s="200" customFormat="1" ht="36" customHeight="1" spans="1:69">
      <c r="A76" s="533">
        <v>45946</v>
      </c>
      <c r="B76" s="527" t="s">
        <v>4976</v>
      </c>
      <c r="C76" s="528" t="s">
        <v>117</v>
      </c>
      <c r="D76" s="534">
        <v>4500182123</v>
      </c>
      <c r="E76" s="1678" t="s">
        <v>5289</v>
      </c>
      <c r="F76" s="534" t="s">
        <v>5290</v>
      </c>
      <c r="G76" s="531" t="s">
        <v>4979</v>
      </c>
      <c r="H76" s="532" t="s">
        <v>4980</v>
      </c>
      <c r="I76" s="401">
        <v>960</v>
      </c>
      <c r="J76" s="562">
        <v>0</v>
      </c>
      <c r="K76" s="531">
        <v>16</v>
      </c>
      <c r="L76" s="503">
        <f t="shared" si="41"/>
        <v>60</v>
      </c>
      <c r="M76" s="563">
        <v>45985</v>
      </c>
      <c r="N76" s="563">
        <v>45981</v>
      </c>
      <c r="O76" s="564" t="s">
        <v>5291</v>
      </c>
      <c r="P76" s="564" t="s">
        <v>92</v>
      </c>
      <c r="Q76" s="564" t="s">
        <v>5292</v>
      </c>
      <c r="R76" s="564" t="s">
        <v>1102</v>
      </c>
      <c r="S76" s="564" t="s">
        <v>123</v>
      </c>
      <c r="T76" s="578" t="s">
        <v>5244</v>
      </c>
      <c r="U76" s="564" t="s">
        <v>4983</v>
      </c>
      <c r="V76" s="564"/>
      <c r="W76" s="564"/>
      <c r="X76" s="530" t="s">
        <v>5005</v>
      </c>
      <c r="Y76" s="596" t="s">
        <v>634</v>
      </c>
      <c r="Z76" s="592">
        <v>0.96</v>
      </c>
      <c r="AA76" s="593">
        <f t="shared" si="36"/>
        <v>921.6</v>
      </c>
      <c r="AB76" s="401"/>
      <c r="AC76" s="531" t="s">
        <v>4979</v>
      </c>
      <c r="AD76" s="595" t="s">
        <v>128</v>
      </c>
      <c r="AE76" s="699" t="s">
        <v>4930</v>
      </c>
      <c r="AF76" s="425">
        <v>960</v>
      </c>
      <c r="AG76" s="531">
        <f t="shared" si="44"/>
        <v>0</v>
      </c>
      <c r="AH76" s="531" t="s">
        <v>4335</v>
      </c>
      <c r="AI76" s="607"/>
      <c r="AJ76" s="608">
        <f t="shared" si="45"/>
        <v>960</v>
      </c>
      <c r="AK76" s="608"/>
      <c r="AL76" s="609">
        <f t="shared" si="46"/>
        <v>960</v>
      </c>
      <c r="AM76" s="616"/>
      <c r="AN76" s="401"/>
      <c r="AO76" s="401"/>
      <c r="AP76" s="609">
        <f t="shared" si="47"/>
        <v>960</v>
      </c>
      <c r="AQ76" s="609"/>
      <c r="AR76" s="401"/>
      <c r="AS76" s="609">
        <f>AP76</f>
        <v>960</v>
      </c>
      <c r="AT76" s="609"/>
      <c r="AU76" s="609"/>
      <c r="AV76" s="609"/>
      <c r="AW76" s="609"/>
      <c r="AX76" s="633"/>
      <c r="AY76" s="633"/>
      <c r="AZ76" s="633"/>
      <c r="BA76" s="633"/>
      <c r="BB76" s="633"/>
      <c r="BC76" s="633">
        <f>I76/16</f>
        <v>60</v>
      </c>
      <c r="BD76" s="633"/>
      <c r="BE76" s="633"/>
      <c r="BF76" s="633"/>
      <c r="BG76" s="633"/>
      <c r="BH76" s="633"/>
      <c r="BI76" s="633"/>
      <c r="BJ76" s="633"/>
      <c r="BK76" s="633"/>
      <c r="BL76" s="633"/>
      <c r="BM76" s="633"/>
      <c r="BN76" s="633"/>
      <c r="BQ76" s="3">
        <f t="shared" si="42"/>
        <v>346993</v>
      </c>
    </row>
    <row r="77" s="200" customFormat="1" ht="36" customHeight="1" spans="1:69">
      <c r="A77" s="533">
        <v>45951</v>
      </c>
      <c r="B77" s="527" t="s">
        <v>5293</v>
      </c>
      <c r="C77" s="528" t="s">
        <v>1549</v>
      </c>
      <c r="D77" s="534">
        <v>4500181627</v>
      </c>
      <c r="E77" s="530"/>
      <c r="F77" s="534" t="s">
        <v>5294</v>
      </c>
      <c r="G77" s="531" t="s">
        <v>4963</v>
      </c>
      <c r="H77" s="532" t="s">
        <v>4964</v>
      </c>
      <c r="I77" s="401">
        <v>312</v>
      </c>
      <c r="J77" s="562">
        <v>0</v>
      </c>
      <c r="K77" s="531">
        <v>24</v>
      </c>
      <c r="L77" s="401">
        <f t="shared" si="41"/>
        <v>13</v>
      </c>
      <c r="M77" s="563">
        <v>45986</v>
      </c>
      <c r="N77" s="563">
        <v>45982</v>
      </c>
      <c r="O77" s="564"/>
      <c r="P77" s="564" t="s">
        <v>1262</v>
      </c>
      <c r="Q77" s="564" t="s">
        <v>4296</v>
      </c>
      <c r="R77" s="564">
        <v>45951</v>
      </c>
      <c r="S77" s="584" t="s">
        <v>77</v>
      </c>
      <c r="T77" s="578" t="s">
        <v>5295</v>
      </c>
      <c r="U77" s="564"/>
      <c r="V77" s="564"/>
      <c r="W77" s="564"/>
      <c r="X77" s="530" t="s">
        <v>5296</v>
      </c>
      <c r="Y77" s="596" t="s">
        <v>3896</v>
      </c>
      <c r="Z77" s="592">
        <v>1.374</v>
      </c>
      <c r="AA77" s="593">
        <f t="shared" si="36"/>
        <v>428.688</v>
      </c>
      <c r="AB77" s="401" t="s">
        <v>5297</v>
      </c>
      <c r="AC77" s="531" t="s">
        <v>4963</v>
      </c>
      <c r="AD77" s="595" t="s">
        <v>128</v>
      </c>
      <c r="AE77" s="699" t="s">
        <v>4930</v>
      </c>
      <c r="AF77" s="531">
        <v>312</v>
      </c>
      <c r="AG77" s="531">
        <f t="shared" si="44"/>
        <v>0</v>
      </c>
      <c r="AH77" s="531" t="s">
        <v>4335</v>
      </c>
      <c r="AI77" s="607"/>
      <c r="AJ77" s="608">
        <f t="shared" si="45"/>
        <v>312</v>
      </c>
      <c r="AK77" s="608"/>
      <c r="AL77" s="609">
        <f t="shared" si="46"/>
        <v>312</v>
      </c>
      <c r="AM77" s="616"/>
      <c r="AN77" s="401"/>
      <c r="AO77" s="401"/>
      <c r="AP77" s="609">
        <f t="shared" si="47"/>
        <v>312</v>
      </c>
      <c r="AQ77" s="609"/>
      <c r="AR77" s="401"/>
      <c r="AS77" s="609">
        <f t="shared" si="43"/>
        <v>312</v>
      </c>
      <c r="AT77" s="609"/>
      <c r="AU77" s="609"/>
      <c r="AV77" s="609"/>
      <c r="AW77" s="609"/>
      <c r="AX77" s="633"/>
      <c r="AY77" s="633"/>
      <c r="AZ77" s="633"/>
      <c r="BA77" s="633"/>
      <c r="BB77" s="633"/>
      <c r="BC77" s="633"/>
      <c r="BD77" s="633"/>
      <c r="BE77" s="633"/>
      <c r="BF77" s="633"/>
      <c r="BG77" s="633"/>
      <c r="BH77" s="633"/>
      <c r="BI77" s="633"/>
      <c r="BJ77" s="633"/>
      <c r="BK77" s="633"/>
      <c r="BL77" s="633"/>
      <c r="BM77" s="633"/>
      <c r="BN77" s="633"/>
      <c r="BQ77" s="3">
        <f t="shared" si="42"/>
        <v>347305</v>
      </c>
    </row>
    <row r="78" s="200" customFormat="1" ht="36" customHeight="1" spans="1:69">
      <c r="A78" s="533">
        <v>45941</v>
      </c>
      <c r="B78" s="527" t="s">
        <v>1142</v>
      </c>
      <c r="C78" s="528" t="s">
        <v>1143</v>
      </c>
      <c r="D78" s="534">
        <v>4500181542</v>
      </c>
      <c r="E78" s="530" t="s">
        <v>5298</v>
      </c>
      <c r="F78" s="534" t="s">
        <v>5299</v>
      </c>
      <c r="G78" s="531" t="s">
        <v>4970</v>
      </c>
      <c r="H78" s="532" t="s">
        <v>5144</v>
      </c>
      <c r="I78" s="401">
        <v>2080</v>
      </c>
      <c r="J78" s="562">
        <v>0</v>
      </c>
      <c r="K78" s="531">
        <v>52</v>
      </c>
      <c r="L78" s="503">
        <f t="shared" si="41"/>
        <v>40</v>
      </c>
      <c r="M78" s="563">
        <v>45987</v>
      </c>
      <c r="N78" s="563">
        <v>45983</v>
      </c>
      <c r="O78" s="564"/>
      <c r="P78" s="564" t="s">
        <v>92</v>
      </c>
      <c r="Q78" s="564" t="s">
        <v>5281</v>
      </c>
      <c r="R78" s="579">
        <v>45941</v>
      </c>
      <c r="S78" s="578" t="s">
        <v>77</v>
      </c>
      <c r="T78" s="564" t="s">
        <v>5300</v>
      </c>
      <c r="U78" s="564"/>
      <c r="V78" s="564"/>
      <c r="W78" s="564"/>
      <c r="X78" s="530" t="s">
        <v>5301</v>
      </c>
      <c r="Y78" s="596" t="s">
        <v>1140</v>
      </c>
      <c r="Z78" s="592">
        <v>1.46</v>
      </c>
      <c r="AA78" s="593">
        <f t="shared" si="36"/>
        <v>3036.8</v>
      </c>
      <c r="AB78" s="709" t="s">
        <v>5302</v>
      </c>
      <c r="AC78" s="531" t="s">
        <v>4970</v>
      </c>
      <c r="AD78" s="595" t="s">
        <v>128</v>
      </c>
      <c r="AE78" s="699" t="s">
        <v>4930</v>
      </c>
      <c r="AF78" s="531">
        <v>2080</v>
      </c>
      <c r="AG78" s="531">
        <f t="shared" si="44"/>
        <v>0</v>
      </c>
      <c r="AH78" s="531" t="s">
        <v>75</v>
      </c>
      <c r="AI78" s="607"/>
      <c r="AJ78" s="608">
        <f t="shared" si="45"/>
        <v>2080</v>
      </c>
      <c r="AK78" s="608"/>
      <c r="AL78" s="609">
        <f t="shared" si="46"/>
        <v>2080</v>
      </c>
      <c r="AM78" s="616"/>
      <c r="AN78" s="401"/>
      <c r="AO78" s="401"/>
      <c r="AP78" s="609">
        <f t="shared" si="47"/>
        <v>2080</v>
      </c>
      <c r="AQ78" s="609"/>
      <c r="AR78" s="609"/>
      <c r="AS78" s="609">
        <f>AP78</f>
        <v>2080</v>
      </c>
      <c r="AT78" s="609"/>
      <c r="AU78" s="609"/>
      <c r="AV78" s="609"/>
      <c r="AW78" s="609"/>
      <c r="AX78" s="633">
        <f>I78/13</f>
        <v>160</v>
      </c>
      <c r="AY78" s="633"/>
      <c r="AZ78" s="633"/>
      <c r="BA78" s="633"/>
      <c r="BB78" s="633"/>
      <c r="BC78" s="633"/>
      <c r="BD78" s="633"/>
      <c r="BE78" s="633"/>
      <c r="BF78" s="633"/>
      <c r="BG78" s="633"/>
      <c r="BH78" s="633"/>
      <c r="BI78" s="633"/>
      <c r="BJ78" s="633"/>
      <c r="BK78" s="633"/>
      <c r="BL78" s="633"/>
      <c r="BM78" s="633"/>
      <c r="BN78" s="633"/>
      <c r="BQ78" s="3">
        <f t="shared" si="42"/>
        <v>349385</v>
      </c>
    </row>
    <row r="79" s="200" customFormat="1" ht="36" customHeight="1" spans="1:69">
      <c r="A79" s="533">
        <v>45929</v>
      </c>
      <c r="B79" s="527" t="s">
        <v>5188</v>
      </c>
      <c r="C79" s="528" t="s">
        <v>373</v>
      </c>
      <c r="D79" s="534">
        <v>4500180519</v>
      </c>
      <c r="E79" s="530" t="s">
        <v>5303</v>
      </c>
      <c r="F79" s="534" t="s">
        <v>5304</v>
      </c>
      <c r="G79" s="531" t="s">
        <v>5047</v>
      </c>
      <c r="H79" s="532" t="s">
        <v>5048</v>
      </c>
      <c r="I79" s="401">
        <v>3211</v>
      </c>
      <c r="J79" s="562">
        <v>0</v>
      </c>
      <c r="K79" s="531">
        <v>13</v>
      </c>
      <c r="L79" s="503">
        <f t="shared" si="41"/>
        <v>247</v>
      </c>
      <c r="M79" s="563">
        <v>45988</v>
      </c>
      <c r="N79" s="563">
        <v>45985</v>
      </c>
      <c r="O79" s="564"/>
      <c r="P79" s="564" t="s">
        <v>92</v>
      </c>
      <c r="Q79" s="564" t="s">
        <v>2964</v>
      </c>
      <c r="R79" s="579">
        <v>45947</v>
      </c>
      <c r="S79" s="578" t="s">
        <v>77</v>
      </c>
      <c r="T79" s="564" t="s">
        <v>5190</v>
      </c>
      <c r="U79" s="564"/>
      <c r="V79" s="564"/>
      <c r="W79" s="564" t="s">
        <v>5191</v>
      </c>
      <c r="X79" s="530" t="s">
        <v>5305</v>
      </c>
      <c r="Y79" s="596" t="s">
        <v>3007</v>
      </c>
      <c r="Z79" s="592">
        <v>1.43</v>
      </c>
      <c r="AA79" s="593">
        <f t="shared" si="36"/>
        <v>4591.73</v>
      </c>
      <c r="AB79" s="401"/>
      <c r="AC79" s="531" t="s">
        <v>5052</v>
      </c>
      <c r="AD79" s="595" t="s">
        <v>128</v>
      </c>
      <c r="AE79" s="699" t="s">
        <v>4930</v>
      </c>
      <c r="AF79" s="531">
        <v>3211</v>
      </c>
      <c r="AG79" s="531">
        <f t="shared" si="44"/>
        <v>0</v>
      </c>
      <c r="AH79" s="531" t="s">
        <v>75</v>
      </c>
      <c r="AI79" s="607"/>
      <c r="AJ79" s="608">
        <f t="shared" si="45"/>
        <v>3211</v>
      </c>
      <c r="AK79" s="612"/>
      <c r="AL79" s="613"/>
      <c r="AM79" s="616">
        <f t="shared" ref="AM79:AM87" si="48">I79</f>
        <v>3211</v>
      </c>
      <c r="AN79" s="401"/>
      <c r="AO79" s="401"/>
      <c r="AP79" s="609">
        <f t="shared" si="47"/>
        <v>3211</v>
      </c>
      <c r="AQ79" s="609"/>
      <c r="AR79" s="609"/>
      <c r="AS79" s="609">
        <f t="shared" ref="AS79:AS82" si="49">AJ79</f>
        <v>3211</v>
      </c>
      <c r="AT79" s="609"/>
      <c r="AU79" s="609">
        <f t="shared" ref="AU79:AU87" si="50">I79</f>
        <v>3211</v>
      </c>
      <c r="AV79" s="609"/>
      <c r="AW79" s="609"/>
      <c r="AX79" s="633"/>
      <c r="AY79" s="633">
        <f>I79/13</f>
        <v>247</v>
      </c>
      <c r="AZ79" s="633"/>
      <c r="BA79" s="633"/>
      <c r="BB79" s="633"/>
      <c r="BC79" s="633"/>
      <c r="BD79" s="633"/>
      <c r="BE79" s="633"/>
      <c r="BF79" s="633"/>
      <c r="BG79" s="633"/>
      <c r="BH79" s="633"/>
      <c r="BI79" s="633"/>
      <c r="BJ79" s="633"/>
      <c r="BK79" s="633"/>
      <c r="BL79" s="633"/>
      <c r="BM79" s="633"/>
      <c r="BN79" s="633"/>
      <c r="BQ79" s="3">
        <f t="shared" si="42"/>
        <v>352596</v>
      </c>
    </row>
    <row r="80" s="200" customFormat="1" ht="36" customHeight="1" spans="1:69">
      <c r="A80" s="533">
        <v>45929</v>
      </c>
      <c r="B80" s="527" t="s">
        <v>5188</v>
      </c>
      <c r="C80" s="528" t="s">
        <v>373</v>
      </c>
      <c r="D80" s="534">
        <v>4500180519</v>
      </c>
      <c r="E80" s="530" t="s">
        <v>5303</v>
      </c>
      <c r="F80" s="534" t="s">
        <v>5306</v>
      </c>
      <c r="G80" s="531" t="s">
        <v>5054</v>
      </c>
      <c r="H80" s="532" t="s">
        <v>5055</v>
      </c>
      <c r="I80" s="401">
        <v>1440</v>
      </c>
      <c r="J80" s="562">
        <v>0</v>
      </c>
      <c r="K80" s="531">
        <v>30</v>
      </c>
      <c r="L80" s="503">
        <f t="shared" si="41"/>
        <v>48</v>
      </c>
      <c r="M80" s="563">
        <v>45988</v>
      </c>
      <c r="N80" s="563">
        <v>45985</v>
      </c>
      <c r="O80" s="564"/>
      <c r="P80" s="564" t="s">
        <v>92</v>
      </c>
      <c r="Q80" s="564" t="s">
        <v>2964</v>
      </c>
      <c r="R80" s="579">
        <v>45947</v>
      </c>
      <c r="S80" s="578" t="s">
        <v>77</v>
      </c>
      <c r="T80" s="564" t="s">
        <v>5190</v>
      </c>
      <c r="U80" s="564"/>
      <c r="V80" s="564"/>
      <c r="W80" s="564" t="s">
        <v>5191</v>
      </c>
      <c r="X80" s="530" t="s">
        <v>5307</v>
      </c>
      <c r="Y80" s="596" t="s">
        <v>3007</v>
      </c>
      <c r="Z80" s="592">
        <v>57.5868</v>
      </c>
      <c r="AA80" s="593">
        <f>Z80*L80</f>
        <v>2764.1664</v>
      </c>
      <c r="AB80" s="401"/>
      <c r="AC80" s="531" t="s">
        <v>5057</v>
      </c>
      <c r="AD80" s="595" t="s">
        <v>128</v>
      </c>
      <c r="AE80" s="699" t="s">
        <v>4930</v>
      </c>
      <c r="AF80" s="531">
        <v>1440</v>
      </c>
      <c r="AG80" s="531">
        <f t="shared" si="44"/>
        <v>0</v>
      </c>
      <c r="AH80" s="531" t="s">
        <v>75</v>
      </c>
      <c r="AI80" s="607"/>
      <c r="AJ80" s="608">
        <f t="shared" si="45"/>
        <v>1440</v>
      </c>
      <c r="AK80" s="612"/>
      <c r="AL80" s="613"/>
      <c r="AM80" s="401">
        <f t="shared" si="48"/>
        <v>1440</v>
      </c>
      <c r="AN80" s="401"/>
      <c r="AO80" s="401"/>
      <c r="AP80" s="609">
        <f t="shared" si="47"/>
        <v>1440</v>
      </c>
      <c r="AQ80" s="609"/>
      <c r="AR80" s="609"/>
      <c r="AS80" s="609">
        <f t="shared" si="49"/>
        <v>1440</v>
      </c>
      <c r="AT80" s="609"/>
      <c r="AU80" s="609">
        <f t="shared" si="50"/>
        <v>1440</v>
      </c>
      <c r="AV80" s="609"/>
      <c r="AW80" s="609"/>
      <c r="AX80" s="633"/>
      <c r="AY80" s="633"/>
      <c r="AZ80" s="633"/>
      <c r="BA80" s="633"/>
      <c r="BB80" s="633"/>
      <c r="BC80" s="633"/>
      <c r="BD80" s="633"/>
      <c r="BE80" s="633"/>
      <c r="BF80" s="633"/>
      <c r="BG80" s="633"/>
      <c r="BH80" s="633"/>
      <c r="BI80" s="633"/>
      <c r="BJ80" s="633"/>
      <c r="BK80" s="633">
        <f>I80/30</f>
        <v>48</v>
      </c>
      <c r="BL80" s="633">
        <f>I80/30</f>
        <v>48</v>
      </c>
      <c r="BM80" s="633"/>
      <c r="BN80" s="633"/>
      <c r="BQ80" s="3">
        <f t="shared" si="42"/>
        <v>354036</v>
      </c>
    </row>
    <row r="81" s="200" customFormat="1" ht="36" customHeight="1" spans="1:69">
      <c r="A81" s="533">
        <v>45930</v>
      </c>
      <c r="B81" s="527" t="s">
        <v>4204</v>
      </c>
      <c r="C81" s="528" t="s">
        <v>373</v>
      </c>
      <c r="D81" s="534">
        <v>4500181123</v>
      </c>
      <c r="E81" s="530" t="s">
        <v>5308</v>
      </c>
      <c r="F81" s="534" t="s">
        <v>5309</v>
      </c>
      <c r="G81" s="531" t="s">
        <v>5092</v>
      </c>
      <c r="H81" s="532" t="s">
        <v>5093</v>
      </c>
      <c r="I81" s="401">
        <v>504</v>
      </c>
      <c r="J81" s="562">
        <v>0</v>
      </c>
      <c r="K81" s="531">
        <v>12</v>
      </c>
      <c r="L81" s="503">
        <f t="shared" si="41"/>
        <v>42</v>
      </c>
      <c r="M81" s="563">
        <v>45988</v>
      </c>
      <c r="N81" s="563">
        <v>45985</v>
      </c>
      <c r="O81" s="564"/>
      <c r="P81" s="564" t="s">
        <v>92</v>
      </c>
      <c r="Q81" s="564"/>
      <c r="R81" s="579" t="s">
        <v>5282</v>
      </c>
      <c r="S81" s="564" t="s">
        <v>123</v>
      </c>
      <c r="T81" s="564" t="s">
        <v>5310</v>
      </c>
      <c r="U81" s="564"/>
      <c r="V81" s="564"/>
      <c r="W81" s="564"/>
      <c r="X81" s="530" t="s">
        <v>5311</v>
      </c>
      <c r="Y81" s="596" t="s">
        <v>2629</v>
      </c>
      <c r="Z81" s="710">
        <v>3.1175</v>
      </c>
      <c r="AA81" s="593">
        <f t="shared" ref="AA81:AA83" si="51">Z81*I81</f>
        <v>1571.22</v>
      </c>
      <c r="AB81" s="401" t="s">
        <v>5312</v>
      </c>
      <c r="AC81" s="607" t="s">
        <v>5098</v>
      </c>
      <c r="AD81" s="595" t="s">
        <v>128</v>
      </c>
      <c r="AE81" s="699" t="s">
        <v>4930</v>
      </c>
      <c r="AF81" s="531">
        <v>504</v>
      </c>
      <c r="AG81" s="531">
        <f t="shared" si="44"/>
        <v>0</v>
      </c>
      <c r="AH81" s="531" t="s">
        <v>4335</v>
      </c>
      <c r="AI81" s="607"/>
      <c r="AJ81" s="608">
        <f>I81*2</f>
        <v>1008</v>
      </c>
      <c r="AK81" s="612"/>
      <c r="AL81" s="613"/>
      <c r="AM81" s="401"/>
      <c r="AN81" s="401">
        <f>I81*2</f>
        <v>1008</v>
      </c>
      <c r="AO81" s="401"/>
      <c r="AP81" s="609">
        <f>I81*2</f>
        <v>1008</v>
      </c>
      <c r="AQ81" s="609"/>
      <c r="AR81" s="609"/>
      <c r="AS81" s="609">
        <f t="shared" si="49"/>
        <v>1008</v>
      </c>
      <c r="AT81" s="609"/>
      <c r="AU81" s="609">
        <f t="shared" si="50"/>
        <v>504</v>
      </c>
      <c r="AV81" s="609"/>
      <c r="AW81" s="609"/>
      <c r="AX81" s="633"/>
      <c r="AY81" s="633"/>
      <c r="AZ81" s="633"/>
      <c r="BA81" s="633"/>
      <c r="BB81" s="633"/>
      <c r="BC81" s="633"/>
      <c r="BD81" s="633"/>
      <c r="BE81" s="633"/>
      <c r="BF81" s="633"/>
      <c r="BG81" s="633"/>
      <c r="BH81" s="633"/>
      <c r="BI81" s="633"/>
      <c r="BJ81" s="633"/>
      <c r="BK81" s="633"/>
      <c r="BL81" s="633"/>
      <c r="BM81" s="633">
        <f>I81</f>
        <v>504</v>
      </c>
      <c r="BN81" s="633">
        <f>I81</f>
        <v>504</v>
      </c>
      <c r="BQ81" s="3">
        <f t="shared" si="42"/>
        <v>355044</v>
      </c>
    </row>
    <row r="82" s="200" customFormat="1" ht="36" customHeight="1" spans="1:69">
      <c r="A82" s="533">
        <v>45930</v>
      </c>
      <c r="B82" s="527" t="s">
        <v>4204</v>
      </c>
      <c r="C82" s="528" t="s">
        <v>373</v>
      </c>
      <c r="D82" s="534">
        <v>4500181123</v>
      </c>
      <c r="E82" s="530" t="s">
        <v>5313</v>
      </c>
      <c r="F82" s="534" t="s">
        <v>5314</v>
      </c>
      <c r="G82" s="531" t="s">
        <v>5092</v>
      </c>
      <c r="H82" s="532" t="s">
        <v>5093</v>
      </c>
      <c r="I82" s="401">
        <v>1056</v>
      </c>
      <c r="J82" s="562">
        <v>0</v>
      </c>
      <c r="K82" s="531">
        <v>12</v>
      </c>
      <c r="L82" s="503">
        <f t="shared" si="41"/>
        <v>88</v>
      </c>
      <c r="M82" s="563">
        <v>45988</v>
      </c>
      <c r="N82" s="563">
        <v>45985</v>
      </c>
      <c r="O82" s="564"/>
      <c r="P82" s="564" t="s">
        <v>92</v>
      </c>
      <c r="Q82" s="564" t="s">
        <v>5315</v>
      </c>
      <c r="R82" s="579" t="s">
        <v>5282</v>
      </c>
      <c r="S82" s="564" t="s">
        <v>123</v>
      </c>
      <c r="T82" s="564" t="s">
        <v>5310</v>
      </c>
      <c r="U82" s="564"/>
      <c r="V82" s="564"/>
      <c r="W82" s="564"/>
      <c r="X82" s="530" t="s">
        <v>5311</v>
      </c>
      <c r="Y82" s="596" t="s">
        <v>2629</v>
      </c>
      <c r="Z82" s="710">
        <v>3.1175</v>
      </c>
      <c r="AA82" s="593">
        <f t="shared" si="51"/>
        <v>3292.08</v>
      </c>
      <c r="AB82" s="401" t="s">
        <v>5312</v>
      </c>
      <c r="AC82" s="607" t="s">
        <v>5098</v>
      </c>
      <c r="AD82" s="595" t="s">
        <v>128</v>
      </c>
      <c r="AE82" s="699" t="s">
        <v>4930</v>
      </c>
      <c r="AF82" s="531">
        <v>1056</v>
      </c>
      <c r="AG82" s="531">
        <f t="shared" si="44"/>
        <v>0</v>
      </c>
      <c r="AH82" s="531" t="s">
        <v>75</v>
      </c>
      <c r="AI82" s="607"/>
      <c r="AJ82" s="608">
        <f>I82*2</f>
        <v>2112</v>
      </c>
      <c r="AK82" s="612"/>
      <c r="AL82" s="613"/>
      <c r="AM82" s="401"/>
      <c r="AN82" s="401">
        <f>I82*2</f>
        <v>2112</v>
      </c>
      <c r="AO82" s="401"/>
      <c r="AP82" s="609">
        <f>I82*2</f>
        <v>2112</v>
      </c>
      <c r="AQ82" s="609"/>
      <c r="AR82" s="609"/>
      <c r="AS82" s="609">
        <f t="shared" si="49"/>
        <v>2112</v>
      </c>
      <c r="AT82" s="609"/>
      <c r="AU82" s="609">
        <f t="shared" si="50"/>
        <v>1056</v>
      </c>
      <c r="AV82" s="609"/>
      <c r="AW82" s="609"/>
      <c r="AX82" s="633"/>
      <c r="AY82" s="633"/>
      <c r="AZ82" s="633"/>
      <c r="BA82" s="633"/>
      <c r="BB82" s="633"/>
      <c r="BC82" s="633"/>
      <c r="BD82" s="633"/>
      <c r="BE82" s="633"/>
      <c r="BF82" s="633"/>
      <c r="BG82" s="633"/>
      <c r="BH82" s="633"/>
      <c r="BI82" s="633"/>
      <c r="BJ82" s="633"/>
      <c r="BK82" s="633"/>
      <c r="BL82" s="633"/>
      <c r="BM82" s="633">
        <f>I82</f>
        <v>1056</v>
      </c>
      <c r="BN82" s="633">
        <f>I82</f>
        <v>1056</v>
      </c>
      <c r="BQ82" s="3">
        <f t="shared" si="42"/>
        <v>357156</v>
      </c>
    </row>
    <row r="83" s="200" customFormat="1" ht="36" customHeight="1" spans="1:69">
      <c r="A83" s="533">
        <v>45946</v>
      </c>
      <c r="B83" s="527" t="s">
        <v>1484</v>
      </c>
      <c r="C83" s="528" t="s">
        <v>689</v>
      </c>
      <c r="D83" s="534">
        <v>4500182163</v>
      </c>
      <c r="E83" s="530">
        <v>14873</v>
      </c>
      <c r="F83" s="534" t="s">
        <v>5316</v>
      </c>
      <c r="G83" s="531" t="s">
        <v>5066</v>
      </c>
      <c r="H83" s="532" t="s">
        <v>5048</v>
      </c>
      <c r="I83" s="401">
        <v>143</v>
      </c>
      <c r="J83" s="562">
        <v>0</v>
      </c>
      <c r="K83" s="531">
        <v>13</v>
      </c>
      <c r="L83" s="503">
        <f t="shared" si="41"/>
        <v>11</v>
      </c>
      <c r="M83" s="563">
        <v>45989</v>
      </c>
      <c r="N83" s="563">
        <v>45985</v>
      </c>
      <c r="O83" s="564"/>
      <c r="P83" s="564" t="s">
        <v>1262</v>
      </c>
      <c r="Q83" s="706" t="s">
        <v>2964</v>
      </c>
      <c r="R83" s="584">
        <v>45946</v>
      </c>
      <c r="S83" s="579" t="s">
        <v>77</v>
      </c>
      <c r="T83" s="579" t="s">
        <v>5317</v>
      </c>
      <c r="U83" s="564"/>
      <c r="V83" s="564"/>
      <c r="W83" s="564"/>
      <c r="X83" s="530" t="s">
        <v>5318</v>
      </c>
      <c r="Y83" s="596" t="s">
        <v>3630</v>
      </c>
      <c r="Z83" s="592">
        <v>1.42</v>
      </c>
      <c r="AA83" s="593">
        <f t="shared" si="51"/>
        <v>203.06</v>
      </c>
      <c r="AB83" s="401"/>
      <c r="AC83" s="531" t="s">
        <v>5052</v>
      </c>
      <c r="AD83" s="595" t="s">
        <v>128</v>
      </c>
      <c r="AE83" s="700" t="s">
        <v>4930</v>
      </c>
      <c r="AF83" s="531">
        <v>143</v>
      </c>
      <c r="AG83" s="531">
        <f t="shared" si="44"/>
        <v>0</v>
      </c>
      <c r="AH83" s="531" t="s">
        <v>4335</v>
      </c>
      <c r="AI83" s="607"/>
      <c r="AJ83" s="608">
        <f t="shared" ref="AJ83:AJ97" si="52">I83</f>
        <v>143</v>
      </c>
      <c r="AK83" s="612"/>
      <c r="AL83" s="613"/>
      <c r="AM83" s="616">
        <f t="shared" si="48"/>
        <v>143</v>
      </c>
      <c r="AN83" s="401"/>
      <c r="AO83" s="401"/>
      <c r="AP83" s="503">
        <f t="shared" ref="AP83:AP97" si="53">I83</f>
        <v>143</v>
      </c>
      <c r="AQ83" s="503"/>
      <c r="AR83" s="609"/>
      <c r="AS83" s="503">
        <f t="shared" ref="AS83:AS121" si="54">AP83-AT83</f>
        <v>128.997916666667</v>
      </c>
      <c r="AT83" s="621">
        <f>I83*(1-(1/48))/10</f>
        <v>14.0020833333333</v>
      </c>
      <c r="AU83" s="609">
        <f t="shared" si="50"/>
        <v>143</v>
      </c>
      <c r="AV83" s="609"/>
      <c r="AW83" s="609"/>
      <c r="AX83" s="633"/>
      <c r="AY83" s="633">
        <f>I83/13</f>
        <v>11</v>
      </c>
      <c r="AZ83" s="633"/>
      <c r="BA83" s="633"/>
      <c r="BB83" s="633"/>
      <c r="BC83" s="633"/>
      <c r="BD83" s="633"/>
      <c r="BE83" s="633"/>
      <c r="BF83" s="633"/>
      <c r="BG83" s="633"/>
      <c r="BH83" s="633"/>
      <c r="BI83" s="633"/>
      <c r="BJ83" s="633"/>
      <c r="BK83" s="633"/>
      <c r="BL83" s="633"/>
      <c r="BM83" s="633"/>
      <c r="BN83" s="633"/>
      <c r="BQ83" s="3">
        <f t="shared" si="42"/>
        <v>357299</v>
      </c>
    </row>
    <row r="84" s="200" customFormat="1" ht="36" customHeight="1" spans="1:69">
      <c r="A84" s="533">
        <v>45946</v>
      </c>
      <c r="B84" s="527" t="s">
        <v>1484</v>
      </c>
      <c r="C84" s="528" t="s">
        <v>689</v>
      </c>
      <c r="D84" s="534">
        <v>4500182163</v>
      </c>
      <c r="E84" s="530">
        <v>14873</v>
      </c>
      <c r="F84" s="534" t="s">
        <v>5319</v>
      </c>
      <c r="G84" s="531" t="s">
        <v>5171</v>
      </c>
      <c r="H84" s="532" t="s">
        <v>5055</v>
      </c>
      <c r="I84" s="401">
        <v>240</v>
      </c>
      <c r="J84" s="562">
        <v>0</v>
      </c>
      <c r="K84" s="531">
        <v>30</v>
      </c>
      <c r="L84" s="503">
        <f t="shared" si="41"/>
        <v>8</v>
      </c>
      <c r="M84" s="563">
        <v>45989</v>
      </c>
      <c r="N84" s="563">
        <v>45985</v>
      </c>
      <c r="O84" s="564"/>
      <c r="P84" s="564" t="s">
        <v>1262</v>
      </c>
      <c r="Q84" s="706" t="s">
        <v>2964</v>
      </c>
      <c r="R84" s="584">
        <v>45946</v>
      </c>
      <c r="S84" s="579" t="s">
        <v>77</v>
      </c>
      <c r="T84" s="579" t="s">
        <v>5317</v>
      </c>
      <c r="U84" s="564"/>
      <c r="V84" s="564"/>
      <c r="W84" s="564"/>
      <c r="X84" s="530" t="s">
        <v>5320</v>
      </c>
      <c r="Y84" s="596" t="s">
        <v>3630</v>
      </c>
      <c r="Z84" s="592">
        <v>56.93</v>
      </c>
      <c r="AA84" s="593">
        <f>Z84*L84</f>
        <v>455.44</v>
      </c>
      <c r="AB84" s="401"/>
      <c r="AC84" s="531" t="s">
        <v>5057</v>
      </c>
      <c r="AD84" s="595" t="s">
        <v>128</v>
      </c>
      <c r="AE84" s="700" t="s">
        <v>4930</v>
      </c>
      <c r="AF84" s="531">
        <v>240</v>
      </c>
      <c r="AG84" s="531">
        <f t="shared" si="44"/>
        <v>0</v>
      </c>
      <c r="AH84" s="531" t="s">
        <v>4335</v>
      </c>
      <c r="AI84" s="607"/>
      <c r="AJ84" s="608">
        <f t="shared" si="52"/>
        <v>240</v>
      </c>
      <c r="AK84" s="612"/>
      <c r="AL84" s="613"/>
      <c r="AM84" s="616">
        <f t="shared" si="48"/>
        <v>240</v>
      </c>
      <c r="AN84" s="401"/>
      <c r="AO84" s="401"/>
      <c r="AP84" s="503">
        <f t="shared" si="53"/>
        <v>240</v>
      </c>
      <c r="AQ84" s="503"/>
      <c r="AR84" s="609"/>
      <c r="AS84" s="503">
        <f t="shared" si="54"/>
        <v>216.5</v>
      </c>
      <c r="AT84" s="621">
        <f t="shared" ref="AT84:AT121" si="55">I84*(1-(1/48))/10</f>
        <v>23.5</v>
      </c>
      <c r="AU84" s="609">
        <f t="shared" si="50"/>
        <v>240</v>
      </c>
      <c r="AV84" s="609"/>
      <c r="AW84" s="609"/>
      <c r="AX84" s="633"/>
      <c r="AY84" s="633"/>
      <c r="AZ84" s="633"/>
      <c r="BA84" s="633"/>
      <c r="BB84" s="633"/>
      <c r="BC84" s="633"/>
      <c r="BD84" s="633"/>
      <c r="BE84" s="633"/>
      <c r="BF84" s="633"/>
      <c r="BG84" s="633"/>
      <c r="BH84" s="633"/>
      <c r="BI84" s="633"/>
      <c r="BJ84" s="633"/>
      <c r="BK84" s="633">
        <f>BL84</f>
        <v>8</v>
      </c>
      <c r="BL84" s="633">
        <f>I84/30</f>
        <v>8</v>
      </c>
      <c r="BM84" s="633"/>
      <c r="BN84" s="633"/>
      <c r="BQ84" s="3">
        <f t="shared" si="42"/>
        <v>357539</v>
      </c>
    </row>
    <row r="85" s="200" customFormat="1" ht="36" customHeight="1" spans="1:69">
      <c r="A85" s="533">
        <v>45946</v>
      </c>
      <c r="B85" s="527" t="s">
        <v>5321</v>
      </c>
      <c r="C85" s="528" t="s">
        <v>500</v>
      </c>
      <c r="D85" s="534">
        <v>4500182169</v>
      </c>
      <c r="E85" s="530">
        <v>5200007980</v>
      </c>
      <c r="F85" s="534" t="s">
        <v>5322</v>
      </c>
      <c r="G85" s="531" t="s">
        <v>5323</v>
      </c>
      <c r="H85" s="532" t="s">
        <v>4989</v>
      </c>
      <c r="I85" s="401">
        <v>4800</v>
      </c>
      <c r="J85" s="562">
        <v>0</v>
      </c>
      <c r="K85" s="531">
        <v>25</v>
      </c>
      <c r="L85" s="503">
        <f t="shared" si="41"/>
        <v>192</v>
      </c>
      <c r="M85" s="563">
        <v>45989</v>
      </c>
      <c r="N85" s="563">
        <v>45985</v>
      </c>
      <c r="O85" s="564"/>
      <c r="P85" s="564" t="s">
        <v>92</v>
      </c>
      <c r="Q85" s="564"/>
      <c r="R85" s="579">
        <v>45947</v>
      </c>
      <c r="S85" s="564" t="s">
        <v>77</v>
      </c>
      <c r="T85" s="564" t="s">
        <v>5324</v>
      </c>
      <c r="U85" s="564"/>
      <c r="V85" s="564"/>
      <c r="W85" s="564" t="s">
        <v>5050</v>
      </c>
      <c r="X85" s="530" t="s">
        <v>5325</v>
      </c>
      <c r="Y85" s="596" t="s">
        <v>4024</v>
      </c>
      <c r="Z85" s="592">
        <v>1.6</v>
      </c>
      <c r="AA85" s="593">
        <f t="shared" ref="AA85:AA111" si="56">Z85*I85</f>
        <v>7680</v>
      </c>
      <c r="AB85" s="401"/>
      <c r="AC85" s="607" t="s">
        <v>5042</v>
      </c>
      <c r="AD85" s="595" t="s">
        <v>128</v>
      </c>
      <c r="AE85" s="700" t="s">
        <v>4930</v>
      </c>
      <c r="AF85" s="531">
        <v>4800</v>
      </c>
      <c r="AG85" s="531">
        <f t="shared" si="44"/>
        <v>0</v>
      </c>
      <c r="AH85" s="531" t="s">
        <v>4335</v>
      </c>
      <c r="AI85" s="607"/>
      <c r="AJ85" s="608">
        <f t="shared" si="52"/>
        <v>4800</v>
      </c>
      <c r="AK85" s="612"/>
      <c r="AL85" s="613"/>
      <c r="AM85" s="616">
        <f t="shared" si="48"/>
        <v>4800</v>
      </c>
      <c r="AN85" s="401"/>
      <c r="AO85" s="401"/>
      <c r="AP85" s="503">
        <f t="shared" si="53"/>
        <v>4800</v>
      </c>
      <c r="AQ85" s="503"/>
      <c r="AR85" s="609"/>
      <c r="AS85" s="503">
        <f t="shared" si="54"/>
        <v>4330</v>
      </c>
      <c r="AT85" s="621">
        <f t="shared" si="55"/>
        <v>470</v>
      </c>
      <c r="AU85" s="609">
        <f t="shared" si="50"/>
        <v>4800</v>
      </c>
      <c r="AV85" s="609"/>
      <c r="AW85" s="609"/>
      <c r="AX85" s="633"/>
      <c r="AY85" s="633"/>
      <c r="AZ85" s="633"/>
      <c r="BA85" s="633"/>
      <c r="BB85" s="633">
        <f>I85/25</f>
        <v>192</v>
      </c>
      <c r="BC85" s="633"/>
      <c r="BD85" s="633"/>
      <c r="BE85" s="633"/>
      <c r="BF85" s="633"/>
      <c r="BG85" s="633"/>
      <c r="BH85" s="633"/>
      <c r="BI85" s="633"/>
      <c r="BJ85" s="633"/>
      <c r="BK85" s="633"/>
      <c r="BL85" s="633"/>
      <c r="BM85" s="633"/>
      <c r="BN85" s="633"/>
      <c r="BQ85" s="3">
        <f t="shared" si="42"/>
        <v>362339</v>
      </c>
    </row>
    <row r="86" s="200" customFormat="1" ht="36" customHeight="1" spans="1:69">
      <c r="A86" s="533">
        <v>45946</v>
      </c>
      <c r="B86" s="527" t="s">
        <v>5321</v>
      </c>
      <c r="C86" s="528" t="s">
        <v>500</v>
      </c>
      <c r="D86" s="534">
        <v>4500182169</v>
      </c>
      <c r="E86" s="530">
        <v>5200007980</v>
      </c>
      <c r="F86" s="534" t="s">
        <v>5326</v>
      </c>
      <c r="G86" s="531" t="s">
        <v>5327</v>
      </c>
      <c r="H86" s="532" t="s">
        <v>5328</v>
      </c>
      <c r="I86" s="401">
        <v>9000</v>
      </c>
      <c r="J86" s="562">
        <v>0</v>
      </c>
      <c r="K86" s="531">
        <v>60</v>
      </c>
      <c r="L86" s="503">
        <f t="shared" si="41"/>
        <v>150</v>
      </c>
      <c r="M86" s="563">
        <v>45989</v>
      </c>
      <c r="N86" s="563">
        <v>45985</v>
      </c>
      <c r="O86" s="564"/>
      <c r="P86" s="564" t="s">
        <v>92</v>
      </c>
      <c r="Q86" s="564"/>
      <c r="R86" s="579">
        <v>45947</v>
      </c>
      <c r="S86" s="564" t="s">
        <v>77</v>
      </c>
      <c r="T86" s="564" t="s">
        <v>5324</v>
      </c>
      <c r="U86" s="564"/>
      <c r="V86" s="564"/>
      <c r="W86" s="564" t="s">
        <v>5050</v>
      </c>
      <c r="X86" s="530" t="s">
        <v>5329</v>
      </c>
      <c r="Y86" s="596" t="s">
        <v>4024</v>
      </c>
      <c r="Z86" s="593">
        <v>98.7499</v>
      </c>
      <c r="AA86" s="593">
        <f>Z86*L86</f>
        <v>14812.485</v>
      </c>
      <c r="AB86" s="401"/>
      <c r="AC86" s="607" t="s">
        <v>5330</v>
      </c>
      <c r="AD86" s="595" t="s">
        <v>128</v>
      </c>
      <c r="AE86" s="700" t="s">
        <v>4930</v>
      </c>
      <c r="AF86" s="531">
        <v>9000</v>
      </c>
      <c r="AG86" s="531">
        <f t="shared" si="44"/>
        <v>0</v>
      </c>
      <c r="AH86" s="531" t="s">
        <v>4335</v>
      </c>
      <c r="AI86" s="607"/>
      <c r="AJ86" s="608">
        <f t="shared" si="52"/>
        <v>9000</v>
      </c>
      <c r="AK86" s="612"/>
      <c r="AL86" s="613"/>
      <c r="AM86" s="616">
        <f t="shared" si="48"/>
        <v>9000</v>
      </c>
      <c r="AN86" s="401"/>
      <c r="AO86" s="401"/>
      <c r="AP86" s="503">
        <f t="shared" si="53"/>
        <v>9000</v>
      </c>
      <c r="AQ86" s="503"/>
      <c r="AR86" s="609"/>
      <c r="AS86" s="503">
        <f t="shared" si="54"/>
        <v>8118.75</v>
      </c>
      <c r="AT86" s="621">
        <f t="shared" si="55"/>
        <v>881.25</v>
      </c>
      <c r="AU86" s="609">
        <f t="shared" si="50"/>
        <v>9000</v>
      </c>
      <c r="AV86" s="609"/>
      <c r="AW86" s="609"/>
      <c r="AX86" s="633"/>
      <c r="AY86" s="633"/>
      <c r="AZ86" s="633"/>
      <c r="BA86" s="633"/>
      <c r="BB86" s="633"/>
      <c r="BC86" s="633"/>
      <c r="BD86" s="633"/>
      <c r="BE86" s="633"/>
      <c r="BF86" s="633"/>
      <c r="BG86" s="633">
        <f>BH86</f>
        <v>150</v>
      </c>
      <c r="BH86" s="633">
        <f>I86/60</f>
        <v>150</v>
      </c>
      <c r="BI86" s="633"/>
      <c r="BJ86" s="633"/>
      <c r="BK86" s="633"/>
      <c r="BL86" s="633"/>
      <c r="BM86" s="633"/>
      <c r="BN86" s="633"/>
      <c r="BQ86" s="3">
        <f t="shared" si="42"/>
        <v>371339</v>
      </c>
    </row>
    <row r="87" s="200" customFormat="1" ht="36" customHeight="1" spans="1:69">
      <c r="A87" s="533">
        <v>45958</v>
      </c>
      <c r="B87" s="527" t="s">
        <v>1492</v>
      </c>
      <c r="C87" s="528" t="s">
        <v>689</v>
      </c>
      <c r="D87" s="534">
        <v>4500183281</v>
      </c>
      <c r="E87" s="530">
        <v>1329</v>
      </c>
      <c r="F87" s="534" t="s">
        <v>5331</v>
      </c>
      <c r="G87" s="531" t="s">
        <v>5066</v>
      </c>
      <c r="H87" s="532" t="s">
        <v>5048</v>
      </c>
      <c r="I87" s="401">
        <v>1209</v>
      </c>
      <c r="J87" s="562">
        <v>0</v>
      </c>
      <c r="K87" s="531">
        <v>13</v>
      </c>
      <c r="L87" s="503">
        <f t="shared" si="41"/>
        <v>93</v>
      </c>
      <c r="M87" s="563">
        <v>45994</v>
      </c>
      <c r="N87" s="563">
        <f t="shared" ref="N87:N89" si="57">M87-4</f>
        <v>45990</v>
      </c>
      <c r="O87" s="564"/>
      <c r="P87" s="564" t="s">
        <v>92</v>
      </c>
      <c r="Q87" s="564" t="s">
        <v>5332</v>
      </c>
      <c r="R87" s="579">
        <v>45959</v>
      </c>
      <c r="S87" s="564" t="s">
        <v>77</v>
      </c>
      <c r="T87" s="564" t="s">
        <v>5333</v>
      </c>
      <c r="U87" s="564"/>
      <c r="V87" s="564"/>
      <c r="W87" s="564"/>
      <c r="X87" s="530" t="s">
        <v>5334</v>
      </c>
      <c r="Y87" s="596" t="s">
        <v>695</v>
      </c>
      <c r="Z87" s="592">
        <v>1.42</v>
      </c>
      <c r="AA87" s="593">
        <f t="shared" si="56"/>
        <v>1716.78</v>
      </c>
      <c r="AB87" s="401"/>
      <c r="AC87" s="531" t="s">
        <v>5052</v>
      </c>
      <c r="AD87" s="595" t="s">
        <v>128</v>
      </c>
      <c r="AE87" s="700" t="s">
        <v>4930</v>
      </c>
      <c r="AF87" s="531">
        <v>1209</v>
      </c>
      <c r="AG87" s="531">
        <f t="shared" si="44"/>
        <v>0</v>
      </c>
      <c r="AH87" s="531" t="s">
        <v>4335</v>
      </c>
      <c r="AI87" s="607"/>
      <c r="AJ87" s="608">
        <f t="shared" si="52"/>
        <v>1209</v>
      </c>
      <c r="AK87" s="612"/>
      <c r="AL87" s="613"/>
      <c r="AM87" s="616">
        <f t="shared" si="48"/>
        <v>1209</v>
      </c>
      <c r="AN87" s="401"/>
      <c r="AO87" s="401"/>
      <c r="AP87" s="503">
        <f t="shared" si="53"/>
        <v>1209</v>
      </c>
      <c r="AQ87" s="503"/>
      <c r="AR87" s="401"/>
      <c r="AS87" s="503">
        <f t="shared" si="54"/>
        <v>1090.61875</v>
      </c>
      <c r="AT87" s="621">
        <f t="shared" si="55"/>
        <v>118.38125</v>
      </c>
      <c r="AU87" s="609">
        <f t="shared" si="50"/>
        <v>1209</v>
      </c>
      <c r="AV87" s="609"/>
      <c r="AW87" s="609"/>
      <c r="AX87" s="633"/>
      <c r="AY87" s="633">
        <f>I87/13</f>
        <v>93</v>
      </c>
      <c r="AZ87" s="633"/>
      <c r="BA87" s="633"/>
      <c r="BB87" s="633"/>
      <c r="BC87" s="633"/>
      <c r="BD87" s="633"/>
      <c r="BE87" s="633"/>
      <c r="BF87" s="633"/>
      <c r="BG87" s="633"/>
      <c r="BH87" s="633"/>
      <c r="BI87" s="633"/>
      <c r="BJ87" s="633"/>
      <c r="BK87" s="633"/>
      <c r="BL87" s="633"/>
      <c r="BM87" s="633"/>
      <c r="BN87" s="633"/>
      <c r="BQ87" s="3">
        <f t="shared" si="42"/>
        <v>372548</v>
      </c>
    </row>
    <row r="88" s="200" customFormat="1" ht="36" customHeight="1" spans="1:69">
      <c r="A88" s="533">
        <v>45889</v>
      </c>
      <c r="B88" s="527" t="s">
        <v>3814</v>
      </c>
      <c r="C88" s="528" t="s">
        <v>1047</v>
      </c>
      <c r="D88" s="534">
        <v>4500177396</v>
      </c>
      <c r="E88" s="530" t="s">
        <v>5335</v>
      </c>
      <c r="F88" s="534" t="s">
        <v>5336</v>
      </c>
      <c r="G88" s="531" t="s">
        <v>4970</v>
      </c>
      <c r="H88" s="532" t="s">
        <v>5144</v>
      </c>
      <c r="I88" s="401">
        <v>1040</v>
      </c>
      <c r="J88" s="562">
        <v>0</v>
      </c>
      <c r="K88" s="531">
        <v>52</v>
      </c>
      <c r="L88" s="503">
        <f t="shared" si="41"/>
        <v>20</v>
      </c>
      <c r="M88" s="563">
        <v>45994</v>
      </c>
      <c r="N88" s="563">
        <f t="shared" si="57"/>
        <v>45990</v>
      </c>
      <c r="O88" s="564"/>
      <c r="P88" s="564" t="s">
        <v>92</v>
      </c>
      <c r="Q88" s="564" t="s">
        <v>5337</v>
      </c>
      <c r="R88" s="564">
        <v>45895</v>
      </c>
      <c r="S88" s="564" t="s">
        <v>77</v>
      </c>
      <c r="T88" s="564" t="s">
        <v>77</v>
      </c>
      <c r="U88" s="564"/>
      <c r="V88" s="564"/>
      <c r="W88" s="564"/>
      <c r="X88" s="530" t="s">
        <v>5338</v>
      </c>
      <c r="Y88" s="596" t="s">
        <v>1140</v>
      </c>
      <c r="Z88" s="592">
        <v>1.46</v>
      </c>
      <c r="AA88" s="593">
        <f t="shared" si="56"/>
        <v>1518.4</v>
      </c>
      <c r="AB88" s="401" t="s">
        <v>5339</v>
      </c>
      <c r="AC88" s="531" t="s">
        <v>4970</v>
      </c>
      <c r="AD88" s="595" t="s">
        <v>128</v>
      </c>
      <c r="AE88" s="700" t="s">
        <v>4930</v>
      </c>
      <c r="AF88" s="531">
        <v>1040</v>
      </c>
      <c r="AG88" s="531">
        <f t="shared" si="44"/>
        <v>0</v>
      </c>
      <c r="AH88" s="595" t="s">
        <v>77</v>
      </c>
      <c r="AI88" s="610"/>
      <c r="AJ88" s="608">
        <f t="shared" si="52"/>
        <v>1040</v>
      </c>
      <c r="AK88" s="608"/>
      <c r="AL88" s="609">
        <f t="shared" ref="AL88:AL97" si="58">I88</f>
        <v>1040</v>
      </c>
      <c r="AM88" s="401"/>
      <c r="AN88" s="401"/>
      <c r="AO88" s="401"/>
      <c r="AP88" s="503">
        <f t="shared" si="53"/>
        <v>1040</v>
      </c>
      <c r="AQ88" s="503"/>
      <c r="AR88" s="401"/>
      <c r="AS88" s="503">
        <f t="shared" si="54"/>
        <v>938.166666666667</v>
      </c>
      <c r="AT88" s="621">
        <f t="shared" si="55"/>
        <v>101.833333333333</v>
      </c>
      <c r="AU88" s="609"/>
      <c r="AV88" s="609"/>
      <c r="AW88" s="609"/>
      <c r="AX88" s="633">
        <f t="shared" ref="AX88:AX91" si="59">I88/13</f>
        <v>80</v>
      </c>
      <c r="AY88" s="633"/>
      <c r="AZ88" s="633"/>
      <c r="BA88" s="633"/>
      <c r="BB88" s="633"/>
      <c r="BC88" s="633"/>
      <c r="BD88" s="633"/>
      <c r="BE88" s="633"/>
      <c r="BF88" s="633"/>
      <c r="BG88" s="633"/>
      <c r="BH88" s="633"/>
      <c r="BI88" s="633"/>
      <c r="BJ88" s="633"/>
      <c r="BK88" s="633"/>
      <c r="BL88" s="633"/>
      <c r="BM88" s="633"/>
      <c r="BN88" s="633"/>
      <c r="BQ88" s="3">
        <f t="shared" si="42"/>
        <v>373588</v>
      </c>
    </row>
    <row r="89" s="200" customFormat="1" ht="36" customHeight="1" spans="1:69">
      <c r="A89" s="533">
        <v>45909</v>
      </c>
      <c r="B89" s="527" t="s">
        <v>4294</v>
      </c>
      <c r="C89" s="528" t="s">
        <v>689</v>
      </c>
      <c r="D89" s="534">
        <v>4500177965</v>
      </c>
      <c r="E89" s="530">
        <v>28004</v>
      </c>
      <c r="F89" s="534" t="s">
        <v>5340</v>
      </c>
      <c r="G89" s="531" t="s">
        <v>5066</v>
      </c>
      <c r="H89" s="532" t="s">
        <v>5048</v>
      </c>
      <c r="I89" s="401">
        <v>195</v>
      </c>
      <c r="J89" s="562">
        <v>0</v>
      </c>
      <c r="K89" s="531">
        <v>13</v>
      </c>
      <c r="L89" s="503">
        <f t="shared" si="41"/>
        <v>15</v>
      </c>
      <c r="M89" s="563">
        <v>45994</v>
      </c>
      <c r="N89" s="563">
        <f t="shared" si="57"/>
        <v>45990</v>
      </c>
      <c r="O89" s="564"/>
      <c r="P89" s="564" t="s">
        <v>1262</v>
      </c>
      <c r="Q89" s="564" t="s">
        <v>4291</v>
      </c>
      <c r="R89" s="579">
        <v>45944</v>
      </c>
      <c r="S89" s="578" t="s">
        <v>77</v>
      </c>
      <c r="T89" s="564" t="s">
        <v>5341</v>
      </c>
      <c r="U89" s="564"/>
      <c r="V89" s="564"/>
      <c r="W89" s="564"/>
      <c r="X89" s="530" t="s">
        <v>5342</v>
      </c>
      <c r="Y89" s="596" t="s">
        <v>218</v>
      </c>
      <c r="Z89" s="592">
        <v>1.43</v>
      </c>
      <c r="AA89" s="593">
        <f t="shared" si="56"/>
        <v>278.85</v>
      </c>
      <c r="AB89" s="401"/>
      <c r="AC89" s="531" t="s">
        <v>5052</v>
      </c>
      <c r="AD89" s="595" t="s">
        <v>128</v>
      </c>
      <c r="AE89" s="700" t="s">
        <v>4930</v>
      </c>
      <c r="AF89" s="531">
        <v>195</v>
      </c>
      <c r="AG89" s="531">
        <f t="shared" si="44"/>
        <v>0</v>
      </c>
      <c r="AH89" s="531" t="s">
        <v>75</v>
      </c>
      <c r="AI89" s="607"/>
      <c r="AJ89" s="608">
        <f t="shared" si="52"/>
        <v>195</v>
      </c>
      <c r="AK89" s="608"/>
      <c r="AL89" s="609"/>
      <c r="AM89" s="616">
        <f>I89</f>
        <v>195</v>
      </c>
      <c r="AN89" s="401"/>
      <c r="AO89" s="401"/>
      <c r="AP89" s="503">
        <f t="shared" si="53"/>
        <v>195</v>
      </c>
      <c r="AQ89" s="503"/>
      <c r="AR89" s="401"/>
      <c r="AS89" s="503">
        <f t="shared" si="54"/>
        <v>175.90625</v>
      </c>
      <c r="AT89" s="621">
        <f t="shared" si="55"/>
        <v>19.09375</v>
      </c>
      <c r="AU89" s="609">
        <f>I89</f>
        <v>195</v>
      </c>
      <c r="AV89" s="609"/>
      <c r="AW89" s="609"/>
      <c r="AX89" s="633"/>
      <c r="AY89" s="633">
        <f>I89/13</f>
        <v>15</v>
      </c>
      <c r="AZ89" s="633"/>
      <c r="BA89" s="633"/>
      <c r="BB89" s="633"/>
      <c r="BC89" s="633"/>
      <c r="BD89" s="633"/>
      <c r="BE89" s="633"/>
      <c r="BF89" s="633"/>
      <c r="BG89" s="633"/>
      <c r="BH89" s="633"/>
      <c r="BI89" s="633"/>
      <c r="BJ89" s="633"/>
      <c r="BK89" s="633"/>
      <c r="BL89" s="633"/>
      <c r="BM89" s="633"/>
      <c r="BN89" s="633"/>
      <c r="BQ89" s="3">
        <f t="shared" si="42"/>
        <v>373783</v>
      </c>
    </row>
    <row r="90" s="200" customFormat="1" ht="36" customHeight="1" spans="1:69">
      <c r="A90" s="533">
        <v>45950</v>
      </c>
      <c r="B90" s="527" t="s">
        <v>232</v>
      </c>
      <c r="C90" s="528" t="s">
        <v>233</v>
      </c>
      <c r="D90" s="534">
        <v>4500182442</v>
      </c>
      <c r="E90" s="530">
        <v>21091756</v>
      </c>
      <c r="F90" s="534" t="s">
        <v>5343</v>
      </c>
      <c r="G90" s="531" t="s">
        <v>5066</v>
      </c>
      <c r="H90" s="532" t="s">
        <v>5048</v>
      </c>
      <c r="I90" s="401">
        <v>377</v>
      </c>
      <c r="J90" s="562">
        <v>0</v>
      </c>
      <c r="K90" s="531">
        <v>13</v>
      </c>
      <c r="L90" s="503">
        <f t="shared" si="41"/>
        <v>29</v>
      </c>
      <c r="M90" s="563">
        <v>45992</v>
      </c>
      <c r="N90" s="563">
        <v>45992</v>
      </c>
      <c r="O90" s="564"/>
      <c r="P90" s="564" t="s">
        <v>92</v>
      </c>
      <c r="Q90" s="564" t="s">
        <v>5344</v>
      </c>
      <c r="R90" s="579">
        <v>45960</v>
      </c>
      <c r="S90" s="579" t="s">
        <v>123</v>
      </c>
      <c r="T90" s="564" t="s">
        <v>5345</v>
      </c>
      <c r="U90" s="564"/>
      <c r="V90" s="564"/>
      <c r="W90" s="564"/>
      <c r="X90" s="530" t="s">
        <v>5346</v>
      </c>
      <c r="Y90" s="596" t="s">
        <v>1011</v>
      </c>
      <c r="Z90" s="592">
        <v>1.5</v>
      </c>
      <c r="AA90" s="593">
        <f t="shared" si="56"/>
        <v>565.5</v>
      </c>
      <c r="AB90" s="401" t="s">
        <v>5347</v>
      </c>
      <c r="AC90" s="607" t="s">
        <v>5066</v>
      </c>
      <c r="AD90" s="595" t="s">
        <v>128</v>
      </c>
      <c r="AE90" s="700" t="s">
        <v>4930</v>
      </c>
      <c r="AF90" s="531">
        <f>351+26</f>
        <v>377</v>
      </c>
      <c r="AG90" s="531">
        <f t="shared" si="44"/>
        <v>0</v>
      </c>
      <c r="AH90" s="531" t="s">
        <v>4335</v>
      </c>
      <c r="AI90" s="607"/>
      <c r="AJ90" s="608">
        <f t="shared" si="52"/>
        <v>377</v>
      </c>
      <c r="AK90" s="612"/>
      <c r="AL90" s="613">
        <f t="shared" si="58"/>
        <v>377</v>
      </c>
      <c r="AM90" s="616"/>
      <c r="AN90" s="401"/>
      <c r="AO90" s="401"/>
      <c r="AP90" s="503">
        <f t="shared" si="53"/>
        <v>377</v>
      </c>
      <c r="AQ90" s="503"/>
      <c r="AR90" s="401"/>
      <c r="AS90" s="503">
        <f t="shared" si="54"/>
        <v>340.085416666667</v>
      </c>
      <c r="AT90" s="621">
        <f t="shared" si="55"/>
        <v>36.9145833333333</v>
      </c>
      <c r="AU90" s="609"/>
      <c r="AV90" s="609"/>
      <c r="AW90" s="609"/>
      <c r="AX90" s="633">
        <f t="shared" si="59"/>
        <v>29</v>
      </c>
      <c r="AY90" s="633"/>
      <c r="AZ90" s="633"/>
      <c r="BA90" s="633"/>
      <c r="BB90" s="633"/>
      <c r="BC90" s="633"/>
      <c r="BD90" s="633"/>
      <c r="BE90" s="633"/>
      <c r="BF90" s="633"/>
      <c r="BG90" s="633"/>
      <c r="BH90" s="633"/>
      <c r="BI90" s="633"/>
      <c r="BJ90" s="633"/>
      <c r="BK90" s="633"/>
      <c r="BL90" s="633"/>
      <c r="BM90" s="633"/>
      <c r="BN90" s="633"/>
      <c r="BQ90" s="3">
        <f t="shared" si="42"/>
        <v>374160</v>
      </c>
    </row>
    <row r="91" s="200" customFormat="1" ht="36" customHeight="1" spans="1:69">
      <c r="A91" s="533">
        <v>45950</v>
      </c>
      <c r="B91" s="527" t="s">
        <v>189</v>
      </c>
      <c r="C91" s="528" t="s">
        <v>190</v>
      </c>
      <c r="D91" s="534">
        <v>4500182434</v>
      </c>
      <c r="E91" s="530">
        <v>21091754</v>
      </c>
      <c r="F91" s="534" t="s">
        <v>5348</v>
      </c>
      <c r="G91" s="531" t="s">
        <v>5066</v>
      </c>
      <c r="H91" s="532" t="s">
        <v>5048</v>
      </c>
      <c r="I91" s="401">
        <v>7085</v>
      </c>
      <c r="J91" s="562">
        <v>0</v>
      </c>
      <c r="K91" s="531">
        <v>13</v>
      </c>
      <c r="L91" s="503">
        <f t="shared" si="41"/>
        <v>545</v>
      </c>
      <c r="M91" s="563">
        <v>45992</v>
      </c>
      <c r="N91" s="563">
        <v>45992</v>
      </c>
      <c r="O91" s="564"/>
      <c r="P91" s="564" t="s">
        <v>92</v>
      </c>
      <c r="Q91" s="564" t="s">
        <v>5344</v>
      </c>
      <c r="R91" s="579">
        <v>45960</v>
      </c>
      <c r="S91" s="579" t="s">
        <v>123</v>
      </c>
      <c r="T91" s="564" t="s">
        <v>5345</v>
      </c>
      <c r="U91" s="564"/>
      <c r="V91" s="564"/>
      <c r="W91" s="564"/>
      <c r="X91" s="530" t="s">
        <v>5349</v>
      </c>
      <c r="Y91" s="596" t="s">
        <v>1011</v>
      </c>
      <c r="Z91" s="592">
        <v>1.42</v>
      </c>
      <c r="AA91" s="593">
        <f t="shared" si="56"/>
        <v>10060.7</v>
      </c>
      <c r="AB91" s="401"/>
      <c r="AC91" s="607" t="s">
        <v>5066</v>
      </c>
      <c r="AD91" s="595" t="s">
        <v>128</v>
      </c>
      <c r="AE91" s="700" t="s">
        <v>4930</v>
      </c>
      <c r="AF91" s="531">
        <f>4277+2808</f>
        <v>7085</v>
      </c>
      <c r="AG91" s="531">
        <f t="shared" si="44"/>
        <v>0</v>
      </c>
      <c r="AH91" s="531" t="s">
        <v>4335</v>
      </c>
      <c r="AI91" s="607"/>
      <c r="AJ91" s="608">
        <f t="shared" si="52"/>
        <v>7085</v>
      </c>
      <c r="AK91" s="612"/>
      <c r="AL91" s="613">
        <f t="shared" si="58"/>
        <v>7085</v>
      </c>
      <c r="AM91" s="616"/>
      <c r="AN91" s="401"/>
      <c r="AO91" s="401"/>
      <c r="AP91" s="503">
        <f t="shared" si="53"/>
        <v>7085</v>
      </c>
      <c r="AQ91" s="503"/>
      <c r="AR91" s="401"/>
      <c r="AS91" s="503">
        <f t="shared" si="54"/>
        <v>6391.26041666667</v>
      </c>
      <c r="AT91" s="621">
        <f t="shared" si="55"/>
        <v>693.739583333333</v>
      </c>
      <c r="AU91" s="609"/>
      <c r="AV91" s="609"/>
      <c r="AW91" s="609"/>
      <c r="AX91" s="633">
        <f t="shared" si="59"/>
        <v>545</v>
      </c>
      <c r="AY91" s="633"/>
      <c r="AZ91" s="633"/>
      <c r="BA91" s="633"/>
      <c r="BB91" s="633"/>
      <c r="BC91" s="633"/>
      <c r="BD91" s="633"/>
      <c r="BE91" s="633"/>
      <c r="BF91" s="633"/>
      <c r="BG91" s="633"/>
      <c r="BH91" s="633"/>
      <c r="BI91" s="633"/>
      <c r="BJ91" s="633"/>
      <c r="BK91" s="633"/>
      <c r="BL91" s="633"/>
      <c r="BM91" s="633"/>
      <c r="BN91" s="633"/>
      <c r="BQ91" s="3">
        <f t="shared" si="42"/>
        <v>381245</v>
      </c>
    </row>
    <row r="92" s="200" customFormat="1" ht="36" customHeight="1" spans="1:69">
      <c r="A92" s="533">
        <v>45961</v>
      </c>
      <c r="B92" s="527" t="s">
        <v>4976</v>
      </c>
      <c r="C92" s="528" t="s">
        <v>117</v>
      </c>
      <c r="D92" s="534">
        <v>4500183837</v>
      </c>
      <c r="E92" s="1678" t="s">
        <v>5350</v>
      </c>
      <c r="F92" s="534" t="s">
        <v>5351</v>
      </c>
      <c r="G92" s="531" t="s">
        <v>4979</v>
      </c>
      <c r="H92" s="532" t="s">
        <v>4980</v>
      </c>
      <c r="I92" s="401">
        <v>960</v>
      </c>
      <c r="J92" s="562">
        <v>0</v>
      </c>
      <c r="K92" s="531">
        <v>16</v>
      </c>
      <c r="L92" s="503">
        <f t="shared" si="41"/>
        <v>60</v>
      </c>
      <c r="M92" s="563">
        <v>45993</v>
      </c>
      <c r="N92" s="563">
        <v>45992</v>
      </c>
      <c r="O92" s="564" t="s">
        <v>5352</v>
      </c>
      <c r="P92" s="564" t="s">
        <v>92</v>
      </c>
      <c r="Q92" s="564" t="s">
        <v>5292</v>
      </c>
      <c r="R92" s="564" t="s">
        <v>1102</v>
      </c>
      <c r="S92" s="564" t="s">
        <v>123</v>
      </c>
      <c r="T92" s="578" t="s">
        <v>5353</v>
      </c>
      <c r="U92" s="564" t="s">
        <v>4983</v>
      </c>
      <c r="V92" s="564"/>
      <c r="W92" s="564"/>
      <c r="X92" s="530" t="s">
        <v>5005</v>
      </c>
      <c r="Y92" s="596" t="s">
        <v>634</v>
      </c>
      <c r="Z92" s="592">
        <v>0.96</v>
      </c>
      <c r="AA92" s="593">
        <f t="shared" si="56"/>
        <v>921.6</v>
      </c>
      <c r="AB92" s="401"/>
      <c r="AC92" s="531" t="s">
        <v>4979</v>
      </c>
      <c r="AD92" s="595" t="s">
        <v>128</v>
      </c>
      <c r="AE92" s="700" t="s">
        <v>4930</v>
      </c>
      <c r="AF92" s="531">
        <v>960</v>
      </c>
      <c r="AG92" s="531">
        <f t="shared" si="44"/>
        <v>0</v>
      </c>
      <c r="AH92" s="531" t="s">
        <v>4335</v>
      </c>
      <c r="AI92" s="607"/>
      <c r="AJ92" s="608">
        <f t="shared" si="52"/>
        <v>960</v>
      </c>
      <c r="AK92" s="608"/>
      <c r="AL92" s="609">
        <f t="shared" si="58"/>
        <v>960</v>
      </c>
      <c r="AM92" s="616"/>
      <c r="AN92" s="401"/>
      <c r="AO92" s="401"/>
      <c r="AP92" s="503">
        <f t="shared" si="53"/>
        <v>960</v>
      </c>
      <c r="AQ92" s="503"/>
      <c r="AR92" s="401"/>
      <c r="AS92" s="503">
        <f t="shared" si="54"/>
        <v>866</v>
      </c>
      <c r="AT92" s="621">
        <f t="shared" si="55"/>
        <v>94</v>
      </c>
      <c r="AU92" s="609"/>
      <c r="AV92" s="609"/>
      <c r="AW92" s="609"/>
      <c r="AX92" s="633"/>
      <c r="AY92" s="633"/>
      <c r="AZ92" s="633"/>
      <c r="BA92" s="633"/>
      <c r="BB92" s="633"/>
      <c r="BC92" s="633">
        <f t="shared" ref="BC92:BC96" si="60">I92/16</f>
        <v>60</v>
      </c>
      <c r="BD92" s="633"/>
      <c r="BE92" s="633"/>
      <c r="BF92" s="633"/>
      <c r="BG92" s="633"/>
      <c r="BH92" s="633"/>
      <c r="BI92" s="633"/>
      <c r="BJ92" s="633"/>
      <c r="BK92" s="633"/>
      <c r="BL92" s="633"/>
      <c r="BM92" s="633"/>
      <c r="BN92" s="633"/>
      <c r="BQ92" s="3">
        <f t="shared" si="42"/>
        <v>382205</v>
      </c>
    </row>
    <row r="93" s="200" customFormat="1" ht="36" customHeight="1" spans="1:69">
      <c r="A93" s="533">
        <v>45961</v>
      </c>
      <c r="B93" s="527" t="s">
        <v>4976</v>
      </c>
      <c r="C93" s="528" t="s">
        <v>117</v>
      </c>
      <c r="D93" s="534">
        <v>4500183837</v>
      </c>
      <c r="E93" s="1678" t="s">
        <v>5354</v>
      </c>
      <c r="F93" s="534" t="s">
        <v>5355</v>
      </c>
      <c r="G93" s="531" t="s">
        <v>4979</v>
      </c>
      <c r="H93" s="532" t="s">
        <v>4980</v>
      </c>
      <c r="I93" s="401">
        <v>960</v>
      </c>
      <c r="J93" s="562">
        <v>0</v>
      </c>
      <c r="K93" s="531">
        <v>16</v>
      </c>
      <c r="L93" s="503">
        <f t="shared" si="41"/>
        <v>60</v>
      </c>
      <c r="M93" s="563">
        <v>45993</v>
      </c>
      <c r="N93" s="563">
        <v>45992</v>
      </c>
      <c r="O93" s="564" t="s">
        <v>5356</v>
      </c>
      <c r="P93" s="564" t="s">
        <v>92</v>
      </c>
      <c r="Q93" s="564" t="s">
        <v>3117</v>
      </c>
      <c r="R93" s="564" t="s">
        <v>1102</v>
      </c>
      <c r="S93" s="564" t="s">
        <v>123</v>
      </c>
      <c r="T93" s="578" t="s">
        <v>5353</v>
      </c>
      <c r="U93" s="564" t="s">
        <v>4983</v>
      </c>
      <c r="V93" s="564"/>
      <c r="W93" s="564"/>
      <c r="X93" s="530" t="s">
        <v>5005</v>
      </c>
      <c r="Y93" s="596" t="s">
        <v>634</v>
      </c>
      <c r="Z93" s="592">
        <v>0.96</v>
      </c>
      <c r="AA93" s="593">
        <f t="shared" si="56"/>
        <v>921.6</v>
      </c>
      <c r="AB93" s="401"/>
      <c r="AC93" s="531" t="s">
        <v>4979</v>
      </c>
      <c r="AD93" s="595" t="s">
        <v>128</v>
      </c>
      <c r="AE93" s="700" t="s">
        <v>4930</v>
      </c>
      <c r="AF93" s="531">
        <v>960</v>
      </c>
      <c r="AG93" s="531">
        <f t="shared" si="44"/>
        <v>0</v>
      </c>
      <c r="AH93" s="531" t="s">
        <v>4335</v>
      </c>
      <c r="AI93" s="607"/>
      <c r="AJ93" s="608">
        <f t="shared" si="52"/>
        <v>960</v>
      </c>
      <c r="AK93" s="608"/>
      <c r="AL93" s="609">
        <f t="shared" si="58"/>
        <v>960</v>
      </c>
      <c r="AM93" s="616"/>
      <c r="AN93" s="401"/>
      <c r="AO93" s="401"/>
      <c r="AP93" s="503">
        <f t="shared" si="53"/>
        <v>960</v>
      </c>
      <c r="AQ93" s="503"/>
      <c r="AR93" s="401"/>
      <c r="AS93" s="503">
        <f t="shared" si="54"/>
        <v>866</v>
      </c>
      <c r="AT93" s="621">
        <f t="shared" si="55"/>
        <v>94</v>
      </c>
      <c r="AU93" s="609"/>
      <c r="AV93" s="609"/>
      <c r="AW93" s="609"/>
      <c r="AX93" s="633"/>
      <c r="AY93" s="633"/>
      <c r="AZ93" s="633"/>
      <c r="BA93" s="633"/>
      <c r="BB93" s="633"/>
      <c r="BC93" s="633">
        <f t="shared" si="60"/>
        <v>60</v>
      </c>
      <c r="BD93" s="633"/>
      <c r="BE93" s="633"/>
      <c r="BF93" s="633"/>
      <c r="BG93" s="633"/>
      <c r="BH93" s="633"/>
      <c r="BI93" s="633"/>
      <c r="BJ93" s="633"/>
      <c r="BK93" s="633"/>
      <c r="BL93" s="633"/>
      <c r="BM93" s="633"/>
      <c r="BN93" s="633"/>
      <c r="BQ93" s="3">
        <f t="shared" si="42"/>
        <v>383165</v>
      </c>
    </row>
    <row r="94" s="200" customFormat="1" ht="36" customHeight="1" spans="1:69">
      <c r="A94" s="533">
        <v>45961</v>
      </c>
      <c r="B94" s="527" t="s">
        <v>4976</v>
      </c>
      <c r="C94" s="528" t="s">
        <v>117</v>
      </c>
      <c r="D94" s="534">
        <v>4500183837</v>
      </c>
      <c r="E94" s="1678" t="s">
        <v>5357</v>
      </c>
      <c r="F94" s="534" t="s">
        <v>5358</v>
      </c>
      <c r="G94" s="531" t="s">
        <v>4979</v>
      </c>
      <c r="H94" s="532" t="s">
        <v>4980</v>
      </c>
      <c r="I94" s="401">
        <v>960</v>
      </c>
      <c r="J94" s="562">
        <v>0</v>
      </c>
      <c r="K94" s="531">
        <v>16</v>
      </c>
      <c r="L94" s="503">
        <f t="shared" si="41"/>
        <v>60</v>
      </c>
      <c r="M94" s="563">
        <v>45993</v>
      </c>
      <c r="N94" s="563">
        <v>45992</v>
      </c>
      <c r="O94" s="564" t="s">
        <v>5352</v>
      </c>
      <c r="P94" s="564" t="s">
        <v>92</v>
      </c>
      <c r="Q94" s="564" t="s">
        <v>5359</v>
      </c>
      <c r="R94" s="564" t="s">
        <v>1102</v>
      </c>
      <c r="S94" s="564" t="s">
        <v>123</v>
      </c>
      <c r="T94" s="578" t="s">
        <v>5353</v>
      </c>
      <c r="U94" s="564" t="s">
        <v>4983</v>
      </c>
      <c r="V94" s="564"/>
      <c r="W94" s="564"/>
      <c r="X94" s="530" t="s">
        <v>5005</v>
      </c>
      <c r="Y94" s="596" t="s">
        <v>634</v>
      </c>
      <c r="Z94" s="592">
        <v>0.96</v>
      </c>
      <c r="AA94" s="593">
        <f t="shared" si="56"/>
        <v>921.6</v>
      </c>
      <c r="AB94" s="401"/>
      <c r="AC94" s="531" t="s">
        <v>4979</v>
      </c>
      <c r="AD94" s="595" t="s">
        <v>128</v>
      </c>
      <c r="AE94" s="700" t="s">
        <v>4930</v>
      </c>
      <c r="AF94" s="531">
        <v>960</v>
      </c>
      <c r="AG94" s="531">
        <f t="shared" si="44"/>
        <v>0</v>
      </c>
      <c r="AH94" s="531" t="s">
        <v>4335</v>
      </c>
      <c r="AI94" s="607"/>
      <c r="AJ94" s="608">
        <f t="shared" si="52"/>
        <v>960</v>
      </c>
      <c r="AK94" s="608"/>
      <c r="AL94" s="609">
        <f t="shared" si="58"/>
        <v>960</v>
      </c>
      <c r="AM94" s="616"/>
      <c r="AN94" s="401"/>
      <c r="AO94" s="401"/>
      <c r="AP94" s="503">
        <f t="shared" si="53"/>
        <v>960</v>
      </c>
      <c r="AQ94" s="503"/>
      <c r="AR94" s="401"/>
      <c r="AS94" s="503">
        <f t="shared" si="54"/>
        <v>866</v>
      </c>
      <c r="AT94" s="621">
        <f t="shared" si="55"/>
        <v>94</v>
      </c>
      <c r="AU94" s="609"/>
      <c r="AV94" s="609"/>
      <c r="AW94" s="609"/>
      <c r="AX94" s="633"/>
      <c r="AY94" s="633"/>
      <c r="AZ94" s="633"/>
      <c r="BA94" s="633"/>
      <c r="BB94" s="633"/>
      <c r="BC94" s="633">
        <f t="shared" si="60"/>
        <v>60</v>
      </c>
      <c r="BD94" s="633"/>
      <c r="BE94" s="633"/>
      <c r="BF94" s="633"/>
      <c r="BG94" s="633"/>
      <c r="BH94" s="633"/>
      <c r="BI94" s="633"/>
      <c r="BJ94" s="633"/>
      <c r="BK94" s="633"/>
      <c r="BL94" s="633"/>
      <c r="BM94" s="633"/>
      <c r="BN94" s="633"/>
      <c r="BQ94" s="3">
        <f t="shared" si="42"/>
        <v>384125</v>
      </c>
    </row>
    <row r="95" s="200" customFormat="1" ht="36" customHeight="1" spans="1:69">
      <c r="A95" s="533">
        <v>45961</v>
      </c>
      <c r="B95" s="527" t="s">
        <v>4976</v>
      </c>
      <c r="C95" s="528" t="s">
        <v>117</v>
      </c>
      <c r="D95" s="534">
        <v>4500183837</v>
      </c>
      <c r="E95" s="1678" t="s">
        <v>5360</v>
      </c>
      <c r="F95" s="534" t="s">
        <v>5361</v>
      </c>
      <c r="G95" s="531" t="s">
        <v>4979</v>
      </c>
      <c r="H95" s="532" t="s">
        <v>4980</v>
      </c>
      <c r="I95" s="401">
        <v>960</v>
      </c>
      <c r="J95" s="562">
        <v>0</v>
      </c>
      <c r="K95" s="531">
        <v>16</v>
      </c>
      <c r="L95" s="503">
        <f t="shared" si="41"/>
        <v>60</v>
      </c>
      <c r="M95" s="563">
        <v>45993</v>
      </c>
      <c r="N95" s="563">
        <v>45992</v>
      </c>
      <c r="O95" s="564" t="s">
        <v>5356</v>
      </c>
      <c r="P95" s="564" t="s">
        <v>92</v>
      </c>
      <c r="Q95" s="564" t="s">
        <v>3055</v>
      </c>
      <c r="R95" s="564" t="s">
        <v>1102</v>
      </c>
      <c r="S95" s="564" t="s">
        <v>123</v>
      </c>
      <c r="T95" s="578" t="s">
        <v>5353</v>
      </c>
      <c r="U95" s="564" t="s">
        <v>4983</v>
      </c>
      <c r="V95" s="564"/>
      <c r="W95" s="564"/>
      <c r="X95" s="530" t="s">
        <v>5005</v>
      </c>
      <c r="Y95" s="596" t="s">
        <v>634</v>
      </c>
      <c r="Z95" s="592">
        <v>0.96</v>
      </c>
      <c r="AA95" s="593">
        <f t="shared" si="56"/>
        <v>921.6</v>
      </c>
      <c r="AB95" s="401"/>
      <c r="AC95" s="531" t="s">
        <v>4979</v>
      </c>
      <c r="AD95" s="595" t="s">
        <v>128</v>
      </c>
      <c r="AE95" s="700" t="s">
        <v>4930</v>
      </c>
      <c r="AF95" s="531">
        <f>944+16</f>
        <v>960</v>
      </c>
      <c r="AG95" s="531">
        <f t="shared" si="44"/>
        <v>0</v>
      </c>
      <c r="AH95" s="531" t="s">
        <v>4335</v>
      </c>
      <c r="AI95" s="607"/>
      <c r="AJ95" s="608">
        <f t="shared" si="52"/>
        <v>960</v>
      </c>
      <c r="AK95" s="608"/>
      <c r="AL95" s="609">
        <f t="shared" si="58"/>
        <v>960</v>
      </c>
      <c r="AM95" s="616"/>
      <c r="AN95" s="401"/>
      <c r="AO95" s="401"/>
      <c r="AP95" s="503">
        <f t="shared" si="53"/>
        <v>960</v>
      </c>
      <c r="AQ95" s="503"/>
      <c r="AR95" s="401"/>
      <c r="AS95" s="503">
        <f t="shared" si="54"/>
        <v>866</v>
      </c>
      <c r="AT95" s="621">
        <f t="shared" si="55"/>
        <v>94</v>
      </c>
      <c r="AU95" s="609"/>
      <c r="AV95" s="609"/>
      <c r="AW95" s="609"/>
      <c r="AX95" s="633"/>
      <c r="AY95" s="633"/>
      <c r="AZ95" s="633"/>
      <c r="BA95" s="633"/>
      <c r="BB95" s="633"/>
      <c r="BC95" s="633">
        <f t="shared" si="60"/>
        <v>60</v>
      </c>
      <c r="BD95" s="633"/>
      <c r="BE95" s="633"/>
      <c r="BF95" s="633"/>
      <c r="BG95" s="633"/>
      <c r="BH95" s="633"/>
      <c r="BI95" s="633"/>
      <c r="BJ95" s="633"/>
      <c r="BK95" s="633"/>
      <c r="BL95" s="633"/>
      <c r="BM95" s="633"/>
      <c r="BN95" s="633"/>
      <c r="BQ95" s="3">
        <f t="shared" si="42"/>
        <v>385085</v>
      </c>
    </row>
    <row r="96" s="200" customFormat="1" ht="36" customHeight="1" spans="1:69">
      <c r="A96" s="533">
        <v>45961</v>
      </c>
      <c r="B96" s="527" t="s">
        <v>4976</v>
      </c>
      <c r="C96" s="528" t="s">
        <v>117</v>
      </c>
      <c r="D96" s="534">
        <v>4500183837</v>
      </c>
      <c r="E96" s="1678" t="s">
        <v>5362</v>
      </c>
      <c r="F96" s="534" t="s">
        <v>5363</v>
      </c>
      <c r="G96" s="531" t="s">
        <v>4979</v>
      </c>
      <c r="H96" s="532" t="s">
        <v>4980</v>
      </c>
      <c r="I96" s="401">
        <v>960</v>
      </c>
      <c r="J96" s="562">
        <v>0</v>
      </c>
      <c r="K96" s="531">
        <v>16</v>
      </c>
      <c r="L96" s="503">
        <f t="shared" si="41"/>
        <v>60</v>
      </c>
      <c r="M96" s="563">
        <v>45993</v>
      </c>
      <c r="N96" s="563">
        <v>45992</v>
      </c>
      <c r="O96" s="564" t="s">
        <v>5352</v>
      </c>
      <c r="P96" s="564" t="s">
        <v>92</v>
      </c>
      <c r="Q96" s="564"/>
      <c r="R96" s="564" t="s">
        <v>1102</v>
      </c>
      <c r="S96" s="564" t="s">
        <v>123</v>
      </c>
      <c r="T96" s="578" t="s">
        <v>5353</v>
      </c>
      <c r="U96" s="564" t="s">
        <v>4983</v>
      </c>
      <c r="V96" s="564"/>
      <c r="W96" s="564"/>
      <c r="X96" s="530" t="s">
        <v>5005</v>
      </c>
      <c r="Y96" s="596" t="s">
        <v>634</v>
      </c>
      <c r="Z96" s="592">
        <v>0.96</v>
      </c>
      <c r="AA96" s="593">
        <f t="shared" si="56"/>
        <v>921.6</v>
      </c>
      <c r="AB96" s="401"/>
      <c r="AC96" s="531" t="s">
        <v>4979</v>
      </c>
      <c r="AD96" s="595" t="s">
        <v>128</v>
      </c>
      <c r="AE96" s="700" t="s">
        <v>4930</v>
      </c>
      <c r="AF96" s="531">
        <f>944+16</f>
        <v>960</v>
      </c>
      <c r="AG96" s="531">
        <f t="shared" si="44"/>
        <v>0</v>
      </c>
      <c r="AH96" s="531" t="s">
        <v>4335</v>
      </c>
      <c r="AI96" s="607"/>
      <c r="AJ96" s="608">
        <f t="shared" si="52"/>
        <v>960</v>
      </c>
      <c r="AK96" s="608"/>
      <c r="AL96" s="609">
        <f t="shared" si="58"/>
        <v>960</v>
      </c>
      <c r="AM96" s="616"/>
      <c r="AN96" s="401"/>
      <c r="AO96" s="401"/>
      <c r="AP96" s="503">
        <f t="shared" si="53"/>
        <v>960</v>
      </c>
      <c r="AQ96" s="503"/>
      <c r="AR96" s="401"/>
      <c r="AS96" s="503">
        <f t="shared" si="54"/>
        <v>866</v>
      </c>
      <c r="AT96" s="621">
        <f t="shared" si="55"/>
        <v>94</v>
      </c>
      <c r="AU96" s="609"/>
      <c r="AV96" s="609"/>
      <c r="AW96" s="609"/>
      <c r="AX96" s="633"/>
      <c r="AY96" s="633"/>
      <c r="AZ96" s="633"/>
      <c r="BA96" s="633"/>
      <c r="BB96" s="633"/>
      <c r="BC96" s="633">
        <f t="shared" si="60"/>
        <v>60</v>
      </c>
      <c r="BD96" s="633"/>
      <c r="BE96" s="633"/>
      <c r="BF96" s="633"/>
      <c r="BG96" s="633"/>
      <c r="BH96" s="633"/>
      <c r="BI96" s="633"/>
      <c r="BJ96" s="633"/>
      <c r="BK96" s="633"/>
      <c r="BL96" s="633"/>
      <c r="BM96" s="633"/>
      <c r="BN96" s="633"/>
      <c r="BQ96" s="3">
        <f t="shared" si="42"/>
        <v>386045</v>
      </c>
    </row>
    <row r="97" s="200" customFormat="1" ht="36" customHeight="1" spans="1:69">
      <c r="A97" s="533">
        <v>45959</v>
      </c>
      <c r="B97" s="527" t="s">
        <v>2860</v>
      </c>
      <c r="C97" s="528" t="s">
        <v>2861</v>
      </c>
      <c r="D97" s="534">
        <v>4500183595</v>
      </c>
      <c r="E97" s="530" t="s">
        <v>5364</v>
      </c>
      <c r="F97" s="534" t="s">
        <v>5365</v>
      </c>
      <c r="G97" s="531" t="s">
        <v>4970</v>
      </c>
      <c r="H97" s="532" t="s">
        <v>5144</v>
      </c>
      <c r="I97" s="401">
        <v>520</v>
      </c>
      <c r="J97" s="562">
        <v>0</v>
      </c>
      <c r="K97" s="531">
        <v>52</v>
      </c>
      <c r="L97" s="503">
        <f t="shared" si="41"/>
        <v>10</v>
      </c>
      <c r="M97" s="563">
        <v>45994</v>
      </c>
      <c r="N97" s="563">
        <v>45992</v>
      </c>
      <c r="O97" s="564"/>
      <c r="P97" s="564" t="s">
        <v>1262</v>
      </c>
      <c r="Q97" s="564" t="s">
        <v>5366</v>
      </c>
      <c r="R97" s="579">
        <v>45964</v>
      </c>
      <c r="S97" s="578" t="s">
        <v>77</v>
      </c>
      <c r="T97" s="564" t="s">
        <v>5367</v>
      </c>
      <c r="U97" s="564"/>
      <c r="V97" s="564"/>
      <c r="W97" s="564"/>
      <c r="X97" s="530" t="s">
        <v>5368</v>
      </c>
      <c r="Y97" s="596" t="s">
        <v>1140</v>
      </c>
      <c r="Z97" s="592">
        <v>1.4181</v>
      </c>
      <c r="AA97" s="593">
        <f t="shared" si="56"/>
        <v>737.412</v>
      </c>
      <c r="AB97" s="401" t="s">
        <v>5369</v>
      </c>
      <c r="AC97" s="531" t="s">
        <v>4970</v>
      </c>
      <c r="AD97" s="595" t="s">
        <v>128</v>
      </c>
      <c r="AE97" s="700" t="s">
        <v>4930</v>
      </c>
      <c r="AF97" s="531">
        <v>520</v>
      </c>
      <c r="AG97" s="531">
        <f t="shared" si="44"/>
        <v>0</v>
      </c>
      <c r="AH97" s="531" t="s">
        <v>4335</v>
      </c>
      <c r="AI97" s="607"/>
      <c r="AJ97" s="608">
        <f t="shared" si="52"/>
        <v>520</v>
      </c>
      <c r="AK97" s="608"/>
      <c r="AL97" s="609">
        <f t="shared" si="58"/>
        <v>520</v>
      </c>
      <c r="AM97" s="616"/>
      <c r="AN97" s="401"/>
      <c r="AO97" s="401"/>
      <c r="AP97" s="503">
        <f t="shared" si="53"/>
        <v>520</v>
      </c>
      <c r="AQ97" s="503"/>
      <c r="AR97" s="609"/>
      <c r="AS97" s="503">
        <f t="shared" si="54"/>
        <v>469.083333333333</v>
      </c>
      <c r="AT97" s="621">
        <f t="shared" si="55"/>
        <v>50.9166666666667</v>
      </c>
      <c r="AU97" s="609"/>
      <c r="AV97" s="609"/>
      <c r="AW97" s="609"/>
      <c r="AX97" s="633">
        <f>I97/13</f>
        <v>40</v>
      </c>
      <c r="AY97" s="633"/>
      <c r="AZ97" s="633"/>
      <c r="BA97" s="633"/>
      <c r="BB97" s="633"/>
      <c r="BC97" s="633"/>
      <c r="BD97" s="633"/>
      <c r="BE97" s="633"/>
      <c r="BF97" s="633"/>
      <c r="BG97" s="633"/>
      <c r="BH97" s="633"/>
      <c r="BI97" s="633"/>
      <c r="BJ97" s="633"/>
      <c r="BK97" s="633"/>
      <c r="BL97" s="633"/>
      <c r="BM97" s="633"/>
      <c r="BN97" s="633"/>
      <c r="BQ97" s="3">
        <f t="shared" si="42"/>
        <v>386565</v>
      </c>
    </row>
    <row r="98" s="200" customFormat="1" ht="36" customHeight="1" spans="1:69">
      <c r="A98" s="533">
        <v>45932</v>
      </c>
      <c r="B98" s="527" t="s">
        <v>449</v>
      </c>
      <c r="C98" s="528" t="s">
        <v>213</v>
      </c>
      <c r="D98" s="534">
        <v>4500181165</v>
      </c>
      <c r="E98" s="530" t="s">
        <v>5370</v>
      </c>
      <c r="F98" s="534" t="s">
        <v>5371</v>
      </c>
      <c r="G98" s="531" t="s">
        <v>5092</v>
      </c>
      <c r="H98" s="532" t="s">
        <v>5093</v>
      </c>
      <c r="I98" s="401">
        <v>816</v>
      </c>
      <c r="J98" s="562">
        <v>0</v>
      </c>
      <c r="K98" s="531">
        <v>12</v>
      </c>
      <c r="L98" s="503">
        <f t="shared" si="41"/>
        <v>68</v>
      </c>
      <c r="M98" s="563">
        <v>45995</v>
      </c>
      <c r="N98" s="563">
        <v>45993</v>
      </c>
      <c r="O98" s="564"/>
      <c r="P98" s="564" t="s">
        <v>1262</v>
      </c>
      <c r="Q98" s="564"/>
      <c r="R98" s="579" t="s">
        <v>5282</v>
      </c>
      <c r="S98" s="564" t="s">
        <v>123</v>
      </c>
      <c r="T98" s="564" t="s">
        <v>5372</v>
      </c>
      <c r="U98" s="564"/>
      <c r="V98" s="564"/>
      <c r="W98" s="564"/>
      <c r="X98" s="530" t="s">
        <v>5373</v>
      </c>
      <c r="Y98" s="596" t="s">
        <v>186</v>
      </c>
      <c r="Z98" s="592">
        <v>3.16</v>
      </c>
      <c r="AA98" s="593">
        <f t="shared" si="56"/>
        <v>2578.56</v>
      </c>
      <c r="AB98" s="401"/>
      <c r="AC98" s="607" t="s">
        <v>5098</v>
      </c>
      <c r="AD98" s="595" t="s">
        <v>128</v>
      </c>
      <c r="AE98" s="700" t="s">
        <v>4930</v>
      </c>
      <c r="AF98" s="531">
        <v>816</v>
      </c>
      <c r="AG98" s="531">
        <f t="shared" si="44"/>
        <v>0</v>
      </c>
      <c r="AH98" s="531" t="s">
        <v>75</v>
      </c>
      <c r="AI98" s="607"/>
      <c r="AJ98" s="608">
        <f>I98*2</f>
        <v>1632</v>
      </c>
      <c r="AK98" s="608"/>
      <c r="AL98" s="609"/>
      <c r="AM98" s="616"/>
      <c r="AN98" s="401">
        <f>I98*2</f>
        <v>1632</v>
      </c>
      <c r="AO98" s="401"/>
      <c r="AP98" s="503">
        <f>I98*2</f>
        <v>1632</v>
      </c>
      <c r="AQ98" s="503"/>
      <c r="AR98" s="401"/>
      <c r="AS98" s="503">
        <f t="shared" si="54"/>
        <v>1472.2</v>
      </c>
      <c r="AT98" s="621">
        <f>I98*(1-(1/48))/10*2</f>
        <v>159.8</v>
      </c>
      <c r="AU98" s="609">
        <f t="shared" ref="AU98:AU100" si="61">I98</f>
        <v>816</v>
      </c>
      <c r="AV98" s="609"/>
      <c r="AW98" s="609"/>
      <c r="AX98" s="633"/>
      <c r="AY98" s="633"/>
      <c r="AZ98" s="633"/>
      <c r="BA98" s="633"/>
      <c r="BB98" s="633"/>
      <c r="BC98" s="633"/>
      <c r="BD98" s="633"/>
      <c r="BE98" s="633"/>
      <c r="BF98" s="633"/>
      <c r="BG98" s="633"/>
      <c r="BH98" s="633"/>
      <c r="BI98" s="633"/>
      <c r="BJ98" s="633"/>
      <c r="BK98" s="633"/>
      <c r="BL98" s="633"/>
      <c r="BM98" s="633">
        <f>I98</f>
        <v>816</v>
      </c>
      <c r="BN98" s="633">
        <f>I98</f>
        <v>816</v>
      </c>
      <c r="BQ98" s="3">
        <f t="shared" si="42"/>
        <v>388197</v>
      </c>
    </row>
    <row r="99" s="200" customFormat="1" ht="36" customHeight="1" spans="1:69">
      <c r="A99" s="533">
        <v>45952</v>
      </c>
      <c r="B99" s="527" t="s">
        <v>5374</v>
      </c>
      <c r="C99" s="528" t="s">
        <v>180</v>
      </c>
      <c r="D99" s="534">
        <v>4500182782</v>
      </c>
      <c r="E99" s="530" t="s">
        <v>5375</v>
      </c>
      <c r="F99" s="534" t="s">
        <v>5376</v>
      </c>
      <c r="G99" s="531" t="s">
        <v>4970</v>
      </c>
      <c r="H99" s="532" t="s">
        <v>5144</v>
      </c>
      <c r="I99" s="401">
        <v>312</v>
      </c>
      <c r="J99" s="562">
        <v>0</v>
      </c>
      <c r="K99" s="531">
        <v>52</v>
      </c>
      <c r="L99" s="503">
        <f t="shared" si="41"/>
        <v>6</v>
      </c>
      <c r="M99" s="563">
        <v>45995</v>
      </c>
      <c r="N99" s="563">
        <v>45993</v>
      </c>
      <c r="O99" s="564"/>
      <c r="P99" s="564" t="s">
        <v>1262</v>
      </c>
      <c r="Q99" s="564" t="s">
        <v>5377</v>
      </c>
      <c r="R99" s="579">
        <v>45953</v>
      </c>
      <c r="S99" s="564" t="s">
        <v>77</v>
      </c>
      <c r="T99" s="580" t="s">
        <v>5378</v>
      </c>
      <c r="U99" s="564"/>
      <c r="V99" s="564"/>
      <c r="W99" s="564"/>
      <c r="X99" s="530" t="s">
        <v>5379</v>
      </c>
      <c r="Y99" s="596" t="s">
        <v>1129</v>
      </c>
      <c r="Z99" s="592">
        <v>1.46</v>
      </c>
      <c r="AA99" s="593">
        <f t="shared" si="56"/>
        <v>455.52</v>
      </c>
      <c r="AB99" s="711" t="s">
        <v>5380</v>
      </c>
      <c r="AC99" s="531" t="s">
        <v>5381</v>
      </c>
      <c r="AD99" s="595" t="s">
        <v>128</v>
      </c>
      <c r="AE99" s="700" t="s">
        <v>4930</v>
      </c>
      <c r="AF99" s="531">
        <v>312</v>
      </c>
      <c r="AG99" s="531">
        <f t="shared" si="44"/>
        <v>0</v>
      </c>
      <c r="AH99" s="531" t="s">
        <v>4335</v>
      </c>
      <c r="AI99" s="607"/>
      <c r="AJ99" s="608">
        <f t="shared" ref="AJ99:AJ121" si="62">I99</f>
        <v>312</v>
      </c>
      <c r="AK99" s="608"/>
      <c r="AL99" s="609"/>
      <c r="AM99" s="401">
        <f>I99</f>
        <v>312</v>
      </c>
      <c r="AN99" s="401"/>
      <c r="AO99" s="401"/>
      <c r="AP99" s="503">
        <f t="shared" ref="AP99:AP121" si="63">I99</f>
        <v>312</v>
      </c>
      <c r="AQ99" s="503"/>
      <c r="AR99" s="401"/>
      <c r="AS99" s="503">
        <f t="shared" si="54"/>
        <v>281.45</v>
      </c>
      <c r="AT99" s="621">
        <f t="shared" si="55"/>
        <v>30.55</v>
      </c>
      <c r="AU99" s="609">
        <f t="shared" si="61"/>
        <v>312</v>
      </c>
      <c r="AV99" s="609"/>
      <c r="AW99" s="714"/>
      <c r="AY99" s="633">
        <f>I99/13</f>
        <v>24</v>
      </c>
      <c r="AZ99" s="633"/>
      <c r="BA99" s="633"/>
      <c r="BB99" s="633"/>
      <c r="BC99" s="633"/>
      <c r="BD99" s="633"/>
      <c r="BE99" s="633"/>
      <c r="BF99" s="633"/>
      <c r="BG99" s="633"/>
      <c r="BH99" s="633"/>
      <c r="BI99" s="633"/>
      <c r="BJ99" s="633"/>
      <c r="BK99" s="633"/>
      <c r="BL99" s="633"/>
      <c r="BM99" s="633"/>
      <c r="BN99" s="633"/>
      <c r="BQ99" s="3">
        <f t="shared" si="42"/>
        <v>388509</v>
      </c>
    </row>
    <row r="100" s="200" customFormat="1" ht="36" customHeight="1" spans="1:69">
      <c r="A100" s="533">
        <v>45957</v>
      </c>
      <c r="B100" s="527" t="s">
        <v>225</v>
      </c>
      <c r="C100" s="528" t="s">
        <v>213</v>
      </c>
      <c r="D100" s="534">
        <v>4500183275</v>
      </c>
      <c r="E100" s="530" t="s">
        <v>5382</v>
      </c>
      <c r="F100" s="534" t="s">
        <v>5383</v>
      </c>
      <c r="G100" s="531" t="s">
        <v>4970</v>
      </c>
      <c r="H100" s="532" t="s">
        <v>5144</v>
      </c>
      <c r="I100" s="401">
        <v>5616</v>
      </c>
      <c r="J100" s="562">
        <v>0</v>
      </c>
      <c r="K100" s="531">
        <v>52</v>
      </c>
      <c r="L100" s="503">
        <f t="shared" si="41"/>
        <v>108</v>
      </c>
      <c r="M100" s="563">
        <v>45996</v>
      </c>
      <c r="N100" s="563">
        <v>45993</v>
      </c>
      <c r="O100" s="564"/>
      <c r="P100" s="564" t="s">
        <v>92</v>
      </c>
      <c r="Q100" s="564"/>
      <c r="R100" s="579">
        <v>45957</v>
      </c>
      <c r="S100" s="564" t="s">
        <v>77</v>
      </c>
      <c r="T100" s="580" t="s">
        <v>5384</v>
      </c>
      <c r="U100" s="564"/>
      <c r="V100" s="564" t="s">
        <v>2906</v>
      </c>
      <c r="W100" s="564"/>
      <c r="X100" s="530" t="s">
        <v>5385</v>
      </c>
      <c r="Y100" s="596" t="s">
        <v>5386</v>
      </c>
      <c r="Z100" s="592">
        <v>1.46</v>
      </c>
      <c r="AA100" s="593">
        <f t="shared" si="56"/>
        <v>8199.36</v>
      </c>
      <c r="AB100" s="401"/>
      <c r="AC100" s="531" t="s">
        <v>4970</v>
      </c>
      <c r="AD100" s="595" t="s">
        <v>128</v>
      </c>
      <c r="AE100" s="700" t="s">
        <v>4930</v>
      </c>
      <c r="AF100" s="531">
        <v>5616</v>
      </c>
      <c r="AG100" s="531">
        <f t="shared" si="44"/>
        <v>0</v>
      </c>
      <c r="AH100" s="531" t="s">
        <v>4335</v>
      </c>
      <c r="AI100" s="607"/>
      <c r="AJ100" s="608">
        <f t="shared" si="62"/>
        <v>5616</v>
      </c>
      <c r="AK100" s="608"/>
      <c r="AL100" s="609">
        <f t="shared" ref="AL100:AL108" si="64">I100</f>
        <v>5616</v>
      </c>
      <c r="AM100" s="401"/>
      <c r="AN100" s="401"/>
      <c r="AO100" s="401"/>
      <c r="AP100" s="503">
        <f t="shared" si="63"/>
        <v>5616</v>
      </c>
      <c r="AQ100" s="503"/>
      <c r="AR100" s="401"/>
      <c r="AS100" s="503">
        <f t="shared" si="54"/>
        <v>5066.1</v>
      </c>
      <c r="AT100" s="621">
        <f t="shared" si="55"/>
        <v>549.9</v>
      </c>
      <c r="AU100" s="609">
        <f t="shared" si="61"/>
        <v>5616</v>
      </c>
      <c r="AV100" s="609"/>
      <c r="AW100" s="609"/>
      <c r="AX100" s="633">
        <f t="shared" ref="AX100:AX108" si="65">I100/13</f>
        <v>432</v>
      </c>
      <c r="AY100" s="633"/>
      <c r="AZ100" s="633"/>
      <c r="BA100" s="633"/>
      <c r="BB100" s="633"/>
      <c r="BC100" s="633"/>
      <c r="BD100" s="633"/>
      <c r="BE100" s="633"/>
      <c r="BF100" s="633"/>
      <c r="BG100" s="633"/>
      <c r="BH100" s="633"/>
      <c r="BI100" s="633"/>
      <c r="BJ100" s="633"/>
      <c r="BK100" s="633"/>
      <c r="BL100" s="633"/>
      <c r="BM100" s="633"/>
      <c r="BN100" s="633"/>
      <c r="BQ100" s="3">
        <f t="shared" si="42"/>
        <v>394125</v>
      </c>
    </row>
    <row r="101" s="200" customFormat="1" ht="36" customHeight="1" spans="1:69">
      <c r="A101" s="533">
        <v>45930</v>
      </c>
      <c r="B101" s="527" t="s">
        <v>3979</v>
      </c>
      <c r="C101" s="528" t="s">
        <v>1211</v>
      </c>
      <c r="D101" s="534">
        <v>4500181141</v>
      </c>
      <c r="E101" s="530" t="s">
        <v>4310</v>
      </c>
      <c r="F101" s="534" t="s">
        <v>5387</v>
      </c>
      <c r="G101" s="531" t="s">
        <v>4974</v>
      </c>
      <c r="H101" s="532" t="s">
        <v>5205</v>
      </c>
      <c r="I101" s="401">
        <v>400</v>
      </c>
      <c r="J101" s="562">
        <v>0</v>
      </c>
      <c r="K101" s="531">
        <v>50</v>
      </c>
      <c r="L101" s="503">
        <f t="shared" si="41"/>
        <v>8</v>
      </c>
      <c r="M101" s="563">
        <v>45996</v>
      </c>
      <c r="N101" s="563">
        <v>45993</v>
      </c>
      <c r="O101" s="564"/>
      <c r="P101" s="564" t="s">
        <v>1262</v>
      </c>
      <c r="Q101" s="564"/>
      <c r="R101" s="579">
        <v>45930</v>
      </c>
      <c r="S101" s="564" t="s">
        <v>77</v>
      </c>
      <c r="T101" s="580" t="s">
        <v>4312</v>
      </c>
      <c r="U101" s="564"/>
      <c r="V101" s="564"/>
      <c r="W101" s="564" t="s">
        <v>5388</v>
      </c>
      <c r="X101" s="530" t="s">
        <v>5389</v>
      </c>
      <c r="Y101" s="596" t="s">
        <v>618</v>
      </c>
      <c r="Z101" s="592">
        <v>1.55</v>
      </c>
      <c r="AA101" s="593">
        <f t="shared" si="56"/>
        <v>620</v>
      </c>
      <c r="AB101" s="401" t="s">
        <v>5390</v>
      </c>
      <c r="AC101" s="531" t="s">
        <v>5391</v>
      </c>
      <c r="AD101" s="595" t="s">
        <v>128</v>
      </c>
      <c r="AE101" s="700" t="s">
        <v>4930</v>
      </c>
      <c r="AF101" s="531">
        <v>400</v>
      </c>
      <c r="AG101" s="531">
        <f t="shared" si="44"/>
        <v>0</v>
      </c>
      <c r="AH101" s="531" t="s">
        <v>4335</v>
      </c>
      <c r="AI101" s="607"/>
      <c r="AJ101" s="608">
        <f t="shared" si="62"/>
        <v>400</v>
      </c>
      <c r="AK101" s="608"/>
      <c r="AL101" s="609"/>
      <c r="AM101" s="401">
        <f>I101</f>
        <v>400</v>
      </c>
      <c r="AN101" s="401"/>
      <c r="AO101" s="401"/>
      <c r="AP101" s="503">
        <f t="shared" si="63"/>
        <v>400</v>
      </c>
      <c r="AQ101" s="503"/>
      <c r="AR101" s="401"/>
      <c r="AS101" s="503">
        <f t="shared" si="54"/>
        <v>360.833333333333</v>
      </c>
      <c r="AT101" s="621">
        <f t="shared" si="55"/>
        <v>39.1666666666667</v>
      </c>
      <c r="AU101" s="609"/>
      <c r="AV101" s="609"/>
      <c r="AW101" s="609"/>
      <c r="AX101" s="633"/>
      <c r="AY101" s="633"/>
      <c r="AZ101" s="633"/>
      <c r="BA101" s="633"/>
      <c r="BB101" s="633">
        <f>I101/25</f>
        <v>16</v>
      </c>
      <c r="BC101" s="633"/>
      <c r="BD101" s="633"/>
      <c r="BE101" s="633"/>
      <c r="BF101" s="633"/>
      <c r="BG101" s="633"/>
      <c r="BH101" s="633"/>
      <c r="BI101" s="633"/>
      <c r="BJ101" s="633"/>
      <c r="BK101" s="633"/>
      <c r="BL101" s="633"/>
      <c r="BM101" s="633"/>
      <c r="BN101" s="633"/>
      <c r="BQ101" s="3">
        <f t="shared" si="42"/>
        <v>394525</v>
      </c>
    </row>
    <row r="102" s="200" customFormat="1" ht="36" customHeight="1" spans="1:69">
      <c r="A102" s="533">
        <v>45953</v>
      </c>
      <c r="B102" s="527" t="s">
        <v>116</v>
      </c>
      <c r="C102" s="528" t="s">
        <v>117</v>
      </c>
      <c r="D102" s="534">
        <v>4500182969</v>
      </c>
      <c r="E102" s="530" t="s">
        <v>5392</v>
      </c>
      <c r="F102" s="534" t="s">
        <v>5393</v>
      </c>
      <c r="G102" s="531" t="s">
        <v>4988</v>
      </c>
      <c r="H102" s="532" t="s">
        <v>4989</v>
      </c>
      <c r="I102" s="401">
        <v>9200</v>
      </c>
      <c r="J102" s="562">
        <v>0</v>
      </c>
      <c r="K102" s="531">
        <v>25</v>
      </c>
      <c r="L102" s="503">
        <f t="shared" si="41"/>
        <v>368</v>
      </c>
      <c r="M102" s="563">
        <v>45999</v>
      </c>
      <c r="N102" s="563">
        <v>45995</v>
      </c>
      <c r="O102" s="564"/>
      <c r="P102" s="564" t="s">
        <v>92</v>
      </c>
      <c r="Q102" s="564" t="s">
        <v>5394</v>
      </c>
      <c r="R102" s="579">
        <v>45957</v>
      </c>
      <c r="S102" s="578" t="s">
        <v>123</v>
      </c>
      <c r="T102" s="578" t="s">
        <v>5395</v>
      </c>
      <c r="U102" s="564"/>
      <c r="V102" s="564"/>
      <c r="W102" s="564"/>
      <c r="X102" s="530" t="s">
        <v>5226</v>
      </c>
      <c r="Y102" s="596" t="s">
        <v>126</v>
      </c>
      <c r="Z102" s="592">
        <v>0.96</v>
      </c>
      <c r="AA102" s="593">
        <f t="shared" si="56"/>
        <v>8832</v>
      </c>
      <c r="AB102" s="401"/>
      <c r="AC102" s="607" t="s">
        <v>4988</v>
      </c>
      <c r="AD102" s="595" t="s">
        <v>128</v>
      </c>
      <c r="AE102" s="700" t="s">
        <v>4930</v>
      </c>
      <c r="AF102" s="531">
        <f>9175+25</f>
        <v>9200</v>
      </c>
      <c r="AG102" s="531">
        <f t="shared" si="44"/>
        <v>0</v>
      </c>
      <c r="AH102" s="531" t="s">
        <v>75</v>
      </c>
      <c r="AI102" s="607"/>
      <c r="AJ102" s="608">
        <f t="shared" si="62"/>
        <v>9200</v>
      </c>
      <c r="AK102" s="608"/>
      <c r="AL102" s="609">
        <f t="shared" si="64"/>
        <v>9200</v>
      </c>
      <c r="AM102" s="616"/>
      <c r="AN102" s="401"/>
      <c r="AO102" s="401"/>
      <c r="AP102" s="503">
        <f t="shared" si="63"/>
        <v>9200</v>
      </c>
      <c r="AQ102" s="503"/>
      <c r="AR102" s="609"/>
      <c r="AS102" s="503">
        <f t="shared" si="54"/>
        <v>8299.16666666667</v>
      </c>
      <c r="AT102" s="621">
        <f t="shared" si="55"/>
        <v>900.833333333333</v>
      </c>
      <c r="AU102" s="609"/>
      <c r="AV102" s="609"/>
      <c r="AW102" s="609"/>
      <c r="AX102" s="633"/>
      <c r="AY102" s="633"/>
      <c r="AZ102" s="633"/>
      <c r="BA102" s="633">
        <f>I102/25</f>
        <v>368</v>
      </c>
      <c r="BB102" s="633"/>
      <c r="BC102" s="633"/>
      <c r="BD102" s="633"/>
      <c r="BE102" s="633"/>
      <c r="BF102" s="633"/>
      <c r="BG102" s="633"/>
      <c r="BH102" s="633"/>
      <c r="BI102" s="633"/>
      <c r="BJ102" s="633"/>
      <c r="BK102" s="633"/>
      <c r="BL102" s="633"/>
      <c r="BM102" s="633"/>
      <c r="BN102" s="633"/>
      <c r="BQ102" s="3">
        <f t="shared" si="42"/>
        <v>403725</v>
      </c>
    </row>
    <row r="103" s="200" customFormat="1" ht="36" customHeight="1" spans="1:69">
      <c r="A103" s="533">
        <v>45961</v>
      </c>
      <c r="B103" s="527" t="s">
        <v>4976</v>
      </c>
      <c r="C103" s="528" t="s">
        <v>117</v>
      </c>
      <c r="D103" s="534">
        <v>4500183838</v>
      </c>
      <c r="E103" s="1678" t="s">
        <v>5396</v>
      </c>
      <c r="F103" s="534" t="s">
        <v>5397</v>
      </c>
      <c r="G103" s="531" t="s">
        <v>4979</v>
      </c>
      <c r="H103" s="532" t="s">
        <v>4980</v>
      </c>
      <c r="I103" s="401">
        <v>960</v>
      </c>
      <c r="J103" s="562">
        <v>0</v>
      </c>
      <c r="K103" s="531">
        <v>16</v>
      </c>
      <c r="L103" s="503">
        <f t="shared" si="41"/>
        <v>60</v>
      </c>
      <c r="M103" s="563">
        <v>45999</v>
      </c>
      <c r="N103" s="563">
        <v>45995</v>
      </c>
      <c r="O103" s="564" t="s">
        <v>5398</v>
      </c>
      <c r="P103" s="564" t="s">
        <v>1262</v>
      </c>
      <c r="Q103" s="564" t="s">
        <v>5399</v>
      </c>
      <c r="R103" s="564" t="s">
        <v>1102</v>
      </c>
      <c r="S103" s="564" t="s">
        <v>123</v>
      </c>
      <c r="T103" s="578" t="s">
        <v>5353</v>
      </c>
      <c r="U103" s="564" t="s">
        <v>4983</v>
      </c>
      <c r="V103" s="564"/>
      <c r="W103" s="564"/>
      <c r="X103" s="530" t="s">
        <v>5005</v>
      </c>
      <c r="Y103" s="596" t="s">
        <v>634</v>
      </c>
      <c r="Z103" s="592">
        <v>0.96</v>
      </c>
      <c r="AA103" s="593">
        <f t="shared" si="56"/>
        <v>921.6</v>
      </c>
      <c r="AB103" s="401"/>
      <c r="AC103" s="531" t="s">
        <v>4979</v>
      </c>
      <c r="AD103" s="595" t="s">
        <v>128</v>
      </c>
      <c r="AE103" s="700" t="s">
        <v>4930</v>
      </c>
      <c r="AF103" s="531">
        <v>960</v>
      </c>
      <c r="AG103" s="531">
        <f t="shared" si="44"/>
        <v>0</v>
      </c>
      <c r="AH103" s="531" t="s">
        <v>4335</v>
      </c>
      <c r="AI103" s="607"/>
      <c r="AJ103" s="608">
        <f t="shared" si="62"/>
        <v>960</v>
      </c>
      <c r="AK103" s="608"/>
      <c r="AL103" s="609">
        <f t="shared" si="64"/>
        <v>960</v>
      </c>
      <c r="AM103" s="616"/>
      <c r="AN103" s="401"/>
      <c r="AO103" s="401"/>
      <c r="AP103" s="503">
        <f t="shared" si="63"/>
        <v>960</v>
      </c>
      <c r="AQ103" s="503"/>
      <c r="AR103" s="609"/>
      <c r="AS103" s="503">
        <f t="shared" si="54"/>
        <v>866</v>
      </c>
      <c r="AT103" s="621">
        <f t="shared" si="55"/>
        <v>94</v>
      </c>
      <c r="AU103" s="609"/>
      <c r="AV103" s="609"/>
      <c r="AW103" s="609"/>
      <c r="AX103" s="633"/>
      <c r="AY103" s="633"/>
      <c r="AZ103" s="633"/>
      <c r="BA103" s="633"/>
      <c r="BB103" s="633"/>
      <c r="BC103" s="633">
        <f>I103/16</f>
        <v>60</v>
      </c>
      <c r="BD103" s="633"/>
      <c r="BE103" s="633"/>
      <c r="BF103" s="633"/>
      <c r="BG103" s="633"/>
      <c r="BH103" s="633"/>
      <c r="BI103" s="633"/>
      <c r="BJ103" s="633"/>
      <c r="BK103" s="633"/>
      <c r="BL103" s="633"/>
      <c r="BM103" s="633"/>
      <c r="BN103" s="633"/>
      <c r="BQ103" s="3">
        <f t="shared" si="42"/>
        <v>404685</v>
      </c>
    </row>
    <row r="104" s="200" customFormat="1" ht="36" customHeight="1" spans="1:69">
      <c r="A104" s="533">
        <v>45960</v>
      </c>
      <c r="B104" s="527" t="s">
        <v>5400</v>
      </c>
      <c r="C104" s="528" t="s">
        <v>117</v>
      </c>
      <c r="D104" s="534">
        <v>4500183696</v>
      </c>
      <c r="E104" s="1678" t="s">
        <v>5401</v>
      </c>
      <c r="F104" s="534" t="s">
        <v>5402</v>
      </c>
      <c r="G104" s="531" t="s">
        <v>5066</v>
      </c>
      <c r="H104" s="532" t="s">
        <v>5048</v>
      </c>
      <c r="I104" s="401">
        <v>260</v>
      </c>
      <c r="J104" s="562">
        <v>0</v>
      </c>
      <c r="K104" s="531">
        <v>13</v>
      </c>
      <c r="L104" s="503">
        <f t="shared" si="41"/>
        <v>20</v>
      </c>
      <c r="M104" s="563">
        <v>45999</v>
      </c>
      <c r="N104" s="563">
        <v>45995</v>
      </c>
      <c r="O104" s="564"/>
      <c r="P104" s="564" t="s">
        <v>1262</v>
      </c>
      <c r="Q104" s="564" t="s">
        <v>5403</v>
      </c>
      <c r="R104" s="707">
        <v>45967</v>
      </c>
      <c r="S104" s="584" t="s">
        <v>77</v>
      </c>
      <c r="T104" s="584" t="s">
        <v>77</v>
      </c>
      <c r="U104" s="564"/>
      <c r="V104" s="564"/>
      <c r="W104" s="564"/>
      <c r="X104" s="530" t="s">
        <v>5404</v>
      </c>
      <c r="Y104" s="596" t="s">
        <v>903</v>
      </c>
      <c r="Z104" s="592">
        <v>0.852</v>
      </c>
      <c r="AA104" s="593">
        <f t="shared" si="56"/>
        <v>221.52</v>
      </c>
      <c r="AB104" s="401"/>
      <c r="AC104" s="607" t="s">
        <v>5066</v>
      </c>
      <c r="AD104" s="595" t="s">
        <v>128</v>
      </c>
      <c r="AE104" s="700" t="s">
        <v>4930</v>
      </c>
      <c r="AF104" s="531">
        <v>260</v>
      </c>
      <c r="AG104" s="531">
        <f t="shared" si="44"/>
        <v>0</v>
      </c>
      <c r="AH104" s="584" t="s">
        <v>77</v>
      </c>
      <c r="AI104" s="607"/>
      <c r="AJ104" s="608">
        <f t="shared" si="62"/>
        <v>260</v>
      </c>
      <c r="AK104" s="612"/>
      <c r="AL104" s="613">
        <f t="shared" si="64"/>
        <v>260</v>
      </c>
      <c r="AM104" s="616"/>
      <c r="AN104" s="401"/>
      <c r="AO104" s="401"/>
      <c r="AP104" s="503">
        <f t="shared" si="63"/>
        <v>260</v>
      </c>
      <c r="AQ104" s="503"/>
      <c r="AR104" s="609"/>
      <c r="AS104" s="503">
        <f t="shared" si="54"/>
        <v>234.541666666667</v>
      </c>
      <c r="AT104" s="621">
        <f t="shared" si="55"/>
        <v>25.4583333333333</v>
      </c>
      <c r="AU104" s="609"/>
      <c r="AV104" s="609"/>
      <c r="AW104" s="609"/>
      <c r="AX104" s="633">
        <f t="shared" si="65"/>
        <v>20</v>
      </c>
      <c r="AY104" s="633"/>
      <c r="AZ104" s="633"/>
      <c r="BA104" s="633"/>
      <c r="BB104" s="633"/>
      <c r="BC104" s="633"/>
      <c r="BD104" s="633"/>
      <c r="BE104" s="633"/>
      <c r="BF104" s="633"/>
      <c r="BG104" s="633"/>
      <c r="BH104" s="633"/>
      <c r="BI104" s="633"/>
      <c r="BJ104" s="633"/>
      <c r="BK104" s="633"/>
      <c r="BL104" s="633"/>
      <c r="BM104" s="633"/>
      <c r="BN104" s="633"/>
      <c r="BQ104" s="3">
        <f t="shared" si="42"/>
        <v>404945</v>
      </c>
    </row>
    <row r="105" s="200" customFormat="1" ht="36" customHeight="1" spans="1:69">
      <c r="A105" s="533">
        <v>45960</v>
      </c>
      <c r="B105" s="527" t="s">
        <v>5400</v>
      </c>
      <c r="C105" s="528" t="s">
        <v>117</v>
      </c>
      <c r="D105" s="534">
        <v>4500183696</v>
      </c>
      <c r="E105" s="1678" t="s">
        <v>5405</v>
      </c>
      <c r="F105" s="534" t="s">
        <v>5406</v>
      </c>
      <c r="G105" s="531" t="s">
        <v>5066</v>
      </c>
      <c r="H105" s="532" t="s">
        <v>5048</v>
      </c>
      <c r="I105" s="401">
        <v>247</v>
      </c>
      <c r="J105" s="562">
        <v>0</v>
      </c>
      <c r="K105" s="531">
        <v>13</v>
      </c>
      <c r="L105" s="503">
        <f t="shared" si="41"/>
        <v>19</v>
      </c>
      <c r="M105" s="563">
        <v>45999</v>
      </c>
      <c r="N105" s="563">
        <v>45995</v>
      </c>
      <c r="O105" s="564"/>
      <c r="P105" s="564" t="s">
        <v>1262</v>
      </c>
      <c r="Q105" s="564"/>
      <c r="R105" s="707">
        <v>45967</v>
      </c>
      <c r="S105" s="584" t="s">
        <v>123</v>
      </c>
      <c r="T105" s="584" t="s">
        <v>5407</v>
      </c>
      <c r="U105" s="564"/>
      <c r="V105" s="564"/>
      <c r="W105" s="564"/>
      <c r="X105" s="530" t="s">
        <v>5404</v>
      </c>
      <c r="Y105" s="596" t="s">
        <v>903</v>
      </c>
      <c r="Z105" s="592">
        <v>0.852</v>
      </c>
      <c r="AA105" s="593">
        <f t="shared" si="56"/>
        <v>210.444</v>
      </c>
      <c r="AB105" s="401"/>
      <c r="AC105" s="607" t="s">
        <v>5066</v>
      </c>
      <c r="AD105" s="595" t="s">
        <v>128</v>
      </c>
      <c r="AE105" s="700" t="s">
        <v>4930</v>
      </c>
      <c r="AF105" s="531">
        <v>247</v>
      </c>
      <c r="AG105" s="531">
        <f t="shared" si="44"/>
        <v>0</v>
      </c>
      <c r="AH105" s="531" t="s">
        <v>4335</v>
      </c>
      <c r="AI105" s="607"/>
      <c r="AJ105" s="608">
        <f t="shared" si="62"/>
        <v>247</v>
      </c>
      <c r="AK105" s="612"/>
      <c r="AL105" s="613">
        <f t="shared" si="64"/>
        <v>247</v>
      </c>
      <c r="AM105" s="616"/>
      <c r="AN105" s="401"/>
      <c r="AO105" s="401"/>
      <c r="AP105" s="503">
        <f t="shared" si="63"/>
        <v>247</v>
      </c>
      <c r="AQ105" s="503"/>
      <c r="AR105" s="609"/>
      <c r="AS105" s="503">
        <f t="shared" si="54"/>
        <v>222.814583333333</v>
      </c>
      <c r="AT105" s="621">
        <f t="shared" si="55"/>
        <v>24.1854166666667</v>
      </c>
      <c r="AU105" s="609"/>
      <c r="AV105" s="609"/>
      <c r="AW105" s="609"/>
      <c r="AX105" s="633">
        <f t="shared" si="65"/>
        <v>19</v>
      </c>
      <c r="AY105" s="633"/>
      <c r="AZ105" s="633"/>
      <c r="BA105" s="633"/>
      <c r="BB105" s="633"/>
      <c r="BC105" s="633"/>
      <c r="BD105" s="633"/>
      <c r="BE105" s="633"/>
      <c r="BF105" s="633"/>
      <c r="BG105" s="633"/>
      <c r="BH105" s="633"/>
      <c r="BI105" s="633"/>
      <c r="BJ105" s="633"/>
      <c r="BK105" s="633"/>
      <c r="BL105" s="633"/>
      <c r="BM105" s="633"/>
      <c r="BN105" s="633"/>
      <c r="BQ105" s="3">
        <f t="shared" si="42"/>
        <v>405192</v>
      </c>
    </row>
    <row r="106" s="200" customFormat="1" ht="36" customHeight="1" spans="1:69">
      <c r="A106" s="533">
        <v>45960</v>
      </c>
      <c r="B106" s="527" t="s">
        <v>5400</v>
      </c>
      <c r="C106" s="528" t="s">
        <v>117</v>
      </c>
      <c r="D106" s="534">
        <v>4500183696</v>
      </c>
      <c r="E106" s="1678" t="s">
        <v>5408</v>
      </c>
      <c r="F106" s="534" t="s">
        <v>5409</v>
      </c>
      <c r="G106" s="531" t="s">
        <v>5066</v>
      </c>
      <c r="H106" s="532" t="s">
        <v>5048</v>
      </c>
      <c r="I106" s="401">
        <v>247</v>
      </c>
      <c r="J106" s="562">
        <v>0</v>
      </c>
      <c r="K106" s="531">
        <v>13</v>
      </c>
      <c r="L106" s="503">
        <f t="shared" si="41"/>
        <v>19</v>
      </c>
      <c r="M106" s="563">
        <v>45999</v>
      </c>
      <c r="N106" s="563">
        <v>45995</v>
      </c>
      <c r="O106" s="564"/>
      <c r="P106" s="564" t="s">
        <v>1262</v>
      </c>
      <c r="Q106" s="564"/>
      <c r="R106" s="707">
        <v>45967</v>
      </c>
      <c r="S106" s="584" t="s">
        <v>123</v>
      </c>
      <c r="T106" s="584" t="s">
        <v>5407</v>
      </c>
      <c r="U106" s="564"/>
      <c r="V106" s="564"/>
      <c r="W106" s="564"/>
      <c r="X106" s="530" t="s">
        <v>5404</v>
      </c>
      <c r="Y106" s="596" t="s">
        <v>903</v>
      </c>
      <c r="Z106" s="592">
        <v>0.852</v>
      </c>
      <c r="AA106" s="593">
        <f t="shared" si="56"/>
        <v>210.444</v>
      </c>
      <c r="AB106" s="401"/>
      <c r="AC106" s="607" t="s">
        <v>5066</v>
      </c>
      <c r="AD106" s="595" t="s">
        <v>128</v>
      </c>
      <c r="AE106" s="700" t="s">
        <v>4930</v>
      </c>
      <c r="AF106" s="531">
        <v>247</v>
      </c>
      <c r="AG106" s="531">
        <f t="shared" si="44"/>
        <v>0</v>
      </c>
      <c r="AH106" s="531" t="s">
        <v>4335</v>
      </c>
      <c r="AI106" s="607"/>
      <c r="AJ106" s="608">
        <f t="shared" si="62"/>
        <v>247</v>
      </c>
      <c r="AK106" s="612"/>
      <c r="AL106" s="613">
        <f t="shared" si="64"/>
        <v>247</v>
      </c>
      <c r="AM106" s="616"/>
      <c r="AN106" s="401"/>
      <c r="AO106" s="401"/>
      <c r="AP106" s="503">
        <f t="shared" si="63"/>
        <v>247</v>
      </c>
      <c r="AQ106" s="503"/>
      <c r="AR106" s="609"/>
      <c r="AS106" s="503">
        <f t="shared" si="54"/>
        <v>222.814583333333</v>
      </c>
      <c r="AT106" s="621">
        <f t="shared" si="55"/>
        <v>24.1854166666667</v>
      </c>
      <c r="AU106" s="609"/>
      <c r="AV106" s="609"/>
      <c r="AW106" s="609"/>
      <c r="AX106" s="633">
        <f t="shared" si="65"/>
        <v>19</v>
      </c>
      <c r="AY106" s="633"/>
      <c r="AZ106" s="633"/>
      <c r="BA106" s="633"/>
      <c r="BB106" s="633"/>
      <c r="BC106" s="633"/>
      <c r="BD106" s="633"/>
      <c r="BE106" s="633"/>
      <c r="BF106" s="633"/>
      <c r="BG106" s="633"/>
      <c r="BH106" s="633"/>
      <c r="BI106" s="633"/>
      <c r="BJ106" s="633"/>
      <c r="BK106" s="633"/>
      <c r="BL106" s="633"/>
      <c r="BM106" s="633"/>
      <c r="BN106" s="633"/>
      <c r="BQ106" s="3">
        <f t="shared" si="42"/>
        <v>405439</v>
      </c>
    </row>
    <row r="107" s="200" customFormat="1" ht="36" customHeight="1" spans="1:69">
      <c r="A107" s="533">
        <v>45960</v>
      </c>
      <c r="B107" s="527" t="s">
        <v>5400</v>
      </c>
      <c r="C107" s="528" t="s">
        <v>117</v>
      </c>
      <c r="D107" s="534">
        <v>4500183696</v>
      </c>
      <c r="E107" s="1678" t="s">
        <v>5410</v>
      </c>
      <c r="F107" s="534" t="s">
        <v>5411</v>
      </c>
      <c r="G107" s="531" t="s">
        <v>5066</v>
      </c>
      <c r="H107" s="532" t="s">
        <v>5048</v>
      </c>
      <c r="I107" s="401">
        <v>247</v>
      </c>
      <c r="J107" s="562">
        <v>0</v>
      </c>
      <c r="K107" s="531">
        <v>13</v>
      </c>
      <c r="L107" s="503">
        <f t="shared" si="41"/>
        <v>19</v>
      </c>
      <c r="M107" s="563">
        <v>45999</v>
      </c>
      <c r="N107" s="563">
        <v>45995</v>
      </c>
      <c r="O107" s="564"/>
      <c r="P107" s="564" t="s">
        <v>1262</v>
      </c>
      <c r="Q107" s="564" t="s">
        <v>5403</v>
      </c>
      <c r="R107" s="707">
        <v>45967</v>
      </c>
      <c r="S107" s="584" t="s">
        <v>123</v>
      </c>
      <c r="T107" s="584" t="s">
        <v>5407</v>
      </c>
      <c r="U107" s="564"/>
      <c r="V107" s="564"/>
      <c r="W107" s="564"/>
      <c r="X107" s="530" t="s">
        <v>5404</v>
      </c>
      <c r="Y107" s="596" t="s">
        <v>903</v>
      </c>
      <c r="Z107" s="592">
        <v>0.852</v>
      </c>
      <c r="AA107" s="593">
        <f t="shared" si="56"/>
        <v>210.444</v>
      </c>
      <c r="AB107" s="401"/>
      <c r="AC107" s="607" t="s">
        <v>5066</v>
      </c>
      <c r="AD107" s="595" t="s">
        <v>128</v>
      </c>
      <c r="AE107" s="700" t="s">
        <v>4930</v>
      </c>
      <c r="AF107" s="531">
        <v>247</v>
      </c>
      <c r="AG107" s="531">
        <f t="shared" si="44"/>
        <v>0</v>
      </c>
      <c r="AH107" s="531" t="s">
        <v>4335</v>
      </c>
      <c r="AI107" s="607"/>
      <c r="AJ107" s="608">
        <f t="shared" si="62"/>
        <v>247</v>
      </c>
      <c r="AK107" s="612"/>
      <c r="AL107" s="613">
        <f t="shared" si="64"/>
        <v>247</v>
      </c>
      <c r="AM107" s="616"/>
      <c r="AN107" s="401"/>
      <c r="AO107" s="401"/>
      <c r="AP107" s="503">
        <f t="shared" si="63"/>
        <v>247</v>
      </c>
      <c r="AQ107" s="503"/>
      <c r="AR107" s="609"/>
      <c r="AS107" s="503">
        <f t="shared" si="54"/>
        <v>222.814583333333</v>
      </c>
      <c r="AT107" s="621">
        <f t="shared" si="55"/>
        <v>24.1854166666667</v>
      </c>
      <c r="AU107" s="609"/>
      <c r="AV107" s="609"/>
      <c r="AW107" s="609"/>
      <c r="AX107" s="633">
        <f t="shared" si="65"/>
        <v>19</v>
      </c>
      <c r="AY107" s="633"/>
      <c r="AZ107" s="633"/>
      <c r="BA107" s="633"/>
      <c r="BB107" s="633"/>
      <c r="BC107" s="633"/>
      <c r="BD107" s="633"/>
      <c r="BE107" s="633"/>
      <c r="BF107" s="633"/>
      <c r="BG107" s="633"/>
      <c r="BH107" s="633"/>
      <c r="BI107" s="633"/>
      <c r="BJ107" s="633"/>
      <c r="BK107" s="633"/>
      <c r="BL107" s="633"/>
      <c r="BM107" s="633"/>
      <c r="BN107" s="633"/>
      <c r="BQ107" s="3">
        <f t="shared" si="42"/>
        <v>405686</v>
      </c>
    </row>
    <row r="108" s="200" customFormat="1" ht="36" customHeight="1" spans="1:69">
      <c r="A108" s="533">
        <v>45960</v>
      </c>
      <c r="B108" s="527" t="s">
        <v>5400</v>
      </c>
      <c r="C108" s="528" t="s">
        <v>117</v>
      </c>
      <c r="D108" s="534">
        <v>4500183696</v>
      </c>
      <c r="E108" s="1678" t="s">
        <v>5412</v>
      </c>
      <c r="F108" s="534" t="s">
        <v>5413</v>
      </c>
      <c r="G108" s="531" t="s">
        <v>5066</v>
      </c>
      <c r="H108" s="532" t="s">
        <v>5048</v>
      </c>
      <c r="I108" s="401">
        <v>208</v>
      </c>
      <c r="J108" s="562">
        <v>0</v>
      </c>
      <c r="K108" s="531">
        <v>13</v>
      </c>
      <c r="L108" s="503">
        <f t="shared" si="41"/>
        <v>16</v>
      </c>
      <c r="M108" s="563">
        <v>45999</v>
      </c>
      <c r="N108" s="563">
        <v>45995</v>
      </c>
      <c r="O108" s="564"/>
      <c r="P108" s="564" t="s">
        <v>1262</v>
      </c>
      <c r="Q108" s="584" t="s">
        <v>5414</v>
      </c>
      <c r="R108" s="707">
        <v>45967</v>
      </c>
      <c r="S108" s="584" t="s">
        <v>77</v>
      </c>
      <c r="T108" s="584" t="s">
        <v>77</v>
      </c>
      <c r="U108" s="564"/>
      <c r="V108" s="564"/>
      <c r="W108" s="564"/>
      <c r="X108" s="530" t="s">
        <v>5404</v>
      </c>
      <c r="Y108" s="596" t="s">
        <v>903</v>
      </c>
      <c r="Z108" s="592">
        <v>0.852</v>
      </c>
      <c r="AA108" s="593">
        <f t="shared" si="56"/>
        <v>177.216</v>
      </c>
      <c r="AB108" s="401"/>
      <c r="AC108" s="607" t="s">
        <v>5066</v>
      </c>
      <c r="AD108" s="595" t="s">
        <v>128</v>
      </c>
      <c r="AE108" s="700" t="s">
        <v>4930</v>
      </c>
      <c r="AF108" s="531">
        <v>208</v>
      </c>
      <c r="AG108" s="531">
        <f t="shared" si="44"/>
        <v>0</v>
      </c>
      <c r="AH108" s="584" t="s">
        <v>77</v>
      </c>
      <c r="AI108" s="607"/>
      <c r="AJ108" s="608">
        <f t="shared" si="62"/>
        <v>208</v>
      </c>
      <c r="AK108" s="612"/>
      <c r="AL108" s="613">
        <f t="shared" si="64"/>
        <v>208</v>
      </c>
      <c r="AM108" s="616"/>
      <c r="AN108" s="401"/>
      <c r="AO108" s="401"/>
      <c r="AP108" s="503">
        <f t="shared" si="63"/>
        <v>208</v>
      </c>
      <c r="AQ108" s="503"/>
      <c r="AR108" s="609"/>
      <c r="AS108" s="503">
        <f t="shared" si="54"/>
        <v>187.633333333333</v>
      </c>
      <c r="AT108" s="621">
        <f t="shared" si="55"/>
        <v>20.3666666666667</v>
      </c>
      <c r="AU108" s="609"/>
      <c r="AV108" s="609"/>
      <c r="AW108" s="609"/>
      <c r="AX108" s="633">
        <f t="shared" si="65"/>
        <v>16</v>
      </c>
      <c r="AY108" s="633"/>
      <c r="AZ108" s="633"/>
      <c r="BA108" s="633"/>
      <c r="BB108" s="633"/>
      <c r="BC108" s="633"/>
      <c r="BD108" s="633"/>
      <c r="BE108" s="633"/>
      <c r="BF108" s="633"/>
      <c r="BG108" s="633"/>
      <c r="BH108" s="633"/>
      <c r="BI108" s="633"/>
      <c r="BJ108" s="633"/>
      <c r="BK108" s="633"/>
      <c r="BL108" s="633"/>
      <c r="BM108" s="633"/>
      <c r="BN108" s="633"/>
      <c r="BQ108" s="3">
        <f t="shared" si="42"/>
        <v>405894</v>
      </c>
    </row>
    <row r="109" s="400" customFormat="1" ht="36" customHeight="1" spans="1:69">
      <c r="A109" s="420">
        <v>45950</v>
      </c>
      <c r="B109" s="421" t="s">
        <v>5415</v>
      </c>
      <c r="C109" s="422" t="s">
        <v>477</v>
      </c>
      <c r="D109" s="423">
        <v>4500181904</v>
      </c>
      <c r="E109" s="424">
        <v>249709</v>
      </c>
      <c r="F109" s="423" t="s">
        <v>5416</v>
      </c>
      <c r="G109" s="425" t="s">
        <v>4963</v>
      </c>
      <c r="H109" s="426" t="s">
        <v>4964</v>
      </c>
      <c r="I109" s="437">
        <v>4560</v>
      </c>
      <c r="J109" s="438">
        <v>0</v>
      </c>
      <c r="K109" s="425">
        <v>24</v>
      </c>
      <c r="L109" s="437">
        <f t="shared" si="41"/>
        <v>190</v>
      </c>
      <c r="M109" s="440">
        <v>46000</v>
      </c>
      <c r="N109" s="440">
        <v>45996</v>
      </c>
      <c r="O109" s="441"/>
      <c r="P109" s="441" t="s">
        <v>1690</v>
      </c>
      <c r="Q109" s="441" t="s">
        <v>5417</v>
      </c>
      <c r="R109" s="449">
        <v>45950</v>
      </c>
      <c r="S109" s="457" t="s">
        <v>77</v>
      </c>
      <c r="T109" s="455" t="s">
        <v>5418</v>
      </c>
      <c r="U109" s="441"/>
      <c r="V109" s="441"/>
      <c r="W109" s="441"/>
      <c r="X109" s="424" t="s">
        <v>5419</v>
      </c>
      <c r="Y109" s="473" t="s">
        <v>5420</v>
      </c>
      <c r="Z109" s="474">
        <v>1.369</v>
      </c>
      <c r="AA109" s="475">
        <f t="shared" si="56"/>
        <v>6242.64</v>
      </c>
      <c r="AB109" s="437"/>
      <c r="AC109" s="425" t="s">
        <v>5421</v>
      </c>
      <c r="AD109" s="477" t="s">
        <v>128</v>
      </c>
      <c r="AE109" s="477" t="s">
        <v>4930</v>
      </c>
      <c r="AF109" s="425">
        <v>4560</v>
      </c>
      <c r="AG109" s="425">
        <f t="shared" si="44"/>
        <v>0</v>
      </c>
      <c r="AH109" s="425" t="s">
        <v>4335</v>
      </c>
      <c r="AI109" s="478"/>
      <c r="AJ109" s="488">
        <f t="shared" si="62"/>
        <v>4560</v>
      </c>
      <c r="AK109" s="488"/>
      <c r="AL109" s="489"/>
      <c r="AM109" s="437">
        <f t="shared" ref="AM109:AM112" si="66">I109</f>
        <v>4560</v>
      </c>
      <c r="AN109" s="437"/>
      <c r="AO109" s="437"/>
      <c r="AP109" s="503">
        <f t="shared" si="63"/>
        <v>4560</v>
      </c>
      <c r="AQ109" s="503"/>
      <c r="AR109" s="437"/>
      <c r="AS109" s="503">
        <f t="shared" si="54"/>
        <v>4113.5</v>
      </c>
      <c r="AT109" s="621">
        <f t="shared" si="55"/>
        <v>446.5</v>
      </c>
      <c r="AU109" s="489">
        <f t="shared" ref="AU109:AU112" si="67">I109</f>
        <v>4560</v>
      </c>
      <c r="AV109" s="489"/>
      <c r="AW109" s="489"/>
      <c r="AX109" s="512"/>
      <c r="AY109" s="512"/>
      <c r="AZ109" s="512"/>
      <c r="BA109" s="512"/>
      <c r="BB109" s="512"/>
      <c r="BC109" s="512"/>
      <c r="BD109" s="512"/>
      <c r="BE109" s="512"/>
      <c r="BF109" s="512"/>
      <c r="BG109" s="512"/>
      <c r="BH109" s="512"/>
      <c r="BI109" s="512"/>
      <c r="BJ109" s="512"/>
      <c r="BK109" s="512"/>
      <c r="BL109" s="512"/>
      <c r="BM109" s="512"/>
      <c r="BN109" s="512"/>
      <c r="BQ109" s="3">
        <f t="shared" si="42"/>
        <v>410454</v>
      </c>
    </row>
    <row r="110" s="400" customFormat="1" ht="36" customHeight="1" spans="1:69">
      <c r="A110" s="420">
        <v>45973</v>
      </c>
      <c r="B110" s="421" t="s">
        <v>5422</v>
      </c>
      <c r="C110" s="422" t="s">
        <v>1280</v>
      </c>
      <c r="D110" s="423">
        <v>4500185407</v>
      </c>
      <c r="E110" s="701">
        <v>21213049</v>
      </c>
      <c r="F110" s="423" t="s">
        <v>5423</v>
      </c>
      <c r="G110" s="425" t="s">
        <v>5066</v>
      </c>
      <c r="H110" s="426" t="s">
        <v>5048</v>
      </c>
      <c r="I110" s="437">
        <v>1170</v>
      </c>
      <c r="J110" s="438">
        <v>0</v>
      </c>
      <c r="K110" s="425">
        <v>13</v>
      </c>
      <c r="L110" s="439">
        <f t="shared" si="41"/>
        <v>90</v>
      </c>
      <c r="M110" s="440">
        <v>46001</v>
      </c>
      <c r="N110" s="440">
        <v>45997</v>
      </c>
      <c r="O110" s="441"/>
      <c r="P110" s="441" t="s">
        <v>1262</v>
      </c>
      <c r="Q110" s="441"/>
      <c r="R110" s="694">
        <v>45981</v>
      </c>
      <c r="S110" s="457" t="s">
        <v>77</v>
      </c>
      <c r="T110" s="455" t="s">
        <v>5424</v>
      </c>
      <c r="U110" s="441"/>
      <c r="V110" s="441" t="s">
        <v>863</v>
      </c>
      <c r="W110" s="441"/>
      <c r="X110" s="424" t="s">
        <v>5425</v>
      </c>
      <c r="Y110" s="473" t="s">
        <v>5420</v>
      </c>
      <c r="Z110" s="474">
        <v>1.4119</v>
      </c>
      <c r="AA110" s="475">
        <f t="shared" si="56"/>
        <v>1651.923</v>
      </c>
      <c r="AB110" s="437"/>
      <c r="AC110" s="425" t="s">
        <v>5052</v>
      </c>
      <c r="AD110" s="477" t="s">
        <v>128</v>
      </c>
      <c r="AE110" s="477" t="s">
        <v>4930</v>
      </c>
      <c r="AF110" s="425">
        <f>1157+13</f>
        <v>1170</v>
      </c>
      <c r="AG110" s="425">
        <f t="shared" si="44"/>
        <v>0</v>
      </c>
      <c r="AH110" s="425" t="s">
        <v>4335</v>
      </c>
      <c r="AI110" s="478"/>
      <c r="AJ110" s="488">
        <f t="shared" si="62"/>
        <v>1170</v>
      </c>
      <c r="AK110" s="488"/>
      <c r="AL110" s="489"/>
      <c r="AM110" s="490">
        <f t="shared" si="66"/>
        <v>1170</v>
      </c>
      <c r="AN110" s="437"/>
      <c r="AO110" s="437"/>
      <c r="AP110" s="503">
        <f t="shared" si="63"/>
        <v>1170</v>
      </c>
      <c r="AQ110" s="503"/>
      <c r="AR110" s="437"/>
      <c r="AS110" s="503">
        <f t="shared" si="54"/>
        <v>1055.4375</v>
      </c>
      <c r="AT110" s="621">
        <f t="shared" si="55"/>
        <v>114.5625</v>
      </c>
      <c r="AU110" s="489">
        <f t="shared" si="67"/>
        <v>1170</v>
      </c>
      <c r="AV110" s="489"/>
      <c r="AW110" s="489"/>
      <c r="AX110" s="512"/>
      <c r="AY110" s="512">
        <f>I110/13</f>
        <v>90</v>
      </c>
      <c r="AZ110" s="512"/>
      <c r="BA110" s="512"/>
      <c r="BB110" s="512"/>
      <c r="BC110" s="512"/>
      <c r="BD110" s="512"/>
      <c r="BE110" s="512"/>
      <c r="BF110" s="512"/>
      <c r="BG110" s="512"/>
      <c r="BH110" s="512"/>
      <c r="BI110" s="512"/>
      <c r="BJ110" s="512"/>
      <c r="BK110" s="512"/>
      <c r="BL110" s="512"/>
      <c r="BM110" s="512"/>
      <c r="BN110" s="512"/>
      <c r="BQ110" s="3">
        <f t="shared" si="42"/>
        <v>411624</v>
      </c>
    </row>
    <row r="111" s="400" customFormat="1" ht="36" customHeight="1" spans="1:69">
      <c r="A111" s="420">
        <v>45964</v>
      </c>
      <c r="B111" s="421" t="s">
        <v>4101</v>
      </c>
      <c r="C111" s="422" t="s">
        <v>1119</v>
      </c>
      <c r="D111" s="423">
        <v>4500183825</v>
      </c>
      <c r="E111" s="423">
        <v>157056</v>
      </c>
      <c r="F111" s="423" t="s">
        <v>5426</v>
      </c>
      <c r="G111" s="425" t="s">
        <v>5066</v>
      </c>
      <c r="H111" s="426" t="s">
        <v>5048</v>
      </c>
      <c r="I111" s="437">
        <v>507</v>
      </c>
      <c r="J111" s="438">
        <v>0</v>
      </c>
      <c r="K111" s="425">
        <v>13</v>
      </c>
      <c r="L111" s="439">
        <f t="shared" si="41"/>
        <v>39</v>
      </c>
      <c r="M111" s="440">
        <v>46001</v>
      </c>
      <c r="N111" s="440">
        <v>45997</v>
      </c>
      <c r="O111" s="441"/>
      <c r="P111" s="441" t="s">
        <v>1262</v>
      </c>
      <c r="Q111" s="441" t="s">
        <v>5427</v>
      </c>
      <c r="R111" s="457">
        <v>45972</v>
      </c>
      <c r="S111" s="449" t="s">
        <v>77</v>
      </c>
      <c r="T111" s="449" t="s">
        <v>5428</v>
      </c>
      <c r="U111" s="441"/>
      <c r="V111" s="441"/>
      <c r="W111" s="441"/>
      <c r="X111" s="424" t="s">
        <v>5429</v>
      </c>
      <c r="Y111" s="473" t="s">
        <v>3120</v>
      </c>
      <c r="Z111" s="474">
        <v>1.43</v>
      </c>
      <c r="AA111" s="475">
        <f t="shared" si="56"/>
        <v>725.01</v>
      </c>
      <c r="AB111" s="437"/>
      <c r="AC111" s="425" t="s">
        <v>5052</v>
      </c>
      <c r="AD111" s="477" t="s">
        <v>128</v>
      </c>
      <c r="AE111" s="477" t="s">
        <v>4930</v>
      </c>
      <c r="AF111" s="425">
        <v>507</v>
      </c>
      <c r="AG111" s="425">
        <f t="shared" si="44"/>
        <v>0</v>
      </c>
      <c r="AH111" s="425" t="s">
        <v>4335</v>
      </c>
      <c r="AI111" s="478"/>
      <c r="AJ111" s="488">
        <f t="shared" si="62"/>
        <v>507</v>
      </c>
      <c r="AK111" s="488"/>
      <c r="AL111" s="489"/>
      <c r="AM111" s="490">
        <f t="shared" si="66"/>
        <v>507</v>
      </c>
      <c r="AN111" s="437"/>
      <c r="AO111" s="437"/>
      <c r="AP111" s="503">
        <f t="shared" si="63"/>
        <v>507</v>
      </c>
      <c r="AQ111" s="503"/>
      <c r="AR111" s="437"/>
      <c r="AS111" s="503">
        <f t="shared" si="54"/>
        <v>457.35625</v>
      </c>
      <c r="AT111" s="621">
        <f t="shared" si="55"/>
        <v>49.64375</v>
      </c>
      <c r="AU111" s="489">
        <f t="shared" si="67"/>
        <v>507</v>
      </c>
      <c r="AV111" s="489"/>
      <c r="AW111" s="489"/>
      <c r="AX111" s="512"/>
      <c r="AY111" s="512">
        <f>I111/13</f>
        <v>39</v>
      </c>
      <c r="AZ111" s="512"/>
      <c r="BA111" s="512"/>
      <c r="BB111" s="512"/>
      <c r="BC111" s="512"/>
      <c r="BD111" s="512"/>
      <c r="BE111" s="512"/>
      <c r="BF111" s="512"/>
      <c r="BG111" s="512"/>
      <c r="BH111" s="512"/>
      <c r="BI111" s="512"/>
      <c r="BJ111" s="512"/>
      <c r="BK111" s="512"/>
      <c r="BL111" s="512"/>
      <c r="BM111" s="512"/>
      <c r="BN111" s="512"/>
      <c r="BQ111" s="3">
        <f t="shared" si="42"/>
        <v>412131</v>
      </c>
    </row>
    <row r="112" s="400" customFormat="1" ht="36" customHeight="1" spans="1:69">
      <c r="A112" s="420">
        <v>45964</v>
      </c>
      <c r="B112" s="421" t="s">
        <v>4101</v>
      </c>
      <c r="C112" s="422" t="s">
        <v>1119</v>
      </c>
      <c r="D112" s="423">
        <v>4500183825</v>
      </c>
      <c r="E112" s="423">
        <v>157056</v>
      </c>
      <c r="F112" s="423" t="s">
        <v>5430</v>
      </c>
      <c r="G112" s="425" t="s">
        <v>5171</v>
      </c>
      <c r="H112" s="426" t="s">
        <v>5055</v>
      </c>
      <c r="I112" s="437">
        <v>3300</v>
      </c>
      <c r="J112" s="438">
        <v>0</v>
      </c>
      <c r="K112" s="425">
        <v>30</v>
      </c>
      <c r="L112" s="439">
        <f t="shared" si="41"/>
        <v>110</v>
      </c>
      <c r="M112" s="440">
        <v>46001</v>
      </c>
      <c r="N112" s="440">
        <v>45997</v>
      </c>
      <c r="O112" s="441"/>
      <c r="P112" s="441" t="s">
        <v>92</v>
      </c>
      <c r="Q112" s="441" t="s">
        <v>5427</v>
      </c>
      <c r="R112" s="457">
        <v>45972</v>
      </c>
      <c r="S112" s="449" t="s">
        <v>77</v>
      </c>
      <c r="T112" s="449" t="s">
        <v>5428</v>
      </c>
      <c r="U112" s="441"/>
      <c r="V112" s="441"/>
      <c r="W112" s="441"/>
      <c r="X112" s="424" t="s">
        <v>5431</v>
      </c>
      <c r="Y112" s="473" t="s">
        <v>3120</v>
      </c>
      <c r="Z112" s="474">
        <v>57.5868</v>
      </c>
      <c r="AA112" s="475">
        <f>Z112*L112</f>
        <v>6334.548</v>
      </c>
      <c r="AB112" s="437"/>
      <c r="AC112" s="425" t="s">
        <v>5057</v>
      </c>
      <c r="AD112" s="477" t="s">
        <v>128</v>
      </c>
      <c r="AE112" s="477" t="s">
        <v>4930</v>
      </c>
      <c r="AF112" s="425">
        <v>3300</v>
      </c>
      <c r="AG112" s="425">
        <f t="shared" si="44"/>
        <v>0</v>
      </c>
      <c r="AH112" s="16" t="s">
        <v>4335</v>
      </c>
      <c r="AI112" s="478"/>
      <c r="AJ112" s="488">
        <f t="shared" si="62"/>
        <v>3300</v>
      </c>
      <c r="AK112" s="488"/>
      <c r="AL112" s="489"/>
      <c r="AM112" s="490">
        <f t="shared" si="66"/>
        <v>3300</v>
      </c>
      <c r="AN112" s="437"/>
      <c r="AO112" s="437"/>
      <c r="AP112" s="503">
        <f t="shared" si="63"/>
        <v>3300</v>
      </c>
      <c r="AQ112" s="503"/>
      <c r="AR112" s="489"/>
      <c r="AS112" s="503">
        <f t="shared" si="54"/>
        <v>2976.875</v>
      </c>
      <c r="AT112" s="621">
        <f t="shared" si="55"/>
        <v>323.125</v>
      </c>
      <c r="AU112" s="489">
        <f t="shared" si="67"/>
        <v>3300</v>
      </c>
      <c r="AV112" s="489"/>
      <c r="AW112" s="489"/>
      <c r="AX112" s="512"/>
      <c r="AY112" s="512"/>
      <c r="AZ112" s="512"/>
      <c r="BA112" s="512"/>
      <c r="BB112" s="512"/>
      <c r="BC112" s="512"/>
      <c r="BD112" s="512"/>
      <c r="BE112" s="512"/>
      <c r="BF112" s="512"/>
      <c r="BG112" s="512"/>
      <c r="BH112" s="512"/>
      <c r="BI112" s="512"/>
      <c r="BJ112" s="512"/>
      <c r="BK112" s="512">
        <f>BL112</f>
        <v>110</v>
      </c>
      <c r="BL112" s="512">
        <f>I112/30</f>
        <v>110</v>
      </c>
      <c r="BM112" s="512"/>
      <c r="BN112" s="512"/>
      <c r="BQ112" s="3">
        <f t="shared" si="42"/>
        <v>415431</v>
      </c>
    </row>
    <row r="113" s="400" customFormat="1" ht="36" customHeight="1" spans="1:69">
      <c r="A113" s="420">
        <v>45964</v>
      </c>
      <c r="B113" s="421" t="s">
        <v>232</v>
      </c>
      <c r="C113" s="422" t="s">
        <v>233</v>
      </c>
      <c r="D113" s="423">
        <v>4500184105</v>
      </c>
      <c r="E113" s="424">
        <v>21091757</v>
      </c>
      <c r="F113" s="423" t="s">
        <v>5432</v>
      </c>
      <c r="G113" s="425" t="s">
        <v>5066</v>
      </c>
      <c r="H113" s="426" t="s">
        <v>5048</v>
      </c>
      <c r="I113" s="437">
        <v>156</v>
      </c>
      <c r="J113" s="438">
        <v>0</v>
      </c>
      <c r="K113" s="425">
        <v>13</v>
      </c>
      <c r="L113" s="439">
        <f t="shared" si="41"/>
        <v>12</v>
      </c>
      <c r="M113" s="440">
        <v>46006</v>
      </c>
      <c r="N113" s="440">
        <v>46002</v>
      </c>
      <c r="O113" s="441"/>
      <c r="P113" s="441" t="s">
        <v>92</v>
      </c>
      <c r="Q113" s="441" t="s">
        <v>5433</v>
      </c>
      <c r="R113" s="694">
        <v>45975</v>
      </c>
      <c r="S113" s="457" t="s">
        <v>123</v>
      </c>
      <c r="T113" s="455" t="s">
        <v>5434</v>
      </c>
      <c r="U113" s="441"/>
      <c r="V113" s="441"/>
      <c r="W113" s="441"/>
      <c r="X113" s="424" t="s">
        <v>5435</v>
      </c>
      <c r="Y113" s="473" t="s">
        <v>1011</v>
      </c>
      <c r="Z113" s="474">
        <v>1.5</v>
      </c>
      <c r="AA113" s="475">
        <f t="shared" ref="AA113:AA121" si="68">Z113*I113</f>
        <v>234</v>
      </c>
      <c r="AB113" s="437"/>
      <c r="AC113" s="478" t="s">
        <v>5066</v>
      </c>
      <c r="AD113" s="477" t="s">
        <v>128</v>
      </c>
      <c r="AE113" s="477" t="s">
        <v>4930</v>
      </c>
      <c r="AF113" s="425">
        <v>156</v>
      </c>
      <c r="AG113" s="425">
        <f t="shared" si="44"/>
        <v>0</v>
      </c>
      <c r="AH113" s="425" t="s">
        <v>4335</v>
      </c>
      <c r="AI113" s="478"/>
      <c r="AJ113" s="488">
        <f t="shared" si="62"/>
        <v>156</v>
      </c>
      <c r="AK113" s="493"/>
      <c r="AL113" s="494">
        <f t="shared" ref="AL113:AL119" si="69">I113</f>
        <v>156</v>
      </c>
      <c r="AM113" s="490"/>
      <c r="AN113" s="437"/>
      <c r="AO113" s="437"/>
      <c r="AP113" s="503">
        <f t="shared" si="63"/>
        <v>156</v>
      </c>
      <c r="AQ113" s="503"/>
      <c r="AR113" s="489"/>
      <c r="AS113" s="503">
        <f t="shared" si="54"/>
        <v>140.725</v>
      </c>
      <c r="AT113" s="621">
        <f t="shared" si="55"/>
        <v>15.275</v>
      </c>
      <c r="AU113" s="489"/>
      <c r="AV113" s="489"/>
      <c r="AW113" s="489"/>
      <c r="AX113" s="512">
        <f t="shared" ref="AX113:AX116" si="70">I113/13</f>
        <v>12</v>
      </c>
      <c r="AY113" s="512"/>
      <c r="AZ113" s="512"/>
      <c r="BA113" s="512"/>
      <c r="BB113" s="512"/>
      <c r="BC113" s="512"/>
      <c r="BD113" s="512"/>
      <c r="BE113" s="512"/>
      <c r="BF113" s="512"/>
      <c r="BG113" s="512"/>
      <c r="BH113" s="512"/>
      <c r="BI113" s="512"/>
      <c r="BJ113" s="512"/>
      <c r="BK113" s="512"/>
      <c r="BL113" s="512"/>
      <c r="BM113" s="512"/>
      <c r="BN113" s="512"/>
      <c r="BQ113" s="3">
        <f t="shared" si="42"/>
        <v>415587</v>
      </c>
    </row>
    <row r="114" s="400" customFormat="1" ht="36" customHeight="1" spans="1:69">
      <c r="A114" s="420">
        <v>45964</v>
      </c>
      <c r="B114" s="421" t="s">
        <v>189</v>
      </c>
      <c r="C114" s="422" t="s">
        <v>190</v>
      </c>
      <c r="D114" s="423">
        <v>4500184103</v>
      </c>
      <c r="E114" s="424">
        <v>21091755</v>
      </c>
      <c r="F114" s="423" t="s">
        <v>5436</v>
      </c>
      <c r="G114" s="425" t="s">
        <v>5066</v>
      </c>
      <c r="H114" s="426" t="s">
        <v>5048</v>
      </c>
      <c r="I114" s="437">
        <v>1430</v>
      </c>
      <c r="J114" s="438">
        <v>0</v>
      </c>
      <c r="K114" s="425">
        <v>13</v>
      </c>
      <c r="L114" s="439">
        <f t="shared" si="41"/>
        <v>110</v>
      </c>
      <c r="M114" s="440">
        <v>46006</v>
      </c>
      <c r="N114" s="440">
        <v>46002</v>
      </c>
      <c r="O114" s="441"/>
      <c r="P114" s="441" t="s">
        <v>92</v>
      </c>
      <c r="Q114" s="441" t="s">
        <v>5433</v>
      </c>
      <c r="R114" s="694">
        <v>45975</v>
      </c>
      <c r="S114" s="457" t="s">
        <v>123</v>
      </c>
      <c r="T114" s="455" t="s">
        <v>5434</v>
      </c>
      <c r="U114" s="441"/>
      <c r="V114" s="441"/>
      <c r="W114" s="441"/>
      <c r="X114" s="424" t="s">
        <v>5437</v>
      </c>
      <c r="Y114" s="473" t="s">
        <v>1011</v>
      </c>
      <c r="Z114" s="474">
        <v>1.5</v>
      </c>
      <c r="AA114" s="475">
        <f t="shared" si="68"/>
        <v>2145</v>
      </c>
      <c r="AB114" s="437"/>
      <c r="AC114" s="478" t="s">
        <v>5066</v>
      </c>
      <c r="AD114" s="477" t="s">
        <v>128</v>
      </c>
      <c r="AE114" s="477" t="s">
        <v>4930</v>
      </c>
      <c r="AF114" s="425">
        <v>1430</v>
      </c>
      <c r="AG114" s="425">
        <f t="shared" si="44"/>
        <v>0</v>
      </c>
      <c r="AH114" s="425" t="s">
        <v>4335</v>
      </c>
      <c r="AI114" s="478"/>
      <c r="AJ114" s="488">
        <f t="shared" si="62"/>
        <v>1430</v>
      </c>
      <c r="AK114" s="493"/>
      <c r="AL114" s="494">
        <f t="shared" si="69"/>
        <v>1430</v>
      </c>
      <c r="AM114" s="490"/>
      <c r="AN114" s="437"/>
      <c r="AO114" s="437"/>
      <c r="AP114" s="503">
        <f t="shared" si="63"/>
        <v>1430</v>
      </c>
      <c r="AQ114" s="503"/>
      <c r="AR114" s="489"/>
      <c r="AS114" s="503">
        <f t="shared" si="54"/>
        <v>1289.97916666667</v>
      </c>
      <c r="AT114" s="621">
        <f t="shared" si="55"/>
        <v>140.020833333333</v>
      </c>
      <c r="AU114" s="489"/>
      <c r="AV114" s="489"/>
      <c r="AW114" s="489"/>
      <c r="AX114" s="512">
        <f t="shared" si="70"/>
        <v>110</v>
      </c>
      <c r="AY114" s="512"/>
      <c r="AZ114" s="512"/>
      <c r="BA114" s="512"/>
      <c r="BB114" s="512"/>
      <c r="BC114" s="512"/>
      <c r="BD114" s="512"/>
      <c r="BE114" s="512"/>
      <c r="BF114" s="512"/>
      <c r="BG114" s="512"/>
      <c r="BH114" s="512"/>
      <c r="BI114" s="512"/>
      <c r="BJ114" s="512"/>
      <c r="BK114" s="512"/>
      <c r="BL114" s="512"/>
      <c r="BM114" s="512"/>
      <c r="BN114" s="512"/>
      <c r="BQ114" s="3">
        <f t="shared" si="42"/>
        <v>417017</v>
      </c>
    </row>
    <row r="115" s="400" customFormat="1" ht="36" customHeight="1" spans="1:69">
      <c r="A115" s="420">
        <v>45964</v>
      </c>
      <c r="B115" s="421" t="s">
        <v>189</v>
      </c>
      <c r="C115" s="422" t="s">
        <v>190</v>
      </c>
      <c r="D115" s="423">
        <v>4500184103</v>
      </c>
      <c r="E115" s="424">
        <v>21248237</v>
      </c>
      <c r="F115" s="423" t="s">
        <v>5438</v>
      </c>
      <c r="G115" s="425" t="s">
        <v>5066</v>
      </c>
      <c r="H115" s="426" t="s">
        <v>5048</v>
      </c>
      <c r="I115" s="437">
        <v>1300</v>
      </c>
      <c r="J115" s="438">
        <v>0</v>
      </c>
      <c r="K115" s="425">
        <v>13</v>
      </c>
      <c r="L115" s="439">
        <f t="shared" si="41"/>
        <v>100</v>
      </c>
      <c r="M115" s="440">
        <v>46006</v>
      </c>
      <c r="N115" s="440">
        <v>46002</v>
      </c>
      <c r="O115" s="441"/>
      <c r="P115" s="441" t="s">
        <v>92</v>
      </c>
      <c r="Q115" s="441" t="s">
        <v>5433</v>
      </c>
      <c r="R115" s="694">
        <v>45975</v>
      </c>
      <c r="S115" s="457" t="s">
        <v>123</v>
      </c>
      <c r="T115" s="455" t="s">
        <v>5434</v>
      </c>
      <c r="U115" s="441"/>
      <c r="V115" s="441"/>
      <c r="W115" s="441"/>
      <c r="X115" s="424" t="s">
        <v>5437</v>
      </c>
      <c r="Y115" s="473" t="s">
        <v>1011</v>
      </c>
      <c r="Z115" s="474">
        <v>1.5</v>
      </c>
      <c r="AA115" s="475">
        <f t="shared" si="68"/>
        <v>1950</v>
      </c>
      <c r="AB115" s="437"/>
      <c r="AC115" s="478" t="s">
        <v>5066</v>
      </c>
      <c r="AD115" s="477" t="s">
        <v>128</v>
      </c>
      <c r="AE115" s="477" t="s">
        <v>4930</v>
      </c>
      <c r="AF115" s="425">
        <v>1300</v>
      </c>
      <c r="AG115" s="425">
        <f t="shared" si="44"/>
        <v>0</v>
      </c>
      <c r="AH115" s="425" t="s">
        <v>4335</v>
      </c>
      <c r="AI115" s="478"/>
      <c r="AJ115" s="488">
        <f t="shared" si="62"/>
        <v>1300</v>
      </c>
      <c r="AK115" s="493"/>
      <c r="AL115" s="494">
        <f t="shared" si="69"/>
        <v>1300</v>
      </c>
      <c r="AM115" s="490"/>
      <c r="AN115" s="437"/>
      <c r="AO115" s="437"/>
      <c r="AP115" s="503">
        <f t="shared" si="63"/>
        <v>1300</v>
      </c>
      <c r="AQ115" s="503"/>
      <c r="AR115" s="489"/>
      <c r="AS115" s="503">
        <f t="shared" si="54"/>
        <v>1172.70833333333</v>
      </c>
      <c r="AT115" s="621">
        <f t="shared" si="55"/>
        <v>127.291666666667</v>
      </c>
      <c r="AU115" s="489"/>
      <c r="AV115" s="489"/>
      <c r="AW115" s="489"/>
      <c r="AX115" s="512">
        <f t="shared" si="70"/>
        <v>100</v>
      </c>
      <c r="AY115" s="512"/>
      <c r="AZ115" s="512"/>
      <c r="BA115" s="512"/>
      <c r="BB115" s="512"/>
      <c r="BC115" s="512"/>
      <c r="BD115" s="512"/>
      <c r="BE115" s="512"/>
      <c r="BF115" s="512"/>
      <c r="BG115" s="512"/>
      <c r="BH115" s="512"/>
      <c r="BI115" s="512"/>
      <c r="BJ115" s="512"/>
      <c r="BK115" s="512"/>
      <c r="BL115" s="512"/>
      <c r="BM115" s="512"/>
      <c r="BN115" s="512"/>
      <c r="BQ115" s="3">
        <f t="shared" si="42"/>
        <v>418317</v>
      </c>
    </row>
    <row r="116" s="400" customFormat="1" ht="36" customHeight="1" spans="1:69">
      <c r="A116" s="420">
        <v>45964</v>
      </c>
      <c r="B116" s="421" t="s">
        <v>232</v>
      </c>
      <c r="C116" s="422" t="s">
        <v>233</v>
      </c>
      <c r="D116" s="423">
        <v>4500184105</v>
      </c>
      <c r="E116" s="424">
        <v>21248238</v>
      </c>
      <c r="F116" s="423" t="s">
        <v>5439</v>
      </c>
      <c r="G116" s="425" t="s">
        <v>5066</v>
      </c>
      <c r="H116" s="426" t="s">
        <v>5048</v>
      </c>
      <c r="I116" s="437">
        <v>208</v>
      </c>
      <c r="J116" s="438">
        <v>0</v>
      </c>
      <c r="K116" s="425">
        <v>13</v>
      </c>
      <c r="L116" s="439">
        <f t="shared" si="41"/>
        <v>16</v>
      </c>
      <c r="M116" s="440">
        <v>46006</v>
      </c>
      <c r="N116" s="440">
        <v>46002</v>
      </c>
      <c r="O116" s="441"/>
      <c r="P116" s="441" t="s">
        <v>92</v>
      </c>
      <c r="Q116" s="441" t="s">
        <v>5433</v>
      </c>
      <c r="R116" s="694">
        <v>45975</v>
      </c>
      <c r="S116" s="457" t="s">
        <v>123</v>
      </c>
      <c r="T116" s="455" t="s">
        <v>5434</v>
      </c>
      <c r="U116" s="441"/>
      <c r="V116" s="441"/>
      <c r="W116" s="441"/>
      <c r="X116" s="424" t="s">
        <v>5435</v>
      </c>
      <c r="Y116" s="473" t="s">
        <v>1011</v>
      </c>
      <c r="Z116" s="474">
        <v>1.5</v>
      </c>
      <c r="AA116" s="475">
        <f t="shared" si="68"/>
        <v>312</v>
      </c>
      <c r="AB116" s="437"/>
      <c r="AC116" s="478" t="s">
        <v>5066</v>
      </c>
      <c r="AD116" s="477" t="s">
        <v>128</v>
      </c>
      <c r="AE116" s="477" t="s">
        <v>4930</v>
      </c>
      <c r="AF116" s="425">
        <v>208</v>
      </c>
      <c r="AG116" s="425">
        <f t="shared" si="44"/>
        <v>0</v>
      </c>
      <c r="AH116" s="425" t="s">
        <v>4335</v>
      </c>
      <c r="AI116" s="478"/>
      <c r="AJ116" s="488">
        <f t="shared" si="62"/>
        <v>208</v>
      </c>
      <c r="AK116" s="493"/>
      <c r="AL116" s="494">
        <f t="shared" si="69"/>
        <v>208</v>
      </c>
      <c r="AM116" s="490"/>
      <c r="AN116" s="437"/>
      <c r="AO116" s="437"/>
      <c r="AP116" s="503">
        <f t="shared" si="63"/>
        <v>208</v>
      </c>
      <c r="AQ116" s="503"/>
      <c r="AR116" s="489"/>
      <c r="AS116" s="503">
        <f t="shared" si="54"/>
        <v>187.633333333333</v>
      </c>
      <c r="AT116" s="621">
        <f t="shared" si="55"/>
        <v>20.3666666666667</v>
      </c>
      <c r="AU116" s="489"/>
      <c r="AV116" s="489"/>
      <c r="AW116" s="489"/>
      <c r="AX116" s="512">
        <f t="shared" si="70"/>
        <v>16</v>
      </c>
      <c r="AY116" s="512"/>
      <c r="AZ116" s="512"/>
      <c r="BA116" s="512"/>
      <c r="BB116" s="512"/>
      <c r="BC116" s="512"/>
      <c r="BD116" s="512"/>
      <c r="BE116" s="512"/>
      <c r="BF116" s="512"/>
      <c r="BG116" s="512"/>
      <c r="BH116" s="512"/>
      <c r="BI116" s="512"/>
      <c r="BJ116" s="512"/>
      <c r="BK116" s="512"/>
      <c r="BL116" s="512"/>
      <c r="BM116" s="512"/>
      <c r="BN116" s="512"/>
      <c r="BQ116" s="3">
        <f t="shared" si="42"/>
        <v>418525</v>
      </c>
    </row>
    <row r="117" s="400" customFormat="1" ht="36" customHeight="1" spans="1:69">
      <c r="A117" s="420">
        <v>45974</v>
      </c>
      <c r="B117" s="421" t="s">
        <v>4976</v>
      </c>
      <c r="C117" s="422" t="s">
        <v>117</v>
      </c>
      <c r="D117" s="423">
        <v>4500185599</v>
      </c>
      <c r="E117" s="1692" t="s">
        <v>5440</v>
      </c>
      <c r="F117" s="423" t="s">
        <v>5441</v>
      </c>
      <c r="G117" s="425" t="s">
        <v>4979</v>
      </c>
      <c r="H117" s="426" t="s">
        <v>4980</v>
      </c>
      <c r="I117" s="437">
        <v>960</v>
      </c>
      <c r="J117" s="438">
        <v>0</v>
      </c>
      <c r="K117" s="425">
        <v>16</v>
      </c>
      <c r="L117" s="439">
        <f t="shared" si="41"/>
        <v>60</v>
      </c>
      <c r="M117" s="440">
        <v>46007</v>
      </c>
      <c r="N117" s="440">
        <v>46003</v>
      </c>
      <c r="O117" s="441" t="s">
        <v>5442</v>
      </c>
      <c r="P117" s="441" t="s">
        <v>92</v>
      </c>
      <c r="Q117" s="441" t="s">
        <v>5443</v>
      </c>
      <c r="R117" s="441" t="s">
        <v>1102</v>
      </c>
      <c r="S117" s="441" t="s">
        <v>123</v>
      </c>
      <c r="T117" s="448" t="s">
        <v>5444</v>
      </c>
      <c r="U117" s="441" t="s">
        <v>4983</v>
      </c>
      <c r="V117" s="441"/>
      <c r="W117" s="441"/>
      <c r="X117" s="424" t="s">
        <v>5160</v>
      </c>
      <c r="Y117" s="712" t="s">
        <v>634</v>
      </c>
      <c r="Z117" s="474">
        <v>0.96</v>
      </c>
      <c r="AA117" s="475">
        <f t="shared" si="68"/>
        <v>921.6</v>
      </c>
      <c r="AB117" s="437"/>
      <c r="AC117" s="425" t="s">
        <v>4979</v>
      </c>
      <c r="AD117" s="477" t="s">
        <v>128</v>
      </c>
      <c r="AE117" s="477" t="s">
        <v>4930</v>
      </c>
      <c r="AF117" s="425">
        <v>960</v>
      </c>
      <c r="AG117" s="425">
        <f t="shared" si="44"/>
        <v>0</v>
      </c>
      <c r="AH117" s="425" t="s">
        <v>4335</v>
      </c>
      <c r="AI117" s="478"/>
      <c r="AJ117" s="488">
        <f t="shared" si="62"/>
        <v>960</v>
      </c>
      <c r="AK117" s="488"/>
      <c r="AL117" s="489">
        <f t="shared" si="69"/>
        <v>960</v>
      </c>
      <c r="AM117" s="490"/>
      <c r="AN117" s="437"/>
      <c r="AO117" s="437"/>
      <c r="AP117" s="503">
        <f t="shared" si="63"/>
        <v>960</v>
      </c>
      <c r="AQ117" s="503"/>
      <c r="AR117" s="489"/>
      <c r="AS117" s="503">
        <f t="shared" si="54"/>
        <v>866</v>
      </c>
      <c r="AT117" s="621">
        <f t="shared" si="55"/>
        <v>94</v>
      </c>
      <c r="AU117" s="489"/>
      <c r="AV117" s="489"/>
      <c r="AW117" s="489"/>
      <c r="AX117" s="512"/>
      <c r="AY117" s="512"/>
      <c r="AZ117" s="512"/>
      <c r="BA117" s="512"/>
      <c r="BB117" s="512"/>
      <c r="BC117" s="512">
        <f t="shared" ref="BC117:BC119" si="71">I117/16</f>
        <v>60</v>
      </c>
      <c r="BD117" s="512"/>
      <c r="BE117" s="512"/>
      <c r="BF117" s="512"/>
      <c r="BG117" s="512"/>
      <c r="BH117" s="512"/>
      <c r="BI117" s="512"/>
      <c r="BJ117" s="512"/>
      <c r="BK117" s="512"/>
      <c r="BL117" s="512"/>
      <c r="BM117" s="512"/>
      <c r="BN117" s="512"/>
      <c r="BQ117" s="3">
        <f t="shared" si="42"/>
        <v>419485</v>
      </c>
    </row>
    <row r="118" s="400" customFormat="1" ht="36" customHeight="1" spans="1:69">
      <c r="A118" s="420">
        <v>45961</v>
      </c>
      <c r="B118" s="421" t="s">
        <v>4976</v>
      </c>
      <c r="C118" s="422" t="s">
        <v>117</v>
      </c>
      <c r="D118" s="423">
        <v>4500183840</v>
      </c>
      <c r="E118" s="1692" t="s">
        <v>5445</v>
      </c>
      <c r="F118" s="423" t="s">
        <v>5446</v>
      </c>
      <c r="G118" s="425" t="s">
        <v>4979</v>
      </c>
      <c r="H118" s="426" t="s">
        <v>4980</v>
      </c>
      <c r="I118" s="437">
        <v>960</v>
      </c>
      <c r="J118" s="438">
        <v>0</v>
      </c>
      <c r="K118" s="425">
        <v>16</v>
      </c>
      <c r="L118" s="439">
        <f t="shared" si="41"/>
        <v>60</v>
      </c>
      <c r="M118" s="440">
        <v>46007</v>
      </c>
      <c r="N118" s="440">
        <v>46003</v>
      </c>
      <c r="O118" s="441" t="s">
        <v>5447</v>
      </c>
      <c r="P118" s="441" t="s">
        <v>92</v>
      </c>
      <c r="Q118" s="441" t="s">
        <v>5448</v>
      </c>
      <c r="R118" s="441" t="s">
        <v>1102</v>
      </c>
      <c r="S118" s="441" t="s">
        <v>123</v>
      </c>
      <c r="T118" s="448" t="s">
        <v>5353</v>
      </c>
      <c r="U118" s="441" t="s">
        <v>4983</v>
      </c>
      <c r="V118" s="441"/>
      <c r="W118" s="441"/>
      <c r="X118" s="424" t="s">
        <v>5005</v>
      </c>
      <c r="Y118" s="473" t="s">
        <v>634</v>
      </c>
      <c r="Z118" s="474">
        <v>0.96</v>
      </c>
      <c r="AA118" s="475">
        <f t="shared" si="68"/>
        <v>921.6</v>
      </c>
      <c r="AB118" s="437"/>
      <c r="AC118" s="425" t="s">
        <v>4979</v>
      </c>
      <c r="AD118" s="477" t="s">
        <v>128</v>
      </c>
      <c r="AE118" s="477" t="s">
        <v>4930</v>
      </c>
      <c r="AF118" s="425">
        <v>960</v>
      </c>
      <c r="AG118" s="425">
        <f t="shared" si="44"/>
        <v>0</v>
      </c>
      <c r="AH118" s="425" t="s">
        <v>4335</v>
      </c>
      <c r="AI118" s="487"/>
      <c r="AJ118" s="488">
        <f t="shared" si="62"/>
        <v>960</v>
      </c>
      <c r="AK118" s="488"/>
      <c r="AL118" s="489">
        <f t="shared" si="69"/>
        <v>960</v>
      </c>
      <c r="AM118" s="490"/>
      <c r="AN118" s="437"/>
      <c r="AO118" s="437"/>
      <c r="AP118" s="503">
        <f t="shared" si="63"/>
        <v>960</v>
      </c>
      <c r="AQ118" s="503"/>
      <c r="AR118" s="489"/>
      <c r="AS118" s="503">
        <f t="shared" si="54"/>
        <v>866</v>
      </c>
      <c r="AT118" s="621">
        <f t="shared" si="55"/>
        <v>94</v>
      </c>
      <c r="AU118" s="489"/>
      <c r="AV118" s="489"/>
      <c r="AW118" s="489"/>
      <c r="AX118" s="512"/>
      <c r="AY118" s="512"/>
      <c r="AZ118" s="512"/>
      <c r="BA118" s="512"/>
      <c r="BB118" s="512"/>
      <c r="BC118" s="512">
        <f t="shared" si="71"/>
        <v>60</v>
      </c>
      <c r="BD118" s="512"/>
      <c r="BE118" s="512"/>
      <c r="BF118" s="512"/>
      <c r="BG118" s="512"/>
      <c r="BH118" s="512"/>
      <c r="BI118" s="512"/>
      <c r="BJ118" s="512"/>
      <c r="BK118" s="512"/>
      <c r="BL118" s="512"/>
      <c r="BM118" s="512"/>
      <c r="BN118" s="512"/>
      <c r="BQ118" s="3">
        <f t="shared" si="42"/>
        <v>420445</v>
      </c>
    </row>
    <row r="119" s="400" customFormat="1" ht="36" customHeight="1" spans="1:69">
      <c r="A119" s="420">
        <v>45961</v>
      </c>
      <c r="B119" s="421" t="s">
        <v>4976</v>
      </c>
      <c r="C119" s="422" t="s">
        <v>117</v>
      </c>
      <c r="D119" s="423">
        <v>4500183840</v>
      </c>
      <c r="E119" s="1692" t="s">
        <v>5449</v>
      </c>
      <c r="F119" s="423" t="s">
        <v>5450</v>
      </c>
      <c r="G119" s="425" t="s">
        <v>4979</v>
      </c>
      <c r="H119" s="426" t="s">
        <v>4980</v>
      </c>
      <c r="I119" s="437">
        <v>960</v>
      </c>
      <c r="J119" s="438">
        <v>0</v>
      </c>
      <c r="K119" s="425">
        <v>16</v>
      </c>
      <c r="L119" s="439">
        <f t="shared" si="41"/>
        <v>60</v>
      </c>
      <c r="M119" s="440">
        <v>46007</v>
      </c>
      <c r="N119" s="440">
        <v>46003</v>
      </c>
      <c r="O119" s="441" t="s">
        <v>5451</v>
      </c>
      <c r="P119" s="441" t="s">
        <v>92</v>
      </c>
      <c r="Q119" s="441" t="s">
        <v>5452</v>
      </c>
      <c r="R119" s="441" t="s">
        <v>1102</v>
      </c>
      <c r="S119" s="441" t="s">
        <v>123</v>
      </c>
      <c r="T119" s="448" t="s">
        <v>5353</v>
      </c>
      <c r="U119" s="441" t="s">
        <v>4983</v>
      </c>
      <c r="V119" s="441"/>
      <c r="W119" s="441"/>
      <c r="X119" s="424" t="s">
        <v>5005</v>
      </c>
      <c r="Y119" s="473" t="s">
        <v>634</v>
      </c>
      <c r="Z119" s="474">
        <v>0.96</v>
      </c>
      <c r="AA119" s="475">
        <f t="shared" si="68"/>
        <v>921.6</v>
      </c>
      <c r="AB119" s="476" t="s">
        <v>3582</v>
      </c>
      <c r="AC119" s="425" t="s">
        <v>4979</v>
      </c>
      <c r="AD119" s="477" t="s">
        <v>128</v>
      </c>
      <c r="AE119" s="477" t="s">
        <v>4930</v>
      </c>
      <c r="AF119" s="425">
        <v>960</v>
      </c>
      <c r="AG119" s="425">
        <f t="shared" si="44"/>
        <v>0</v>
      </c>
      <c r="AH119" s="425" t="s">
        <v>4335</v>
      </c>
      <c r="AI119" s="487"/>
      <c r="AJ119" s="488">
        <f t="shared" si="62"/>
        <v>960</v>
      </c>
      <c r="AK119" s="488"/>
      <c r="AL119" s="489">
        <f t="shared" si="69"/>
        <v>960</v>
      </c>
      <c r="AM119" s="490"/>
      <c r="AN119" s="437"/>
      <c r="AO119" s="437"/>
      <c r="AP119" s="503">
        <f t="shared" si="63"/>
        <v>960</v>
      </c>
      <c r="AQ119" s="503"/>
      <c r="AR119" s="489"/>
      <c r="AS119" s="503">
        <f t="shared" si="54"/>
        <v>866</v>
      </c>
      <c r="AT119" s="621">
        <f t="shared" si="55"/>
        <v>94</v>
      </c>
      <c r="AU119" s="489"/>
      <c r="AV119" s="489"/>
      <c r="AW119" s="489"/>
      <c r="AX119" s="512"/>
      <c r="AY119" s="512"/>
      <c r="AZ119" s="512"/>
      <c r="BA119" s="512"/>
      <c r="BB119" s="512"/>
      <c r="BC119" s="512">
        <f t="shared" si="71"/>
        <v>60</v>
      </c>
      <c r="BD119" s="512"/>
      <c r="BE119" s="512"/>
      <c r="BF119" s="512"/>
      <c r="BG119" s="512"/>
      <c r="BH119" s="512"/>
      <c r="BI119" s="512"/>
      <c r="BJ119" s="512"/>
      <c r="BK119" s="512"/>
      <c r="BL119" s="512"/>
      <c r="BM119" s="512"/>
      <c r="BN119" s="512"/>
      <c r="BQ119" s="3">
        <f t="shared" si="42"/>
        <v>421405</v>
      </c>
    </row>
    <row r="120" s="400" customFormat="1" ht="36" customHeight="1" spans="1:69">
      <c r="A120" s="420">
        <v>45904</v>
      </c>
      <c r="B120" s="421" t="s">
        <v>3741</v>
      </c>
      <c r="C120" s="422" t="s">
        <v>3742</v>
      </c>
      <c r="D120" s="423">
        <v>4500178856</v>
      </c>
      <c r="E120" s="424"/>
      <c r="F120" s="423" t="s">
        <v>5453</v>
      </c>
      <c r="G120" s="425" t="s">
        <v>4974</v>
      </c>
      <c r="H120" s="426" t="s">
        <v>5205</v>
      </c>
      <c r="I120" s="437">
        <v>1000</v>
      </c>
      <c r="J120" s="438">
        <v>0</v>
      </c>
      <c r="K120" s="425">
        <v>50</v>
      </c>
      <c r="L120" s="439">
        <f t="shared" si="41"/>
        <v>20</v>
      </c>
      <c r="M120" s="440">
        <v>46008</v>
      </c>
      <c r="N120" s="440">
        <v>46004</v>
      </c>
      <c r="O120" s="441"/>
      <c r="P120" s="441" t="s">
        <v>1262</v>
      </c>
      <c r="Q120" s="441"/>
      <c r="R120" s="449">
        <v>45972</v>
      </c>
      <c r="S120" s="448" t="s">
        <v>77</v>
      </c>
      <c r="T120" s="450" t="s">
        <v>5454</v>
      </c>
      <c r="U120" s="441"/>
      <c r="V120" s="441"/>
      <c r="W120" s="441"/>
      <c r="X120" s="424" t="s">
        <v>5455</v>
      </c>
      <c r="Y120" s="473" t="s">
        <v>5456</v>
      </c>
      <c r="Z120" s="474">
        <v>1.55</v>
      </c>
      <c r="AA120" s="475">
        <f t="shared" si="68"/>
        <v>1550</v>
      </c>
      <c r="AB120" s="476" t="s">
        <v>3582</v>
      </c>
      <c r="AC120" s="425" t="s">
        <v>5391</v>
      </c>
      <c r="AD120" s="477" t="s">
        <v>128</v>
      </c>
      <c r="AE120" s="477" t="s">
        <v>4930</v>
      </c>
      <c r="AF120" s="425">
        <v>1000</v>
      </c>
      <c r="AG120" s="425">
        <f t="shared" si="44"/>
        <v>0</v>
      </c>
      <c r="AH120" s="425" t="s">
        <v>4335</v>
      </c>
      <c r="AI120" s="487"/>
      <c r="AJ120" s="488">
        <f t="shared" si="62"/>
        <v>1000</v>
      </c>
      <c r="AK120" s="488"/>
      <c r="AL120" s="489"/>
      <c r="AM120" s="437">
        <f>I120</f>
        <v>1000</v>
      </c>
      <c r="AN120" s="437"/>
      <c r="AO120" s="437"/>
      <c r="AP120" s="503">
        <f t="shared" si="63"/>
        <v>1000</v>
      </c>
      <c r="AQ120" s="503"/>
      <c r="AR120" s="437"/>
      <c r="AS120" s="503">
        <f t="shared" si="54"/>
        <v>902.083333333333</v>
      </c>
      <c r="AT120" s="621">
        <f t="shared" si="55"/>
        <v>97.9166666666667</v>
      </c>
      <c r="AU120" s="489">
        <f>I120</f>
        <v>1000</v>
      </c>
      <c r="AV120" s="489"/>
      <c r="AW120" s="489"/>
      <c r="AX120" s="512"/>
      <c r="AY120" s="512"/>
      <c r="AZ120" s="512"/>
      <c r="BA120" s="512"/>
      <c r="BB120" s="512">
        <f>I120/25</f>
        <v>40</v>
      </c>
      <c r="BC120" s="512"/>
      <c r="BD120" s="512"/>
      <c r="BE120" s="512"/>
      <c r="BF120" s="512"/>
      <c r="BG120" s="512"/>
      <c r="BH120" s="512"/>
      <c r="BI120" s="512"/>
      <c r="BJ120" s="512"/>
      <c r="BK120" s="512"/>
      <c r="BL120" s="512"/>
      <c r="BM120" s="512"/>
      <c r="BN120" s="512"/>
      <c r="BQ120" s="3">
        <f t="shared" si="42"/>
        <v>422405</v>
      </c>
    </row>
    <row r="121" s="400" customFormat="1" ht="36" customHeight="1" spans="1:69">
      <c r="A121" s="420">
        <v>45975</v>
      </c>
      <c r="B121" s="421" t="s">
        <v>5457</v>
      </c>
      <c r="C121" s="422" t="s">
        <v>117</v>
      </c>
      <c r="D121" s="423">
        <v>4500185778</v>
      </c>
      <c r="E121" s="424">
        <v>16011997</v>
      </c>
      <c r="F121" s="423" t="s">
        <v>5458</v>
      </c>
      <c r="G121" s="425" t="s">
        <v>5066</v>
      </c>
      <c r="H121" s="426" t="s">
        <v>5048</v>
      </c>
      <c r="I121" s="705">
        <v>195</v>
      </c>
      <c r="J121" s="438">
        <v>0</v>
      </c>
      <c r="K121" s="425">
        <v>13</v>
      </c>
      <c r="L121" s="439">
        <f t="shared" si="41"/>
        <v>15</v>
      </c>
      <c r="M121" s="440">
        <v>46006</v>
      </c>
      <c r="N121" s="440">
        <v>46006</v>
      </c>
      <c r="O121" s="437"/>
      <c r="P121" s="441" t="s">
        <v>1262</v>
      </c>
      <c r="Q121" s="441" t="s">
        <v>5459</v>
      </c>
      <c r="R121" s="694" t="s">
        <v>5460</v>
      </c>
      <c r="S121" s="449" t="s">
        <v>123</v>
      </c>
      <c r="T121" s="708" t="s">
        <v>5461</v>
      </c>
      <c r="U121" s="441" t="s">
        <v>5462</v>
      </c>
      <c r="V121" s="441"/>
      <c r="W121" s="441"/>
      <c r="X121" s="424" t="s">
        <v>5463</v>
      </c>
      <c r="Y121" s="473" t="s">
        <v>1864</v>
      </c>
      <c r="Z121" s="474">
        <v>0.8501</v>
      </c>
      <c r="AA121" s="475">
        <f t="shared" si="68"/>
        <v>165.7695</v>
      </c>
      <c r="AB121" s="437"/>
      <c r="AC121" s="478" t="s">
        <v>5066</v>
      </c>
      <c r="AD121" s="477" t="s">
        <v>128</v>
      </c>
      <c r="AE121" s="477" t="s">
        <v>4930</v>
      </c>
      <c r="AF121" s="425">
        <v>195</v>
      </c>
      <c r="AG121" s="425">
        <f t="shared" si="44"/>
        <v>0</v>
      </c>
      <c r="AH121" s="425" t="s">
        <v>4335</v>
      </c>
      <c r="AI121" s="478"/>
      <c r="AJ121" s="488">
        <f t="shared" si="62"/>
        <v>195</v>
      </c>
      <c r="AK121" s="493"/>
      <c r="AL121" s="494">
        <f>I121</f>
        <v>195</v>
      </c>
      <c r="AM121" s="490"/>
      <c r="AN121" s="437"/>
      <c r="AO121" s="437"/>
      <c r="AP121" s="503">
        <f t="shared" si="63"/>
        <v>195</v>
      </c>
      <c r="AQ121" s="503"/>
      <c r="AR121" s="489"/>
      <c r="AS121" s="503">
        <f t="shared" si="54"/>
        <v>175.90625</v>
      </c>
      <c r="AT121" s="621">
        <f t="shared" si="55"/>
        <v>19.09375</v>
      </c>
      <c r="AU121" s="489"/>
      <c r="AV121" s="489"/>
      <c r="AW121" s="489"/>
      <c r="AX121" s="512">
        <f>I121/13</f>
        <v>15</v>
      </c>
      <c r="AY121" s="512"/>
      <c r="AZ121" s="512"/>
      <c r="BA121" s="512"/>
      <c r="BB121" s="512"/>
      <c r="BC121" s="512"/>
      <c r="BD121" s="512"/>
      <c r="BE121" s="512"/>
      <c r="BF121" s="512"/>
      <c r="BG121" s="512"/>
      <c r="BH121" s="512"/>
      <c r="BI121" s="512"/>
      <c r="BJ121" s="512"/>
      <c r="BK121" s="512"/>
      <c r="BL121" s="512"/>
      <c r="BM121" s="512"/>
      <c r="BN121" s="512"/>
      <c r="BQ121" s="3">
        <f t="shared" si="42"/>
        <v>422600</v>
      </c>
    </row>
    <row r="122" s="3" customFormat="1" ht="36" customHeight="1" spans="1:69">
      <c r="A122" s="74">
        <v>45992</v>
      </c>
      <c r="B122" s="75"/>
      <c r="C122" s="76"/>
      <c r="D122" s="77" t="s">
        <v>5464</v>
      </c>
      <c r="E122" s="77"/>
      <c r="F122" s="77" t="s">
        <v>5465</v>
      </c>
      <c r="G122" s="23" t="s">
        <v>4963</v>
      </c>
      <c r="H122" s="88" t="s">
        <v>5466</v>
      </c>
      <c r="I122" s="88">
        <v>50</v>
      </c>
      <c r="J122" s="89">
        <v>0</v>
      </c>
      <c r="K122" s="23">
        <v>50</v>
      </c>
      <c r="L122" s="88">
        <f t="shared" si="41"/>
        <v>1</v>
      </c>
      <c r="M122" s="90">
        <v>46003</v>
      </c>
      <c r="N122" s="90">
        <v>46006</v>
      </c>
      <c r="O122" s="91"/>
      <c r="P122" s="91" t="s">
        <v>5137</v>
      </c>
      <c r="Q122" s="91"/>
      <c r="R122" s="451" t="s">
        <v>3580</v>
      </c>
      <c r="S122" s="452" t="s">
        <v>77</v>
      </c>
      <c r="T122" s="452" t="s">
        <v>77</v>
      </c>
      <c r="U122" s="91"/>
      <c r="V122" s="91"/>
      <c r="W122" s="91"/>
      <c r="X122" s="114" t="s">
        <v>5467</v>
      </c>
      <c r="Y122" s="139"/>
      <c r="Z122" s="116"/>
      <c r="AA122" s="117"/>
      <c r="AB122" s="469" t="s">
        <v>3582</v>
      </c>
      <c r="AC122" s="23" t="s">
        <v>5203</v>
      </c>
      <c r="AD122" s="467" t="s">
        <v>128</v>
      </c>
      <c r="AE122" s="467" t="s">
        <v>4930</v>
      </c>
      <c r="AF122" s="23">
        <v>50</v>
      </c>
      <c r="AG122" s="425">
        <f t="shared" si="44"/>
        <v>0</v>
      </c>
      <c r="AH122" s="467" t="s">
        <v>77</v>
      </c>
      <c r="AI122" s="155">
        <f>I122</f>
        <v>50</v>
      </c>
      <c r="AL122" s="485"/>
      <c r="AM122" s="486"/>
      <c r="AN122" s="88"/>
      <c r="AO122" s="88"/>
      <c r="AP122" s="175"/>
      <c r="AQ122" s="175"/>
      <c r="AR122" s="175"/>
      <c r="AS122" s="175"/>
      <c r="AT122" s="505"/>
      <c r="AU122" s="175"/>
      <c r="AV122" s="175"/>
      <c r="AW122" s="175"/>
      <c r="AX122" s="181"/>
      <c r="AY122" s="181"/>
      <c r="AZ122" s="181"/>
      <c r="BA122" s="181"/>
      <c r="BB122" s="181"/>
      <c r="BC122" s="181"/>
      <c r="BD122" s="181"/>
      <c r="BE122" s="181"/>
      <c r="BF122" s="181"/>
      <c r="BG122" s="181"/>
      <c r="BH122" s="181"/>
      <c r="BI122" s="181"/>
      <c r="BJ122" s="181"/>
      <c r="BK122" s="181"/>
      <c r="BL122" s="181"/>
      <c r="BM122" s="181"/>
      <c r="BN122" s="181"/>
      <c r="BQ122" s="3">
        <f t="shared" si="42"/>
        <v>422600</v>
      </c>
    </row>
    <row r="123" s="3" customFormat="1" ht="36" customHeight="1" spans="1:69">
      <c r="A123" s="74">
        <v>45995</v>
      </c>
      <c r="B123" s="75"/>
      <c r="C123" s="76"/>
      <c r="D123" s="77" t="s">
        <v>5468</v>
      </c>
      <c r="E123" s="114"/>
      <c r="F123" s="77" t="s">
        <v>5469</v>
      </c>
      <c r="G123" s="23" t="s">
        <v>4963</v>
      </c>
      <c r="H123" s="88" t="s">
        <v>5470</v>
      </c>
      <c r="I123" s="3">
        <v>20</v>
      </c>
      <c r="J123" s="89">
        <v>0</v>
      </c>
      <c r="K123" s="23">
        <v>20</v>
      </c>
      <c r="L123" s="436">
        <f t="shared" si="41"/>
        <v>1</v>
      </c>
      <c r="M123" s="90">
        <v>46013</v>
      </c>
      <c r="N123" s="90">
        <v>46009</v>
      </c>
      <c r="O123" s="91"/>
      <c r="P123" s="91" t="s">
        <v>5137</v>
      </c>
      <c r="Q123" s="91"/>
      <c r="R123" s="452" t="s">
        <v>3580</v>
      </c>
      <c r="S123" s="91" t="s">
        <v>77</v>
      </c>
      <c r="T123" s="91" t="s">
        <v>77</v>
      </c>
      <c r="U123" s="91"/>
      <c r="V123" s="91"/>
      <c r="W123" s="91"/>
      <c r="X123" s="114" t="s">
        <v>5471</v>
      </c>
      <c r="Y123" s="139"/>
      <c r="Z123" s="116"/>
      <c r="AA123" s="117"/>
      <c r="AB123" s="469" t="s">
        <v>3582</v>
      </c>
      <c r="AC123" s="23" t="s">
        <v>5203</v>
      </c>
      <c r="AD123" s="467" t="s">
        <v>128</v>
      </c>
      <c r="AE123" s="467" t="s">
        <v>4930</v>
      </c>
      <c r="AF123" s="23">
        <v>20</v>
      </c>
      <c r="AG123" s="483">
        <f t="shared" si="44"/>
        <v>0</v>
      </c>
      <c r="AH123" s="467" t="s">
        <v>77</v>
      </c>
      <c r="AI123" s="155">
        <f>I123</f>
        <v>20</v>
      </c>
      <c r="AL123" s="175"/>
      <c r="AM123" s="486"/>
      <c r="AN123" s="88"/>
      <c r="AO123" s="88"/>
      <c r="AP123" s="175"/>
      <c r="AQ123" s="175"/>
      <c r="AR123" s="175"/>
      <c r="AS123" s="175"/>
      <c r="AT123" s="505"/>
      <c r="AU123" s="175"/>
      <c r="AV123" s="175"/>
      <c r="AW123" s="175"/>
      <c r="AX123" s="181"/>
      <c r="AY123" s="181"/>
      <c r="AZ123" s="181"/>
      <c r="BA123" s="181"/>
      <c r="BB123" s="181"/>
      <c r="BC123" s="181"/>
      <c r="BD123" s="181"/>
      <c r="BE123" s="181"/>
      <c r="BF123" s="181"/>
      <c r="BG123" s="181"/>
      <c r="BH123" s="181"/>
      <c r="BI123" s="181"/>
      <c r="BJ123" s="181"/>
      <c r="BK123" s="181"/>
      <c r="BL123" s="181"/>
      <c r="BM123" s="181"/>
      <c r="BN123" s="181"/>
      <c r="BQ123" s="3">
        <f t="shared" si="42"/>
        <v>422600</v>
      </c>
    </row>
    <row r="124" s="400" customFormat="1" ht="36" customHeight="1" spans="1:69">
      <c r="A124" s="702">
        <v>45968</v>
      </c>
      <c r="B124" s="703" t="s">
        <v>3926</v>
      </c>
      <c r="C124" s="704" t="s">
        <v>351</v>
      </c>
      <c r="D124" s="703">
        <v>4500184839</v>
      </c>
      <c r="E124" s="424" t="s">
        <v>5472</v>
      </c>
      <c r="F124" s="703" t="s">
        <v>5473</v>
      </c>
      <c r="G124" s="425" t="s">
        <v>5092</v>
      </c>
      <c r="H124" s="426" t="s">
        <v>5093</v>
      </c>
      <c r="I124" s="437">
        <v>12</v>
      </c>
      <c r="J124" s="438">
        <v>0</v>
      </c>
      <c r="K124" s="425">
        <v>12</v>
      </c>
      <c r="L124" s="439">
        <f t="shared" si="41"/>
        <v>1</v>
      </c>
      <c r="M124" s="440">
        <v>46009</v>
      </c>
      <c r="N124" s="440">
        <v>46006</v>
      </c>
      <c r="O124" s="441"/>
      <c r="P124" s="441" t="s">
        <v>1262</v>
      </c>
      <c r="Q124" s="441" t="s">
        <v>5474</v>
      </c>
      <c r="R124" s="449">
        <v>45971</v>
      </c>
      <c r="S124" s="441" t="s">
        <v>123</v>
      </c>
      <c r="T124" s="441" t="s">
        <v>5475</v>
      </c>
      <c r="U124" s="441"/>
      <c r="V124" s="441"/>
      <c r="W124" s="441"/>
      <c r="X124" s="424" t="s">
        <v>5476</v>
      </c>
      <c r="Y124" s="713" t="s">
        <v>396</v>
      </c>
      <c r="Z124" s="474">
        <v>3.18</v>
      </c>
      <c r="AA124" s="475">
        <f t="shared" ref="AA124:AA142" si="72">Z124*I124</f>
        <v>38.16</v>
      </c>
      <c r="AB124" s="437"/>
      <c r="AC124" s="478" t="s">
        <v>5098</v>
      </c>
      <c r="AD124" s="477" t="s">
        <v>128</v>
      </c>
      <c r="AE124" s="477" t="s">
        <v>4930</v>
      </c>
      <c r="AF124" s="425">
        <v>12</v>
      </c>
      <c r="AG124" s="425">
        <f t="shared" si="44"/>
        <v>0</v>
      </c>
      <c r="AH124" s="425" t="s">
        <v>4335</v>
      </c>
      <c r="AI124" s="487"/>
      <c r="AJ124" s="488">
        <f t="shared" ref="AJ124:AJ129" si="73">I124*2</f>
        <v>24</v>
      </c>
      <c r="AK124" s="488"/>
      <c r="AL124" s="489"/>
      <c r="AM124" s="489"/>
      <c r="AN124" s="437">
        <f t="shared" ref="AN124:AN129" si="74">I124*2</f>
        <v>24</v>
      </c>
      <c r="AO124" s="437"/>
      <c r="AP124" s="503">
        <f t="shared" ref="AP124:AP129" si="75">I124*2</f>
        <v>24</v>
      </c>
      <c r="AQ124" s="503"/>
      <c r="AR124" s="437"/>
      <c r="AS124" s="503">
        <f t="shared" ref="AS124:AS164" si="76">AP124-AT124</f>
        <v>21.65</v>
      </c>
      <c r="AT124" s="621">
        <f t="shared" ref="AT124:AT129" si="77">I124*(1-(1/48))/10*2</f>
        <v>2.35</v>
      </c>
      <c r="AU124" s="489"/>
      <c r="AV124" s="489"/>
      <c r="AW124" s="489"/>
      <c r="AX124" s="512"/>
      <c r="AY124" s="512"/>
      <c r="AZ124" s="512"/>
      <c r="BA124" s="512"/>
      <c r="BB124" s="512"/>
      <c r="BC124" s="512"/>
      <c r="BD124" s="512"/>
      <c r="BE124" s="512"/>
      <c r="BF124" s="512"/>
      <c r="BG124" s="512"/>
      <c r="BH124" s="512"/>
      <c r="BI124" s="512"/>
      <c r="BJ124" s="512"/>
      <c r="BK124" s="512"/>
      <c r="BL124" s="512"/>
      <c r="BM124" s="512">
        <f t="shared" ref="BM124:BM129" si="78">I124</f>
        <v>12</v>
      </c>
      <c r="BN124" s="512">
        <f t="shared" ref="BN124:BN129" si="79">I124</f>
        <v>12</v>
      </c>
      <c r="BQ124" s="3">
        <f t="shared" si="42"/>
        <v>422624</v>
      </c>
    </row>
    <row r="125" s="400" customFormat="1" ht="36" customHeight="1" spans="1:69">
      <c r="A125" s="702">
        <v>45968</v>
      </c>
      <c r="B125" s="703" t="s">
        <v>3926</v>
      </c>
      <c r="C125" s="704" t="s">
        <v>351</v>
      </c>
      <c r="D125" s="703">
        <v>4500184839</v>
      </c>
      <c r="E125" s="424" t="s">
        <v>5477</v>
      </c>
      <c r="F125" s="703" t="s">
        <v>5478</v>
      </c>
      <c r="G125" s="425" t="s">
        <v>5092</v>
      </c>
      <c r="H125" s="426" t="s">
        <v>5093</v>
      </c>
      <c r="I125" s="437">
        <v>12</v>
      </c>
      <c r="J125" s="438">
        <v>0</v>
      </c>
      <c r="K125" s="425">
        <v>12</v>
      </c>
      <c r="L125" s="439">
        <f t="shared" si="41"/>
        <v>1</v>
      </c>
      <c r="M125" s="440">
        <v>46009</v>
      </c>
      <c r="N125" s="440">
        <v>46006</v>
      </c>
      <c r="O125" s="441"/>
      <c r="P125" s="441" t="s">
        <v>1262</v>
      </c>
      <c r="Q125" s="441" t="s">
        <v>5474</v>
      </c>
      <c r="R125" s="449">
        <v>45971</v>
      </c>
      <c r="S125" s="441" t="s">
        <v>123</v>
      </c>
      <c r="T125" s="441" t="s">
        <v>5475</v>
      </c>
      <c r="U125" s="441"/>
      <c r="V125" s="441"/>
      <c r="W125" s="441"/>
      <c r="X125" s="424" t="s">
        <v>5476</v>
      </c>
      <c r="Y125" s="713" t="s">
        <v>396</v>
      </c>
      <c r="Z125" s="474">
        <v>3.18</v>
      </c>
      <c r="AA125" s="475">
        <f t="shared" si="72"/>
        <v>38.16</v>
      </c>
      <c r="AB125" s="437"/>
      <c r="AC125" s="478" t="s">
        <v>5098</v>
      </c>
      <c r="AD125" s="477" t="s">
        <v>128</v>
      </c>
      <c r="AE125" s="477" t="s">
        <v>4930</v>
      </c>
      <c r="AF125" s="425">
        <v>12</v>
      </c>
      <c r="AG125" s="425">
        <f t="shared" si="44"/>
        <v>0</v>
      </c>
      <c r="AH125" s="425" t="s">
        <v>4335</v>
      </c>
      <c r="AI125" s="487"/>
      <c r="AJ125" s="488">
        <f t="shared" si="73"/>
        <v>24</v>
      </c>
      <c r="AK125" s="488"/>
      <c r="AL125" s="489"/>
      <c r="AM125" s="489"/>
      <c r="AN125" s="437">
        <f t="shared" si="74"/>
        <v>24</v>
      </c>
      <c r="AO125" s="437"/>
      <c r="AP125" s="503">
        <f t="shared" si="75"/>
        <v>24</v>
      </c>
      <c r="AQ125" s="503"/>
      <c r="AR125" s="437"/>
      <c r="AS125" s="503">
        <f t="shared" si="76"/>
        <v>21.65</v>
      </c>
      <c r="AT125" s="621">
        <f t="shared" si="77"/>
        <v>2.35</v>
      </c>
      <c r="AU125" s="489"/>
      <c r="AV125" s="489"/>
      <c r="AW125" s="489"/>
      <c r="AX125" s="512"/>
      <c r="AY125" s="512"/>
      <c r="AZ125" s="512"/>
      <c r="BA125" s="512"/>
      <c r="BB125" s="512"/>
      <c r="BC125" s="512"/>
      <c r="BD125" s="512"/>
      <c r="BE125" s="512"/>
      <c r="BF125" s="512"/>
      <c r="BG125" s="512"/>
      <c r="BH125" s="512"/>
      <c r="BI125" s="512"/>
      <c r="BJ125" s="512"/>
      <c r="BK125" s="512"/>
      <c r="BL125" s="512"/>
      <c r="BM125" s="512">
        <f t="shared" si="78"/>
        <v>12</v>
      </c>
      <c r="BN125" s="512">
        <f t="shared" si="79"/>
        <v>12</v>
      </c>
      <c r="BQ125" s="3">
        <f t="shared" si="42"/>
        <v>422648</v>
      </c>
    </row>
    <row r="126" s="400" customFormat="1" ht="36" customHeight="1" spans="1:69">
      <c r="A126" s="702">
        <v>45968</v>
      </c>
      <c r="B126" s="703" t="s">
        <v>3926</v>
      </c>
      <c r="C126" s="704" t="s">
        <v>351</v>
      </c>
      <c r="D126" s="703">
        <v>4500184839</v>
      </c>
      <c r="E126" s="424" t="s">
        <v>5479</v>
      </c>
      <c r="F126" s="703" t="s">
        <v>5480</v>
      </c>
      <c r="G126" s="425" t="s">
        <v>5092</v>
      </c>
      <c r="H126" s="426" t="s">
        <v>5093</v>
      </c>
      <c r="I126" s="437">
        <v>12</v>
      </c>
      <c r="J126" s="438">
        <v>0</v>
      </c>
      <c r="K126" s="425">
        <v>12</v>
      </c>
      <c r="L126" s="439">
        <f t="shared" si="41"/>
        <v>1</v>
      </c>
      <c r="M126" s="440">
        <v>46009</v>
      </c>
      <c r="N126" s="440">
        <v>46006</v>
      </c>
      <c r="O126" s="441"/>
      <c r="P126" s="441" t="s">
        <v>1262</v>
      </c>
      <c r="Q126" s="441" t="s">
        <v>5474</v>
      </c>
      <c r="R126" s="449">
        <v>45971</v>
      </c>
      <c r="S126" s="441" t="s">
        <v>123</v>
      </c>
      <c r="T126" s="441" t="s">
        <v>5475</v>
      </c>
      <c r="U126" s="441"/>
      <c r="V126" s="441"/>
      <c r="W126" s="441"/>
      <c r="X126" s="424" t="s">
        <v>5476</v>
      </c>
      <c r="Y126" s="713" t="s">
        <v>396</v>
      </c>
      <c r="Z126" s="474">
        <v>3.18</v>
      </c>
      <c r="AA126" s="475">
        <f t="shared" si="72"/>
        <v>38.16</v>
      </c>
      <c r="AB126" s="437"/>
      <c r="AC126" s="478" t="s">
        <v>5098</v>
      </c>
      <c r="AD126" s="477" t="s">
        <v>128</v>
      </c>
      <c r="AE126" s="477" t="s">
        <v>4930</v>
      </c>
      <c r="AF126" s="425">
        <v>12</v>
      </c>
      <c r="AG126" s="425">
        <f t="shared" si="44"/>
        <v>0</v>
      </c>
      <c r="AH126" s="425" t="s">
        <v>4335</v>
      </c>
      <c r="AI126" s="487"/>
      <c r="AJ126" s="488">
        <f t="shared" si="73"/>
        <v>24</v>
      </c>
      <c r="AK126" s="488"/>
      <c r="AL126" s="489"/>
      <c r="AM126" s="489"/>
      <c r="AN126" s="437">
        <f t="shared" si="74"/>
        <v>24</v>
      </c>
      <c r="AO126" s="437"/>
      <c r="AP126" s="503">
        <f t="shared" si="75"/>
        <v>24</v>
      </c>
      <c r="AQ126" s="503"/>
      <c r="AR126" s="437"/>
      <c r="AS126" s="503">
        <f t="shared" si="76"/>
        <v>21.65</v>
      </c>
      <c r="AT126" s="621">
        <f t="shared" si="77"/>
        <v>2.35</v>
      </c>
      <c r="AU126" s="489"/>
      <c r="AV126" s="489"/>
      <c r="AW126" s="489"/>
      <c r="AX126" s="512"/>
      <c r="AY126" s="512"/>
      <c r="AZ126" s="512"/>
      <c r="BA126" s="512"/>
      <c r="BB126" s="512"/>
      <c r="BC126" s="512"/>
      <c r="BD126" s="512"/>
      <c r="BE126" s="512"/>
      <c r="BF126" s="512"/>
      <c r="BG126" s="512"/>
      <c r="BH126" s="512"/>
      <c r="BI126" s="512"/>
      <c r="BJ126" s="512"/>
      <c r="BK126" s="512"/>
      <c r="BL126" s="512"/>
      <c r="BM126" s="512">
        <f t="shared" si="78"/>
        <v>12</v>
      </c>
      <c r="BN126" s="512">
        <f t="shared" si="79"/>
        <v>12</v>
      </c>
      <c r="BQ126" s="3">
        <f t="shared" si="42"/>
        <v>422672</v>
      </c>
    </row>
    <row r="127" s="400" customFormat="1" ht="36" customHeight="1" spans="1:69">
      <c r="A127" s="702">
        <v>45968</v>
      </c>
      <c r="B127" s="703" t="s">
        <v>3926</v>
      </c>
      <c r="C127" s="704" t="s">
        <v>351</v>
      </c>
      <c r="D127" s="703">
        <v>4500184839</v>
      </c>
      <c r="E127" s="424" t="s">
        <v>5481</v>
      </c>
      <c r="F127" s="703" t="s">
        <v>5482</v>
      </c>
      <c r="G127" s="425" t="s">
        <v>5092</v>
      </c>
      <c r="H127" s="426" t="s">
        <v>5093</v>
      </c>
      <c r="I127" s="437">
        <v>12</v>
      </c>
      <c r="J127" s="438">
        <v>0</v>
      </c>
      <c r="K127" s="425">
        <v>12</v>
      </c>
      <c r="L127" s="439">
        <f t="shared" si="41"/>
        <v>1</v>
      </c>
      <c r="M127" s="440">
        <v>46009</v>
      </c>
      <c r="N127" s="440">
        <v>46006</v>
      </c>
      <c r="O127" s="441"/>
      <c r="P127" s="441" t="s">
        <v>1262</v>
      </c>
      <c r="Q127" s="441" t="s">
        <v>5474</v>
      </c>
      <c r="R127" s="449">
        <v>45971</v>
      </c>
      <c r="S127" s="441" t="s">
        <v>123</v>
      </c>
      <c r="T127" s="441" t="s">
        <v>5475</v>
      </c>
      <c r="U127" s="441"/>
      <c r="V127" s="441"/>
      <c r="W127" s="441"/>
      <c r="X127" s="424" t="s">
        <v>5476</v>
      </c>
      <c r="Y127" s="713" t="s">
        <v>396</v>
      </c>
      <c r="Z127" s="474">
        <v>3.18</v>
      </c>
      <c r="AA127" s="475">
        <f t="shared" si="72"/>
        <v>38.16</v>
      </c>
      <c r="AB127" s="437"/>
      <c r="AC127" s="478" t="s">
        <v>5098</v>
      </c>
      <c r="AD127" s="477" t="s">
        <v>128</v>
      </c>
      <c r="AE127" s="477" t="s">
        <v>4930</v>
      </c>
      <c r="AF127" s="425">
        <v>12</v>
      </c>
      <c r="AG127" s="425">
        <f t="shared" si="44"/>
        <v>0</v>
      </c>
      <c r="AH127" s="425" t="s">
        <v>4335</v>
      </c>
      <c r="AI127" s="487"/>
      <c r="AJ127" s="488">
        <f t="shared" si="73"/>
        <v>24</v>
      </c>
      <c r="AK127" s="488"/>
      <c r="AL127" s="489"/>
      <c r="AM127" s="489"/>
      <c r="AN127" s="437">
        <f t="shared" si="74"/>
        <v>24</v>
      </c>
      <c r="AO127" s="437"/>
      <c r="AP127" s="503">
        <f t="shared" si="75"/>
        <v>24</v>
      </c>
      <c r="AQ127" s="503"/>
      <c r="AR127" s="437"/>
      <c r="AS127" s="503">
        <f t="shared" si="76"/>
        <v>21.65</v>
      </c>
      <c r="AT127" s="621">
        <f t="shared" si="77"/>
        <v>2.35</v>
      </c>
      <c r="AU127" s="489"/>
      <c r="AV127" s="489"/>
      <c r="AW127" s="489"/>
      <c r="AX127" s="512"/>
      <c r="AY127" s="512"/>
      <c r="AZ127" s="512"/>
      <c r="BA127" s="512"/>
      <c r="BB127" s="512"/>
      <c r="BC127" s="512"/>
      <c r="BD127" s="512"/>
      <c r="BE127" s="512"/>
      <c r="BF127" s="512"/>
      <c r="BG127" s="512"/>
      <c r="BH127" s="512"/>
      <c r="BI127" s="512"/>
      <c r="BJ127" s="512"/>
      <c r="BK127" s="512"/>
      <c r="BL127" s="512"/>
      <c r="BM127" s="512">
        <f t="shared" si="78"/>
        <v>12</v>
      </c>
      <c r="BN127" s="512">
        <f t="shared" si="79"/>
        <v>12</v>
      </c>
      <c r="BQ127" s="3">
        <f t="shared" si="42"/>
        <v>422696</v>
      </c>
    </row>
    <row r="128" s="400" customFormat="1" ht="36" customHeight="1" spans="1:69">
      <c r="A128" s="702">
        <v>45968</v>
      </c>
      <c r="B128" s="703" t="s">
        <v>3926</v>
      </c>
      <c r="C128" s="704" t="s">
        <v>351</v>
      </c>
      <c r="D128" s="703">
        <v>4500184839</v>
      </c>
      <c r="E128" s="424" t="s">
        <v>5483</v>
      </c>
      <c r="F128" s="703" t="s">
        <v>5484</v>
      </c>
      <c r="G128" s="425" t="s">
        <v>5092</v>
      </c>
      <c r="H128" s="426" t="s">
        <v>5093</v>
      </c>
      <c r="I128" s="437">
        <v>12</v>
      </c>
      <c r="J128" s="438">
        <v>0</v>
      </c>
      <c r="K128" s="425">
        <v>12</v>
      </c>
      <c r="L128" s="439">
        <f t="shared" si="41"/>
        <v>1</v>
      </c>
      <c r="M128" s="440">
        <v>46009</v>
      </c>
      <c r="N128" s="440">
        <v>46006</v>
      </c>
      <c r="O128" s="441"/>
      <c r="P128" s="441" t="s">
        <v>1262</v>
      </c>
      <c r="Q128" s="441" t="s">
        <v>5474</v>
      </c>
      <c r="R128" s="449">
        <v>45971</v>
      </c>
      <c r="S128" s="441" t="s">
        <v>123</v>
      </c>
      <c r="T128" s="441" t="s">
        <v>5475</v>
      </c>
      <c r="U128" s="441"/>
      <c r="V128" s="441"/>
      <c r="W128" s="441"/>
      <c r="X128" s="424" t="s">
        <v>5476</v>
      </c>
      <c r="Y128" s="713" t="s">
        <v>396</v>
      </c>
      <c r="Z128" s="474">
        <v>3.18</v>
      </c>
      <c r="AA128" s="475">
        <f t="shared" si="72"/>
        <v>38.16</v>
      </c>
      <c r="AB128" s="437"/>
      <c r="AC128" s="478" t="s">
        <v>5098</v>
      </c>
      <c r="AD128" s="477" t="s">
        <v>128</v>
      </c>
      <c r="AE128" s="477" t="s">
        <v>4930</v>
      </c>
      <c r="AF128" s="425">
        <v>12</v>
      </c>
      <c r="AG128" s="425">
        <f t="shared" si="44"/>
        <v>0</v>
      </c>
      <c r="AH128" s="425" t="s">
        <v>4335</v>
      </c>
      <c r="AI128" s="487"/>
      <c r="AJ128" s="488">
        <f t="shared" si="73"/>
        <v>24</v>
      </c>
      <c r="AK128" s="488"/>
      <c r="AL128" s="489"/>
      <c r="AM128" s="489"/>
      <c r="AN128" s="437">
        <f t="shared" si="74"/>
        <v>24</v>
      </c>
      <c r="AO128" s="437"/>
      <c r="AP128" s="503">
        <f t="shared" si="75"/>
        <v>24</v>
      </c>
      <c r="AQ128" s="503"/>
      <c r="AR128" s="437"/>
      <c r="AS128" s="503">
        <f t="shared" si="76"/>
        <v>21.65</v>
      </c>
      <c r="AT128" s="621">
        <f t="shared" si="77"/>
        <v>2.35</v>
      </c>
      <c r="AU128" s="489"/>
      <c r="AV128" s="489"/>
      <c r="AW128" s="489"/>
      <c r="AX128" s="512"/>
      <c r="AY128" s="512"/>
      <c r="AZ128" s="512"/>
      <c r="BA128" s="512"/>
      <c r="BB128" s="512"/>
      <c r="BC128" s="512"/>
      <c r="BD128" s="512"/>
      <c r="BE128" s="512"/>
      <c r="BF128" s="512"/>
      <c r="BG128" s="512"/>
      <c r="BH128" s="512"/>
      <c r="BI128" s="512"/>
      <c r="BJ128" s="512"/>
      <c r="BK128" s="512"/>
      <c r="BL128" s="512"/>
      <c r="BM128" s="512">
        <f t="shared" si="78"/>
        <v>12</v>
      </c>
      <c r="BN128" s="512">
        <f t="shared" si="79"/>
        <v>12</v>
      </c>
      <c r="BQ128" s="3">
        <f t="shared" si="42"/>
        <v>422720</v>
      </c>
    </row>
    <row r="129" s="400" customFormat="1" ht="36" customHeight="1" spans="1:69">
      <c r="A129" s="420">
        <v>45932</v>
      </c>
      <c r="B129" s="421" t="s">
        <v>449</v>
      </c>
      <c r="C129" s="422" t="s">
        <v>213</v>
      </c>
      <c r="D129" s="423">
        <v>4500181167</v>
      </c>
      <c r="E129" s="424" t="s">
        <v>5485</v>
      </c>
      <c r="F129" s="423" t="s">
        <v>5486</v>
      </c>
      <c r="G129" s="425" t="s">
        <v>5092</v>
      </c>
      <c r="H129" s="426" t="s">
        <v>5093</v>
      </c>
      <c r="I129" s="437">
        <v>1080</v>
      </c>
      <c r="J129" s="438">
        <v>0</v>
      </c>
      <c r="K129" s="425">
        <v>12</v>
      </c>
      <c r="L129" s="439">
        <f t="shared" si="41"/>
        <v>90</v>
      </c>
      <c r="M129" s="440">
        <v>46009</v>
      </c>
      <c r="N129" s="440">
        <v>46006</v>
      </c>
      <c r="O129" s="441"/>
      <c r="P129" s="441" t="s">
        <v>1262</v>
      </c>
      <c r="Q129" s="441" t="s">
        <v>5487</v>
      </c>
      <c r="R129" s="449" t="s">
        <v>5282</v>
      </c>
      <c r="S129" s="441" t="s">
        <v>123</v>
      </c>
      <c r="T129" s="441" t="s">
        <v>5488</v>
      </c>
      <c r="U129" s="441"/>
      <c r="V129" s="441"/>
      <c r="W129" s="441"/>
      <c r="X129" s="424" t="s">
        <v>5489</v>
      </c>
      <c r="Y129" s="473" t="s">
        <v>186</v>
      </c>
      <c r="Z129" s="474">
        <v>3.18</v>
      </c>
      <c r="AA129" s="475">
        <f t="shared" si="72"/>
        <v>3434.4</v>
      </c>
      <c r="AB129" s="437"/>
      <c r="AC129" s="478" t="s">
        <v>5098</v>
      </c>
      <c r="AD129" s="477" t="s">
        <v>128</v>
      </c>
      <c r="AE129" s="477" t="s">
        <v>4930</v>
      </c>
      <c r="AF129" s="425">
        <v>1080</v>
      </c>
      <c r="AG129" s="425">
        <f t="shared" si="44"/>
        <v>0</v>
      </c>
      <c r="AH129" s="425" t="s">
        <v>4335</v>
      </c>
      <c r="AI129" s="487"/>
      <c r="AJ129" s="488">
        <f t="shared" si="73"/>
        <v>2160</v>
      </c>
      <c r="AK129" s="488"/>
      <c r="AL129" s="489"/>
      <c r="AM129" s="437"/>
      <c r="AN129" s="437">
        <f t="shared" si="74"/>
        <v>2160</v>
      </c>
      <c r="AO129" s="437"/>
      <c r="AP129" s="503">
        <f t="shared" si="75"/>
        <v>2160</v>
      </c>
      <c r="AQ129" s="503"/>
      <c r="AR129" s="437"/>
      <c r="AS129" s="503">
        <f t="shared" si="76"/>
        <v>1948.5</v>
      </c>
      <c r="AT129" s="621">
        <f t="shared" si="77"/>
        <v>211.5</v>
      </c>
      <c r="AU129" s="489">
        <f t="shared" ref="AU129:AU132" si="80">I129</f>
        <v>1080</v>
      </c>
      <c r="AV129" s="489"/>
      <c r="AW129" s="489"/>
      <c r="AX129" s="512"/>
      <c r="AY129" s="512"/>
      <c r="AZ129" s="512"/>
      <c r="BA129" s="512"/>
      <c r="BB129" s="512"/>
      <c r="BC129" s="512"/>
      <c r="BD129" s="512"/>
      <c r="BE129" s="512"/>
      <c r="BF129" s="512"/>
      <c r="BG129" s="512"/>
      <c r="BH129" s="512"/>
      <c r="BI129" s="512"/>
      <c r="BJ129" s="512"/>
      <c r="BK129" s="512"/>
      <c r="BL129" s="512"/>
      <c r="BM129" s="512">
        <f t="shared" si="78"/>
        <v>1080</v>
      </c>
      <c r="BN129" s="512">
        <f t="shared" si="79"/>
        <v>1080</v>
      </c>
      <c r="BQ129" s="3">
        <f t="shared" si="42"/>
        <v>424880</v>
      </c>
    </row>
    <row r="130" s="400" customFormat="1" ht="36" customHeight="1" spans="1:69">
      <c r="A130" s="420">
        <v>45965</v>
      </c>
      <c r="B130" s="421" t="s">
        <v>5490</v>
      </c>
      <c r="C130" s="422" t="s">
        <v>3644</v>
      </c>
      <c r="D130" s="715">
        <v>4500184422</v>
      </c>
      <c r="E130" s="716">
        <v>5907187951</v>
      </c>
      <c r="F130" s="715" t="s">
        <v>5491</v>
      </c>
      <c r="G130" s="717" t="s">
        <v>4974</v>
      </c>
      <c r="H130" s="718" t="s">
        <v>5205</v>
      </c>
      <c r="I130" s="705">
        <v>1050</v>
      </c>
      <c r="J130" s="731">
        <v>0</v>
      </c>
      <c r="K130" s="717">
        <v>50</v>
      </c>
      <c r="L130" s="732">
        <f t="shared" si="41"/>
        <v>21</v>
      </c>
      <c r="M130" s="733">
        <v>46009</v>
      </c>
      <c r="N130" s="733">
        <v>46006</v>
      </c>
      <c r="O130" s="441" t="s">
        <v>5492</v>
      </c>
      <c r="P130" s="441" t="s">
        <v>92</v>
      </c>
      <c r="Q130" s="441" t="s">
        <v>3211</v>
      </c>
      <c r="R130" s="449">
        <v>45974</v>
      </c>
      <c r="S130" s="448" t="s">
        <v>77</v>
      </c>
      <c r="T130" s="455" t="s">
        <v>5493</v>
      </c>
      <c r="U130" s="441"/>
      <c r="V130" s="441"/>
      <c r="W130" s="441"/>
      <c r="X130" s="424" t="s">
        <v>5494</v>
      </c>
      <c r="Y130" s="473" t="s">
        <v>290</v>
      </c>
      <c r="Z130" s="474">
        <v>1.55</v>
      </c>
      <c r="AA130" s="475">
        <f t="shared" si="72"/>
        <v>1627.5</v>
      </c>
      <c r="AB130" s="437"/>
      <c r="AC130" s="425" t="s">
        <v>5391</v>
      </c>
      <c r="AD130" s="477" t="s">
        <v>128</v>
      </c>
      <c r="AE130" s="477" t="s">
        <v>4930</v>
      </c>
      <c r="AF130" s="425">
        <v>1050</v>
      </c>
      <c r="AG130" s="425">
        <f t="shared" si="44"/>
        <v>0</v>
      </c>
      <c r="AH130" s="425" t="s">
        <v>75</v>
      </c>
      <c r="AI130" s="487"/>
      <c r="AJ130" s="488">
        <f t="shared" ref="AJ130:AJ144" si="81">I130</f>
        <v>1050</v>
      </c>
      <c r="AK130" s="488"/>
      <c r="AL130" s="489"/>
      <c r="AM130" s="437">
        <f t="shared" ref="AM130:AM132" si="82">I130</f>
        <v>1050</v>
      </c>
      <c r="AN130" s="437"/>
      <c r="AO130" s="437"/>
      <c r="AP130" s="503">
        <f t="shared" ref="AP130:AP144" si="83">I130</f>
        <v>1050</v>
      </c>
      <c r="AQ130" s="503"/>
      <c r="AR130" s="437"/>
      <c r="AS130" s="503">
        <f t="shared" si="76"/>
        <v>947.1875</v>
      </c>
      <c r="AT130" s="621">
        <f t="shared" ref="AT124:AT164" si="84">I130*(1-(1/48))/10</f>
        <v>102.8125</v>
      </c>
      <c r="AU130" s="489">
        <f t="shared" si="80"/>
        <v>1050</v>
      </c>
      <c r="AV130" s="489"/>
      <c r="AW130" s="489"/>
      <c r="AX130" s="512"/>
      <c r="AY130" s="512"/>
      <c r="AZ130" s="512"/>
      <c r="BA130" s="512"/>
      <c r="BB130" s="512">
        <f t="shared" ref="BB130:BB132" si="85">I130/25</f>
        <v>42</v>
      </c>
      <c r="BC130" s="512"/>
      <c r="BD130" s="512"/>
      <c r="BE130" s="512"/>
      <c r="BF130" s="512"/>
      <c r="BG130" s="512"/>
      <c r="BH130" s="512"/>
      <c r="BI130" s="512"/>
      <c r="BJ130" s="512"/>
      <c r="BK130" s="512"/>
      <c r="BL130" s="512"/>
      <c r="BM130" s="512"/>
      <c r="BN130" s="512"/>
      <c r="BQ130" s="3">
        <f t="shared" si="42"/>
        <v>425930</v>
      </c>
    </row>
    <row r="131" s="400" customFormat="1" ht="36" customHeight="1" spans="1:69">
      <c r="A131" s="420">
        <v>45965</v>
      </c>
      <c r="B131" s="421" t="s">
        <v>5495</v>
      </c>
      <c r="C131" s="422" t="s">
        <v>3214</v>
      </c>
      <c r="D131" s="715">
        <v>4500184316</v>
      </c>
      <c r="E131" s="716">
        <v>8807187952</v>
      </c>
      <c r="F131" s="715" t="s">
        <v>5496</v>
      </c>
      <c r="G131" s="717" t="s">
        <v>4974</v>
      </c>
      <c r="H131" s="718" t="s">
        <v>5205</v>
      </c>
      <c r="I131" s="705">
        <v>1500</v>
      </c>
      <c r="J131" s="731">
        <v>0</v>
      </c>
      <c r="K131" s="717">
        <v>50</v>
      </c>
      <c r="L131" s="732">
        <f t="shared" ref="L131:L186" si="86">I131/K131</f>
        <v>30</v>
      </c>
      <c r="M131" s="733">
        <v>46009</v>
      </c>
      <c r="N131" s="733">
        <v>46006</v>
      </c>
      <c r="O131" s="441"/>
      <c r="P131" s="441" t="s">
        <v>92</v>
      </c>
      <c r="Q131" s="441" t="s">
        <v>5497</v>
      </c>
      <c r="R131" s="449">
        <v>45974</v>
      </c>
      <c r="S131" s="448" t="s">
        <v>77</v>
      </c>
      <c r="T131" s="455" t="s">
        <v>5493</v>
      </c>
      <c r="U131" s="441"/>
      <c r="V131" s="441"/>
      <c r="W131" s="441"/>
      <c r="X131" s="424" t="s">
        <v>5498</v>
      </c>
      <c r="Y131" s="473" t="s">
        <v>290</v>
      </c>
      <c r="Z131" s="474">
        <v>1.55</v>
      </c>
      <c r="AA131" s="475">
        <f t="shared" si="72"/>
        <v>2325</v>
      </c>
      <c r="AB131" s="437"/>
      <c r="AC131" s="425" t="s">
        <v>5391</v>
      </c>
      <c r="AD131" s="477" t="s">
        <v>128</v>
      </c>
      <c r="AE131" s="477" t="s">
        <v>4930</v>
      </c>
      <c r="AF131" s="425">
        <v>1500</v>
      </c>
      <c r="AG131" s="425">
        <f t="shared" si="44"/>
        <v>0</v>
      </c>
      <c r="AH131" s="425" t="s">
        <v>75</v>
      </c>
      <c r="AI131" s="487"/>
      <c r="AJ131" s="488">
        <f t="shared" si="81"/>
        <v>1500</v>
      </c>
      <c r="AK131" s="488"/>
      <c r="AL131" s="489"/>
      <c r="AM131" s="437">
        <f t="shared" si="82"/>
        <v>1500</v>
      </c>
      <c r="AN131" s="437"/>
      <c r="AO131" s="437"/>
      <c r="AP131" s="503">
        <f t="shared" si="83"/>
        <v>1500</v>
      </c>
      <c r="AQ131" s="503"/>
      <c r="AR131" s="437"/>
      <c r="AS131" s="503">
        <f t="shared" si="76"/>
        <v>1353.125</v>
      </c>
      <c r="AT131" s="621">
        <f t="shared" si="84"/>
        <v>146.875</v>
      </c>
      <c r="AU131" s="489">
        <f t="shared" si="80"/>
        <v>1500</v>
      </c>
      <c r="AV131" s="489"/>
      <c r="AW131" s="489"/>
      <c r="AX131" s="512"/>
      <c r="AY131" s="512"/>
      <c r="AZ131" s="512"/>
      <c r="BA131" s="512"/>
      <c r="BB131" s="512">
        <f t="shared" si="85"/>
        <v>60</v>
      </c>
      <c r="BC131" s="512"/>
      <c r="BD131" s="512"/>
      <c r="BE131" s="512"/>
      <c r="BF131" s="512"/>
      <c r="BG131" s="512"/>
      <c r="BH131" s="512"/>
      <c r="BI131" s="512"/>
      <c r="BJ131" s="512"/>
      <c r="BK131" s="512"/>
      <c r="BL131" s="512"/>
      <c r="BM131" s="512"/>
      <c r="BN131" s="512"/>
      <c r="BQ131" s="3">
        <f t="shared" si="42"/>
        <v>427430</v>
      </c>
    </row>
    <row r="132" s="400" customFormat="1" ht="36" customHeight="1" spans="1:69">
      <c r="A132" s="420">
        <v>45965</v>
      </c>
      <c r="B132" s="421" t="s">
        <v>5499</v>
      </c>
      <c r="C132" s="422" t="s">
        <v>763</v>
      </c>
      <c r="D132" s="715">
        <v>4500184355</v>
      </c>
      <c r="E132" s="716">
        <v>4407187950</v>
      </c>
      <c r="F132" s="715" t="s">
        <v>5500</v>
      </c>
      <c r="G132" s="717" t="s">
        <v>4974</v>
      </c>
      <c r="H132" s="718" t="s">
        <v>5205</v>
      </c>
      <c r="I132" s="705">
        <v>1250</v>
      </c>
      <c r="J132" s="731">
        <v>0</v>
      </c>
      <c r="K132" s="717">
        <v>50</v>
      </c>
      <c r="L132" s="732">
        <f t="shared" si="86"/>
        <v>25</v>
      </c>
      <c r="M132" s="733">
        <v>46009</v>
      </c>
      <c r="N132" s="733">
        <v>46006</v>
      </c>
      <c r="O132" s="441"/>
      <c r="P132" s="441" t="s">
        <v>92</v>
      </c>
      <c r="Q132" s="441" t="s">
        <v>2885</v>
      </c>
      <c r="R132" s="449">
        <v>45974</v>
      </c>
      <c r="S132" s="448" t="s">
        <v>77</v>
      </c>
      <c r="T132" s="455" t="s">
        <v>5493</v>
      </c>
      <c r="U132" s="441"/>
      <c r="V132" s="441"/>
      <c r="W132" s="441"/>
      <c r="X132" s="424" t="s">
        <v>5494</v>
      </c>
      <c r="Y132" s="473" t="s">
        <v>290</v>
      </c>
      <c r="Z132" s="474">
        <v>1.55</v>
      </c>
      <c r="AA132" s="475">
        <f t="shared" si="72"/>
        <v>1937.5</v>
      </c>
      <c r="AB132" s="437"/>
      <c r="AC132" s="425" t="s">
        <v>5391</v>
      </c>
      <c r="AD132" s="477" t="s">
        <v>128</v>
      </c>
      <c r="AE132" s="477" t="s">
        <v>4930</v>
      </c>
      <c r="AF132" s="425">
        <v>1250</v>
      </c>
      <c r="AG132" s="425">
        <f t="shared" si="44"/>
        <v>0</v>
      </c>
      <c r="AH132" s="425" t="s">
        <v>75</v>
      </c>
      <c r="AI132" s="487"/>
      <c r="AJ132" s="488">
        <f t="shared" si="81"/>
        <v>1250</v>
      </c>
      <c r="AK132" s="488"/>
      <c r="AL132" s="489"/>
      <c r="AM132" s="437">
        <f t="shared" si="82"/>
        <v>1250</v>
      </c>
      <c r="AN132" s="437"/>
      <c r="AO132" s="437"/>
      <c r="AP132" s="503">
        <f t="shared" si="83"/>
        <v>1250</v>
      </c>
      <c r="AQ132" s="503"/>
      <c r="AR132" s="437"/>
      <c r="AS132" s="503">
        <f t="shared" si="76"/>
        <v>1127.60416666667</v>
      </c>
      <c r="AT132" s="621">
        <f t="shared" si="84"/>
        <v>122.395833333333</v>
      </c>
      <c r="AU132" s="489">
        <f t="shared" si="80"/>
        <v>1250</v>
      </c>
      <c r="AV132" s="489"/>
      <c r="AW132" s="489"/>
      <c r="AX132" s="512"/>
      <c r="AY132" s="512"/>
      <c r="AZ132" s="512"/>
      <c r="BA132" s="512"/>
      <c r="BB132" s="512">
        <f t="shared" si="85"/>
        <v>50</v>
      </c>
      <c r="BC132" s="512"/>
      <c r="BD132" s="512"/>
      <c r="BE132" s="512"/>
      <c r="BF132" s="512"/>
      <c r="BG132" s="512"/>
      <c r="BH132" s="512"/>
      <c r="BI132" s="512"/>
      <c r="BJ132" s="512"/>
      <c r="BK132" s="512"/>
      <c r="BL132" s="512"/>
      <c r="BM132" s="512"/>
      <c r="BN132" s="512"/>
      <c r="BQ132" s="3">
        <f t="shared" ref="BQ132:BQ161" si="87">AJ132+BQ131</f>
        <v>428680</v>
      </c>
    </row>
    <row r="133" s="400" customFormat="1" ht="36" customHeight="1" spans="1:69">
      <c r="A133" s="420">
        <v>45968</v>
      </c>
      <c r="B133" s="421" t="s">
        <v>5501</v>
      </c>
      <c r="C133" s="422" t="s">
        <v>117</v>
      </c>
      <c r="D133" s="423" t="s">
        <v>5502</v>
      </c>
      <c r="E133" s="424" t="s">
        <v>5503</v>
      </c>
      <c r="F133" s="423" t="s">
        <v>5504</v>
      </c>
      <c r="G133" s="425" t="s">
        <v>5505</v>
      </c>
      <c r="H133" s="426" t="s">
        <v>5506</v>
      </c>
      <c r="I133" s="437">
        <v>7008</v>
      </c>
      <c r="J133" s="438">
        <v>0</v>
      </c>
      <c r="K133" s="425">
        <v>24</v>
      </c>
      <c r="L133" s="437">
        <f t="shared" si="86"/>
        <v>292</v>
      </c>
      <c r="M133" s="440">
        <v>46007</v>
      </c>
      <c r="N133" s="440">
        <v>46006</v>
      </c>
      <c r="O133" s="441"/>
      <c r="P133" s="400" t="s">
        <v>92</v>
      </c>
      <c r="Q133" s="441" t="s">
        <v>5507</v>
      </c>
      <c r="R133" s="449" t="s">
        <v>5508</v>
      </c>
      <c r="S133" s="448" t="s">
        <v>77</v>
      </c>
      <c r="T133" s="450" t="s">
        <v>5509</v>
      </c>
      <c r="U133" s="441"/>
      <c r="V133" s="441"/>
      <c r="W133" s="441" t="s">
        <v>5510</v>
      </c>
      <c r="X133" s="424" t="s">
        <v>5511</v>
      </c>
      <c r="Y133" s="473" t="s">
        <v>903</v>
      </c>
      <c r="Z133" s="474">
        <v>1.31</v>
      </c>
      <c r="AA133" s="475">
        <f t="shared" si="72"/>
        <v>9180.48</v>
      </c>
      <c r="AB133" s="476" t="s">
        <v>3582</v>
      </c>
      <c r="AC133" s="425" t="s">
        <v>5505</v>
      </c>
      <c r="AD133" s="477" t="s">
        <v>128</v>
      </c>
      <c r="AE133" s="477" t="s">
        <v>4930</v>
      </c>
      <c r="AF133" s="425">
        <f>2640+2850+1488+30</f>
        <v>7008</v>
      </c>
      <c r="AG133" s="425">
        <f t="shared" si="44"/>
        <v>0</v>
      </c>
      <c r="AH133" s="425" t="s">
        <v>75</v>
      </c>
      <c r="AI133" s="487"/>
      <c r="AJ133" s="488">
        <f t="shared" si="81"/>
        <v>7008</v>
      </c>
      <c r="AK133" s="488"/>
      <c r="AL133" s="489">
        <f t="shared" ref="AL133:AL135" si="88">I133</f>
        <v>7008</v>
      </c>
      <c r="AM133" s="489"/>
      <c r="AN133" s="489"/>
      <c r="AO133" s="489"/>
      <c r="AP133" s="503">
        <f t="shared" si="83"/>
        <v>7008</v>
      </c>
      <c r="AQ133" s="503"/>
      <c r="AR133" s="437"/>
      <c r="AS133" s="503">
        <f t="shared" si="76"/>
        <v>6321.8</v>
      </c>
      <c r="AT133" s="621">
        <f t="shared" si="84"/>
        <v>686.2</v>
      </c>
      <c r="AU133" s="489"/>
      <c r="AV133" s="489"/>
      <c r="AW133" s="489"/>
      <c r="AX133" s="512"/>
      <c r="AY133" s="512"/>
      <c r="AZ133" s="512"/>
      <c r="BA133" s="512"/>
      <c r="BB133" s="512"/>
      <c r="BC133" s="512"/>
      <c r="BD133" s="512"/>
      <c r="BE133" s="512"/>
      <c r="BF133" s="512"/>
      <c r="BG133" s="512"/>
      <c r="BH133" s="512"/>
      <c r="BI133" s="512"/>
      <c r="BJ133" s="512"/>
      <c r="BK133" s="512"/>
      <c r="BL133" s="512"/>
      <c r="BM133" s="512"/>
      <c r="BN133" s="512"/>
      <c r="BQ133" s="3">
        <f t="shared" si="87"/>
        <v>435688</v>
      </c>
    </row>
    <row r="134" s="400" customFormat="1" ht="36" customHeight="1" spans="1:69">
      <c r="A134" s="420">
        <v>45971</v>
      </c>
      <c r="B134" s="421" t="s">
        <v>5141</v>
      </c>
      <c r="C134" s="422" t="s">
        <v>117</v>
      </c>
      <c r="D134" s="423">
        <v>4500184811</v>
      </c>
      <c r="E134" s="424" t="s">
        <v>5512</v>
      </c>
      <c r="F134" s="423" t="s">
        <v>5513</v>
      </c>
      <c r="G134" s="425" t="s">
        <v>4970</v>
      </c>
      <c r="H134" s="426" t="s">
        <v>5144</v>
      </c>
      <c r="I134" s="437">
        <v>5200</v>
      </c>
      <c r="J134" s="438">
        <v>0</v>
      </c>
      <c r="K134" s="425">
        <v>52</v>
      </c>
      <c r="L134" s="439">
        <f t="shared" si="86"/>
        <v>100</v>
      </c>
      <c r="M134" s="440">
        <v>46009</v>
      </c>
      <c r="N134" s="440">
        <v>46006</v>
      </c>
      <c r="O134" s="441"/>
      <c r="P134" s="441" t="s">
        <v>92</v>
      </c>
      <c r="Q134" s="441" t="s">
        <v>5514</v>
      </c>
      <c r="R134" s="449">
        <v>45974</v>
      </c>
      <c r="S134" s="448" t="s">
        <v>123</v>
      </c>
      <c r="T134" s="455" t="s">
        <v>5515</v>
      </c>
      <c r="U134" s="441"/>
      <c r="V134" s="441"/>
      <c r="W134" s="441"/>
      <c r="X134" s="424" t="s">
        <v>5146</v>
      </c>
      <c r="Y134" s="473" t="s">
        <v>5147</v>
      </c>
      <c r="Z134" s="474">
        <v>0.876</v>
      </c>
      <c r="AA134" s="475">
        <f t="shared" si="72"/>
        <v>4555.2</v>
      </c>
      <c r="AB134" s="437"/>
      <c r="AC134" s="425" t="s">
        <v>4970</v>
      </c>
      <c r="AD134" s="477" t="s">
        <v>128</v>
      </c>
      <c r="AE134" s="477" t="s">
        <v>4930</v>
      </c>
      <c r="AF134" s="425">
        <v>5200</v>
      </c>
      <c r="AG134" s="425">
        <f t="shared" si="44"/>
        <v>0</v>
      </c>
      <c r="AH134" s="425" t="s">
        <v>4335</v>
      </c>
      <c r="AI134" s="487"/>
      <c r="AJ134" s="488">
        <f t="shared" si="81"/>
        <v>5200</v>
      </c>
      <c r="AK134" s="488"/>
      <c r="AL134" s="489">
        <f t="shared" si="88"/>
        <v>5200</v>
      </c>
      <c r="AM134" s="437"/>
      <c r="AN134" s="437"/>
      <c r="AO134" s="437"/>
      <c r="AP134" s="503">
        <f t="shared" si="83"/>
        <v>5200</v>
      </c>
      <c r="AQ134" s="503"/>
      <c r="AR134" s="437"/>
      <c r="AS134" s="503">
        <f t="shared" si="76"/>
        <v>4690.83333333333</v>
      </c>
      <c r="AT134" s="621">
        <f t="shared" si="84"/>
        <v>509.166666666667</v>
      </c>
      <c r="AU134" s="489"/>
      <c r="AV134" s="489"/>
      <c r="AW134" s="489"/>
      <c r="AX134" s="512">
        <f>I134/13</f>
        <v>400</v>
      </c>
      <c r="AY134" s="512"/>
      <c r="AZ134" s="512"/>
      <c r="BA134" s="512"/>
      <c r="BB134" s="512"/>
      <c r="BC134" s="512"/>
      <c r="BD134" s="512"/>
      <c r="BE134" s="512"/>
      <c r="BF134" s="512"/>
      <c r="BG134" s="512"/>
      <c r="BH134" s="512"/>
      <c r="BI134" s="512"/>
      <c r="BJ134" s="512"/>
      <c r="BK134" s="512"/>
      <c r="BL134" s="512"/>
      <c r="BM134" s="512"/>
      <c r="BN134" s="512"/>
      <c r="BQ134" s="3">
        <f t="shared" si="87"/>
        <v>440888</v>
      </c>
    </row>
    <row r="135" s="400" customFormat="1" ht="36" customHeight="1" spans="1:69">
      <c r="A135" s="420">
        <v>45965</v>
      </c>
      <c r="B135" s="421" t="s">
        <v>116</v>
      </c>
      <c r="C135" s="422" t="s">
        <v>117</v>
      </c>
      <c r="D135" s="423">
        <v>4500184412</v>
      </c>
      <c r="E135" s="424" t="s">
        <v>5516</v>
      </c>
      <c r="F135" s="423" t="s">
        <v>5517</v>
      </c>
      <c r="G135" s="425" t="s">
        <v>4988</v>
      </c>
      <c r="H135" s="426" t="s">
        <v>4989</v>
      </c>
      <c r="I135" s="437">
        <v>12700</v>
      </c>
      <c r="J135" s="438">
        <v>0</v>
      </c>
      <c r="K135" s="425">
        <v>25</v>
      </c>
      <c r="L135" s="439">
        <f t="shared" si="86"/>
        <v>508</v>
      </c>
      <c r="M135" s="440">
        <v>46010</v>
      </c>
      <c r="N135" s="440">
        <v>46006</v>
      </c>
      <c r="O135" s="441"/>
      <c r="P135" s="441" t="s">
        <v>92</v>
      </c>
      <c r="Q135" s="441" t="s">
        <v>5518</v>
      </c>
      <c r="R135" s="449">
        <v>45967</v>
      </c>
      <c r="S135" s="448" t="s">
        <v>123</v>
      </c>
      <c r="T135" s="448" t="s">
        <v>5519</v>
      </c>
      <c r="U135" s="441"/>
      <c r="V135" s="441"/>
      <c r="W135" s="441"/>
      <c r="X135" s="424" t="s">
        <v>5520</v>
      </c>
      <c r="Y135" s="473" t="s">
        <v>126</v>
      </c>
      <c r="Z135" s="474">
        <v>0.96</v>
      </c>
      <c r="AA135" s="475">
        <f t="shared" si="72"/>
        <v>12192</v>
      </c>
      <c r="AB135" s="437"/>
      <c r="AC135" s="478" t="s">
        <v>4988</v>
      </c>
      <c r="AD135" s="477" t="s">
        <v>128</v>
      </c>
      <c r="AE135" s="477" t="s">
        <v>4930</v>
      </c>
      <c r="AF135" s="425">
        <v>12700</v>
      </c>
      <c r="AG135" s="425">
        <f t="shared" si="44"/>
        <v>0</v>
      </c>
      <c r="AH135" s="425" t="s">
        <v>4335</v>
      </c>
      <c r="AI135" s="487"/>
      <c r="AJ135" s="488">
        <f t="shared" si="81"/>
        <v>12700</v>
      </c>
      <c r="AK135" s="488"/>
      <c r="AL135" s="489">
        <f t="shared" si="88"/>
        <v>12700</v>
      </c>
      <c r="AM135" s="490"/>
      <c r="AN135" s="437"/>
      <c r="AO135" s="437"/>
      <c r="AP135" s="503">
        <f t="shared" si="83"/>
        <v>12700</v>
      </c>
      <c r="AQ135" s="503"/>
      <c r="AR135" s="437"/>
      <c r="AS135" s="503">
        <f t="shared" si="76"/>
        <v>11456.4583333333</v>
      </c>
      <c r="AT135" s="621">
        <f t="shared" si="84"/>
        <v>1243.54166666667</v>
      </c>
      <c r="AU135" s="489"/>
      <c r="AV135" s="489"/>
      <c r="AW135" s="489"/>
      <c r="AX135" s="512"/>
      <c r="AY135" s="512"/>
      <c r="AZ135" s="512"/>
      <c r="BA135" s="512">
        <f>I135/25</f>
        <v>508</v>
      </c>
      <c r="BB135" s="512"/>
      <c r="BC135" s="512"/>
      <c r="BD135" s="512"/>
      <c r="BE135" s="512"/>
      <c r="BF135" s="512"/>
      <c r="BG135" s="512"/>
      <c r="BH135" s="512"/>
      <c r="BI135" s="512"/>
      <c r="BJ135" s="512"/>
      <c r="BK135" s="512"/>
      <c r="BL135" s="512"/>
      <c r="BM135" s="512"/>
      <c r="BN135" s="512"/>
      <c r="BQ135" s="3">
        <f t="shared" si="87"/>
        <v>453588</v>
      </c>
    </row>
    <row r="136" s="400" customFormat="1" ht="36" customHeight="1" spans="1:69">
      <c r="A136" s="420">
        <v>45897</v>
      </c>
      <c r="B136" s="421" t="s">
        <v>5521</v>
      </c>
      <c r="C136" s="422" t="s">
        <v>286</v>
      </c>
      <c r="D136" s="423">
        <v>4500177857</v>
      </c>
      <c r="E136" s="424">
        <v>62007522</v>
      </c>
      <c r="F136" s="423" t="s">
        <v>5522</v>
      </c>
      <c r="G136" s="425" t="s">
        <v>4974</v>
      </c>
      <c r="H136" s="426" t="s">
        <v>5205</v>
      </c>
      <c r="I136" s="437">
        <v>3000</v>
      </c>
      <c r="J136" s="438">
        <v>0</v>
      </c>
      <c r="K136" s="425">
        <v>50</v>
      </c>
      <c r="L136" s="439">
        <f t="shared" si="86"/>
        <v>60</v>
      </c>
      <c r="M136" s="440">
        <v>46006</v>
      </c>
      <c r="N136" s="440">
        <v>46006</v>
      </c>
      <c r="O136" s="441" t="s">
        <v>3374</v>
      </c>
      <c r="P136" s="441" t="s">
        <v>92</v>
      </c>
      <c r="Q136" s="441" t="s">
        <v>5523</v>
      </c>
      <c r="R136" s="449">
        <v>45951</v>
      </c>
      <c r="S136" s="448" t="s">
        <v>77</v>
      </c>
      <c r="T136" s="450" t="s">
        <v>5524</v>
      </c>
      <c r="U136" s="441" t="s">
        <v>5525</v>
      </c>
      <c r="V136" s="441"/>
      <c r="W136" s="441"/>
      <c r="X136" s="424" t="s">
        <v>5526</v>
      </c>
      <c r="Y136" s="473" t="s">
        <v>618</v>
      </c>
      <c r="Z136" s="474">
        <v>1.55</v>
      </c>
      <c r="AA136" s="475">
        <f t="shared" si="72"/>
        <v>4650</v>
      </c>
      <c r="AB136" s="476" t="s">
        <v>3582</v>
      </c>
      <c r="AC136" s="425" t="s">
        <v>5391</v>
      </c>
      <c r="AD136" s="477" t="s">
        <v>128</v>
      </c>
      <c r="AE136" s="477" t="s">
        <v>4930</v>
      </c>
      <c r="AF136" s="425">
        <v>3000</v>
      </c>
      <c r="AG136" s="425">
        <f t="shared" si="44"/>
        <v>0</v>
      </c>
      <c r="AH136" s="425" t="s">
        <v>4335</v>
      </c>
      <c r="AI136" s="487"/>
      <c r="AJ136" s="488">
        <f t="shared" si="81"/>
        <v>3000</v>
      </c>
      <c r="AK136" s="488"/>
      <c r="AL136" s="489"/>
      <c r="AM136" s="437">
        <f t="shared" ref="AM136:AM140" si="89">I136</f>
        <v>3000</v>
      </c>
      <c r="AN136" s="437"/>
      <c r="AO136" s="437"/>
      <c r="AP136" s="503">
        <f t="shared" si="83"/>
        <v>3000</v>
      </c>
      <c r="AQ136" s="503"/>
      <c r="AR136" s="437"/>
      <c r="AS136" s="503">
        <f t="shared" si="76"/>
        <v>2706.25</v>
      </c>
      <c r="AT136" s="621">
        <f t="shared" si="84"/>
        <v>293.75</v>
      </c>
      <c r="AU136" s="489"/>
      <c r="AV136" s="489"/>
      <c r="AW136" s="489">
        <f t="shared" ref="AW136:AW140" si="90">I136</f>
        <v>3000</v>
      </c>
      <c r="AX136" s="512"/>
      <c r="AY136" s="512"/>
      <c r="AZ136" s="512"/>
      <c r="BA136" s="512"/>
      <c r="BB136" s="512">
        <f t="shared" ref="BB136:BB140" si="91">I136/25</f>
        <v>120</v>
      </c>
      <c r="BC136" s="512"/>
      <c r="BD136" s="512"/>
      <c r="BE136" s="512"/>
      <c r="BF136" s="512"/>
      <c r="BG136" s="512"/>
      <c r="BH136" s="512"/>
      <c r="BI136" s="512"/>
      <c r="BJ136" s="512"/>
      <c r="BK136" s="512"/>
      <c r="BL136" s="512"/>
      <c r="BM136" s="512"/>
      <c r="BN136" s="512"/>
      <c r="BQ136" s="3">
        <f t="shared" si="87"/>
        <v>456588</v>
      </c>
    </row>
    <row r="137" s="400" customFormat="1" ht="36" customHeight="1" spans="1:69">
      <c r="A137" s="420">
        <v>45952</v>
      </c>
      <c r="B137" s="421" t="s">
        <v>5521</v>
      </c>
      <c r="C137" s="422" t="s">
        <v>286</v>
      </c>
      <c r="D137" s="423">
        <v>4500182578</v>
      </c>
      <c r="E137" s="424" t="s">
        <v>5527</v>
      </c>
      <c r="F137" s="423" t="s">
        <v>5528</v>
      </c>
      <c r="G137" s="425" t="s">
        <v>4974</v>
      </c>
      <c r="H137" s="426" t="s">
        <v>5205</v>
      </c>
      <c r="I137" s="437">
        <v>500</v>
      </c>
      <c r="J137" s="438">
        <v>0</v>
      </c>
      <c r="K137" s="425">
        <v>50</v>
      </c>
      <c r="L137" s="439">
        <f t="shared" si="86"/>
        <v>10</v>
      </c>
      <c r="M137" s="440">
        <v>46006</v>
      </c>
      <c r="N137" s="440">
        <v>46006</v>
      </c>
      <c r="O137" s="441" t="s">
        <v>3374</v>
      </c>
      <c r="P137" s="441" t="s">
        <v>92</v>
      </c>
      <c r="Q137" s="441"/>
      <c r="R137" s="449">
        <v>45971</v>
      </c>
      <c r="S137" s="448" t="s">
        <v>77</v>
      </c>
      <c r="T137" s="450" t="s">
        <v>5524</v>
      </c>
      <c r="U137" s="441" t="s">
        <v>5525</v>
      </c>
      <c r="V137" s="441"/>
      <c r="W137" s="441"/>
      <c r="X137" s="424" t="s">
        <v>5529</v>
      </c>
      <c r="Y137" s="473" t="s">
        <v>618</v>
      </c>
      <c r="Z137" s="474">
        <v>1.55</v>
      </c>
      <c r="AA137" s="475">
        <f t="shared" si="72"/>
        <v>775</v>
      </c>
      <c r="AB137" s="476" t="s">
        <v>3582</v>
      </c>
      <c r="AC137" s="425" t="s">
        <v>5391</v>
      </c>
      <c r="AD137" s="477" t="s">
        <v>128</v>
      </c>
      <c r="AE137" s="477" t="s">
        <v>4930</v>
      </c>
      <c r="AF137" s="425">
        <f>450+50</f>
        <v>500</v>
      </c>
      <c r="AG137" s="425">
        <f t="shared" si="44"/>
        <v>0</v>
      </c>
      <c r="AH137" s="425" t="s">
        <v>4335</v>
      </c>
      <c r="AI137" s="478"/>
      <c r="AJ137" s="488">
        <f t="shared" si="81"/>
        <v>500</v>
      </c>
      <c r="AK137" s="488"/>
      <c r="AL137" s="489"/>
      <c r="AM137" s="437">
        <f t="shared" si="89"/>
        <v>500</v>
      </c>
      <c r="AN137" s="437"/>
      <c r="AO137" s="437"/>
      <c r="AP137" s="503">
        <f t="shared" si="83"/>
        <v>500</v>
      </c>
      <c r="AQ137" s="503"/>
      <c r="AR137" s="437"/>
      <c r="AS137" s="503">
        <f t="shared" si="76"/>
        <v>451.041666666667</v>
      </c>
      <c r="AT137" s="621">
        <f t="shared" si="84"/>
        <v>48.9583333333333</v>
      </c>
      <c r="AU137" s="489"/>
      <c r="AV137" s="489"/>
      <c r="AW137" s="489">
        <f t="shared" si="90"/>
        <v>500</v>
      </c>
      <c r="AX137" s="512"/>
      <c r="AY137" s="512"/>
      <c r="AZ137" s="512"/>
      <c r="BA137" s="512"/>
      <c r="BB137" s="512">
        <f t="shared" si="91"/>
        <v>20</v>
      </c>
      <c r="BC137" s="512"/>
      <c r="BD137" s="512"/>
      <c r="BE137" s="512"/>
      <c r="BF137" s="512"/>
      <c r="BG137" s="512"/>
      <c r="BH137" s="512"/>
      <c r="BI137" s="512"/>
      <c r="BJ137" s="512"/>
      <c r="BK137" s="512"/>
      <c r="BL137" s="512"/>
      <c r="BM137" s="512"/>
      <c r="BN137" s="512"/>
      <c r="BQ137" s="3">
        <f t="shared" si="87"/>
        <v>457088</v>
      </c>
    </row>
    <row r="138" s="400" customFormat="1" ht="36" customHeight="1" spans="1:69">
      <c r="A138" s="420">
        <v>45965</v>
      </c>
      <c r="B138" s="421" t="s">
        <v>116</v>
      </c>
      <c r="C138" s="422" t="s">
        <v>117</v>
      </c>
      <c r="D138" s="423">
        <v>4500184413</v>
      </c>
      <c r="E138" s="424" t="s">
        <v>5530</v>
      </c>
      <c r="F138" s="423" t="s">
        <v>5531</v>
      </c>
      <c r="G138" s="425" t="s">
        <v>4988</v>
      </c>
      <c r="H138" s="426" t="s">
        <v>4989</v>
      </c>
      <c r="I138" s="437">
        <v>6075</v>
      </c>
      <c r="J138" s="438">
        <v>0</v>
      </c>
      <c r="K138" s="425">
        <v>25</v>
      </c>
      <c r="L138" s="439">
        <f t="shared" si="86"/>
        <v>243</v>
      </c>
      <c r="M138" s="440">
        <v>46012</v>
      </c>
      <c r="N138" s="440">
        <v>46008</v>
      </c>
      <c r="O138" s="441"/>
      <c r="P138" s="441" t="s">
        <v>92</v>
      </c>
      <c r="Q138" s="441" t="s">
        <v>5518</v>
      </c>
      <c r="R138" s="449">
        <v>45967</v>
      </c>
      <c r="S138" s="448" t="s">
        <v>123</v>
      </c>
      <c r="T138" s="448" t="s">
        <v>5519</v>
      </c>
      <c r="U138" s="441"/>
      <c r="V138" s="441"/>
      <c r="W138" s="441"/>
      <c r="X138" s="424" t="s">
        <v>5532</v>
      </c>
      <c r="Y138" s="473" t="s">
        <v>126</v>
      </c>
      <c r="Z138" s="474">
        <v>0.96</v>
      </c>
      <c r="AA138" s="475">
        <f t="shared" si="72"/>
        <v>5832</v>
      </c>
      <c r="AB138" s="437"/>
      <c r="AC138" s="478" t="s">
        <v>4988</v>
      </c>
      <c r="AD138" s="477" t="s">
        <v>128</v>
      </c>
      <c r="AE138" s="477" t="s">
        <v>4930</v>
      </c>
      <c r="AF138" s="425">
        <v>6075</v>
      </c>
      <c r="AG138" s="425">
        <f t="shared" si="44"/>
        <v>0</v>
      </c>
      <c r="AH138" s="425" t="s">
        <v>4335</v>
      </c>
      <c r="AI138" s="487"/>
      <c r="AJ138" s="488">
        <f t="shared" si="81"/>
        <v>6075</v>
      </c>
      <c r="AK138" s="488"/>
      <c r="AL138" s="489">
        <f t="shared" ref="AL138:AL144" si="92">I138</f>
        <v>6075</v>
      </c>
      <c r="AM138" s="490"/>
      <c r="AN138" s="437"/>
      <c r="AO138" s="437"/>
      <c r="AP138" s="503">
        <f t="shared" si="83"/>
        <v>6075</v>
      </c>
      <c r="AQ138" s="503"/>
      <c r="AR138" s="437"/>
      <c r="AS138" s="503">
        <f t="shared" si="76"/>
        <v>5480.15625</v>
      </c>
      <c r="AT138" s="621">
        <f t="shared" si="84"/>
        <v>594.84375</v>
      </c>
      <c r="AU138" s="489"/>
      <c r="AV138" s="489"/>
      <c r="AW138" s="489"/>
      <c r="AX138" s="512"/>
      <c r="AY138" s="512"/>
      <c r="AZ138" s="512"/>
      <c r="BA138" s="512">
        <f>I138/25</f>
        <v>243</v>
      </c>
      <c r="BB138" s="512"/>
      <c r="BC138" s="512"/>
      <c r="BD138" s="512"/>
      <c r="BE138" s="512"/>
      <c r="BF138" s="512"/>
      <c r="BG138" s="512"/>
      <c r="BH138" s="512"/>
      <c r="BI138" s="512"/>
      <c r="BJ138" s="512"/>
      <c r="BK138" s="512"/>
      <c r="BL138" s="512"/>
      <c r="BM138" s="512"/>
      <c r="BN138" s="512"/>
      <c r="BQ138" s="3">
        <f t="shared" si="87"/>
        <v>463163</v>
      </c>
    </row>
    <row r="139" s="400" customFormat="1" ht="36" customHeight="1" spans="1:69">
      <c r="A139" s="420">
        <v>45965</v>
      </c>
      <c r="B139" s="421" t="s">
        <v>225</v>
      </c>
      <c r="C139" s="422" t="s">
        <v>213</v>
      </c>
      <c r="D139" s="423">
        <v>4500184385</v>
      </c>
      <c r="E139" s="424" t="s">
        <v>5533</v>
      </c>
      <c r="F139" s="423" t="s">
        <v>5534</v>
      </c>
      <c r="G139" s="425" t="s">
        <v>4970</v>
      </c>
      <c r="H139" s="426" t="s">
        <v>5144</v>
      </c>
      <c r="I139" s="437">
        <v>5200</v>
      </c>
      <c r="J139" s="438">
        <v>0</v>
      </c>
      <c r="K139" s="425">
        <v>52</v>
      </c>
      <c r="L139" s="439">
        <f t="shared" si="86"/>
        <v>100</v>
      </c>
      <c r="M139" s="440">
        <v>46014</v>
      </c>
      <c r="N139" s="440">
        <v>46010</v>
      </c>
      <c r="O139" s="441"/>
      <c r="P139" s="441" t="s">
        <v>92</v>
      </c>
      <c r="Q139" s="441"/>
      <c r="R139" s="449">
        <v>45965</v>
      </c>
      <c r="S139" s="441" t="s">
        <v>77</v>
      </c>
      <c r="T139" s="455" t="s">
        <v>5535</v>
      </c>
      <c r="U139" s="441"/>
      <c r="V139" s="441"/>
      <c r="W139" s="441"/>
      <c r="X139" s="424" t="s">
        <v>5536</v>
      </c>
      <c r="Y139" s="473" t="s">
        <v>5386</v>
      </c>
      <c r="Z139" s="697">
        <v>1.4082</v>
      </c>
      <c r="AA139" s="475">
        <f t="shared" si="72"/>
        <v>7322.64</v>
      </c>
      <c r="AB139" s="437"/>
      <c r="AC139" s="425" t="s">
        <v>4970</v>
      </c>
      <c r="AD139" s="477" t="s">
        <v>128</v>
      </c>
      <c r="AE139" s="477" t="s">
        <v>4930</v>
      </c>
      <c r="AF139" s="425">
        <v>5200</v>
      </c>
      <c r="AG139" s="425">
        <f t="shared" ref="AG139:AG164" si="93">AF139-I139</f>
        <v>0</v>
      </c>
      <c r="AH139" s="425" t="s">
        <v>4335</v>
      </c>
      <c r="AI139" s="487"/>
      <c r="AJ139" s="488">
        <f t="shared" si="81"/>
        <v>5200</v>
      </c>
      <c r="AK139" s="488"/>
      <c r="AL139" s="489">
        <f t="shared" si="92"/>
        <v>5200</v>
      </c>
      <c r="AM139" s="437"/>
      <c r="AN139" s="437"/>
      <c r="AO139" s="437"/>
      <c r="AP139" s="503">
        <f t="shared" si="83"/>
        <v>5200</v>
      </c>
      <c r="AQ139" s="503"/>
      <c r="AR139" s="437"/>
      <c r="AS139" s="503">
        <f t="shared" si="76"/>
        <v>4690.83333333333</v>
      </c>
      <c r="AT139" s="621">
        <f t="shared" si="84"/>
        <v>509.166666666667</v>
      </c>
      <c r="AU139" s="489">
        <f>I139</f>
        <v>5200</v>
      </c>
      <c r="AV139" s="489"/>
      <c r="AW139" s="489"/>
      <c r="AX139" s="512">
        <f t="shared" ref="AX139:AX143" si="94">I139/13</f>
        <v>400</v>
      </c>
      <c r="AY139" s="512"/>
      <c r="AZ139" s="512"/>
      <c r="BA139" s="512"/>
      <c r="BB139" s="512"/>
      <c r="BC139" s="512"/>
      <c r="BD139" s="512"/>
      <c r="BE139" s="512"/>
      <c r="BF139" s="512"/>
      <c r="BG139" s="512"/>
      <c r="BH139" s="512"/>
      <c r="BI139" s="512"/>
      <c r="BJ139" s="512"/>
      <c r="BK139" s="512"/>
      <c r="BL139" s="512"/>
      <c r="BM139" s="512"/>
      <c r="BN139" s="512"/>
      <c r="BQ139" s="3">
        <f t="shared" si="87"/>
        <v>468363</v>
      </c>
    </row>
    <row r="140" s="400" customFormat="1" ht="36" customHeight="1" spans="1:69">
      <c r="A140" s="420">
        <v>45941</v>
      </c>
      <c r="B140" s="421" t="s">
        <v>4014</v>
      </c>
      <c r="C140" s="422" t="s">
        <v>286</v>
      </c>
      <c r="D140" s="423">
        <v>4500181556</v>
      </c>
      <c r="E140" s="424"/>
      <c r="F140" s="423" t="s">
        <v>5537</v>
      </c>
      <c r="G140" s="425" t="s">
        <v>4988</v>
      </c>
      <c r="H140" s="426" t="s">
        <v>4989</v>
      </c>
      <c r="I140" s="437">
        <v>1250</v>
      </c>
      <c r="J140" s="438">
        <v>0</v>
      </c>
      <c r="K140" s="425">
        <v>25</v>
      </c>
      <c r="L140" s="439">
        <f t="shared" si="86"/>
        <v>50</v>
      </c>
      <c r="M140" s="440">
        <v>46013</v>
      </c>
      <c r="N140" s="440">
        <v>46010</v>
      </c>
      <c r="O140" s="441" t="s">
        <v>4016</v>
      </c>
      <c r="P140" s="441" t="s">
        <v>1262</v>
      </c>
      <c r="Q140" s="441" t="s">
        <v>5538</v>
      </c>
      <c r="R140" s="449">
        <v>45943</v>
      </c>
      <c r="S140" s="441" t="s">
        <v>77</v>
      </c>
      <c r="T140" s="450" t="s">
        <v>5539</v>
      </c>
      <c r="U140" s="441"/>
      <c r="V140" s="441"/>
      <c r="W140" s="441"/>
      <c r="X140" s="424" t="s">
        <v>5540</v>
      </c>
      <c r="Y140" s="473" t="s">
        <v>290</v>
      </c>
      <c r="Z140" s="474">
        <v>1.6</v>
      </c>
      <c r="AA140" s="475">
        <f t="shared" si="72"/>
        <v>2000</v>
      </c>
      <c r="AB140" s="437"/>
      <c r="AC140" s="478" t="s">
        <v>5042</v>
      </c>
      <c r="AD140" s="477" t="s">
        <v>128</v>
      </c>
      <c r="AE140" s="477" t="s">
        <v>4930</v>
      </c>
      <c r="AF140" s="425">
        <v>1250</v>
      </c>
      <c r="AG140" s="425">
        <f t="shared" si="93"/>
        <v>0</v>
      </c>
      <c r="AH140" s="425" t="s">
        <v>4335</v>
      </c>
      <c r="AI140" s="487"/>
      <c r="AJ140" s="488">
        <f t="shared" si="81"/>
        <v>1250</v>
      </c>
      <c r="AK140" s="488"/>
      <c r="AL140" s="489"/>
      <c r="AM140" s="490">
        <f t="shared" si="89"/>
        <v>1250</v>
      </c>
      <c r="AN140" s="437"/>
      <c r="AO140" s="437"/>
      <c r="AP140" s="503">
        <f t="shared" si="83"/>
        <v>1250</v>
      </c>
      <c r="AQ140" s="503"/>
      <c r="AR140" s="489"/>
      <c r="AS140" s="503">
        <f t="shared" si="76"/>
        <v>1127.60416666667</v>
      </c>
      <c r="AT140" s="621">
        <f t="shared" si="84"/>
        <v>122.395833333333</v>
      </c>
      <c r="AU140" s="489"/>
      <c r="AV140" s="489"/>
      <c r="AW140" s="489">
        <f t="shared" si="90"/>
        <v>1250</v>
      </c>
      <c r="AX140" s="512"/>
      <c r="AY140" s="512"/>
      <c r="AZ140" s="512"/>
      <c r="BA140" s="512"/>
      <c r="BB140" s="512">
        <f t="shared" si="91"/>
        <v>50</v>
      </c>
      <c r="BC140" s="512"/>
      <c r="BD140" s="512"/>
      <c r="BE140" s="512"/>
      <c r="BF140" s="512"/>
      <c r="BG140" s="512"/>
      <c r="BH140" s="512"/>
      <c r="BI140" s="512"/>
      <c r="BJ140" s="512"/>
      <c r="BK140" s="512"/>
      <c r="BL140" s="512"/>
      <c r="BM140" s="512"/>
      <c r="BN140" s="512"/>
      <c r="BQ140" s="3">
        <f t="shared" si="87"/>
        <v>469613</v>
      </c>
    </row>
    <row r="141" s="400" customFormat="1" ht="36" customHeight="1" spans="1:69">
      <c r="A141" s="420">
        <v>45974</v>
      </c>
      <c r="B141" s="421" t="s">
        <v>4976</v>
      </c>
      <c r="C141" s="422" t="s">
        <v>117</v>
      </c>
      <c r="D141" s="715">
        <v>4500185600</v>
      </c>
      <c r="E141" s="1692" t="s">
        <v>5541</v>
      </c>
      <c r="F141" s="423" t="s">
        <v>5542</v>
      </c>
      <c r="G141" s="425" t="s">
        <v>4979</v>
      </c>
      <c r="H141" s="426" t="s">
        <v>4980</v>
      </c>
      <c r="I141" s="437">
        <v>960</v>
      </c>
      <c r="J141" s="438">
        <v>0</v>
      </c>
      <c r="K141" s="425">
        <v>16</v>
      </c>
      <c r="L141" s="439">
        <f t="shared" si="86"/>
        <v>60</v>
      </c>
      <c r="M141" s="440">
        <v>46010</v>
      </c>
      <c r="N141" s="440">
        <v>46013</v>
      </c>
      <c r="O141" s="441" t="s">
        <v>5543</v>
      </c>
      <c r="P141" s="441" t="s">
        <v>1262</v>
      </c>
      <c r="Q141" s="441" t="s">
        <v>5544</v>
      </c>
      <c r="R141" s="441" t="s">
        <v>1102</v>
      </c>
      <c r="S141" s="441" t="s">
        <v>123</v>
      </c>
      <c r="T141" s="448" t="s">
        <v>5444</v>
      </c>
      <c r="U141" s="441" t="s">
        <v>4983</v>
      </c>
      <c r="V141" s="441"/>
      <c r="W141" s="441"/>
      <c r="X141" s="424" t="s">
        <v>5160</v>
      </c>
      <c r="Y141" s="473" t="s">
        <v>634</v>
      </c>
      <c r="Z141" s="474">
        <v>0.96</v>
      </c>
      <c r="AA141" s="475">
        <f t="shared" si="72"/>
        <v>921.6</v>
      </c>
      <c r="AB141" s="476" t="s">
        <v>3582</v>
      </c>
      <c r="AC141" s="425" t="s">
        <v>4979</v>
      </c>
      <c r="AD141" s="477" t="s">
        <v>128</v>
      </c>
      <c r="AE141" s="477" t="s">
        <v>4930</v>
      </c>
      <c r="AF141" s="425">
        <v>960</v>
      </c>
      <c r="AG141" s="425">
        <f t="shared" si="93"/>
        <v>0</v>
      </c>
      <c r="AH141" s="425" t="s">
        <v>4335</v>
      </c>
      <c r="AI141" s="487"/>
      <c r="AJ141" s="488">
        <f t="shared" si="81"/>
        <v>960</v>
      </c>
      <c r="AK141" s="488"/>
      <c r="AL141" s="489">
        <f t="shared" si="92"/>
        <v>960</v>
      </c>
      <c r="AM141" s="490"/>
      <c r="AN141" s="437"/>
      <c r="AO141" s="437"/>
      <c r="AP141" s="439">
        <f t="shared" si="83"/>
        <v>960</v>
      </c>
      <c r="AQ141" s="439"/>
      <c r="AR141" s="489"/>
      <c r="AS141" s="439">
        <f t="shared" si="76"/>
        <v>866</v>
      </c>
      <c r="AT141" s="621">
        <f t="shared" si="84"/>
        <v>94</v>
      </c>
      <c r="AU141" s="489"/>
      <c r="AV141" s="489"/>
      <c r="AW141" s="489"/>
      <c r="AX141" s="512"/>
      <c r="AY141" s="512"/>
      <c r="AZ141" s="512"/>
      <c r="BA141" s="512"/>
      <c r="BB141" s="512"/>
      <c r="BC141" s="512">
        <f>I141/16</f>
        <v>60</v>
      </c>
      <c r="BD141" s="512"/>
      <c r="BE141" s="512"/>
      <c r="BF141" s="512"/>
      <c r="BG141" s="512"/>
      <c r="BH141" s="512"/>
      <c r="BI141" s="512"/>
      <c r="BJ141" s="512"/>
      <c r="BK141" s="512"/>
      <c r="BL141" s="512"/>
      <c r="BM141" s="512"/>
      <c r="BN141" s="512"/>
      <c r="BQ141" s="3">
        <f t="shared" si="87"/>
        <v>470573</v>
      </c>
    </row>
    <row r="142" s="400" customFormat="1" ht="36" customHeight="1" spans="1:69">
      <c r="A142" s="420">
        <v>45972</v>
      </c>
      <c r="B142" s="421" t="s">
        <v>5545</v>
      </c>
      <c r="C142" s="422" t="s">
        <v>5546</v>
      </c>
      <c r="D142" s="423">
        <v>4500185193</v>
      </c>
      <c r="E142" s="424"/>
      <c r="F142" s="423" t="s">
        <v>5547</v>
      </c>
      <c r="G142" s="425" t="s">
        <v>4970</v>
      </c>
      <c r="H142" s="426" t="s">
        <v>5144</v>
      </c>
      <c r="I142" s="437">
        <v>520</v>
      </c>
      <c r="J142" s="438">
        <v>0</v>
      </c>
      <c r="K142" s="425">
        <v>52</v>
      </c>
      <c r="L142" s="439">
        <f t="shared" si="86"/>
        <v>10</v>
      </c>
      <c r="M142" s="440">
        <v>46011</v>
      </c>
      <c r="N142" s="440">
        <v>46013</v>
      </c>
      <c r="O142" s="441"/>
      <c r="P142" s="441" t="s">
        <v>1262</v>
      </c>
      <c r="Q142" s="441" t="s">
        <v>5548</v>
      </c>
      <c r="R142" s="449">
        <v>45972</v>
      </c>
      <c r="S142" s="441" t="s">
        <v>77</v>
      </c>
      <c r="T142" s="448" t="s">
        <v>5549</v>
      </c>
      <c r="U142" s="441"/>
      <c r="V142" s="441"/>
      <c r="W142" s="441"/>
      <c r="X142" s="424" t="s">
        <v>5550</v>
      </c>
      <c r="Y142" s="473" t="s">
        <v>5551</v>
      </c>
      <c r="Z142" s="474">
        <v>1.46</v>
      </c>
      <c r="AA142" s="475">
        <f t="shared" si="72"/>
        <v>759.2</v>
      </c>
      <c r="AB142" s="437"/>
      <c r="AC142" s="425" t="s">
        <v>4970</v>
      </c>
      <c r="AD142" s="477" t="s">
        <v>128</v>
      </c>
      <c r="AE142" s="477" t="s">
        <v>4930</v>
      </c>
      <c r="AF142" s="425">
        <v>520</v>
      </c>
      <c r="AG142" s="425">
        <f t="shared" si="93"/>
        <v>0</v>
      </c>
      <c r="AH142" s="425" t="s">
        <v>75</v>
      </c>
      <c r="AI142" s="487"/>
      <c r="AJ142" s="488">
        <f t="shared" si="81"/>
        <v>520</v>
      </c>
      <c r="AK142" s="488"/>
      <c r="AL142" s="489">
        <f t="shared" si="92"/>
        <v>520</v>
      </c>
      <c r="AM142" s="437"/>
      <c r="AN142" s="437"/>
      <c r="AO142" s="437"/>
      <c r="AP142" s="439">
        <f t="shared" si="83"/>
        <v>520</v>
      </c>
      <c r="AQ142" s="439"/>
      <c r="AR142" s="437"/>
      <c r="AS142" s="439">
        <f t="shared" si="76"/>
        <v>469.083333333333</v>
      </c>
      <c r="AT142" s="621">
        <f t="shared" si="84"/>
        <v>50.9166666666667</v>
      </c>
      <c r="AU142" s="489"/>
      <c r="AV142" s="489"/>
      <c r="AW142" s="489"/>
      <c r="AX142" s="512">
        <f t="shared" si="94"/>
        <v>40</v>
      </c>
      <c r="AY142" s="512"/>
      <c r="AZ142" s="512"/>
      <c r="BA142" s="512"/>
      <c r="BB142" s="512"/>
      <c r="BC142" s="512"/>
      <c r="BD142" s="512"/>
      <c r="BE142" s="512"/>
      <c r="BF142" s="512"/>
      <c r="BG142" s="512"/>
      <c r="BH142" s="512"/>
      <c r="BI142" s="512"/>
      <c r="BJ142" s="512"/>
      <c r="BK142" s="512"/>
      <c r="BL142" s="512"/>
      <c r="BM142" s="512"/>
      <c r="BN142" s="512"/>
      <c r="BQ142" s="3">
        <f t="shared" si="87"/>
        <v>471093</v>
      </c>
    </row>
    <row r="143" s="400" customFormat="1" ht="36" customHeight="1" spans="1:69">
      <c r="A143" s="420">
        <v>45995</v>
      </c>
      <c r="B143" s="421"/>
      <c r="C143" s="422"/>
      <c r="D143" s="423" t="s">
        <v>5468</v>
      </c>
      <c r="E143" s="424"/>
      <c r="F143" s="423" t="s">
        <v>5552</v>
      </c>
      <c r="G143" s="425" t="s">
        <v>4970</v>
      </c>
      <c r="H143" s="426" t="s">
        <v>5144</v>
      </c>
      <c r="I143" s="437">
        <v>390</v>
      </c>
      <c r="J143" s="438">
        <v>0</v>
      </c>
      <c r="K143" s="425">
        <v>52</v>
      </c>
      <c r="L143" s="439">
        <f t="shared" si="86"/>
        <v>7.5</v>
      </c>
      <c r="M143" s="440">
        <v>46013</v>
      </c>
      <c r="N143" s="440">
        <v>46013</v>
      </c>
      <c r="O143" s="441"/>
      <c r="P143" s="441" t="s">
        <v>1262</v>
      </c>
      <c r="Q143" s="441"/>
      <c r="R143" s="449" t="s">
        <v>3580</v>
      </c>
      <c r="S143" s="441" t="s">
        <v>77</v>
      </c>
      <c r="T143" s="441" t="s">
        <v>77</v>
      </c>
      <c r="U143" s="441"/>
      <c r="V143" s="441"/>
      <c r="W143" s="441"/>
      <c r="X143" s="424" t="s">
        <v>5553</v>
      </c>
      <c r="Y143" s="473"/>
      <c r="Z143" s="474"/>
      <c r="AA143" s="475"/>
      <c r="AB143" s="437" t="s">
        <v>3582</v>
      </c>
      <c r="AC143" s="425" t="s">
        <v>4970</v>
      </c>
      <c r="AD143" s="477" t="s">
        <v>128</v>
      </c>
      <c r="AE143" s="477" t="s">
        <v>4930</v>
      </c>
      <c r="AF143" s="425">
        <v>390</v>
      </c>
      <c r="AG143" s="425">
        <f t="shared" si="93"/>
        <v>0</v>
      </c>
      <c r="AH143" s="477" t="s">
        <v>77</v>
      </c>
      <c r="AI143" s="487"/>
      <c r="AJ143" s="488">
        <f t="shared" si="81"/>
        <v>390</v>
      </c>
      <c r="AK143" s="488"/>
      <c r="AL143" s="489">
        <f t="shared" si="92"/>
        <v>390</v>
      </c>
      <c r="AM143" s="490"/>
      <c r="AN143" s="437"/>
      <c r="AO143" s="437"/>
      <c r="AP143" s="439">
        <f t="shared" si="83"/>
        <v>390</v>
      </c>
      <c r="AQ143" s="439"/>
      <c r="AR143" s="489"/>
      <c r="AS143" s="439">
        <f t="shared" si="76"/>
        <v>351.8125</v>
      </c>
      <c r="AT143" s="621">
        <f t="shared" si="84"/>
        <v>38.1875</v>
      </c>
      <c r="AU143" s="489"/>
      <c r="AV143" s="489"/>
      <c r="AW143" s="489"/>
      <c r="AX143" s="512">
        <f t="shared" si="94"/>
        <v>30</v>
      </c>
      <c r="AY143" s="512"/>
      <c r="AZ143" s="512"/>
      <c r="BA143" s="512"/>
      <c r="BB143" s="512"/>
      <c r="BC143" s="512"/>
      <c r="BD143" s="512"/>
      <c r="BE143" s="512"/>
      <c r="BF143" s="512"/>
      <c r="BG143" s="512"/>
      <c r="BH143" s="512"/>
      <c r="BI143" s="512"/>
      <c r="BJ143" s="512"/>
      <c r="BK143" s="512"/>
      <c r="BL143" s="512"/>
      <c r="BM143" s="512"/>
      <c r="BN143" s="512"/>
      <c r="BQ143" s="3">
        <f t="shared" si="87"/>
        <v>471483</v>
      </c>
    </row>
    <row r="144" s="400" customFormat="1" ht="36" customHeight="1" spans="1:69">
      <c r="A144" s="420">
        <v>45995</v>
      </c>
      <c r="B144" s="421"/>
      <c r="C144" s="422"/>
      <c r="D144" s="423" t="s">
        <v>5468</v>
      </c>
      <c r="E144" s="424"/>
      <c r="F144" s="423" t="s">
        <v>5554</v>
      </c>
      <c r="G144" s="425" t="s">
        <v>4974</v>
      </c>
      <c r="H144" s="426" t="s">
        <v>5205</v>
      </c>
      <c r="I144" s="437">
        <v>1250</v>
      </c>
      <c r="J144" s="438">
        <v>0</v>
      </c>
      <c r="K144" s="425">
        <v>50</v>
      </c>
      <c r="L144" s="439">
        <f t="shared" si="86"/>
        <v>25</v>
      </c>
      <c r="M144" s="440">
        <v>46013</v>
      </c>
      <c r="N144" s="440">
        <v>46013</v>
      </c>
      <c r="O144" s="441"/>
      <c r="P144" s="441" t="s">
        <v>1262</v>
      </c>
      <c r="Q144" s="441"/>
      <c r="R144" s="449" t="s">
        <v>3580</v>
      </c>
      <c r="S144" s="441" t="s">
        <v>77</v>
      </c>
      <c r="T144" s="441" t="s">
        <v>77</v>
      </c>
      <c r="U144" s="441"/>
      <c r="V144" s="441"/>
      <c r="W144" s="441"/>
      <c r="X144" s="424" t="s">
        <v>5553</v>
      </c>
      <c r="Y144" s="473"/>
      <c r="Z144" s="474"/>
      <c r="AA144" s="475"/>
      <c r="AB144" s="437" t="s">
        <v>3582</v>
      </c>
      <c r="AC144" s="425" t="s">
        <v>4974</v>
      </c>
      <c r="AD144" s="477" t="s">
        <v>128</v>
      </c>
      <c r="AE144" s="477" t="s">
        <v>4930</v>
      </c>
      <c r="AF144" s="425">
        <v>1250</v>
      </c>
      <c r="AG144" s="425">
        <f t="shared" si="93"/>
        <v>0</v>
      </c>
      <c r="AH144" s="477" t="s">
        <v>77</v>
      </c>
      <c r="AI144" s="487"/>
      <c r="AJ144" s="488">
        <f t="shared" si="81"/>
        <v>1250</v>
      </c>
      <c r="AK144" s="488"/>
      <c r="AL144" s="489">
        <f t="shared" si="92"/>
        <v>1250</v>
      </c>
      <c r="AM144" s="490"/>
      <c r="AN144" s="437"/>
      <c r="AO144" s="437"/>
      <c r="AP144" s="439">
        <f t="shared" si="83"/>
        <v>1250</v>
      </c>
      <c r="AQ144" s="439"/>
      <c r="AR144" s="437"/>
      <c r="AS144" s="439">
        <f t="shared" si="76"/>
        <v>1127.60416666667</v>
      </c>
      <c r="AT144" s="621">
        <f t="shared" si="84"/>
        <v>122.395833333333</v>
      </c>
      <c r="AU144" s="489"/>
      <c r="AV144" s="489"/>
      <c r="AW144" s="489"/>
      <c r="AX144" s="512"/>
      <c r="AY144" s="512"/>
      <c r="AZ144" s="512"/>
      <c r="BA144" s="512">
        <f>I144/25</f>
        <v>50</v>
      </c>
      <c r="BB144" s="512"/>
      <c r="BC144" s="512"/>
      <c r="BD144" s="512"/>
      <c r="BE144" s="512"/>
      <c r="BF144" s="512"/>
      <c r="BG144" s="512"/>
      <c r="BH144" s="512"/>
      <c r="BI144" s="512"/>
      <c r="BJ144" s="512"/>
      <c r="BK144" s="512"/>
      <c r="BL144" s="512"/>
      <c r="BM144" s="512"/>
      <c r="BN144" s="512"/>
      <c r="BQ144" s="3">
        <f t="shared" si="87"/>
        <v>472733</v>
      </c>
    </row>
    <row r="145" s="400" customFormat="1" ht="36" customHeight="1" spans="1:69">
      <c r="A145" s="420">
        <v>45981</v>
      </c>
      <c r="B145" s="421" t="s">
        <v>5555</v>
      </c>
      <c r="C145" s="422" t="s">
        <v>435</v>
      </c>
      <c r="D145" s="423">
        <v>4500186266</v>
      </c>
      <c r="E145" s="424" t="s">
        <v>5556</v>
      </c>
      <c r="F145" s="423" t="s">
        <v>5557</v>
      </c>
      <c r="G145" s="425" t="s">
        <v>5092</v>
      </c>
      <c r="H145" s="426" t="s">
        <v>5093</v>
      </c>
      <c r="I145" s="437">
        <v>300</v>
      </c>
      <c r="J145" s="438">
        <v>0</v>
      </c>
      <c r="K145" s="425">
        <v>12</v>
      </c>
      <c r="L145" s="439">
        <f t="shared" si="86"/>
        <v>25</v>
      </c>
      <c r="M145" s="440">
        <v>46014</v>
      </c>
      <c r="N145" s="440">
        <v>46013</v>
      </c>
      <c r="O145" s="441"/>
      <c r="P145" s="441" t="s">
        <v>1262</v>
      </c>
      <c r="Q145" s="441" t="s">
        <v>5459</v>
      </c>
      <c r="R145" s="449">
        <v>45986</v>
      </c>
      <c r="S145" s="441" t="s">
        <v>77</v>
      </c>
      <c r="T145" s="455" t="s">
        <v>5558</v>
      </c>
      <c r="U145" s="441"/>
      <c r="V145" s="441"/>
      <c r="W145" s="441"/>
      <c r="X145" s="424" t="s">
        <v>5559</v>
      </c>
      <c r="Y145" s="473" t="s">
        <v>186</v>
      </c>
      <c r="Z145" s="474">
        <v>3.1175</v>
      </c>
      <c r="AA145" s="475">
        <f t="shared" ref="AA145:AA162" si="95">Z145*I145</f>
        <v>935.25</v>
      </c>
      <c r="AB145" s="437"/>
      <c r="AC145" s="478" t="s">
        <v>5098</v>
      </c>
      <c r="AD145" s="477" t="s">
        <v>128</v>
      </c>
      <c r="AE145" s="477" t="s">
        <v>4930</v>
      </c>
      <c r="AF145" s="425">
        <v>300</v>
      </c>
      <c r="AG145" s="425">
        <f t="shared" si="93"/>
        <v>0</v>
      </c>
      <c r="AH145" s="425" t="s">
        <v>4335</v>
      </c>
      <c r="AI145" s="487"/>
      <c r="AJ145" s="488">
        <f>I145*2</f>
        <v>600</v>
      </c>
      <c r="AK145" s="488"/>
      <c r="AL145" s="489"/>
      <c r="AM145" s="490"/>
      <c r="AN145" s="437">
        <f>I145*2</f>
        <v>600</v>
      </c>
      <c r="AO145" s="437"/>
      <c r="AP145" s="439">
        <f>I145*2</f>
        <v>600</v>
      </c>
      <c r="AQ145" s="439"/>
      <c r="AR145" s="437"/>
      <c r="AS145" s="439">
        <f t="shared" si="76"/>
        <v>541.25</v>
      </c>
      <c r="AT145" s="621">
        <f>I145*(1-(1/48))/10*2</f>
        <v>58.75</v>
      </c>
      <c r="AU145" s="489">
        <f>I145</f>
        <v>300</v>
      </c>
      <c r="AV145" s="489"/>
      <c r="AW145" s="489"/>
      <c r="AX145" s="512"/>
      <c r="AY145" s="512"/>
      <c r="AZ145" s="512"/>
      <c r="BA145" s="512"/>
      <c r="BB145" s="512"/>
      <c r="BC145" s="512"/>
      <c r="BD145" s="512"/>
      <c r="BE145" s="512"/>
      <c r="BF145" s="512"/>
      <c r="BG145" s="512"/>
      <c r="BH145" s="512"/>
      <c r="BI145" s="512"/>
      <c r="BJ145" s="512"/>
      <c r="BK145" s="512"/>
      <c r="BL145" s="512"/>
      <c r="BM145" s="512">
        <f>I145</f>
        <v>300</v>
      </c>
      <c r="BN145" s="512">
        <f>I145</f>
        <v>300</v>
      </c>
      <c r="BQ145" s="3">
        <f t="shared" si="87"/>
        <v>473333</v>
      </c>
    </row>
    <row r="146" s="400" customFormat="1" ht="36" customHeight="1" spans="1:69">
      <c r="A146" s="420">
        <v>45968</v>
      </c>
      <c r="B146" s="421" t="s">
        <v>1425</v>
      </c>
      <c r="C146" s="422" t="s">
        <v>286</v>
      </c>
      <c r="D146" s="423">
        <v>4500184791</v>
      </c>
      <c r="E146" s="424" t="s">
        <v>5560</v>
      </c>
      <c r="F146" s="423" t="s">
        <v>5561</v>
      </c>
      <c r="G146" s="425" t="s">
        <v>4988</v>
      </c>
      <c r="H146" s="426" t="s">
        <v>4989</v>
      </c>
      <c r="I146" s="437">
        <v>2000</v>
      </c>
      <c r="J146" s="438">
        <v>0</v>
      </c>
      <c r="K146" s="425">
        <v>25</v>
      </c>
      <c r="L146" s="439">
        <f t="shared" si="86"/>
        <v>80</v>
      </c>
      <c r="M146" s="440">
        <v>46015</v>
      </c>
      <c r="N146" s="440">
        <v>46013</v>
      </c>
      <c r="O146" s="441" t="s">
        <v>5562</v>
      </c>
      <c r="P146" s="441" t="s">
        <v>1262</v>
      </c>
      <c r="Q146" s="441" t="s">
        <v>5563</v>
      </c>
      <c r="R146" s="441">
        <v>45976</v>
      </c>
      <c r="S146" s="441" t="s">
        <v>77</v>
      </c>
      <c r="T146" s="448" t="s">
        <v>5564</v>
      </c>
      <c r="U146" s="441"/>
      <c r="V146" s="441" t="s">
        <v>2906</v>
      </c>
      <c r="W146" s="441"/>
      <c r="X146" s="424" t="s">
        <v>5565</v>
      </c>
      <c r="Y146" s="473" t="s">
        <v>618</v>
      </c>
      <c r="Z146" s="474">
        <v>1.6</v>
      </c>
      <c r="AA146" s="475">
        <f t="shared" si="95"/>
        <v>3200</v>
      </c>
      <c r="AB146" s="437"/>
      <c r="AC146" s="478" t="s">
        <v>5042</v>
      </c>
      <c r="AD146" s="477" t="s">
        <v>128</v>
      </c>
      <c r="AE146" s="477" t="s">
        <v>4930</v>
      </c>
      <c r="AF146" s="425">
        <v>2000</v>
      </c>
      <c r="AG146" s="425">
        <f t="shared" si="93"/>
        <v>0</v>
      </c>
      <c r="AH146" s="425" t="s">
        <v>4335</v>
      </c>
      <c r="AI146" s="478"/>
      <c r="AJ146" s="488">
        <f t="shared" ref="AJ146:AJ158" si="96">I146</f>
        <v>2000</v>
      </c>
      <c r="AK146" s="488"/>
      <c r="AL146" s="489"/>
      <c r="AM146" s="490">
        <f>I146</f>
        <v>2000</v>
      </c>
      <c r="AN146" s="437"/>
      <c r="AO146" s="437"/>
      <c r="AP146" s="439">
        <f t="shared" ref="AP146:AP158" si="97">I146</f>
        <v>2000</v>
      </c>
      <c r="AQ146" s="439"/>
      <c r="AR146" s="489"/>
      <c r="AS146" s="439">
        <f t="shared" si="76"/>
        <v>1804.16666666667</v>
      </c>
      <c r="AT146" s="621">
        <f t="shared" si="84"/>
        <v>195.833333333333</v>
      </c>
      <c r="AU146" s="489"/>
      <c r="AV146" s="489"/>
      <c r="AW146" s="489">
        <f>I146</f>
        <v>2000</v>
      </c>
      <c r="AX146" s="512"/>
      <c r="AY146" s="512"/>
      <c r="AZ146" s="512"/>
      <c r="BA146" s="512"/>
      <c r="BB146" s="512">
        <f>I146/25</f>
        <v>80</v>
      </c>
      <c r="BC146" s="512"/>
      <c r="BD146" s="512"/>
      <c r="BE146" s="512"/>
      <c r="BF146" s="512"/>
      <c r="BG146" s="512"/>
      <c r="BH146" s="512"/>
      <c r="BI146" s="512"/>
      <c r="BJ146" s="512"/>
      <c r="BK146" s="512"/>
      <c r="BL146" s="512"/>
      <c r="BM146" s="512"/>
      <c r="BN146" s="512"/>
      <c r="BQ146" s="3">
        <f t="shared" si="87"/>
        <v>475333</v>
      </c>
    </row>
    <row r="147" s="400" customFormat="1" ht="36" customHeight="1" spans="1:69">
      <c r="A147" s="420">
        <v>45968</v>
      </c>
      <c r="B147" s="421" t="s">
        <v>5501</v>
      </c>
      <c r="C147" s="422" t="s">
        <v>117</v>
      </c>
      <c r="D147" s="423" t="s">
        <v>5502</v>
      </c>
      <c r="E147" s="424"/>
      <c r="F147" s="423" t="s">
        <v>5566</v>
      </c>
      <c r="G147" s="425" t="s">
        <v>5505</v>
      </c>
      <c r="H147" s="426" t="s">
        <v>5506</v>
      </c>
      <c r="I147" s="437">
        <v>25032</v>
      </c>
      <c r="J147" s="438">
        <v>0</v>
      </c>
      <c r="K147" s="425">
        <v>6</v>
      </c>
      <c r="L147" s="437">
        <f t="shared" si="86"/>
        <v>4172</v>
      </c>
      <c r="M147" s="440">
        <v>46017</v>
      </c>
      <c r="N147" s="440">
        <v>46013</v>
      </c>
      <c r="O147" s="441" t="s">
        <v>5567</v>
      </c>
      <c r="P147" s="400" t="s">
        <v>92</v>
      </c>
      <c r="Q147" s="441" t="s">
        <v>5568</v>
      </c>
      <c r="R147" s="449" t="s">
        <v>5508</v>
      </c>
      <c r="S147" s="448" t="s">
        <v>77</v>
      </c>
      <c r="T147" s="450" t="s">
        <v>5509</v>
      </c>
      <c r="U147" s="441"/>
      <c r="V147" s="441"/>
      <c r="W147" s="441" t="s">
        <v>5510</v>
      </c>
      <c r="X147" s="424" t="s">
        <v>5511</v>
      </c>
      <c r="Y147" s="473" t="s">
        <v>903</v>
      </c>
      <c r="Z147" s="474">
        <v>1.31</v>
      </c>
      <c r="AA147" s="475">
        <f t="shared" si="95"/>
        <v>32791.92</v>
      </c>
      <c r="AB147" s="476" t="s">
        <v>3582</v>
      </c>
      <c r="AC147" s="425" t="s">
        <v>5505</v>
      </c>
      <c r="AD147" s="477" t="s">
        <v>128</v>
      </c>
      <c r="AE147" s="477" t="s">
        <v>4930</v>
      </c>
      <c r="AF147" s="425">
        <f>22008+3024</f>
        <v>25032</v>
      </c>
      <c r="AG147" s="425">
        <f t="shared" si="93"/>
        <v>0</v>
      </c>
      <c r="AH147" s="425" t="s">
        <v>4335</v>
      </c>
      <c r="AI147" s="487"/>
      <c r="AJ147" s="488">
        <f t="shared" si="96"/>
        <v>25032</v>
      </c>
      <c r="AK147" s="488"/>
      <c r="AL147" s="489">
        <f t="shared" ref="AL147:AL157" si="98">I147</f>
        <v>25032</v>
      </c>
      <c r="AM147" s="489"/>
      <c r="AN147" s="489"/>
      <c r="AO147" s="489"/>
      <c r="AP147" s="439">
        <f t="shared" si="97"/>
        <v>25032</v>
      </c>
      <c r="AQ147" s="439"/>
      <c r="AR147" s="437"/>
      <c r="AS147" s="439">
        <f t="shared" si="76"/>
        <v>22580.95</v>
      </c>
      <c r="AT147" s="621">
        <f t="shared" si="84"/>
        <v>2451.05</v>
      </c>
      <c r="AU147" s="489"/>
      <c r="AV147" s="489"/>
      <c r="AW147" s="489"/>
      <c r="AX147" s="512"/>
      <c r="AY147" s="512"/>
      <c r="AZ147" s="512"/>
      <c r="BA147" s="512"/>
      <c r="BB147" s="512"/>
      <c r="BC147" s="512"/>
      <c r="BD147" s="512"/>
      <c r="BE147" s="512"/>
      <c r="BF147" s="512"/>
      <c r="BG147" s="512"/>
      <c r="BH147" s="512"/>
      <c r="BI147" s="512"/>
      <c r="BJ147" s="512"/>
      <c r="BK147" s="512"/>
      <c r="BL147" s="512"/>
      <c r="BM147" s="512"/>
      <c r="BN147" s="512"/>
      <c r="BQ147" s="3">
        <f t="shared" si="87"/>
        <v>500365</v>
      </c>
    </row>
    <row r="148" s="400" customFormat="1" ht="36" customHeight="1" spans="1:69">
      <c r="A148" s="420">
        <v>45978</v>
      </c>
      <c r="B148" s="421" t="s">
        <v>1181</v>
      </c>
      <c r="C148" s="422" t="s">
        <v>117</v>
      </c>
      <c r="D148" s="423" t="s">
        <v>5569</v>
      </c>
      <c r="E148" s="424">
        <v>4500185808</v>
      </c>
      <c r="F148" s="423"/>
      <c r="G148" s="425" t="s">
        <v>4963</v>
      </c>
      <c r="H148" s="426" t="s">
        <v>5570</v>
      </c>
      <c r="I148" s="437">
        <v>300</v>
      </c>
      <c r="J148" s="438">
        <v>0</v>
      </c>
      <c r="K148" s="425">
        <v>24</v>
      </c>
      <c r="L148" s="439">
        <f t="shared" si="86"/>
        <v>12.5</v>
      </c>
      <c r="M148" s="440">
        <v>46017</v>
      </c>
      <c r="N148" s="440">
        <v>46013</v>
      </c>
      <c r="O148" s="441"/>
      <c r="P148" s="441" t="s">
        <v>1262</v>
      </c>
      <c r="Q148" s="441" t="s">
        <v>5571</v>
      </c>
      <c r="R148" s="449" t="s">
        <v>5572</v>
      </c>
      <c r="S148" s="448" t="s">
        <v>77</v>
      </c>
      <c r="T148" s="441" t="s">
        <v>77</v>
      </c>
      <c r="U148" s="441"/>
      <c r="V148" s="441"/>
      <c r="W148" s="441" t="s">
        <v>5573</v>
      </c>
      <c r="X148" s="424" t="s">
        <v>5574</v>
      </c>
      <c r="Y148" s="473" t="s">
        <v>5575</v>
      </c>
      <c r="Z148" s="474">
        <v>0.786</v>
      </c>
      <c r="AA148" s="475">
        <f t="shared" si="95"/>
        <v>235.8</v>
      </c>
      <c r="AB148" s="476" t="s">
        <v>3582</v>
      </c>
      <c r="AC148" s="425" t="s">
        <v>5505</v>
      </c>
      <c r="AD148" s="477" t="s">
        <v>128</v>
      </c>
      <c r="AE148" s="477" t="s">
        <v>4930</v>
      </c>
      <c r="AF148" s="425">
        <v>300</v>
      </c>
      <c r="AG148" s="425">
        <f t="shared" si="93"/>
        <v>0</v>
      </c>
      <c r="AH148" s="477" t="s">
        <v>77</v>
      </c>
      <c r="AI148" s="478"/>
      <c r="AJ148" s="488">
        <f t="shared" si="96"/>
        <v>300</v>
      </c>
      <c r="AK148" s="488"/>
      <c r="AL148" s="489">
        <f t="shared" si="98"/>
        <v>300</v>
      </c>
      <c r="AM148" s="437"/>
      <c r="AN148" s="437"/>
      <c r="AO148" s="437"/>
      <c r="AP148" s="439">
        <f t="shared" si="97"/>
        <v>300</v>
      </c>
      <c r="AQ148" s="439"/>
      <c r="AR148" s="437"/>
      <c r="AS148" s="439">
        <f t="shared" si="76"/>
        <v>270.625</v>
      </c>
      <c r="AT148" s="621">
        <f t="shared" si="84"/>
        <v>29.375</v>
      </c>
      <c r="AU148" s="489"/>
      <c r="AV148" s="489"/>
      <c r="AW148" s="489"/>
      <c r="AX148" s="512"/>
      <c r="AY148" s="512"/>
      <c r="AZ148" s="512"/>
      <c r="BA148" s="512"/>
      <c r="BB148" s="512"/>
      <c r="BC148" s="512"/>
      <c r="BD148" s="512"/>
      <c r="BE148" s="512"/>
      <c r="BF148" s="512"/>
      <c r="BG148" s="512"/>
      <c r="BH148" s="512"/>
      <c r="BI148" s="512"/>
      <c r="BJ148" s="512"/>
      <c r="BK148" s="512"/>
      <c r="BL148" s="512"/>
      <c r="BM148" s="512"/>
      <c r="BN148" s="512"/>
      <c r="BQ148" s="3">
        <f t="shared" si="87"/>
        <v>500665</v>
      </c>
    </row>
    <row r="149" s="400" customFormat="1" ht="36" customHeight="1" spans="1:69">
      <c r="A149" s="420">
        <v>45975</v>
      </c>
      <c r="B149" s="421" t="s">
        <v>5457</v>
      </c>
      <c r="C149" s="422" t="s">
        <v>117</v>
      </c>
      <c r="D149" s="423">
        <v>4500185775</v>
      </c>
      <c r="E149" s="424">
        <v>16011994</v>
      </c>
      <c r="F149" s="423" t="s">
        <v>5576</v>
      </c>
      <c r="G149" s="425" t="s">
        <v>5066</v>
      </c>
      <c r="H149" s="426" t="s">
        <v>5048</v>
      </c>
      <c r="I149" s="437">
        <v>14989</v>
      </c>
      <c r="J149" s="438">
        <v>0</v>
      </c>
      <c r="K149" s="425">
        <v>13</v>
      </c>
      <c r="L149" s="439">
        <f t="shared" si="86"/>
        <v>1153</v>
      </c>
      <c r="M149" s="440">
        <v>46006</v>
      </c>
      <c r="N149" s="440">
        <v>46015</v>
      </c>
      <c r="O149" s="437"/>
      <c r="P149" s="441" t="s">
        <v>92</v>
      </c>
      <c r="Q149" s="441" t="s">
        <v>5577</v>
      </c>
      <c r="R149" s="694" t="s">
        <v>5460</v>
      </c>
      <c r="S149" s="449" t="s">
        <v>123</v>
      </c>
      <c r="T149" s="708" t="s">
        <v>5578</v>
      </c>
      <c r="U149" s="441" t="s">
        <v>5462</v>
      </c>
      <c r="V149" s="441"/>
      <c r="W149" s="441"/>
      <c r="X149" s="424" t="s">
        <v>5579</v>
      </c>
      <c r="Y149" s="473" t="s">
        <v>1864</v>
      </c>
      <c r="Z149" s="474">
        <v>0.8395</v>
      </c>
      <c r="AA149" s="475">
        <f t="shared" si="95"/>
        <v>12583.2655</v>
      </c>
      <c r="AB149" s="437"/>
      <c r="AC149" s="478" t="s">
        <v>5066</v>
      </c>
      <c r="AD149" s="477" t="s">
        <v>128</v>
      </c>
      <c r="AE149" s="477" t="s">
        <v>4930</v>
      </c>
      <c r="AF149" s="425">
        <v>14989</v>
      </c>
      <c r="AG149" s="425">
        <f t="shared" si="93"/>
        <v>0</v>
      </c>
      <c r="AH149" s="425" t="s">
        <v>4335</v>
      </c>
      <c r="AI149" s="478"/>
      <c r="AJ149" s="488">
        <f t="shared" si="96"/>
        <v>14989</v>
      </c>
      <c r="AK149" s="493"/>
      <c r="AL149" s="494">
        <f t="shared" si="98"/>
        <v>14989</v>
      </c>
      <c r="AM149" s="490"/>
      <c r="AN149" s="437"/>
      <c r="AO149" s="437"/>
      <c r="AP149" s="439">
        <f t="shared" si="97"/>
        <v>14989</v>
      </c>
      <c r="AQ149" s="439"/>
      <c r="AR149" s="489"/>
      <c r="AS149" s="439">
        <f t="shared" si="76"/>
        <v>13521.3270833333</v>
      </c>
      <c r="AT149" s="621">
        <f t="shared" si="84"/>
        <v>1467.67291666667</v>
      </c>
      <c r="AU149" s="489"/>
      <c r="AV149" s="489"/>
      <c r="AW149" s="489"/>
      <c r="AX149" s="512">
        <f>I149/13</f>
        <v>1153</v>
      </c>
      <c r="AY149" s="512"/>
      <c r="AZ149" s="512"/>
      <c r="BA149" s="512"/>
      <c r="BB149" s="512"/>
      <c r="BC149" s="512"/>
      <c r="BD149" s="512"/>
      <c r="BE149" s="512"/>
      <c r="BF149" s="512"/>
      <c r="BG149" s="512"/>
      <c r="BH149" s="512"/>
      <c r="BI149" s="512"/>
      <c r="BJ149" s="512"/>
      <c r="BK149" s="512"/>
      <c r="BL149" s="512"/>
      <c r="BM149" s="512"/>
      <c r="BN149" s="512"/>
      <c r="BQ149" s="3">
        <f t="shared" si="87"/>
        <v>515654</v>
      </c>
    </row>
    <row r="150" s="400" customFormat="1" ht="36" customHeight="1" spans="1:69">
      <c r="A150" s="420">
        <v>45943</v>
      </c>
      <c r="B150" s="421" t="s">
        <v>517</v>
      </c>
      <c r="C150" s="422" t="s">
        <v>117</v>
      </c>
      <c r="D150" s="423">
        <v>4500181566</v>
      </c>
      <c r="E150" s="424" t="s">
        <v>5580</v>
      </c>
      <c r="F150" s="423" t="s">
        <v>5581</v>
      </c>
      <c r="G150" s="425" t="s">
        <v>4974</v>
      </c>
      <c r="H150" s="426" t="s">
        <v>5205</v>
      </c>
      <c r="I150" s="437">
        <v>2000</v>
      </c>
      <c r="J150" s="438">
        <v>0</v>
      </c>
      <c r="K150" s="425">
        <v>50</v>
      </c>
      <c r="L150" s="439">
        <f t="shared" si="86"/>
        <v>40</v>
      </c>
      <c r="M150" s="440">
        <v>46020</v>
      </c>
      <c r="N150" s="440">
        <v>46016</v>
      </c>
      <c r="O150" s="441"/>
      <c r="P150" s="441" t="s">
        <v>92</v>
      </c>
      <c r="Q150" s="441" t="s">
        <v>3211</v>
      </c>
      <c r="R150" s="449">
        <v>45985</v>
      </c>
      <c r="S150" s="448" t="s">
        <v>77</v>
      </c>
      <c r="T150" s="448" t="s">
        <v>77</v>
      </c>
      <c r="U150" s="441"/>
      <c r="V150" s="441"/>
      <c r="W150" s="441"/>
      <c r="X150" s="424" t="s">
        <v>670</v>
      </c>
      <c r="Y150" s="441" t="s">
        <v>4230</v>
      </c>
      <c r="Z150" s="474">
        <v>0.93</v>
      </c>
      <c r="AA150" s="475">
        <f t="shared" si="95"/>
        <v>1860</v>
      </c>
      <c r="AB150" s="437"/>
      <c r="AC150" s="425" t="s">
        <v>4974</v>
      </c>
      <c r="AD150" s="477" t="s">
        <v>128</v>
      </c>
      <c r="AE150" s="477" t="s">
        <v>4930</v>
      </c>
      <c r="AF150" s="425">
        <v>2000</v>
      </c>
      <c r="AG150" s="425">
        <f t="shared" si="93"/>
        <v>0</v>
      </c>
      <c r="AH150" s="477" t="s">
        <v>77</v>
      </c>
      <c r="AI150" s="478"/>
      <c r="AJ150" s="488">
        <f t="shared" si="96"/>
        <v>2000</v>
      </c>
      <c r="AK150" s="488"/>
      <c r="AL150" s="489">
        <f t="shared" si="98"/>
        <v>2000</v>
      </c>
      <c r="AM150" s="489"/>
      <c r="AN150" s="489"/>
      <c r="AO150" s="489"/>
      <c r="AP150" s="439">
        <f t="shared" si="97"/>
        <v>2000</v>
      </c>
      <c r="AQ150" s="439"/>
      <c r="AR150" s="437"/>
      <c r="AS150" s="439">
        <f t="shared" si="76"/>
        <v>1804.16666666667</v>
      </c>
      <c r="AT150" s="621">
        <f t="shared" si="84"/>
        <v>195.833333333333</v>
      </c>
      <c r="AU150" s="437"/>
      <c r="AV150" s="437"/>
      <c r="AW150" s="437"/>
      <c r="AX150" s="512"/>
      <c r="AY150" s="512"/>
      <c r="AZ150" s="512"/>
      <c r="BA150" s="512">
        <f>I150/25</f>
        <v>80</v>
      </c>
      <c r="BB150" s="512"/>
      <c r="BC150" s="512"/>
      <c r="BD150" s="512"/>
      <c r="BE150" s="512"/>
      <c r="BF150" s="512"/>
      <c r="BG150" s="512"/>
      <c r="BH150" s="512"/>
      <c r="BI150" s="512"/>
      <c r="BJ150" s="512"/>
      <c r="BK150" s="512"/>
      <c r="BL150" s="512"/>
      <c r="BM150" s="512"/>
      <c r="BN150" s="512"/>
      <c r="BQ150" s="3">
        <f t="shared" si="87"/>
        <v>517654</v>
      </c>
    </row>
    <row r="151" s="400" customFormat="1" ht="36" customHeight="1" spans="1:69">
      <c r="A151" s="427">
        <v>45974</v>
      </c>
      <c r="B151" s="421" t="s">
        <v>4976</v>
      </c>
      <c r="C151" s="422" t="s">
        <v>117</v>
      </c>
      <c r="D151" s="544">
        <v>4500185601</v>
      </c>
      <c r="E151" s="1692" t="s">
        <v>5582</v>
      </c>
      <c r="F151" s="428" t="s">
        <v>5583</v>
      </c>
      <c r="G151" s="425" t="s">
        <v>4979</v>
      </c>
      <c r="H151" s="426" t="s">
        <v>4980</v>
      </c>
      <c r="I151" s="437">
        <v>960</v>
      </c>
      <c r="J151" s="438">
        <v>0</v>
      </c>
      <c r="K151" s="425">
        <v>16</v>
      </c>
      <c r="L151" s="439">
        <f t="shared" si="86"/>
        <v>60</v>
      </c>
      <c r="M151" s="440">
        <v>46020</v>
      </c>
      <c r="N151" s="440">
        <v>46016</v>
      </c>
      <c r="O151" s="441" t="s">
        <v>5543</v>
      </c>
      <c r="P151" s="441" t="s">
        <v>92</v>
      </c>
      <c r="Q151" s="441"/>
      <c r="R151" s="441" t="s">
        <v>1102</v>
      </c>
      <c r="S151" s="441" t="s">
        <v>123</v>
      </c>
      <c r="T151" s="448" t="s">
        <v>5444</v>
      </c>
      <c r="U151" s="441" t="s">
        <v>4983</v>
      </c>
      <c r="V151" s="441"/>
      <c r="W151" s="441"/>
      <c r="X151" s="424" t="s">
        <v>5160</v>
      </c>
      <c r="Y151" s="441" t="s">
        <v>634</v>
      </c>
      <c r="Z151" s="474">
        <v>0.96</v>
      </c>
      <c r="AA151" s="475">
        <f t="shared" si="95"/>
        <v>921.6</v>
      </c>
      <c r="AB151" s="476" t="s">
        <v>3582</v>
      </c>
      <c r="AC151" s="425" t="s">
        <v>4979</v>
      </c>
      <c r="AD151" s="477" t="s">
        <v>128</v>
      </c>
      <c r="AE151" s="477" t="s">
        <v>4930</v>
      </c>
      <c r="AF151" s="425">
        <v>960</v>
      </c>
      <c r="AG151" s="425">
        <f t="shared" si="93"/>
        <v>0</v>
      </c>
      <c r="AH151" s="425" t="s">
        <v>4335</v>
      </c>
      <c r="AI151" s="478"/>
      <c r="AJ151" s="488">
        <f t="shared" si="96"/>
        <v>960</v>
      </c>
      <c r="AK151" s="488"/>
      <c r="AL151" s="489">
        <f t="shared" si="98"/>
        <v>960</v>
      </c>
      <c r="AM151" s="490"/>
      <c r="AN151" s="437"/>
      <c r="AO151" s="437"/>
      <c r="AP151" s="439">
        <f t="shared" si="97"/>
        <v>960</v>
      </c>
      <c r="AQ151" s="439"/>
      <c r="AR151" s="489"/>
      <c r="AS151" s="439">
        <f t="shared" si="76"/>
        <v>866</v>
      </c>
      <c r="AT151" s="621">
        <f t="shared" si="84"/>
        <v>94</v>
      </c>
      <c r="AU151" s="437"/>
      <c r="AV151" s="490"/>
      <c r="AW151" s="490"/>
      <c r="AX151" s="513"/>
      <c r="AY151" s="512"/>
      <c r="AZ151" s="512"/>
      <c r="BA151" s="512"/>
      <c r="BB151" s="512"/>
      <c r="BC151" s="512">
        <f t="shared" ref="BC151:BC157" si="99">I151/16</f>
        <v>60</v>
      </c>
      <c r="BD151" s="512"/>
      <c r="BE151" s="512"/>
      <c r="BF151" s="512"/>
      <c r="BG151" s="512"/>
      <c r="BH151" s="512"/>
      <c r="BI151" s="512"/>
      <c r="BJ151" s="512"/>
      <c r="BK151" s="512"/>
      <c r="BL151" s="512"/>
      <c r="BM151" s="512"/>
      <c r="BN151" s="512"/>
      <c r="BQ151" s="3">
        <f t="shared" si="87"/>
        <v>518614</v>
      </c>
    </row>
    <row r="152" s="400" customFormat="1" ht="36" customHeight="1" spans="1:69">
      <c r="A152" s="427">
        <v>45974</v>
      </c>
      <c r="B152" s="421" t="s">
        <v>4976</v>
      </c>
      <c r="C152" s="422" t="s">
        <v>117</v>
      </c>
      <c r="D152" s="544">
        <v>4500185601</v>
      </c>
      <c r="E152" s="1692" t="s">
        <v>5584</v>
      </c>
      <c r="F152" s="428" t="s">
        <v>5585</v>
      </c>
      <c r="G152" s="425" t="s">
        <v>4979</v>
      </c>
      <c r="H152" s="426" t="s">
        <v>4980</v>
      </c>
      <c r="I152" s="437">
        <v>960</v>
      </c>
      <c r="J152" s="438">
        <v>0</v>
      </c>
      <c r="K152" s="425">
        <v>16</v>
      </c>
      <c r="L152" s="439">
        <f t="shared" si="86"/>
        <v>60</v>
      </c>
      <c r="M152" s="440">
        <v>46020</v>
      </c>
      <c r="N152" s="440">
        <v>46016</v>
      </c>
      <c r="O152" s="441" t="s">
        <v>5586</v>
      </c>
      <c r="P152" s="441" t="s">
        <v>92</v>
      </c>
      <c r="Q152" s="441"/>
      <c r="R152" s="441" t="s">
        <v>1102</v>
      </c>
      <c r="S152" s="441" t="s">
        <v>123</v>
      </c>
      <c r="T152" s="448" t="s">
        <v>5444</v>
      </c>
      <c r="U152" s="441" t="s">
        <v>4983</v>
      </c>
      <c r="V152" s="441"/>
      <c r="W152" s="441"/>
      <c r="X152" s="424" t="s">
        <v>5160</v>
      </c>
      <c r="Y152" s="441" t="s">
        <v>634</v>
      </c>
      <c r="Z152" s="474">
        <v>0.96</v>
      </c>
      <c r="AA152" s="475">
        <f t="shared" si="95"/>
        <v>921.6</v>
      </c>
      <c r="AB152" s="476" t="s">
        <v>3582</v>
      </c>
      <c r="AC152" s="425" t="s">
        <v>4979</v>
      </c>
      <c r="AD152" s="477" t="s">
        <v>128</v>
      </c>
      <c r="AE152" s="477" t="s">
        <v>4930</v>
      </c>
      <c r="AF152" s="425">
        <v>960</v>
      </c>
      <c r="AG152" s="425">
        <f t="shared" si="93"/>
        <v>0</v>
      </c>
      <c r="AH152" s="425" t="s">
        <v>4335</v>
      </c>
      <c r="AI152" s="478"/>
      <c r="AJ152" s="488">
        <f t="shared" si="96"/>
        <v>960</v>
      </c>
      <c r="AK152" s="488"/>
      <c r="AL152" s="489">
        <f t="shared" si="98"/>
        <v>960</v>
      </c>
      <c r="AM152" s="490"/>
      <c r="AN152" s="437"/>
      <c r="AO152" s="437"/>
      <c r="AP152" s="439">
        <f t="shared" si="97"/>
        <v>960</v>
      </c>
      <c r="AQ152" s="439"/>
      <c r="AR152" s="489"/>
      <c r="AS152" s="439">
        <f t="shared" si="76"/>
        <v>866</v>
      </c>
      <c r="AT152" s="621">
        <f t="shared" si="84"/>
        <v>94</v>
      </c>
      <c r="AU152" s="437"/>
      <c r="AV152" s="490"/>
      <c r="AW152" s="490"/>
      <c r="AX152" s="513"/>
      <c r="AY152" s="512"/>
      <c r="AZ152" s="512"/>
      <c r="BA152" s="512"/>
      <c r="BB152" s="512"/>
      <c r="BC152" s="512">
        <f t="shared" si="99"/>
        <v>60</v>
      </c>
      <c r="BD152" s="512"/>
      <c r="BE152" s="512"/>
      <c r="BF152" s="512"/>
      <c r="BG152" s="512"/>
      <c r="BH152" s="512"/>
      <c r="BI152" s="512"/>
      <c r="BJ152" s="512"/>
      <c r="BK152" s="512"/>
      <c r="BL152" s="512"/>
      <c r="BM152" s="512"/>
      <c r="BN152" s="512"/>
      <c r="BQ152" s="3">
        <f t="shared" si="87"/>
        <v>519574</v>
      </c>
    </row>
    <row r="153" s="400" customFormat="1" ht="36" customHeight="1" spans="1:69">
      <c r="A153" s="427">
        <v>45974</v>
      </c>
      <c r="B153" s="421" t="s">
        <v>4976</v>
      </c>
      <c r="C153" s="422" t="s">
        <v>117</v>
      </c>
      <c r="D153" s="544">
        <v>4500185601</v>
      </c>
      <c r="E153" s="1692" t="s">
        <v>5587</v>
      </c>
      <c r="F153" s="428" t="s">
        <v>5588</v>
      </c>
      <c r="G153" s="425" t="s">
        <v>4979</v>
      </c>
      <c r="H153" s="426" t="s">
        <v>4980</v>
      </c>
      <c r="I153" s="437">
        <v>960</v>
      </c>
      <c r="J153" s="438">
        <v>0</v>
      </c>
      <c r="K153" s="425">
        <v>16</v>
      </c>
      <c r="L153" s="439">
        <f t="shared" si="86"/>
        <v>60</v>
      </c>
      <c r="M153" s="440">
        <v>46020</v>
      </c>
      <c r="N153" s="440">
        <v>46016</v>
      </c>
      <c r="O153" s="441" t="s">
        <v>5543</v>
      </c>
      <c r="P153" s="441" t="s">
        <v>92</v>
      </c>
      <c r="Q153" s="441"/>
      <c r="R153" s="441" t="s">
        <v>1102</v>
      </c>
      <c r="S153" s="441" t="s">
        <v>123</v>
      </c>
      <c r="T153" s="448" t="s">
        <v>5444</v>
      </c>
      <c r="U153" s="441" t="s">
        <v>4983</v>
      </c>
      <c r="V153" s="441"/>
      <c r="W153" s="441"/>
      <c r="X153" s="424" t="s">
        <v>5160</v>
      </c>
      <c r="Y153" s="441" t="s">
        <v>634</v>
      </c>
      <c r="Z153" s="474">
        <v>0.96</v>
      </c>
      <c r="AA153" s="475">
        <f t="shared" si="95"/>
        <v>921.6</v>
      </c>
      <c r="AB153" s="476" t="s">
        <v>3582</v>
      </c>
      <c r="AC153" s="425" t="s">
        <v>4979</v>
      </c>
      <c r="AD153" s="477" t="s">
        <v>128</v>
      </c>
      <c r="AE153" s="477" t="s">
        <v>4930</v>
      </c>
      <c r="AF153" s="425">
        <v>960</v>
      </c>
      <c r="AG153" s="425">
        <f t="shared" si="93"/>
        <v>0</v>
      </c>
      <c r="AH153" s="425" t="s">
        <v>4335</v>
      </c>
      <c r="AI153" s="478"/>
      <c r="AJ153" s="488">
        <f t="shared" si="96"/>
        <v>960</v>
      </c>
      <c r="AK153" s="488"/>
      <c r="AL153" s="489">
        <f t="shared" si="98"/>
        <v>960</v>
      </c>
      <c r="AM153" s="490"/>
      <c r="AN153" s="437"/>
      <c r="AO153" s="437"/>
      <c r="AP153" s="439">
        <f t="shared" si="97"/>
        <v>960</v>
      </c>
      <c r="AQ153" s="439"/>
      <c r="AR153" s="489"/>
      <c r="AS153" s="439">
        <f t="shared" si="76"/>
        <v>866</v>
      </c>
      <c r="AT153" s="621">
        <f t="shared" si="84"/>
        <v>94</v>
      </c>
      <c r="AU153" s="437"/>
      <c r="AV153" s="490"/>
      <c r="AW153" s="490"/>
      <c r="AX153" s="513"/>
      <c r="AY153" s="512"/>
      <c r="AZ153" s="512"/>
      <c r="BA153" s="512"/>
      <c r="BB153" s="512"/>
      <c r="BC153" s="512">
        <f t="shared" si="99"/>
        <v>60</v>
      </c>
      <c r="BD153" s="512"/>
      <c r="BE153" s="512"/>
      <c r="BF153" s="512"/>
      <c r="BG153" s="512"/>
      <c r="BH153" s="512"/>
      <c r="BI153" s="512"/>
      <c r="BJ153" s="512"/>
      <c r="BK153" s="512"/>
      <c r="BL153" s="512"/>
      <c r="BM153" s="512"/>
      <c r="BN153" s="512"/>
      <c r="BQ153" s="3">
        <f t="shared" si="87"/>
        <v>520534</v>
      </c>
    </row>
    <row r="154" s="400" customFormat="1" ht="36" customHeight="1" spans="1:69">
      <c r="A154" s="427">
        <v>45974</v>
      </c>
      <c r="B154" s="421" t="s">
        <v>4976</v>
      </c>
      <c r="C154" s="422" t="s">
        <v>117</v>
      </c>
      <c r="D154" s="544">
        <v>4500185602</v>
      </c>
      <c r="E154" s="1692" t="s">
        <v>5589</v>
      </c>
      <c r="F154" s="428" t="s">
        <v>5590</v>
      </c>
      <c r="G154" s="425" t="s">
        <v>4979</v>
      </c>
      <c r="H154" s="426" t="s">
        <v>4980</v>
      </c>
      <c r="I154" s="437">
        <v>960</v>
      </c>
      <c r="J154" s="438">
        <v>0</v>
      </c>
      <c r="K154" s="425">
        <v>16</v>
      </c>
      <c r="L154" s="439">
        <f t="shared" si="86"/>
        <v>60</v>
      </c>
      <c r="M154" s="440">
        <v>46021</v>
      </c>
      <c r="N154" s="440">
        <v>46017</v>
      </c>
      <c r="O154" s="441" t="s">
        <v>5543</v>
      </c>
      <c r="P154" s="441" t="s">
        <v>92</v>
      </c>
      <c r="Q154" s="441" t="s">
        <v>3458</v>
      </c>
      <c r="R154" s="441" t="s">
        <v>1102</v>
      </c>
      <c r="S154" s="441" t="s">
        <v>123</v>
      </c>
      <c r="T154" s="448" t="s">
        <v>5444</v>
      </c>
      <c r="U154" s="441" t="s">
        <v>4983</v>
      </c>
      <c r="V154" s="441"/>
      <c r="W154" s="441"/>
      <c r="X154" s="424" t="s">
        <v>5160</v>
      </c>
      <c r="Y154" s="441" t="s">
        <v>634</v>
      </c>
      <c r="Z154" s="474">
        <v>0.96</v>
      </c>
      <c r="AA154" s="475">
        <f t="shared" si="95"/>
        <v>921.6</v>
      </c>
      <c r="AB154" s="476" t="s">
        <v>3582</v>
      </c>
      <c r="AC154" s="425" t="s">
        <v>4979</v>
      </c>
      <c r="AD154" s="477" t="s">
        <v>128</v>
      </c>
      <c r="AE154" s="477" t="s">
        <v>4930</v>
      </c>
      <c r="AF154" s="425">
        <v>960</v>
      </c>
      <c r="AG154" s="425">
        <f t="shared" si="93"/>
        <v>0</v>
      </c>
      <c r="AH154" s="425" t="s">
        <v>4335</v>
      </c>
      <c r="AI154" s="478"/>
      <c r="AJ154" s="488">
        <f t="shared" si="96"/>
        <v>960</v>
      </c>
      <c r="AK154" s="488"/>
      <c r="AL154" s="489">
        <f t="shared" si="98"/>
        <v>960</v>
      </c>
      <c r="AM154" s="490"/>
      <c r="AN154" s="437"/>
      <c r="AO154" s="437"/>
      <c r="AP154" s="439">
        <f t="shared" si="97"/>
        <v>960</v>
      </c>
      <c r="AQ154" s="439"/>
      <c r="AR154" s="489"/>
      <c r="AS154" s="439">
        <f t="shared" si="76"/>
        <v>866</v>
      </c>
      <c r="AT154" s="621">
        <f t="shared" si="84"/>
        <v>94</v>
      </c>
      <c r="AU154" s="437"/>
      <c r="AV154" s="490"/>
      <c r="AW154" s="490"/>
      <c r="AX154" s="513"/>
      <c r="AY154" s="512"/>
      <c r="AZ154" s="512"/>
      <c r="BA154" s="512"/>
      <c r="BB154" s="512"/>
      <c r="BC154" s="512">
        <f t="shared" si="99"/>
        <v>60</v>
      </c>
      <c r="BD154" s="512"/>
      <c r="BE154" s="512"/>
      <c r="BF154" s="512"/>
      <c r="BG154" s="512"/>
      <c r="BH154" s="512"/>
      <c r="BI154" s="512"/>
      <c r="BJ154" s="512"/>
      <c r="BK154" s="512"/>
      <c r="BL154" s="512"/>
      <c r="BM154" s="512"/>
      <c r="BN154" s="512"/>
      <c r="BQ154" s="3">
        <f t="shared" si="87"/>
        <v>521494</v>
      </c>
    </row>
    <row r="155" s="400" customFormat="1" ht="36" customHeight="1" spans="1:69">
      <c r="A155" s="427">
        <v>45974</v>
      </c>
      <c r="B155" s="421" t="s">
        <v>4976</v>
      </c>
      <c r="C155" s="422" t="s">
        <v>117</v>
      </c>
      <c r="D155" s="544">
        <v>4500185602</v>
      </c>
      <c r="E155" s="1692" t="s">
        <v>5591</v>
      </c>
      <c r="F155" s="428" t="s">
        <v>5592</v>
      </c>
      <c r="G155" s="425" t="s">
        <v>4979</v>
      </c>
      <c r="H155" s="426" t="s">
        <v>4980</v>
      </c>
      <c r="I155" s="437">
        <v>960</v>
      </c>
      <c r="J155" s="438">
        <v>0</v>
      </c>
      <c r="K155" s="425">
        <v>16</v>
      </c>
      <c r="L155" s="439">
        <f t="shared" si="86"/>
        <v>60</v>
      </c>
      <c r="M155" s="440">
        <v>46021</v>
      </c>
      <c r="N155" s="440">
        <v>46017</v>
      </c>
      <c r="O155" s="441" t="s">
        <v>5586</v>
      </c>
      <c r="P155" s="441" t="s">
        <v>92</v>
      </c>
      <c r="Q155" s="441"/>
      <c r="R155" s="441" t="s">
        <v>1102</v>
      </c>
      <c r="S155" s="441" t="s">
        <v>123</v>
      </c>
      <c r="T155" s="448" t="s">
        <v>5444</v>
      </c>
      <c r="U155" s="441" t="s">
        <v>4983</v>
      </c>
      <c r="V155" s="441"/>
      <c r="W155" s="441"/>
      <c r="X155" s="424" t="s">
        <v>5160</v>
      </c>
      <c r="Y155" s="441" t="s">
        <v>634</v>
      </c>
      <c r="Z155" s="474">
        <v>0.96</v>
      </c>
      <c r="AA155" s="475">
        <f t="shared" si="95"/>
        <v>921.6</v>
      </c>
      <c r="AB155" s="476" t="s">
        <v>3582</v>
      </c>
      <c r="AC155" s="425" t="s">
        <v>4979</v>
      </c>
      <c r="AD155" s="477" t="s">
        <v>128</v>
      </c>
      <c r="AE155" s="477" t="s">
        <v>4930</v>
      </c>
      <c r="AF155" s="425">
        <v>960</v>
      </c>
      <c r="AG155" s="425">
        <f t="shared" si="93"/>
        <v>0</v>
      </c>
      <c r="AH155" s="425" t="s">
        <v>4335</v>
      </c>
      <c r="AI155" s="478"/>
      <c r="AJ155" s="488">
        <f t="shared" si="96"/>
        <v>960</v>
      </c>
      <c r="AK155" s="488"/>
      <c r="AL155" s="489">
        <f t="shared" si="98"/>
        <v>960</v>
      </c>
      <c r="AM155" s="490"/>
      <c r="AN155" s="437"/>
      <c r="AO155" s="437"/>
      <c r="AP155" s="439">
        <f t="shared" si="97"/>
        <v>960</v>
      </c>
      <c r="AQ155" s="439"/>
      <c r="AR155" s="489"/>
      <c r="AS155" s="439">
        <f t="shared" si="76"/>
        <v>866</v>
      </c>
      <c r="AT155" s="621">
        <f t="shared" si="84"/>
        <v>94</v>
      </c>
      <c r="AU155" s="437"/>
      <c r="AV155" s="490"/>
      <c r="AW155" s="490"/>
      <c r="AX155" s="513"/>
      <c r="AY155" s="512"/>
      <c r="AZ155" s="512"/>
      <c r="BA155" s="512"/>
      <c r="BB155" s="512"/>
      <c r="BC155" s="512">
        <f t="shared" si="99"/>
        <v>60</v>
      </c>
      <c r="BD155" s="512"/>
      <c r="BE155" s="512"/>
      <c r="BF155" s="512"/>
      <c r="BG155" s="512"/>
      <c r="BH155" s="512"/>
      <c r="BI155" s="512"/>
      <c r="BJ155" s="512"/>
      <c r="BK155" s="512"/>
      <c r="BL155" s="512"/>
      <c r="BM155" s="512"/>
      <c r="BN155" s="512"/>
      <c r="BQ155" s="3">
        <f t="shared" si="87"/>
        <v>522454</v>
      </c>
    </row>
    <row r="156" s="400" customFormat="1" ht="36" customHeight="1" spans="1:69">
      <c r="A156" s="427">
        <v>45974</v>
      </c>
      <c r="B156" s="421" t="s">
        <v>4976</v>
      </c>
      <c r="C156" s="422" t="s">
        <v>117</v>
      </c>
      <c r="D156" s="544">
        <v>4500185602</v>
      </c>
      <c r="E156" s="1692" t="s">
        <v>5593</v>
      </c>
      <c r="F156" s="428" t="s">
        <v>5594</v>
      </c>
      <c r="G156" s="425" t="s">
        <v>4979</v>
      </c>
      <c r="H156" s="426" t="s">
        <v>4980</v>
      </c>
      <c r="I156" s="437">
        <v>960</v>
      </c>
      <c r="J156" s="438">
        <v>0</v>
      </c>
      <c r="K156" s="425">
        <v>16</v>
      </c>
      <c r="L156" s="439">
        <f t="shared" si="86"/>
        <v>60</v>
      </c>
      <c r="M156" s="440">
        <v>46021</v>
      </c>
      <c r="N156" s="440">
        <v>46017</v>
      </c>
      <c r="O156" s="441" t="s">
        <v>5586</v>
      </c>
      <c r="P156" s="441" t="s">
        <v>92</v>
      </c>
      <c r="Q156" s="441"/>
      <c r="R156" s="441" t="s">
        <v>1102</v>
      </c>
      <c r="S156" s="441" t="s">
        <v>123</v>
      </c>
      <c r="T156" s="448" t="s">
        <v>5444</v>
      </c>
      <c r="U156" s="441" t="s">
        <v>4983</v>
      </c>
      <c r="V156" s="441"/>
      <c r="W156" s="441"/>
      <c r="X156" s="424" t="s">
        <v>5160</v>
      </c>
      <c r="Y156" s="441" t="s">
        <v>634</v>
      </c>
      <c r="Z156" s="474">
        <v>0.96</v>
      </c>
      <c r="AA156" s="475">
        <f t="shared" si="95"/>
        <v>921.6</v>
      </c>
      <c r="AB156" s="476" t="s">
        <v>3582</v>
      </c>
      <c r="AC156" s="425" t="s">
        <v>4979</v>
      </c>
      <c r="AD156" s="477" t="s">
        <v>128</v>
      </c>
      <c r="AE156" s="477" t="s">
        <v>4930</v>
      </c>
      <c r="AF156" s="425">
        <v>960</v>
      </c>
      <c r="AG156" s="425">
        <f t="shared" si="93"/>
        <v>0</v>
      </c>
      <c r="AH156" s="425" t="s">
        <v>4335</v>
      </c>
      <c r="AI156" s="478"/>
      <c r="AJ156" s="488">
        <f t="shared" si="96"/>
        <v>960</v>
      </c>
      <c r="AK156" s="488"/>
      <c r="AL156" s="489">
        <f t="shared" si="98"/>
        <v>960</v>
      </c>
      <c r="AM156" s="490"/>
      <c r="AN156" s="437"/>
      <c r="AO156" s="437"/>
      <c r="AP156" s="439">
        <f t="shared" si="97"/>
        <v>960</v>
      </c>
      <c r="AQ156" s="439"/>
      <c r="AR156" s="489"/>
      <c r="AS156" s="439">
        <f t="shared" si="76"/>
        <v>866</v>
      </c>
      <c r="AT156" s="621">
        <f t="shared" si="84"/>
        <v>94</v>
      </c>
      <c r="AU156" s="437"/>
      <c r="AV156" s="490"/>
      <c r="AW156" s="490"/>
      <c r="AX156" s="513"/>
      <c r="AY156" s="512"/>
      <c r="AZ156" s="512"/>
      <c r="BA156" s="512"/>
      <c r="BB156" s="512"/>
      <c r="BC156" s="512">
        <f t="shared" si="99"/>
        <v>60</v>
      </c>
      <c r="BD156" s="512"/>
      <c r="BE156" s="512"/>
      <c r="BF156" s="512"/>
      <c r="BG156" s="512"/>
      <c r="BH156" s="512"/>
      <c r="BI156" s="512"/>
      <c r="BJ156" s="512"/>
      <c r="BK156" s="512"/>
      <c r="BL156" s="512"/>
      <c r="BM156" s="512"/>
      <c r="BN156" s="512"/>
      <c r="BQ156" s="3">
        <f t="shared" si="87"/>
        <v>523414</v>
      </c>
    </row>
    <row r="157" s="400" customFormat="1" ht="36" customHeight="1" spans="1:69">
      <c r="A157" s="427">
        <v>45974</v>
      </c>
      <c r="B157" s="421" t="s">
        <v>4976</v>
      </c>
      <c r="C157" s="422" t="s">
        <v>117</v>
      </c>
      <c r="D157" s="544">
        <v>4500185602</v>
      </c>
      <c r="E157" s="1692" t="s">
        <v>5595</v>
      </c>
      <c r="F157" s="428" t="s">
        <v>5596</v>
      </c>
      <c r="G157" s="425" t="s">
        <v>4979</v>
      </c>
      <c r="H157" s="426" t="s">
        <v>4980</v>
      </c>
      <c r="I157" s="437">
        <v>960</v>
      </c>
      <c r="J157" s="438">
        <v>0</v>
      </c>
      <c r="K157" s="425">
        <v>16</v>
      </c>
      <c r="L157" s="439">
        <f t="shared" si="86"/>
        <v>60</v>
      </c>
      <c r="M157" s="440">
        <v>46021</v>
      </c>
      <c r="N157" s="440">
        <v>46017</v>
      </c>
      <c r="O157" s="441" t="s">
        <v>5586</v>
      </c>
      <c r="P157" s="441" t="s">
        <v>92</v>
      </c>
      <c r="Q157" s="441"/>
      <c r="R157" s="441" t="s">
        <v>1102</v>
      </c>
      <c r="S157" s="441" t="s">
        <v>123</v>
      </c>
      <c r="T157" s="448" t="s">
        <v>5444</v>
      </c>
      <c r="U157" s="441" t="s">
        <v>4983</v>
      </c>
      <c r="V157" s="441"/>
      <c r="W157" s="441"/>
      <c r="X157" s="424" t="s">
        <v>5160</v>
      </c>
      <c r="Y157" s="441" t="s">
        <v>634</v>
      </c>
      <c r="Z157" s="474">
        <v>0.96</v>
      </c>
      <c r="AA157" s="475">
        <f t="shared" si="95"/>
        <v>921.6</v>
      </c>
      <c r="AB157" s="476" t="s">
        <v>3582</v>
      </c>
      <c r="AC157" s="425" t="s">
        <v>4979</v>
      </c>
      <c r="AD157" s="477" t="s">
        <v>128</v>
      </c>
      <c r="AE157" s="477" t="s">
        <v>4930</v>
      </c>
      <c r="AF157" s="425">
        <v>960</v>
      </c>
      <c r="AG157" s="425">
        <f t="shared" si="93"/>
        <v>0</v>
      </c>
      <c r="AH157" s="425" t="s">
        <v>4335</v>
      </c>
      <c r="AI157" s="478"/>
      <c r="AJ157" s="488">
        <f t="shared" si="96"/>
        <v>960</v>
      </c>
      <c r="AK157" s="488"/>
      <c r="AL157" s="489">
        <f t="shared" si="98"/>
        <v>960</v>
      </c>
      <c r="AM157" s="490"/>
      <c r="AN157" s="437"/>
      <c r="AO157" s="437"/>
      <c r="AP157" s="439">
        <f t="shared" si="97"/>
        <v>960</v>
      </c>
      <c r="AQ157" s="439"/>
      <c r="AR157" s="489"/>
      <c r="AS157" s="439">
        <f t="shared" si="76"/>
        <v>866</v>
      </c>
      <c r="AT157" s="621">
        <f t="shared" si="84"/>
        <v>94</v>
      </c>
      <c r="AU157" s="437"/>
      <c r="AV157" s="490"/>
      <c r="AW157" s="490"/>
      <c r="AX157" s="513"/>
      <c r="AY157" s="512"/>
      <c r="AZ157" s="512"/>
      <c r="BA157" s="512"/>
      <c r="BB157" s="512"/>
      <c r="BC157" s="512">
        <f t="shared" si="99"/>
        <v>60</v>
      </c>
      <c r="BD157" s="512"/>
      <c r="BE157" s="512"/>
      <c r="BF157" s="512"/>
      <c r="BG157" s="512"/>
      <c r="BH157" s="512"/>
      <c r="BI157" s="512"/>
      <c r="BJ157" s="512"/>
      <c r="BK157" s="512"/>
      <c r="BL157" s="512"/>
      <c r="BM157" s="512"/>
      <c r="BN157" s="512"/>
      <c r="BQ157" s="3">
        <f t="shared" si="87"/>
        <v>524374</v>
      </c>
    </row>
    <row r="158" s="400" customFormat="1" ht="36" customHeight="1" spans="1:69">
      <c r="A158" s="420">
        <v>45912</v>
      </c>
      <c r="B158" s="421" t="s">
        <v>1210</v>
      </c>
      <c r="C158" s="422" t="s">
        <v>1211</v>
      </c>
      <c r="D158" s="423">
        <v>4500179359</v>
      </c>
      <c r="E158" s="424" t="s">
        <v>5597</v>
      </c>
      <c r="F158" s="423" t="s">
        <v>5598</v>
      </c>
      <c r="G158" s="425" t="s">
        <v>4974</v>
      </c>
      <c r="H158" s="426" t="s">
        <v>5205</v>
      </c>
      <c r="I158" s="437">
        <v>5000</v>
      </c>
      <c r="J158" s="438">
        <v>0</v>
      </c>
      <c r="K158" s="425">
        <v>50</v>
      </c>
      <c r="L158" s="439">
        <f t="shared" si="86"/>
        <v>100</v>
      </c>
      <c r="M158" s="440">
        <v>46016</v>
      </c>
      <c r="N158" s="440">
        <v>46018</v>
      </c>
      <c r="O158" s="441"/>
      <c r="P158" s="441" t="s">
        <v>92</v>
      </c>
      <c r="Q158" s="441" t="s">
        <v>4324</v>
      </c>
      <c r="R158" s="449">
        <v>45919</v>
      </c>
      <c r="S158" s="448" t="s">
        <v>77</v>
      </c>
      <c r="T158" s="450" t="s">
        <v>5599</v>
      </c>
      <c r="U158" s="441"/>
      <c r="V158" s="441"/>
      <c r="W158" s="441"/>
      <c r="X158" s="424" t="s">
        <v>4325</v>
      </c>
      <c r="Y158" s="473" t="s">
        <v>618</v>
      </c>
      <c r="Z158" s="474">
        <v>1.55</v>
      </c>
      <c r="AA158" s="475">
        <f t="shared" si="95"/>
        <v>7750</v>
      </c>
      <c r="AB158" s="437"/>
      <c r="AC158" s="425" t="s">
        <v>5391</v>
      </c>
      <c r="AD158" s="477" t="s">
        <v>128</v>
      </c>
      <c r="AE158" s="477" t="s">
        <v>4930</v>
      </c>
      <c r="AF158" s="425">
        <f>4950+50</f>
        <v>5000</v>
      </c>
      <c r="AG158" s="425">
        <f t="shared" si="93"/>
        <v>0</v>
      </c>
      <c r="AH158" s="425" t="s">
        <v>4335</v>
      </c>
      <c r="AI158" s="478"/>
      <c r="AJ158" s="488">
        <f t="shared" si="96"/>
        <v>5000</v>
      </c>
      <c r="AK158" s="488"/>
      <c r="AL158" s="489"/>
      <c r="AM158" s="437">
        <f t="shared" ref="AM158:AM163" si="100">I158</f>
        <v>5000</v>
      </c>
      <c r="AN158" s="437"/>
      <c r="AO158" s="437"/>
      <c r="AP158" s="439">
        <f t="shared" si="97"/>
        <v>5000</v>
      </c>
      <c r="AQ158" s="439"/>
      <c r="AR158" s="437"/>
      <c r="AS158" s="439">
        <f t="shared" si="76"/>
        <v>4510.41666666667</v>
      </c>
      <c r="AT158" s="621">
        <f t="shared" si="84"/>
        <v>489.583333333333</v>
      </c>
      <c r="AU158" s="489"/>
      <c r="AV158" s="489"/>
      <c r="AW158" s="489"/>
      <c r="AX158" s="512"/>
      <c r="AY158" s="512"/>
      <c r="AZ158" s="512"/>
      <c r="BA158" s="512"/>
      <c r="BB158" s="512">
        <f>I158/25</f>
        <v>200</v>
      </c>
      <c r="BC158" s="512"/>
      <c r="BD158" s="512"/>
      <c r="BE158" s="512"/>
      <c r="BF158" s="512"/>
      <c r="BG158" s="512"/>
      <c r="BH158" s="512"/>
      <c r="BI158" s="512"/>
      <c r="BJ158" s="512"/>
      <c r="BK158" s="512"/>
      <c r="BL158" s="512"/>
      <c r="BM158" s="512"/>
      <c r="BN158" s="512"/>
      <c r="BQ158" s="3">
        <f t="shared" si="87"/>
        <v>529374</v>
      </c>
    </row>
    <row r="159" s="400" customFormat="1" ht="36" customHeight="1" spans="1:69">
      <c r="A159" s="420">
        <v>45932</v>
      </c>
      <c r="B159" s="421" t="s">
        <v>179</v>
      </c>
      <c r="C159" s="422" t="s">
        <v>180</v>
      </c>
      <c r="D159" s="423">
        <v>4500181168</v>
      </c>
      <c r="E159" s="424" t="s">
        <v>5600</v>
      </c>
      <c r="F159" s="423" t="s">
        <v>5601</v>
      </c>
      <c r="G159" s="425" t="s">
        <v>5092</v>
      </c>
      <c r="H159" s="426" t="s">
        <v>5093</v>
      </c>
      <c r="I159" s="437">
        <v>864</v>
      </c>
      <c r="J159" s="438">
        <v>0</v>
      </c>
      <c r="K159" s="425">
        <v>12</v>
      </c>
      <c r="L159" s="439">
        <f t="shared" si="86"/>
        <v>72</v>
      </c>
      <c r="M159" s="440">
        <v>46016</v>
      </c>
      <c r="N159" s="440">
        <v>46018</v>
      </c>
      <c r="O159" s="441"/>
      <c r="P159" s="441" t="s">
        <v>92</v>
      </c>
      <c r="Q159" s="441"/>
      <c r="R159" s="449" t="s">
        <v>5282</v>
      </c>
      <c r="S159" s="441" t="s">
        <v>123</v>
      </c>
      <c r="T159" s="441" t="s">
        <v>5602</v>
      </c>
      <c r="U159" s="441"/>
      <c r="V159" s="441"/>
      <c r="W159" s="441"/>
      <c r="X159" s="424" t="s">
        <v>5603</v>
      </c>
      <c r="Y159" s="473" t="s">
        <v>186</v>
      </c>
      <c r="Z159" s="474">
        <v>3.18</v>
      </c>
      <c r="AA159" s="475">
        <f t="shared" si="95"/>
        <v>2747.52</v>
      </c>
      <c r="AB159" s="476" t="s">
        <v>3582</v>
      </c>
      <c r="AC159" s="478" t="s">
        <v>5098</v>
      </c>
      <c r="AD159" s="477" t="s">
        <v>128</v>
      </c>
      <c r="AE159" s="477" t="s">
        <v>4930</v>
      </c>
      <c r="AF159" s="425">
        <v>864</v>
      </c>
      <c r="AG159" s="425">
        <f t="shared" si="93"/>
        <v>0</v>
      </c>
      <c r="AH159" s="425" t="s">
        <v>4335</v>
      </c>
      <c r="AI159" s="478"/>
      <c r="AJ159" s="488">
        <f>I159*2</f>
        <v>1728</v>
      </c>
      <c r="AK159" s="488"/>
      <c r="AL159" s="489"/>
      <c r="AM159" s="437"/>
      <c r="AN159" s="437">
        <f>I159*2</f>
        <v>1728</v>
      </c>
      <c r="AO159" s="437"/>
      <c r="AP159" s="439">
        <f>I159*2</f>
        <v>1728</v>
      </c>
      <c r="AQ159" s="439"/>
      <c r="AR159" s="489"/>
      <c r="AS159" s="439">
        <f t="shared" si="76"/>
        <v>1558.8</v>
      </c>
      <c r="AT159" s="621">
        <f>I159*(1-(1/48))/10*2</f>
        <v>169.2</v>
      </c>
      <c r="AU159" s="489">
        <f t="shared" ref="AU159:AU163" si="101">I159</f>
        <v>864</v>
      </c>
      <c r="AV159" s="489"/>
      <c r="AW159" s="489"/>
      <c r="AX159" s="512"/>
      <c r="AY159" s="512"/>
      <c r="AZ159" s="512"/>
      <c r="BA159" s="512"/>
      <c r="BB159" s="512"/>
      <c r="BC159" s="512"/>
      <c r="BD159" s="512"/>
      <c r="BE159" s="512"/>
      <c r="BF159" s="512"/>
      <c r="BG159" s="512"/>
      <c r="BH159" s="512"/>
      <c r="BI159" s="512"/>
      <c r="BJ159" s="512"/>
      <c r="BK159" s="512"/>
      <c r="BL159" s="512"/>
      <c r="BM159" s="512">
        <f>I159</f>
        <v>864</v>
      </c>
      <c r="BN159" s="512">
        <f>I159</f>
        <v>864</v>
      </c>
      <c r="BQ159" s="3">
        <f t="shared" si="87"/>
        <v>531102</v>
      </c>
    </row>
    <row r="160" s="400" customFormat="1" ht="36" customHeight="1" spans="1:69">
      <c r="A160" s="420">
        <v>45930</v>
      </c>
      <c r="B160" s="421" t="s">
        <v>4204</v>
      </c>
      <c r="C160" s="422" t="s">
        <v>373</v>
      </c>
      <c r="D160" s="423">
        <v>4500181126</v>
      </c>
      <c r="E160" s="424" t="s">
        <v>5604</v>
      </c>
      <c r="F160" s="423" t="s">
        <v>5605</v>
      </c>
      <c r="G160" s="425" t="s">
        <v>5092</v>
      </c>
      <c r="H160" s="426" t="s">
        <v>5093</v>
      </c>
      <c r="I160" s="437">
        <v>876</v>
      </c>
      <c r="J160" s="438">
        <v>0</v>
      </c>
      <c r="K160" s="425">
        <v>12</v>
      </c>
      <c r="L160" s="439">
        <f t="shared" si="86"/>
        <v>73</v>
      </c>
      <c r="M160" s="440">
        <v>46016</v>
      </c>
      <c r="N160" s="440">
        <v>46018</v>
      </c>
      <c r="O160" s="441"/>
      <c r="P160" s="441" t="s">
        <v>92</v>
      </c>
      <c r="Q160" s="441" t="s">
        <v>3144</v>
      </c>
      <c r="R160" s="449" t="s">
        <v>5282</v>
      </c>
      <c r="S160" s="441" t="s">
        <v>123</v>
      </c>
      <c r="T160" s="441" t="s">
        <v>5606</v>
      </c>
      <c r="U160" s="441"/>
      <c r="V160" s="441"/>
      <c r="W160" s="441"/>
      <c r="X160" s="424" t="s">
        <v>5607</v>
      </c>
      <c r="Y160" s="473" t="s">
        <v>2629</v>
      </c>
      <c r="Z160" s="697">
        <v>3.1175</v>
      </c>
      <c r="AA160" s="475">
        <f t="shared" si="95"/>
        <v>2730.93</v>
      </c>
      <c r="AB160" s="476" t="s">
        <v>3582</v>
      </c>
      <c r="AC160" s="478" t="s">
        <v>5098</v>
      </c>
      <c r="AD160" s="477" t="s">
        <v>128</v>
      </c>
      <c r="AE160" s="477" t="s">
        <v>4930</v>
      </c>
      <c r="AF160" s="425">
        <v>876</v>
      </c>
      <c r="AG160" s="425">
        <f t="shared" si="93"/>
        <v>0</v>
      </c>
      <c r="AH160" s="425" t="s">
        <v>4335</v>
      </c>
      <c r="AI160" s="478"/>
      <c r="AJ160" s="488">
        <f>I160*2</f>
        <v>1752</v>
      </c>
      <c r="AK160" s="488"/>
      <c r="AL160" s="489"/>
      <c r="AM160" s="437"/>
      <c r="AN160" s="437">
        <f>I160*2</f>
        <v>1752</v>
      </c>
      <c r="AO160" s="437"/>
      <c r="AP160" s="439">
        <f>I160*2</f>
        <v>1752</v>
      </c>
      <c r="AQ160" s="439"/>
      <c r="AR160" s="489"/>
      <c r="AS160" s="439">
        <f t="shared" si="76"/>
        <v>1580.45</v>
      </c>
      <c r="AT160" s="621">
        <f>I160*(1-(1/48))/10*2</f>
        <v>171.55</v>
      </c>
      <c r="AU160" s="489">
        <f t="shared" si="101"/>
        <v>876</v>
      </c>
      <c r="AV160" s="489"/>
      <c r="AW160" s="489"/>
      <c r="AX160" s="512"/>
      <c r="AY160" s="512"/>
      <c r="AZ160" s="512"/>
      <c r="BA160" s="512"/>
      <c r="BB160" s="512"/>
      <c r="BC160" s="512"/>
      <c r="BD160" s="512"/>
      <c r="BE160" s="512"/>
      <c r="BF160" s="512"/>
      <c r="BG160" s="512"/>
      <c r="BH160" s="512"/>
      <c r="BI160" s="512"/>
      <c r="BJ160" s="512"/>
      <c r="BK160" s="512"/>
      <c r="BL160" s="512"/>
      <c r="BM160" s="512">
        <f>I160</f>
        <v>876</v>
      </c>
      <c r="BN160" s="512">
        <f>I160</f>
        <v>876</v>
      </c>
      <c r="BQ160" s="3">
        <f t="shared" si="87"/>
        <v>532854</v>
      </c>
    </row>
    <row r="161" s="400" customFormat="1" ht="36" customHeight="1" spans="1:69">
      <c r="A161" s="420">
        <v>45954</v>
      </c>
      <c r="B161" s="421" t="s">
        <v>5608</v>
      </c>
      <c r="C161" s="422" t="s">
        <v>5609</v>
      </c>
      <c r="D161" s="423">
        <v>4500182689</v>
      </c>
      <c r="E161" s="424" t="s">
        <v>5610</v>
      </c>
      <c r="F161" s="423" t="s">
        <v>5611</v>
      </c>
      <c r="G161" s="425" t="s">
        <v>4970</v>
      </c>
      <c r="H161" s="426" t="s">
        <v>5144</v>
      </c>
      <c r="I161" s="437">
        <v>1248</v>
      </c>
      <c r="J161" s="438">
        <v>0</v>
      </c>
      <c r="K161" s="425">
        <v>52</v>
      </c>
      <c r="L161" s="439">
        <f t="shared" si="86"/>
        <v>24</v>
      </c>
      <c r="M161" s="440">
        <v>46017</v>
      </c>
      <c r="N161" s="440">
        <v>46018</v>
      </c>
      <c r="O161" s="441"/>
      <c r="P161" s="441" t="s">
        <v>1262</v>
      </c>
      <c r="Q161" s="441" t="s">
        <v>5514</v>
      </c>
      <c r="R161" s="449">
        <v>45959</v>
      </c>
      <c r="S161" s="441" t="s">
        <v>77</v>
      </c>
      <c r="T161" s="441" t="s">
        <v>5612</v>
      </c>
      <c r="U161" s="441"/>
      <c r="V161" s="441"/>
      <c r="W161" s="441"/>
      <c r="X161" s="741" t="s">
        <v>5613</v>
      </c>
      <c r="Y161" s="473" t="s">
        <v>2831</v>
      </c>
      <c r="Z161" s="474">
        <v>1.46</v>
      </c>
      <c r="AA161" s="475">
        <f t="shared" si="95"/>
        <v>1822.08</v>
      </c>
      <c r="AB161" s="437"/>
      <c r="AC161" s="425" t="s">
        <v>5381</v>
      </c>
      <c r="AD161" s="477" t="s">
        <v>128</v>
      </c>
      <c r="AE161" s="477" t="s">
        <v>4930</v>
      </c>
      <c r="AF161" s="425">
        <v>1248</v>
      </c>
      <c r="AG161" s="425">
        <f t="shared" si="93"/>
        <v>0</v>
      </c>
      <c r="AH161" s="425" t="s">
        <v>4335</v>
      </c>
      <c r="AI161" s="478"/>
      <c r="AJ161" s="488">
        <f t="shared" ref="AJ161:AJ164" si="102">I161</f>
        <v>1248</v>
      </c>
      <c r="AK161" s="488"/>
      <c r="AL161" s="489"/>
      <c r="AM161" s="437">
        <f t="shared" si="100"/>
        <v>1248</v>
      </c>
      <c r="AN161" s="437"/>
      <c r="AO161" s="437"/>
      <c r="AP161" s="439">
        <f t="shared" ref="AP161:AP164" si="103">I161</f>
        <v>1248</v>
      </c>
      <c r="AQ161" s="439"/>
      <c r="AR161" s="489"/>
      <c r="AS161" s="439">
        <f t="shared" si="76"/>
        <v>1125.8</v>
      </c>
      <c r="AT161" s="621">
        <f t="shared" si="84"/>
        <v>122.2</v>
      </c>
      <c r="AU161" s="489">
        <f t="shared" si="101"/>
        <v>1248</v>
      </c>
      <c r="AV161" s="489"/>
      <c r="AW161" s="489"/>
      <c r="AX161" s="512"/>
      <c r="AY161" s="512">
        <f>I161/13</f>
        <v>96</v>
      </c>
      <c r="AZ161" s="512"/>
      <c r="BA161" s="512"/>
      <c r="BB161" s="512"/>
      <c r="BC161" s="512"/>
      <c r="BD161" s="512"/>
      <c r="BE161" s="512"/>
      <c r="BF161" s="512"/>
      <c r="BG161" s="512"/>
      <c r="BH161" s="512"/>
      <c r="BI161" s="512"/>
      <c r="BJ161" s="512"/>
      <c r="BK161" s="512"/>
      <c r="BL161" s="512"/>
      <c r="BM161" s="512"/>
      <c r="BN161" s="512"/>
      <c r="BQ161" s="3">
        <f t="shared" si="87"/>
        <v>534102</v>
      </c>
    </row>
    <row r="162" s="400" customFormat="1" ht="36" customHeight="1" spans="1:69">
      <c r="A162" s="427">
        <v>45964</v>
      </c>
      <c r="B162" s="421" t="s">
        <v>660</v>
      </c>
      <c r="C162" s="422" t="s">
        <v>373</v>
      </c>
      <c r="D162" s="428">
        <v>4500184256</v>
      </c>
      <c r="E162" s="424"/>
      <c r="F162" s="428" t="s">
        <v>5614</v>
      </c>
      <c r="G162" s="425" t="s">
        <v>4988</v>
      </c>
      <c r="H162" s="426" t="s">
        <v>4989</v>
      </c>
      <c r="I162" s="437">
        <v>1975</v>
      </c>
      <c r="J162" s="438">
        <v>0</v>
      </c>
      <c r="K162" s="425">
        <v>25</v>
      </c>
      <c r="L162" s="439">
        <f t="shared" si="86"/>
        <v>79</v>
      </c>
      <c r="M162" s="440">
        <v>46021</v>
      </c>
      <c r="N162" s="734">
        <v>46020</v>
      </c>
      <c r="O162" s="441"/>
      <c r="P162" s="441" t="s">
        <v>92</v>
      </c>
      <c r="Q162" s="441" t="s">
        <v>2732</v>
      </c>
      <c r="R162" s="449">
        <v>45978</v>
      </c>
      <c r="S162" s="448" t="s">
        <v>77</v>
      </c>
      <c r="T162" s="448" t="s">
        <v>5615</v>
      </c>
      <c r="U162" s="441"/>
      <c r="V162" s="441"/>
      <c r="W162" s="441"/>
      <c r="X162" s="741" t="s">
        <v>5616</v>
      </c>
      <c r="Y162" s="441" t="s">
        <v>5174</v>
      </c>
      <c r="Z162" s="474">
        <v>1.6</v>
      </c>
      <c r="AA162" s="475">
        <f t="shared" si="95"/>
        <v>3160</v>
      </c>
      <c r="AB162" s="476" t="s">
        <v>3582</v>
      </c>
      <c r="AC162" s="478" t="s">
        <v>5042</v>
      </c>
      <c r="AD162" s="477" t="s">
        <v>128</v>
      </c>
      <c r="AE162" s="477" t="s">
        <v>4930</v>
      </c>
      <c r="AF162" s="425">
        <f>1950+25</f>
        <v>1975</v>
      </c>
      <c r="AG162" s="425">
        <f t="shared" si="93"/>
        <v>0</v>
      </c>
      <c r="AH162" s="425" t="s">
        <v>4335</v>
      </c>
      <c r="AI162" s="478"/>
      <c r="AJ162" s="488">
        <f t="shared" si="102"/>
        <v>1975</v>
      </c>
      <c r="AK162" s="491"/>
      <c r="AL162" s="492"/>
      <c r="AM162" s="490">
        <f t="shared" si="100"/>
        <v>1975</v>
      </c>
      <c r="AN162" s="437"/>
      <c r="AO162" s="437"/>
      <c r="AP162" s="439">
        <f t="shared" si="103"/>
        <v>1975</v>
      </c>
      <c r="AQ162" s="439"/>
      <c r="AR162" s="489"/>
      <c r="AS162" s="439">
        <f t="shared" si="76"/>
        <v>1781.61458333333</v>
      </c>
      <c r="AT162" s="621">
        <f t="shared" si="84"/>
        <v>193.385416666667</v>
      </c>
      <c r="AU162" s="490">
        <f t="shared" si="101"/>
        <v>1975</v>
      </c>
      <c r="AV162" s="490"/>
      <c r="AW162" s="490"/>
      <c r="AX162" s="513"/>
      <c r="AY162" s="512"/>
      <c r="AZ162" s="512"/>
      <c r="BA162" s="512"/>
      <c r="BB162" s="512">
        <f>I162/25</f>
        <v>79</v>
      </c>
      <c r="BC162" s="512"/>
      <c r="BD162" s="512"/>
      <c r="BE162" s="512"/>
      <c r="BF162" s="512"/>
      <c r="BG162" s="512"/>
      <c r="BH162" s="512"/>
      <c r="BI162" s="512"/>
      <c r="BJ162" s="512"/>
      <c r="BK162" s="512"/>
      <c r="BL162" s="512"/>
      <c r="BM162" s="512"/>
      <c r="BN162" s="512"/>
      <c r="BQ162" s="400">
        <f>AJ162+BQ167</f>
        <v>548573</v>
      </c>
    </row>
    <row r="163" s="400" customFormat="1" ht="36" customHeight="1" spans="1:69">
      <c r="A163" s="427">
        <v>45964</v>
      </c>
      <c r="B163" s="421" t="s">
        <v>660</v>
      </c>
      <c r="C163" s="422" t="s">
        <v>373</v>
      </c>
      <c r="D163" s="428">
        <v>4500184256</v>
      </c>
      <c r="E163" s="424"/>
      <c r="F163" s="428" t="s">
        <v>5617</v>
      </c>
      <c r="G163" s="425" t="s">
        <v>5171</v>
      </c>
      <c r="H163" s="426" t="s">
        <v>5055</v>
      </c>
      <c r="I163" s="437">
        <v>1290</v>
      </c>
      <c r="J163" s="438">
        <v>0</v>
      </c>
      <c r="K163" s="425">
        <v>30</v>
      </c>
      <c r="L163" s="439">
        <f t="shared" si="86"/>
        <v>43</v>
      </c>
      <c r="M163" s="440">
        <v>46021</v>
      </c>
      <c r="N163" s="440">
        <v>46020</v>
      </c>
      <c r="O163" s="441"/>
      <c r="P163" s="441" t="s">
        <v>1262</v>
      </c>
      <c r="Q163" s="441" t="s">
        <v>2732</v>
      </c>
      <c r="R163" s="449">
        <v>45978</v>
      </c>
      <c r="S163" s="448" t="s">
        <v>77</v>
      </c>
      <c r="T163" s="448" t="s">
        <v>5615</v>
      </c>
      <c r="U163" s="441"/>
      <c r="V163" s="441"/>
      <c r="W163" s="441"/>
      <c r="X163" s="424" t="s">
        <v>5618</v>
      </c>
      <c r="Y163" s="441" t="s">
        <v>5174</v>
      </c>
      <c r="Z163" s="474">
        <v>57.5868</v>
      </c>
      <c r="AA163" s="475">
        <f>Z163*L163</f>
        <v>2476.2324</v>
      </c>
      <c r="AB163" s="476" t="s">
        <v>3582</v>
      </c>
      <c r="AC163" s="425" t="s">
        <v>5057</v>
      </c>
      <c r="AD163" s="477" t="s">
        <v>128</v>
      </c>
      <c r="AE163" s="477" t="s">
        <v>4930</v>
      </c>
      <c r="AF163" s="425">
        <v>1290</v>
      </c>
      <c r="AG163" s="425">
        <f t="shared" si="93"/>
        <v>0</v>
      </c>
      <c r="AH163" s="425" t="s">
        <v>4335</v>
      </c>
      <c r="AI163" s="478"/>
      <c r="AJ163" s="488">
        <f t="shared" si="102"/>
        <v>1290</v>
      </c>
      <c r="AK163" s="491"/>
      <c r="AL163" s="492"/>
      <c r="AM163" s="490">
        <f t="shared" si="100"/>
        <v>1290</v>
      </c>
      <c r="AN163" s="437"/>
      <c r="AO163" s="437"/>
      <c r="AP163" s="439">
        <f t="shared" si="103"/>
        <v>1290</v>
      </c>
      <c r="AQ163" s="439"/>
      <c r="AR163" s="489"/>
      <c r="AS163" s="439">
        <f t="shared" si="76"/>
        <v>1163.6875</v>
      </c>
      <c r="AT163" s="621">
        <f t="shared" si="84"/>
        <v>126.3125</v>
      </c>
      <c r="AU163" s="489">
        <f t="shared" si="101"/>
        <v>1290</v>
      </c>
      <c r="AV163" s="490"/>
      <c r="AW163" s="490"/>
      <c r="AX163" s="513"/>
      <c r="AY163" s="512"/>
      <c r="AZ163" s="512"/>
      <c r="BA163" s="512"/>
      <c r="BB163" s="512"/>
      <c r="BC163" s="512"/>
      <c r="BD163" s="512"/>
      <c r="BE163" s="512"/>
      <c r="BF163" s="512"/>
      <c r="BG163" s="512"/>
      <c r="BH163" s="512"/>
      <c r="BI163" s="512"/>
      <c r="BJ163" s="512"/>
      <c r="BK163" s="512">
        <f>BL163</f>
        <v>43</v>
      </c>
      <c r="BL163" s="512">
        <f>I163/30</f>
        <v>43</v>
      </c>
      <c r="BM163" s="512"/>
      <c r="BN163" s="512"/>
      <c r="BQ163" s="3">
        <f t="shared" ref="BQ163:BQ167" si="104">AJ163+BQ162</f>
        <v>549863</v>
      </c>
    </row>
    <row r="164" s="400" customFormat="1" ht="36" customHeight="1" spans="1:69">
      <c r="A164" s="420">
        <v>45978</v>
      </c>
      <c r="B164" s="421" t="s">
        <v>189</v>
      </c>
      <c r="C164" s="422" t="s">
        <v>190</v>
      </c>
      <c r="D164" s="715">
        <v>4500185863</v>
      </c>
      <c r="E164" s="424">
        <v>21320122</v>
      </c>
      <c r="F164" s="425" t="s">
        <v>5619</v>
      </c>
      <c r="G164" s="400" t="s">
        <v>5066</v>
      </c>
      <c r="H164" s="426" t="s">
        <v>5048</v>
      </c>
      <c r="I164" s="437">
        <v>1508</v>
      </c>
      <c r="J164" s="438">
        <v>0</v>
      </c>
      <c r="K164" s="425">
        <v>13</v>
      </c>
      <c r="L164" s="439">
        <f t="shared" si="86"/>
        <v>116</v>
      </c>
      <c r="M164" s="440">
        <v>46020</v>
      </c>
      <c r="N164" s="440">
        <v>46020</v>
      </c>
      <c r="O164" s="441"/>
      <c r="P164" s="441" t="s">
        <v>92</v>
      </c>
      <c r="Q164" s="441" t="s">
        <v>5620</v>
      </c>
      <c r="R164" s="449">
        <v>45989</v>
      </c>
      <c r="S164" s="441" t="s">
        <v>123</v>
      </c>
      <c r="T164" s="441" t="s">
        <v>5621</v>
      </c>
      <c r="U164" s="441"/>
      <c r="V164" s="441"/>
      <c r="W164" s="441"/>
      <c r="X164" s="741" t="s">
        <v>5622</v>
      </c>
      <c r="Y164" s="473" t="s">
        <v>1011</v>
      </c>
      <c r="Z164" s="474">
        <v>1.3955</v>
      </c>
      <c r="AA164" s="475">
        <f t="shared" ref="AA164:AA186" si="105">Z164*I164</f>
        <v>2104.414</v>
      </c>
      <c r="AB164" s="437"/>
      <c r="AC164" s="478" t="s">
        <v>5066</v>
      </c>
      <c r="AD164" s="477" t="s">
        <v>128</v>
      </c>
      <c r="AE164" s="477" t="s">
        <v>4930</v>
      </c>
      <c r="AF164" s="425">
        <f>1456+52</f>
        <v>1508</v>
      </c>
      <c r="AG164" s="425">
        <f t="shared" si="93"/>
        <v>0</v>
      </c>
      <c r="AH164" s="425" t="s">
        <v>4335</v>
      </c>
      <c r="AI164" s="478"/>
      <c r="AJ164" s="488">
        <f t="shared" si="102"/>
        <v>1508</v>
      </c>
      <c r="AK164" s="493"/>
      <c r="AL164" s="494">
        <f>I164</f>
        <v>1508</v>
      </c>
      <c r="AM164" s="437"/>
      <c r="AN164" s="437"/>
      <c r="AO164" s="437"/>
      <c r="AP164" s="439">
        <f t="shared" si="103"/>
        <v>1508</v>
      </c>
      <c r="AQ164" s="439"/>
      <c r="AR164" s="489"/>
      <c r="AS164" s="439">
        <f t="shared" si="76"/>
        <v>1360.34166666667</v>
      </c>
      <c r="AT164" s="621">
        <f t="shared" si="84"/>
        <v>147.658333333333</v>
      </c>
      <c r="AU164" s="489"/>
      <c r="AV164" s="489"/>
      <c r="AW164" s="489"/>
      <c r="AX164" s="512">
        <f>I164/13</f>
        <v>116</v>
      </c>
      <c r="AY164" s="512"/>
      <c r="AZ164" s="512"/>
      <c r="BA164" s="512"/>
      <c r="BB164" s="512"/>
      <c r="BC164" s="512"/>
      <c r="BD164" s="512"/>
      <c r="BE164" s="512"/>
      <c r="BF164" s="512"/>
      <c r="BG164" s="512"/>
      <c r="BH164" s="512"/>
      <c r="BI164" s="512"/>
      <c r="BJ164" s="512"/>
      <c r="BK164" s="512"/>
      <c r="BL164" s="512"/>
      <c r="BM164" s="512"/>
      <c r="BN164" s="512"/>
      <c r="BQ164" s="3">
        <f t="shared" si="104"/>
        <v>551371</v>
      </c>
    </row>
    <row r="165" s="3" customFormat="1" ht="36" customHeight="1" spans="1:69">
      <c r="A165" s="18">
        <v>46021</v>
      </c>
      <c r="B165" s="75"/>
      <c r="C165" s="76"/>
      <c r="D165" s="21" t="s">
        <v>5623</v>
      </c>
      <c r="E165" s="114"/>
      <c r="F165" s="21" t="s">
        <v>5624</v>
      </c>
      <c r="G165" s="23" t="s">
        <v>4963</v>
      </c>
      <c r="H165" s="24" t="s">
        <v>5625</v>
      </c>
      <c r="I165" s="88">
        <v>122</v>
      </c>
      <c r="J165" s="89">
        <v>0</v>
      </c>
      <c r="K165" s="23">
        <v>24</v>
      </c>
      <c r="L165" s="436">
        <f t="shared" si="86"/>
        <v>5.08333333333333</v>
      </c>
      <c r="M165" s="90">
        <v>46030</v>
      </c>
      <c r="N165" s="574">
        <v>46027</v>
      </c>
      <c r="O165" s="91"/>
      <c r="P165" s="91"/>
      <c r="Q165" s="91"/>
      <c r="R165" s="452">
        <v>46386</v>
      </c>
      <c r="S165" s="453" t="s">
        <v>77</v>
      </c>
      <c r="T165" s="454" t="s">
        <v>77</v>
      </c>
      <c r="U165" s="91"/>
      <c r="V165" s="91"/>
      <c r="W165" s="91"/>
      <c r="X165" s="114" t="s">
        <v>5626</v>
      </c>
      <c r="Y165" s="91"/>
      <c r="Z165" s="116"/>
      <c r="AA165" s="117"/>
      <c r="AB165" s="469" t="s">
        <v>3582</v>
      </c>
      <c r="AC165" s="23"/>
      <c r="AD165" s="467"/>
      <c r="AE165" s="467"/>
      <c r="AF165" s="23">
        <v>122</v>
      </c>
      <c r="AG165" s="23"/>
      <c r="AH165" s="23"/>
      <c r="AI165" s="470">
        <v>122</v>
      </c>
      <c r="AJ165" s="155"/>
      <c r="AK165" s="155"/>
      <c r="AL165" s="175">
        <f>AI165</f>
        <v>122</v>
      </c>
      <c r="AM165" s="88"/>
      <c r="AN165" s="88"/>
      <c r="AO165" s="88"/>
      <c r="AP165" s="436"/>
      <c r="AQ165" s="436"/>
      <c r="AR165" s="88"/>
      <c r="AS165" s="436"/>
      <c r="AT165" s="505"/>
      <c r="AU165" s="486"/>
      <c r="AV165" s="486"/>
      <c r="AW165" s="486"/>
      <c r="AX165" s="514"/>
      <c r="AY165" s="181"/>
      <c r="AZ165" s="181"/>
      <c r="BA165" s="181"/>
      <c r="BB165" s="181"/>
      <c r="BC165" s="181"/>
      <c r="BD165" s="181"/>
      <c r="BE165" s="181"/>
      <c r="BF165" s="181"/>
      <c r="BG165" s="181"/>
      <c r="BH165" s="181"/>
      <c r="BI165" s="181"/>
      <c r="BJ165" s="181"/>
      <c r="BK165" s="181"/>
      <c r="BL165" s="181"/>
      <c r="BM165" s="181"/>
      <c r="BN165" s="181"/>
      <c r="BQ165" s="3">
        <f>AJ165+BQ175</f>
        <v>587451</v>
      </c>
    </row>
    <row r="166" s="3" customFormat="1" ht="36" customHeight="1" spans="1:69">
      <c r="A166" s="74">
        <v>45971</v>
      </c>
      <c r="B166" s="75" t="s">
        <v>1287</v>
      </c>
      <c r="C166" s="76" t="s">
        <v>1288</v>
      </c>
      <c r="D166" s="77">
        <v>4500184934</v>
      </c>
      <c r="E166" s="719">
        <v>84715</v>
      </c>
      <c r="F166" s="77" t="s">
        <v>5627</v>
      </c>
      <c r="G166" s="23" t="s">
        <v>4974</v>
      </c>
      <c r="H166" s="24" t="s">
        <v>5205</v>
      </c>
      <c r="I166" s="88">
        <v>10000</v>
      </c>
      <c r="J166" s="89">
        <v>0</v>
      </c>
      <c r="K166" s="23">
        <v>50</v>
      </c>
      <c r="L166" s="436">
        <f t="shared" si="86"/>
        <v>200</v>
      </c>
      <c r="M166" s="90">
        <v>46010</v>
      </c>
      <c r="N166" s="574">
        <v>46027</v>
      </c>
      <c r="O166" s="91"/>
      <c r="P166" s="87"/>
      <c r="Q166" s="91"/>
      <c r="R166" s="452">
        <v>45978</v>
      </c>
      <c r="S166" s="453" t="s">
        <v>77</v>
      </c>
      <c r="T166" s="113" t="s">
        <v>5628</v>
      </c>
      <c r="U166" s="91"/>
      <c r="V166" s="91" t="s">
        <v>863</v>
      </c>
      <c r="W166" s="91"/>
      <c r="X166" s="719" t="s">
        <v>5629</v>
      </c>
      <c r="Y166" s="139" t="s">
        <v>5456</v>
      </c>
      <c r="Z166" s="748">
        <v>1.4435</v>
      </c>
      <c r="AA166" s="117">
        <f t="shared" si="105"/>
        <v>14435</v>
      </c>
      <c r="AB166" s="469" t="s">
        <v>3582</v>
      </c>
      <c r="AC166" s="23" t="s">
        <v>4974</v>
      </c>
      <c r="AD166" s="467" t="s">
        <v>128</v>
      </c>
      <c r="AE166" s="467" t="s">
        <v>4930</v>
      </c>
      <c r="AF166" s="23"/>
      <c r="AG166" s="483">
        <f t="shared" ref="AG166:AG186" si="106">AF166-I166</f>
        <v>-10000</v>
      </c>
      <c r="AH166" s="23" t="s">
        <v>75</v>
      </c>
      <c r="AI166" s="153"/>
      <c r="AJ166" s="155">
        <f t="shared" ref="AJ166:AJ186" si="107">I166</f>
        <v>10000</v>
      </c>
      <c r="AK166" s="155"/>
      <c r="AL166" s="175">
        <f t="shared" ref="AL166:AL171" si="108">I166</f>
        <v>10000</v>
      </c>
      <c r="AM166" s="486"/>
      <c r="AN166" s="88"/>
      <c r="AO166" s="88"/>
      <c r="AP166" s="436">
        <f t="shared" ref="AP166:AP186" si="109">I166</f>
        <v>10000</v>
      </c>
      <c r="AQ166" s="436"/>
      <c r="AR166" s="88"/>
      <c r="AS166" s="436">
        <f t="shared" ref="AS166:AS186" si="110">AP166-AT166</f>
        <v>9020.83333333333</v>
      </c>
      <c r="AT166" s="621">
        <f t="shared" ref="AT166:AT186" si="111">I166*(1-(1/48))/10</f>
        <v>979.166666666667</v>
      </c>
      <c r="AU166" s="175"/>
      <c r="AV166" s="175"/>
      <c r="AW166" s="175"/>
      <c r="AX166" s="181"/>
      <c r="AY166" s="181"/>
      <c r="AZ166" s="181"/>
      <c r="BA166" s="181">
        <f t="shared" ref="BA166:BA171" si="112">I166/25</f>
        <v>400</v>
      </c>
      <c r="BB166" s="181"/>
      <c r="BC166" s="181"/>
      <c r="BD166" s="181"/>
      <c r="BE166" s="181"/>
      <c r="BF166" s="181"/>
      <c r="BG166" s="181"/>
      <c r="BH166" s="181"/>
      <c r="BI166" s="181"/>
      <c r="BJ166" s="181"/>
      <c r="BK166" s="181"/>
      <c r="BL166" s="181"/>
      <c r="BM166" s="181"/>
      <c r="BN166" s="181"/>
      <c r="BQ166" s="3">
        <f>AJ166+BQ161</f>
        <v>544102</v>
      </c>
    </row>
    <row r="167" s="691" customFormat="1" ht="36" customHeight="1" spans="1:69">
      <c r="A167" s="720">
        <v>45964</v>
      </c>
      <c r="B167" s="721" t="s">
        <v>660</v>
      </c>
      <c r="C167" s="722" t="s">
        <v>373</v>
      </c>
      <c r="D167" s="723">
        <v>4500184256</v>
      </c>
      <c r="E167" s="724"/>
      <c r="F167" s="723" t="s">
        <v>5630</v>
      </c>
      <c r="G167" s="483" t="s">
        <v>5066</v>
      </c>
      <c r="H167" s="725" t="s">
        <v>5048</v>
      </c>
      <c r="I167" s="735">
        <v>2496</v>
      </c>
      <c r="J167" s="736">
        <v>0</v>
      </c>
      <c r="K167" s="483">
        <v>13</v>
      </c>
      <c r="L167" s="737">
        <f t="shared" si="86"/>
        <v>192</v>
      </c>
      <c r="M167" s="738">
        <v>46021</v>
      </c>
      <c r="N167" s="574">
        <v>46027</v>
      </c>
      <c r="O167" s="739"/>
      <c r="P167" s="739"/>
      <c r="Q167" s="739" t="s">
        <v>2732</v>
      </c>
      <c r="R167" s="452">
        <v>45978</v>
      </c>
      <c r="S167" s="453" t="s">
        <v>77</v>
      </c>
      <c r="T167" s="742" t="s">
        <v>5615</v>
      </c>
      <c r="U167" s="739"/>
      <c r="V167" s="91" t="s">
        <v>5631</v>
      </c>
      <c r="W167" s="739"/>
      <c r="X167" s="743" t="s">
        <v>5632</v>
      </c>
      <c r="Y167" s="739" t="s">
        <v>5174</v>
      </c>
      <c r="Z167" s="749">
        <v>1.43</v>
      </c>
      <c r="AA167" s="750">
        <f t="shared" si="105"/>
        <v>3569.28</v>
      </c>
      <c r="AB167" s="751" t="s">
        <v>3582</v>
      </c>
      <c r="AC167" s="23" t="s">
        <v>5052</v>
      </c>
      <c r="AD167" s="752" t="s">
        <v>128</v>
      </c>
      <c r="AE167" s="467" t="s">
        <v>4930</v>
      </c>
      <c r="AF167" s="483"/>
      <c r="AG167" s="483">
        <f t="shared" si="106"/>
        <v>-2496</v>
      </c>
      <c r="AH167" s="483" t="s">
        <v>4335</v>
      </c>
      <c r="AI167" s="754"/>
      <c r="AJ167" s="755">
        <f t="shared" si="107"/>
        <v>2496</v>
      </c>
      <c r="AK167" s="756"/>
      <c r="AL167" s="757"/>
      <c r="AM167" s="486">
        <f t="shared" ref="AM167:AM169" si="113">I167</f>
        <v>2496</v>
      </c>
      <c r="AN167" s="757"/>
      <c r="AO167" s="757"/>
      <c r="AP167" s="436">
        <f t="shared" si="109"/>
        <v>2496</v>
      </c>
      <c r="AQ167" s="436"/>
      <c r="AR167" s="88"/>
      <c r="AS167" s="436">
        <f t="shared" si="110"/>
        <v>2251.6</v>
      </c>
      <c r="AT167" s="621">
        <f t="shared" si="111"/>
        <v>244.4</v>
      </c>
      <c r="AU167" s="175">
        <f>I167</f>
        <v>2496</v>
      </c>
      <c r="AV167" s="762"/>
      <c r="AW167" s="762"/>
      <c r="AX167" s="763"/>
      <c r="AY167" s="181">
        <f>I167/13</f>
        <v>192</v>
      </c>
      <c r="AZ167" s="181"/>
      <c r="BA167" s="764"/>
      <c r="BB167" s="764"/>
      <c r="BC167" s="764"/>
      <c r="BD167" s="764"/>
      <c r="BE167" s="764"/>
      <c r="BF167" s="764"/>
      <c r="BG167" s="764"/>
      <c r="BH167" s="764"/>
      <c r="BI167" s="764"/>
      <c r="BJ167" s="764"/>
      <c r="BK167" s="764"/>
      <c r="BL167" s="764"/>
      <c r="BM167" s="764"/>
      <c r="BN167" s="764"/>
      <c r="BQ167" s="3">
        <f t="shared" si="104"/>
        <v>546598</v>
      </c>
    </row>
    <row r="168" s="3" customFormat="1" ht="36" customHeight="1" spans="1:69">
      <c r="A168" s="74">
        <v>45954</v>
      </c>
      <c r="B168" s="75" t="s">
        <v>2617</v>
      </c>
      <c r="C168" s="76" t="s">
        <v>286</v>
      </c>
      <c r="D168" s="77">
        <v>4500183087</v>
      </c>
      <c r="E168" s="114">
        <v>5251218850</v>
      </c>
      <c r="F168" s="77" t="s">
        <v>5633</v>
      </c>
      <c r="G168" s="23" t="s">
        <v>4988</v>
      </c>
      <c r="H168" s="24" t="s">
        <v>5634</v>
      </c>
      <c r="I168" s="88">
        <v>10000</v>
      </c>
      <c r="J168" s="89">
        <v>0</v>
      </c>
      <c r="K168" s="23">
        <v>25</v>
      </c>
      <c r="L168" s="436">
        <f t="shared" si="86"/>
        <v>400</v>
      </c>
      <c r="M168" s="90">
        <v>46006</v>
      </c>
      <c r="N168" s="574">
        <v>46027</v>
      </c>
      <c r="O168" s="91" t="s">
        <v>3024</v>
      </c>
      <c r="P168" s="87"/>
      <c r="Q168" s="91" t="s">
        <v>5452</v>
      </c>
      <c r="R168" s="452">
        <v>45960</v>
      </c>
      <c r="S168" s="91" t="s">
        <v>77</v>
      </c>
      <c r="T168" s="113" t="s">
        <v>5635</v>
      </c>
      <c r="U168" s="91" t="s">
        <v>5636</v>
      </c>
      <c r="V168" s="91"/>
      <c r="W168" s="91"/>
      <c r="X168" s="114" t="s">
        <v>5637</v>
      </c>
      <c r="Y168" s="139" t="s">
        <v>290</v>
      </c>
      <c r="Z168" s="116">
        <v>1.6</v>
      </c>
      <c r="AA168" s="117">
        <f t="shared" si="105"/>
        <v>16000</v>
      </c>
      <c r="AB168" s="469" t="s">
        <v>3582</v>
      </c>
      <c r="AC168" s="470" t="s">
        <v>5042</v>
      </c>
      <c r="AD168" s="467" t="s">
        <v>128</v>
      </c>
      <c r="AE168" s="467" t="s">
        <v>4930</v>
      </c>
      <c r="AF168" s="23"/>
      <c r="AG168" s="483">
        <f t="shared" si="106"/>
        <v>-10000</v>
      </c>
      <c r="AH168" s="23" t="s">
        <v>4335</v>
      </c>
      <c r="AI168" s="470"/>
      <c r="AJ168" s="155">
        <f t="shared" si="107"/>
        <v>10000</v>
      </c>
      <c r="AK168" s="155"/>
      <c r="AL168" s="175"/>
      <c r="AM168" s="486">
        <f t="shared" si="113"/>
        <v>10000</v>
      </c>
      <c r="AN168" s="88"/>
      <c r="AO168" s="88"/>
      <c r="AP168" s="436">
        <f t="shared" si="109"/>
        <v>10000</v>
      </c>
      <c r="AQ168" s="436"/>
      <c r="AR168" s="88"/>
      <c r="AS168" s="436">
        <f t="shared" si="110"/>
        <v>9020.83333333333</v>
      </c>
      <c r="AT168" s="621">
        <f t="shared" si="111"/>
        <v>979.166666666667</v>
      </c>
      <c r="AU168" s="175"/>
      <c r="AV168" s="175"/>
      <c r="AW168" s="175">
        <f>I168</f>
        <v>10000</v>
      </c>
      <c r="AX168" s="181"/>
      <c r="AY168" s="181"/>
      <c r="AZ168" s="181"/>
      <c r="BA168" s="181"/>
      <c r="BB168" s="181">
        <f t="shared" ref="BB168:BB172" si="114">I168/25</f>
        <v>400</v>
      </c>
      <c r="BC168" s="181"/>
      <c r="BD168" s="181"/>
      <c r="BE168" s="181"/>
      <c r="BF168" s="181"/>
      <c r="BG168" s="181"/>
      <c r="BH168" s="181"/>
      <c r="BI168" s="181"/>
      <c r="BJ168" s="181"/>
      <c r="BK168" s="181"/>
      <c r="BL168" s="181"/>
      <c r="BM168" s="181"/>
      <c r="BN168" s="181"/>
      <c r="BQ168" s="3">
        <f>AJ168+BQ164</f>
        <v>561371</v>
      </c>
    </row>
    <row r="169" s="691" customFormat="1" ht="36" customHeight="1" spans="1:69">
      <c r="A169" s="720">
        <v>45961</v>
      </c>
      <c r="B169" s="721" t="s">
        <v>5638</v>
      </c>
      <c r="C169" s="722" t="s">
        <v>5639</v>
      </c>
      <c r="D169" s="723">
        <v>4500183983</v>
      </c>
      <c r="E169" s="724"/>
      <c r="F169" s="723" t="s">
        <v>5640</v>
      </c>
      <c r="G169" s="483" t="s">
        <v>4974</v>
      </c>
      <c r="H169" s="725" t="s">
        <v>5205</v>
      </c>
      <c r="I169" s="735">
        <v>3600</v>
      </c>
      <c r="J169" s="736">
        <v>0</v>
      </c>
      <c r="K169" s="483">
        <v>50</v>
      </c>
      <c r="L169" s="737">
        <f t="shared" si="86"/>
        <v>72</v>
      </c>
      <c r="M169" s="738">
        <v>46021</v>
      </c>
      <c r="N169" s="574">
        <v>46027</v>
      </c>
      <c r="O169" s="739"/>
      <c r="P169" s="739"/>
      <c r="Q169" s="739"/>
      <c r="R169" s="452">
        <v>45978</v>
      </c>
      <c r="S169" s="453" t="s">
        <v>77</v>
      </c>
      <c r="T169" s="453" t="s">
        <v>5641</v>
      </c>
      <c r="U169" s="739"/>
      <c r="V169" s="739"/>
      <c r="W169" s="739"/>
      <c r="X169" s="724" t="s">
        <v>5642</v>
      </c>
      <c r="Y169" s="739" t="s">
        <v>618</v>
      </c>
      <c r="Z169" s="749">
        <v>1.55</v>
      </c>
      <c r="AA169" s="750">
        <f t="shared" si="105"/>
        <v>5580</v>
      </c>
      <c r="AB169" s="751" t="s">
        <v>3582</v>
      </c>
      <c r="AC169" s="23" t="s">
        <v>5391</v>
      </c>
      <c r="AD169" s="752" t="s">
        <v>128</v>
      </c>
      <c r="AE169" s="467" t="s">
        <v>4930</v>
      </c>
      <c r="AF169" s="483"/>
      <c r="AG169" s="483">
        <f t="shared" si="106"/>
        <v>-3600</v>
      </c>
      <c r="AH169" s="483" t="s">
        <v>4335</v>
      </c>
      <c r="AI169" s="754"/>
      <c r="AJ169" s="155">
        <f t="shared" si="107"/>
        <v>3600</v>
      </c>
      <c r="AK169" s="155"/>
      <c r="AL169" s="175"/>
      <c r="AM169" s="88">
        <f t="shared" si="113"/>
        <v>3600</v>
      </c>
      <c r="AN169" s="88"/>
      <c r="AO169" s="88"/>
      <c r="AP169" s="436">
        <f t="shared" si="109"/>
        <v>3600</v>
      </c>
      <c r="AQ169" s="436"/>
      <c r="AR169" s="88"/>
      <c r="AS169" s="436">
        <f t="shared" si="110"/>
        <v>3247.5</v>
      </c>
      <c r="AT169" s="621">
        <f t="shared" si="111"/>
        <v>352.5</v>
      </c>
      <c r="AU169" s="762"/>
      <c r="AV169" s="762"/>
      <c r="AW169" s="762"/>
      <c r="AX169" s="763"/>
      <c r="AY169" s="764"/>
      <c r="AZ169" s="764"/>
      <c r="BA169" s="764"/>
      <c r="BB169" s="181">
        <f t="shared" si="114"/>
        <v>144</v>
      </c>
      <c r="BC169" s="764"/>
      <c r="BD169" s="764"/>
      <c r="BE169" s="764"/>
      <c r="BF169" s="764"/>
      <c r="BG169" s="764"/>
      <c r="BH169" s="764"/>
      <c r="BI169" s="764"/>
      <c r="BJ169" s="764"/>
      <c r="BK169" s="764"/>
      <c r="BL169" s="764"/>
      <c r="BM169" s="764"/>
      <c r="BN169" s="764"/>
      <c r="BQ169" s="3">
        <f t="shared" ref="BQ169:BQ175" si="115">AJ169+BQ168</f>
        <v>564971</v>
      </c>
    </row>
    <row r="170" s="3" customFormat="1" ht="36" customHeight="1" spans="1:69">
      <c r="A170" s="18">
        <v>45993</v>
      </c>
      <c r="B170" s="75" t="s">
        <v>485</v>
      </c>
      <c r="C170" s="76" t="s">
        <v>233</v>
      </c>
      <c r="D170" s="21">
        <v>4500187690</v>
      </c>
      <c r="E170" s="114">
        <v>29394329</v>
      </c>
      <c r="F170" s="21" t="s">
        <v>5643</v>
      </c>
      <c r="G170" s="23" t="s">
        <v>4974</v>
      </c>
      <c r="H170" s="24" t="s">
        <v>5205</v>
      </c>
      <c r="I170" s="88">
        <v>5000</v>
      </c>
      <c r="J170" s="89">
        <v>0</v>
      </c>
      <c r="K170" s="23">
        <v>50</v>
      </c>
      <c r="L170" s="436">
        <f t="shared" si="86"/>
        <v>100</v>
      </c>
      <c r="M170" s="90">
        <v>46027</v>
      </c>
      <c r="N170" s="574">
        <v>46027</v>
      </c>
      <c r="O170" s="91"/>
      <c r="P170" s="91"/>
      <c r="Q170" s="91" t="s">
        <v>5644</v>
      </c>
      <c r="R170" s="452">
        <v>45994</v>
      </c>
      <c r="S170" s="453" t="s">
        <v>77</v>
      </c>
      <c r="T170" s="113" t="s">
        <v>5645</v>
      </c>
      <c r="U170" s="91"/>
      <c r="V170" s="91"/>
      <c r="W170" s="91"/>
      <c r="X170" s="114" t="s">
        <v>5646</v>
      </c>
      <c r="Y170" s="139" t="s">
        <v>5647</v>
      </c>
      <c r="Z170" s="116">
        <v>1.4485</v>
      </c>
      <c r="AA170" s="117">
        <f t="shared" si="105"/>
        <v>7242.5</v>
      </c>
      <c r="AB170" s="469" t="s">
        <v>3582</v>
      </c>
      <c r="AC170" s="23" t="s">
        <v>4974</v>
      </c>
      <c r="AD170" s="467" t="s">
        <v>128</v>
      </c>
      <c r="AE170" s="467" t="s">
        <v>4930</v>
      </c>
      <c r="AF170" s="23"/>
      <c r="AG170" s="483">
        <f t="shared" si="106"/>
        <v>-5000</v>
      </c>
      <c r="AH170" s="23" t="s">
        <v>4335</v>
      </c>
      <c r="AI170" s="153"/>
      <c r="AJ170" s="155">
        <f t="shared" si="107"/>
        <v>5000</v>
      </c>
      <c r="AK170" s="155"/>
      <c r="AL170" s="175">
        <f t="shared" si="108"/>
        <v>5000</v>
      </c>
      <c r="AM170" s="88"/>
      <c r="AN170" s="175"/>
      <c r="AO170" s="175"/>
      <c r="AP170" s="436">
        <f t="shared" si="109"/>
        <v>5000</v>
      </c>
      <c r="AQ170" s="436"/>
      <c r="AR170" s="88"/>
      <c r="AS170" s="436">
        <f t="shared" si="110"/>
        <v>4510.41666666667</v>
      </c>
      <c r="AT170" s="621">
        <f t="shared" si="111"/>
        <v>489.583333333333</v>
      </c>
      <c r="AU170" s="175"/>
      <c r="AV170" s="628"/>
      <c r="AW170" s="628"/>
      <c r="AX170" s="514"/>
      <c r="AY170" s="181"/>
      <c r="AZ170" s="181"/>
      <c r="BA170" s="181">
        <f t="shared" si="112"/>
        <v>200</v>
      </c>
      <c r="BB170" s="181"/>
      <c r="BC170" s="181"/>
      <c r="BD170" s="181"/>
      <c r="BE170" s="181"/>
      <c r="BF170" s="181"/>
      <c r="BG170" s="181"/>
      <c r="BH170" s="181"/>
      <c r="BI170" s="181"/>
      <c r="BJ170" s="181"/>
      <c r="BK170" s="181"/>
      <c r="BL170" s="181"/>
      <c r="BM170" s="181"/>
      <c r="BN170" s="181"/>
      <c r="BQ170" s="3">
        <f t="shared" si="115"/>
        <v>569971</v>
      </c>
    </row>
    <row r="171" s="3" customFormat="1" ht="36" customHeight="1" spans="1:69">
      <c r="A171" s="18">
        <v>45993</v>
      </c>
      <c r="B171" s="75" t="s">
        <v>485</v>
      </c>
      <c r="C171" s="76" t="s">
        <v>233</v>
      </c>
      <c r="D171" s="21">
        <v>4500187690</v>
      </c>
      <c r="E171" s="114">
        <v>29394398</v>
      </c>
      <c r="F171" s="21" t="s">
        <v>5648</v>
      </c>
      <c r="G171" s="23" t="s">
        <v>4974</v>
      </c>
      <c r="H171" s="24" t="s">
        <v>5205</v>
      </c>
      <c r="I171" s="88">
        <v>3000</v>
      </c>
      <c r="J171" s="89">
        <v>0</v>
      </c>
      <c r="K171" s="23">
        <v>50</v>
      </c>
      <c r="L171" s="436">
        <f t="shared" si="86"/>
        <v>60</v>
      </c>
      <c r="M171" s="90">
        <v>46027</v>
      </c>
      <c r="N171" s="574">
        <v>46027</v>
      </c>
      <c r="O171" s="91"/>
      <c r="P171" s="91"/>
      <c r="Q171" s="91" t="s">
        <v>5644</v>
      </c>
      <c r="R171" s="452">
        <v>45994</v>
      </c>
      <c r="S171" s="453" t="s">
        <v>77</v>
      </c>
      <c r="T171" s="113" t="s">
        <v>5645</v>
      </c>
      <c r="U171" s="91"/>
      <c r="V171" s="91"/>
      <c r="W171" s="91"/>
      <c r="X171" s="114" t="s">
        <v>5646</v>
      </c>
      <c r="Y171" s="139" t="s">
        <v>5647</v>
      </c>
      <c r="Z171" s="116">
        <v>1.4535</v>
      </c>
      <c r="AA171" s="117">
        <f t="shared" si="105"/>
        <v>4360.5</v>
      </c>
      <c r="AB171" s="469" t="s">
        <v>3582</v>
      </c>
      <c r="AC171" s="23" t="s">
        <v>4974</v>
      </c>
      <c r="AD171" s="467" t="s">
        <v>128</v>
      </c>
      <c r="AE171" s="467" t="s">
        <v>4930</v>
      </c>
      <c r="AF171" s="23"/>
      <c r="AG171" s="483">
        <f t="shared" si="106"/>
        <v>-3000</v>
      </c>
      <c r="AH171" s="23" t="s">
        <v>4335</v>
      </c>
      <c r="AI171" s="153"/>
      <c r="AJ171" s="155">
        <f t="shared" si="107"/>
        <v>3000</v>
      </c>
      <c r="AK171" s="155"/>
      <c r="AL171" s="175">
        <f t="shared" si="108"/>
        <v>3000</v>
      </c>
      <c r="AM171" s="88"/>
      <c r="AN171" s="175"/>
      <c r="AO171" s="175"/>
      <c r="AP171" s="436">
        <f t="shared" si="109"/>
        <v>3000</v>
      </c>
      <c r="AQ171" s="436"/>
      <c r="AR171" s="88"/>
      <c r="AS171" s="436">
        <f t="shared" si="110"/>
        <v>2706.25</v>
      </c>
      <c r="AT171" s="621">
        <f t="shared" si="111"/>
        <v>293.75</v>
      </c>
      <c r="AU171" s="175"/>
      <c r="AV171" s="628"/>
      <c r="AW171" s="628"/>
      <c r="AX171" s="514"/>
      <c r="AY171" s="181"/>
      <c r="AZ171" s="181"/>
      <c r="BA171" s="181">
        <f t="shared" si="112"/>
        <v>120</v>
      </c>
      <c r="BB171" s="181"/>
      <c r="BC171" s="181"/>
      <c r="BD171" s="181"/>
      <c r="BE171" s="181"/>
      <c r="BF171" s="181"/>
      <c r="BG171" s="181"/>
      <c r="BH171" s="181"/>
      <c r="BI171" s="181"/>
      <c r="BJ171" s="181"/>
      <c r="BK171" s="181"/>
      <c r="BL171" s="181"/>
      <c r="BM171" s="181"/>
      <c r="BN171" s="181"/>
      <c r="BQ171" s="3">
        <f t="shared" si="115"/>
        <v>572971</v>
      </c>
    </row>
    <row r="172" s="3" customFormat="1" ht="36" customHeight="1" spans="1:69">
      <c r="A172" s="18">
        <v>45971</v>
      </c>
      <c r="B172" s="75" t="s">
        <v>5649</v>
      </c>
      <c r="C172" s="76" t="s">
        <v>435</v>
      </c>
      <c r="D172" s="21">
        <v>4500185039</v>
      </c>
      <c r="E172" s="114">
        <v>4500157038</v>
      </c>
      <c r="F172" s="21" t="s">
        <v>5650</v>
      </c>
      <c r="G172" s="23" t="s">
        <v>4974</v>
      </c>
      <c r="H172" s="24" t="s">
        <v>5205</v>
      </c>
      <c r="I172" s="88">
        <v>5150</v>
      </c>
      <c r="J172" s="89">
        <v>0</v>
      </c>
      <c r="K172" s="23">
        <v>50</v>
      </c>
      <c r="L172" s="436">
        <f t="shared" si="86"/>
        <v>103</v>
      </c>
      <c r="M172" s="90">
        <v>46028</v>
      </c>
      <c r="N172" s="574">
        <v>46027</v>
      </c>
      <c r="O172" s="91"/>
      <c r="P172" s="91"/>
      <c r="Q172" s="91" t="s">
        <v>5544</v>
      </c>
      <c r="R172" s="452">
        <v>45971</v>
      </c>
      <c r="S172" s="453" t="s">
        <v>77</v>
      </c>
      <c r="T172" s="453" t="s">
        <v>5651</v>
      </c>
      <c r="U172" s="91"/>
      <c r="V172" s="91"/>
      <c r="W172" s="91"/>
      <c r="X172" s="114" t="s">
        <v>5652</v>
      </c>
      <c r="Y172" s="91" t="s">
        <v>1294</v>
      </c>
      <c r="Z172" s="116">
        <v>1.55</v>
      </c>
      <c r="AA172" s="117">
        <f t="shared" si="105"/>
        <v>7982.5</v>
      </c>
      <c r="AB172" s="469" t="s">
        <v>3582</v>
      </c>
      <c r="AC172" s="23" t="s">
        <v>5391</v>
      </c>
      <c r="AD172" s="467" t="s">
        <v>128</v>
      </c>
      <c r="AE172" s="467" t="s">
        <v>4930</v>
      </c>
      <c r="AF172" s="23"/>
      <c r="AG172" s="483">
        <f t="shared" si="106"/>
        <v>-5150</v>
      </c>
      <c r="AH172" s="23" t="s">
        <v>75</v>
      </c>
      <c r="AI172" s="470"/>
      <c r="AJ172" s="155">
        <f t="shared" si="107"/>
        <v>5150</v>
      </c>
      <c r="AK172" s="155"/>
      <c r="AL172" s="175"/>
      <c r="AM172" s="88">
        <f t="shared" ref="AM172:AM177" si="116">I172</f>
        <v>5150</v>
      </c>
      <c r="AN172" s="88"/>
      <c r="AO172" s="88"/>
      <c r="AP172" s="436">
        <f t="shared" si="109"/>
        <v>5150</v>
      </c>
      <c r="AQ172" s="436"/>
      <c r="AR172" s="88"/>
      <c r="AS172" s="436">
        <f t="shared" si="110"/>
        <v>4645.72916666667</v>
      </c>
      <c r="AT172" s="621">
        <f t="shared" si="111"/>
        <v>504.270833333333</v>
      </c>
      <c r="AU172" s="175">
        <f t="shared" ref="AU172:AU174" si="117">I172</f>
        <v>5150</v>
      </c>
      <c r="AV172" s="486"/>
      <c r="AW172" s="486"/>
      <c r="AX172" s="514"/>
      <c r="AY172" s="181"/>
      <c r="AZ172" s="181"/>
      <c r="BA172" s="181"/>
      <c r="BB172" s="181">
        <f t="shared" si="114"/>
        <v>206</v>
      </c>
      <c r="BC172" s="181"/>
      <c r="BD172" s="181"/>
      <c r="BE172" s="181"/>
      <c r="BF172" s="181"/>
      <c r="BG172" s="181"/>
      <c r="BH172" s="181"/>
      <c r="BI172" s="181"/>
      <c r="BJ172" s="181"/>
      <c r="BK172" s="181"/>
      <c r="BL172" s="181"/>
      <c r="BM172" s="181"/>
      <c r="BN172" s="181"/>
      <c r="BQ172" s="3">
        <f t="shared" si="115"/>
        <v>578121</v>
      </c>
    </row>
    <row r="173" s="3" customFormat="1" ht="36" customHeight="1" spans="1:69">
      <c r="A173" s="18">
        <v>45986</v>
      </c>
      <c r="B173" s="75" t="s">
        <v>601</v>
      </c>
      <c r="C173" s="76" t="s">
        <v>602</v>
      </c>
      <c r="D173" s="21">
        <v>4500186877</v>
      </c>
      <c r="E173" s="114"/>
      <c r="F173" s="21" t="s">
        <v>5653</v>
      </c>
      <c r="G173" s="23" t="s">
        <v>4970</v>
      </c>
      <c r="H173" s="24" t="s">
        <v>5144</v>
      </c>
      <c r="I173" s="88">
        <v>5564</v>
      </c>
      <c r="J173" s="89">
        <v>0</v>
      </c>
      <c r="K173" s="23">
        <v>52</v>
      </c>
      <c r="L173" s="436">
        <f t="shared" si="86"/>
        <v>107</v>
      </c>
      <c r="M173" s="90">
        <v>46028</v>
      </c>
      <c r="N173" s="574">
        <v>46027</v>
      </c>
      <c r="O173" s="91"/>
      <c r="P173" s="91"/>
      <c r="Q173" s="91"/>
      <c r="R173" s="459">
        <v>45989</v>
      </c>
      <c r="S173" s="91" t="s">
        <v>77</v>
      </c>
      <c r="T173" s="446" t="s">
        <v>5654</v>
      </c>
      <c r="U173" s="91"/>
      <c r="V173" s="91"/>
      <c r="W173" s="91"/>
      <c r="X173" s="114" t="s">
        <v>5655</v>
      </c>
      <c r="Y173" s="91" t="s">
        <v>5656</v>
      </c>
      <c r="Z173" s="116">
        <v>1.3904</v>
      </c>
      <c r="AA173" s="117">
        <f t="shared" si="105"/>
        <v>7736.1856</v>
      </c>
      <c r="AB173" s="469" t="s">
        <v>3582</v>
      </c>
      <c r="AC173" s="23" t="s">
        <v>4970</v>
      </c>
      <c r="AD173" s="467" t="s">
        <v>128</v>
      </c>
      <c r="AE173" s="467" t="s">
        <v>4930</v>
      </c>
      <c r="AF173" s="23"/>
      <c r="AG173" s="483">
        <f t="shared" si="106"/>
        <v>-5564</v>
      </c>
      <c r="AH173" s="23" t="s">
        <v>75</v>
      </c>
      <c r="AI173" s="470"/>
      <c r="AJ173" s="155">
        <f t="shared" si="107"/>
        <v>5564</v>
      </c>
      <c r="AK173" s="155"/>
      <c r="AL173" s="175">
        <f>I173</f>
        <v>5564</v>
      </c>
      <c r="AM173" s="88"/>
      <c r="AN173" s="88"/>
      <c r="AO173" s="88"/>
      <c r="AP173" s="436">
        <f t="shared" si="109"/>
        <v>5564</v>
      </c>
      <c r="AQ173" s="436"/>
      <c r="AR173" s="88"/>
      <c r="AS173" s="436">
        <f t="shared" si="110"/>
        <v>5019.19166666667</v>
      </c>
      <c r="AT173" s="621">
        <f t="shared" si="111"/>
        <v>544.808333333333</v>
      </c>
      <c r="AU173" s="175">
        <f t="shared" si="117"/>
        <v>5564</v>
      </c>
      <c r="AV173" s="486"/>
      <c r="AW173" s="486"/>
      <c r="AX173" s="181">
        <f>I173/13</f>
        <v>428</v>
      </c>
      <c r="AY173" s="181"/>
      <c r="AZ173" s="181"/>
      <c r="BA173" s="181"/>
      <c r="BB173" s="181"/>
      <c r="BC173" s="181"/>
      <c r="BD173" s="181"/>
      <c r="BE173" s="181"/>
      <c r="BF173" s="181"/>
      <c r="BG173" s="181"/>
      <c r="BH173" s="181"/>
      <c r="BI173" s="181"/>
      <c r="BJ173" s="181"/>
      <c r="BK173" s="181"/>
      <c r="BL173" s="181"/>
      <c r="BM173" s="181"/>
      <c r="BN173" s="181"/>
      <c r="BQ173" s="3">
        <f t="shared" si="115"/>
        <v>583685</v>
      </c>
    </row>
    <row r="174" s="3" customFormat="1" ht="36" customHeight="1" spans="1:69">
      <c r="A174" s="18">
        <v>45986</v>
      </c>
      <c r="B174" s="75" t="s">
        <v>225</v>
      </c>
      <c r="C174" s="76" t="s">
        <v>213</v>
      </c>
      <c r="D174" s="21">
        <v>4500186899</v>
      </c>
      <c r="E174" s="114" t="s">
        <v>5657</v>
      </c>
      <c r="F174" s="21" t="s">
        <v>5658</v>
      </c>
      <c r="G174" s="23" t="s">
        <v>4970</v>
      </c>
      <c r="H174" s="24" t="s">
        <v>5144</v>
      </c>
      <c r="I174" s="88">
        <v>3016</v>
      </c>
      <c r="J174" s="89">
        <v>0</v>
      </c>
      <c r="K174" s="23">
        <v>52</v>
      </c>
      <c r="L174" s="436">
        <f t="shared" si="86"/>
        <v>58</v>
      </c>
      <c r="M174" s="90">
        <v>46028</v>
      </c>
      <c r="N174" s="574">
        <v>46027</v>
      </c>
      <c r="O174" s="91"/>
      <c r="P174" s="91"/>
      <c r="Q174" s="91" t="s">
        <v>3451</v>
      </c>
      <c r="R174" s="459">
        <v>45986</v>
      </c>
      <c r="S174" s="91" t="s">
        <v>77</v>
      </c>
      <c r="T174" s="446" t="s">
        <v>5659</v>
      </c>
      <c r="U174" s="91"/>
      <c r="V174" s="91" t="s">
        <v>5631</v>
      </c>
      <c r="W174" s="91"/>
      <c r="X174" s="114" t="s">
        <v>5660</v>
      </c>
      <c r="Y174" s="91" t="s">
        <v>5386</v>
      </c>
      <c r="Z174" s="116">
        <v>1.4132</v>
      </c>
      <c r="AA174" s="117">
        <f t="shared" si="105"/>
        <v>4262.2112</v>
      </c>
      <c r="AB174" s="469" t="s">
        <v>3582</v>
      </c>
      <c r="AC174" s="23" t="s">
        <v>5381</v>
      </c>
      <c r="AD174" s="467" t="s">
        <v>128</v>
      </c>
      <c r="AE174" s="467" t="s">
        <v>4930</v>
      </c>
      <c r="AF174" s="23"/>
      <c r="AG174" s="483">
        <f t="shared" si="106"/>
        <v>-3016</v>
      </c>
      <c r="AH174" s="23" t="s">
        <v>4335</v>
      </c>
      <c r="AI174" s="470"/>
      <c r="AJ174" s="155">
        <f t="shared" si="107"/>
        <v>3016</v>
      </c>
      <c r="AK174" s="155"/>
      <c r="AL174" s="175"/>
      <c r="AM174" s="88">
        <f t="shared" si="116"/>
        <v>3016</v>
      </c>
      <c r="AN174" s="88"/>
      <c r="AO174" s="88"/>
      <c r="AP174" s="436">
        <f t="shared" si="109"/>
        <v>3016</v>
      </c>
      <c r="AQ174" s="436"/>
      <c r="AR174" s="175"/>
      <c r="AS174" s="436">
        <f t="shared" si="110"/>
        <v>2720.68333333333</v>
      </c>
      <c r="AT174" s="621">
        <f t="shared" si="111"/>
        <v>295.316666666667</v>
      </c>
      <c r="AU174" s="175">
        <f t="shared" si="117"/>
        <v>3016</v>
      </c>
      <c r="AV174" s="486"/>
      <c r="AW174" s="486"/>
      <c r="AX174" s="514"/>
      <c r="AY174" s="181">
        <f>I174/13</f>
        <v>232</v>
      </c>
      <c r="AZ174" s="181"/>
      <c r="BA174" s="181"/>
      <c r="BB174" s="181"/>
      <c r="BC174" s="181"/>
      <c r="BD174" s="181"/>
      <c r="BE174" s="181"/>
      <c r="BF174" s="181"/>
      <c r="BG174" s="181"/>
      <c r="BH174" s="181"/>
      <c r="BI174" s="181"/>
      <c r="BJ174" s="181"/>
      <c r="BK174" s="181"/>
      <c r="BL174" s="181"/>
      <c r="BM174" s="181"/>
      <c r="BN174" s="181"/>
      <c r="BQ174" s="3">
        <f t="shared" si="115"/>
        <v>586701</v>
      </c>
    </row>
    <row r="175" s="3" customFormat="1" ht="36" customHeight="1" spans="1:69">
      <c r="A175" s="18">
        <v>45980</v>
      </c>
      <c r="B175" s="75" t="s">
        <v>1626</v>
      </c>
      <c r="C175" s="76" t="s">
        <v>286</v>
      </c>
      <c r="D175" s="21">
        <v>4500186234</v>
      </c>
      <c r="E175" s="114">
        <v>17242705</v>
      </c>
      <c r="F175" s="21" t="s">
        <v>5661</v>
      </c>
      <c r="G175" s="23" t="s">
        <v>4974</v>
      </c>
      <c r="H175" s="24" t="s">
        <v>5205</v>
      </c>
      <c r="I175" s="88">
        <v>750</v>
      </c>
      <c r="J175" s="89">
        <v>0</v>
      </c>
      <c r="K175" s="23">
        <v>50</v>
      </c>
      <c r="L175" s="436">
        <f t="shared" si="86"/>
        <v>15</v>
      </c>
      <c r="M175" s="90">
        <v>46030</v>
      </c>
      <c r="N175" s="90">
        <v>46027</v>
      </c>
      <c r="O175" s="91" t="s">
        <v>5662</v>
      </c>
      <c r="P175" s="91"/>
      <c r="Q175" s="91" t="s">
        <v>3458</v>
      </c>
      <c r="R175" s="459">
        <v>46001</v>
      </c>
      <c r="S175" s="453" t="s">
        <v>77</v>
      </c>
      <c r="T175" s="446" t="s">
        <v>5663</v>
      </c>
      <c r="U175" s="91"/>
      <c r="V175" s="91"/>
      <c r="W175" s="91"/>
      <c r="X175" s="719" t="s">
        <v>5664</v>
      </c>
      <c r="Y175" s="91" t="s">
        <v>290</v>
      </c>
      <c r="Z175" s="116">
        <v>1.55</v>
      </c>
      <c r="AA175" s="117">
        <f t="shared" si="105"/>
        <v>1162.5</v>
      </c>
      <c r="AB175" s="469" t="s">
        <v>3582</v>
      </c>
      <c r="AC175" s="23" t="s">
        <v>5391</v>
      </c>
      <c r="AD175" s="467" t="s">
        <v>128</v>
      </c>
      <c r="AE175" s="467" t="s">
        <v>4930</v>
      </c>
      <c r="AF175" s="23"/>
      <c r="AG175" s="483">
        <f t="shared" si="106"/>
        <v>-750</v>
      </c>
      <c r="AH175" s="23" t="s">
        <v>4335</v>
      </c>
      <c r="AI175" s="470"/>
      <c r="AJ175" s="155">
        <f t="shared" si="107"/>
        <v>750</v>
      </c>
      <c r="AK175" s="155"/>
      <c r="AL175" s="175"/>
      <c r="AM175" s="88">
        <f t="shared" si="116"/>
        <v>750</v>
      </c>
      <c r="AN175" s="88"/>
      <c r="AO175" s="88"/>
      <c r="AP175" s="436">
        <f t="shared" si="109"/>
        <v>750</v>
      </c>
      <c r="AQ175" s="436"/>
      <c r="AR175" s="88"/>
      <c r="AS175" s="436">
        <f t="shared" si="110"/>
        <v>676.5625</v>
      </c>
      <c r="AT175" s="621">
        <f t="shared" si="111"/>
        <v>73.4375</v>
      </c>
      <c r="AU175" s="486"/>
      <c r="AV175" s="486"/>
      <c r="AW175" s="486"/>
      <c r="AX175" s="514"/>
      <c r="AY175" s="181"/>
      <c r="AZ175" s="181"/>
      <c r="BA175" s="181"/>
      <c r="BB175" s="181">
        <f t="shared" ref="BB175:BB177" si="118">I175/25</f>
        <v>30</v>
      </c>
      <c r="BC175" s="181"/>
      <c r="BD175" s="181"/>
      <c r="BE175" s="181"/>
      <c r="BF175" s="181"/>
      <c r="BG175" s="181"/>
      <c r="BH175" s="181"/>
      <c r="BI175" s="181"/>
      <c r="BJ175" s="181"/>
      <c r="BK175" s="181"/>
      <c r="BL175" s="181"/>
      <c r="BM175" s="181"/>
      <c r="BN175" s="181"/>
      <c r="BQ175" s="3">
        <f t="shared" si="115"/>
        <v>587451</v>
      </c>
    </row>
    <row r="176" s="3" customFormat="1" ht="36" customHeight="1" spans="1:69">
      <c r="A176" s="18">
        <v>45968</v>
      </c>
      <c r="B176" s="75" t="s">
        <v>3213</v>
      </c>
      <c r="C176" s="76" t="s">
        <v>3214</v>
      </c>
      <c r="D176" s="21">
        <v>4500183616</v>
      </c>
      <c r="E176" s="114" t="s">
        <v>5665</v>
      </c>
      <c r="F176" s="21" t="s">
        <v>5666</v>
      </c>
      <c r="G176" s="23" t="s">
        <v>4974</v>
      </c>
      <c r="H176" s="24" t="s">
        <v>5205</v>
      </c>
      <c r="I176" s="88">
        <v>3600</v>
      </c>
      <c r="J176" s="89">
        <v>0</v>
      </c>
      <c r="K176" s="23">
        <v>50</v>
      </c>
      <c r="L176" s="436">
        <f t="shared" si="86"/>
        <v>72</v>
      </c>
      <c r="M176" s="90">
        <v>46031</v>
      </c>
      <c r="N176" s="90">
        <v>46027</v>
      </c>
      <c r="O176" s="91"/>
      <c r="P176" s="91"/>
      <c r="Q176" s="91" t="s">
        <v>3451</v>
      </c>
      <c r="R176" s="459">
        <v>45982</v>
      </c>
      <c r="S176" s="459" t="s">
        <v>77</v>
      </c>
      <c r="T176" s="446" t="s">
        <v>5667</v>
      </c>
      <c r="U176" s="91"/>
      <c r="V176" s="91"/>
      <c r="W176" s="91"/>
      <c r="X176" s="114" t="s">
        <v>5668</v>
      </c>
      <c r="Y176" s="91" t="s">
        <v>618</v>
      </c>
      <c r="Z176" s="116">
        <v>1.55</v>
      </c>
      <c r="AA176" s="117">
        <f t="shared" si="105"/>
        <v>5580</v>
      </c>
      <c r="AB176" s="469" t="s">
        <v>3582</v>
      </c>
      <c r="AC176" s="23" t="s">
        <v>5391</v>
      </c>
      <c r="AD176" s="467" t="s">
        <v>128</v>
      </c>
      <c r="AE176" s="467" t="s">
        <v>4930</v>
      </c>
      <c r="AF176" s="23"/>
      <c r="AG176" s="483">
        <f t="shared" si="106"/>
        <v>-3600</v>
      </c>
      <c r="AH176" s="23" t="s">
        <v>75</v>
      </c>
      <c r="AI176" s="470"/>
      <c r="AJ176" s="155">
        <f t="shared" si="107"/>
        <v>3600</v>
      </c>
      <c r="AK176" s="155"/>
      <c r="AL176" s="175"/>
      <c r="AM176" s="88">
        <f t="shared" si="116"/>
        <v>3600</v>
      </c>
      <c r="AN176" s="88"/>
      <c r="AO176" s="88"/>
      <c r="AP176" s="436">
        <f t="shared" si="109"/>
        <v>3600</v>
      </c>
      <c r="AQ176" s="436"/>
      <c r="AR176" s="88"/>
      <c r="AS176" s="436">
        <f t="shared" si="110"/>
        <v>3247.5</v>
      </c>
      <c r="AT176" s="621">
        <f t="shared" si="111"/>
        <v>352.5</v>
      </c>
      <c r="AU176" s="486"/>
      <c r="AV176" s="486"/>
      <c r="AW176" s="486"/>
      <c r="AX176" s="514"/>
      <c r="AY176" s="181"/>
      <c r="AZ176" s="181"/>
      <c r="BA176" s="181"/>
      <c r="BB176" s="181">
        <f t="shared" si="118"/>
        <v>144</v>
      </c>
      <c r="BC176" s="181"/>
      <c r="BD176" s="181"/>
      <c r="BE176" s="181"/>
      <c r="BF176" s="181"/>
      <c r="BG176" s="181"/>
      <c r="BH176" s="181"/>
      <c r="BI176" s="181"/>
      <c r="BJ176" s="181"/>
      <c r="BK176" s="181"/>
      <c r="BL176" s="181"/>
      <c r="BM176" s="181"/>
      <c r="BN176" s="181"/>
      <c r="BQ176" s="3">
        <f>AJ176+BQ165</f>
        <v>591051</v>
      </c>
    </row>
    <row r="177" s="3" customFormat="1" ht="36" customHeight="1" spans="1:69">
      <c r="A177" s="18">
        <v>45994</v>
      </c>
      <c r="B177" s="75" t="s">
        <v>379</v>
      </c>
      <c r="C177" s="76" t="s">
        <v>373</v>
      </c>
      <c r="D177" s="21">
        <v>4500187838</v>
      </c>
      <c r="E177" s="114"/>
      <c r="F177" s="21" t="s">
        <v>5669</v>
      </c>
      <c r="G177" s="23" t="s">
        <v>4974</v>
      </c>
      <c r="H177" s="24" t="s">
        <v>5205</v>
      </c>
      <c r="I177" s="88">
        <v>600</v>
      </c>
      <c r="J177" s="89">
        <v>0</v>
      </c>
      <c r="K177" s="23">
        <v>50</v>
      </c>
      <c r="L177" s="436">
        <f t="shared" si="86"/>
        <v>12</v>
      </c>
      <c r="M177" s="90">
        <v>46031</v>
      </c>
      <c r="N177" s="90">
        <v>46027</v>
      </c>
      <c r="O177" s="91"/>
      <c r="P177" s="91"/>
      <c r="Q177" s="91"/>
      <c r="R177" s="452">
        <v>45994</v>
      </c>
      <c r="S177" s="459" t="s">
        <v>77</v>
      </c>
      <c r="T177" s="113" t="s">
        <v>5670</v>
      </c>
      <c r="U177" s="91"/>
      <c r="V177" s="91"/>
      <c r="W177" s="91"/>
      <c r="X177" s="114" t="s">
        <v>5671</v>
      </c>
      <c r="Y177" s="139" t="s">
        <v>3560</v>
      </c>
      <c r="Z177" s="116">
        <v>1.4584</v>
      </c>
      <c r="AA177" s="117">
        <f t="shared" si="105"/>
        <v>875.04</v>
      </c>
      <c r="AB177" s="469" t="s">
        <v>3582</v>
      </c>
      <c r="AC177" s="23" t="s">
        <v>5391</v>
      </c>
      <c r="AD177" s="467" t="s">
        <v>128</v>
      </c>
      <c r="AE177" s="467" t="s">
        <v>4930</v>
      </c>
      <c r="AF177" s="23"/>
      <c r="AG177" s="483">
        <f t="shared" si="106"/>
        <v>-600</v>
      </c>
      <c r="AH177" s="23" t="s">
        <v>4335</v>
      </c>
      <c r="AI177" s="153"/>
      <c r="AJ177" s="155">
        <f t="shared" si="107"/>
        <v>600</v>
      </c>
      <c r="AK177" s="155"/>
      <c r="AL177" s="175"/>
      <c r="AM177" s="88">
        <f t="shared" si="116"/>
        <v>600</v>
      </c>
      <c r="AN177" s="88"/>
      <c r="AO177" s="88"/>
      <c r="AP177" s="436">
        <f t="shared" si="109"/>
        <v>600</v>
      </c>
      <c r="AQ177" s="436"/>
      <c r="AR177" s="88"/>
      <c r="AS177" s="436">
        <f t="shared" si="110"/>
        <v>541.25</v>
      </c>
      <c r="AT177" s="621">
        <f t="shared" si="111"/>
        <v>58.75</v>
      </c>
      <c r="AU177" s="175">
        <f>I177</f>
        <v>600</v>
      </c>
      <c r="AV177" s="628"/>
      <c r="AW177" s="628"/>
      <c r="AX177" s="514"/>
      <c r="AY177" s="181"/>
      <c r="AZ177" s="181"/>
      <c r="BA177" s="181"/>
      <c r="BB177" s="181">
        <f t="shared" si="118"/>
        <v>24</v>
      </c>
      <c r="BC177" s="181"/>
      <c r="BD177" s="181"/>
      <c r="BE177" s="181"/>
      <c r="BF177" s="181"/>
      <c r="BG177" s="181"/>
      <c r="BH177" s="181"/>
      <c r="BI177" s="181"/>
      <c r="BJ177" s="181"/>
      <c r="BK177" s="181"/>
      <c r="BL177" s="181"/>
      <c r="BM177" s="181"/>
      <c r="BN177" s="181"/>
      <c r="BQ177" s="3">
        <f t="shared" ref="BQ177:BQ186" si="119">AJ177+BQ176</f>
        <v>591651</v>
      </c>
    </row>
    <row r="178" s="3" customFormat="1" ht="36" customHeight="1" spans="1:69">
      <c r="A178" s="18">
        <v>45988</v>
      </c>
      <c r="B178" s="75" t="s">
        <v>4976</v>
      </c>
      <c r="C178" s="76" t="s">
        <v>117</v>
      </c>
      <c r="D178" s="21">
        <v>4500187253</v>
      </c>
      <c r="E178" s="1693" t="s">
        <v>5672</v>
      </c>
      <c r="F178" s="21" t="s">
        <v>5673</v>
      </c>
      <c r="G178" s="23" t="s">
        <v>4979</v>
      </c>
      <c r="H178" s="24" t="s">
        <v>4980</v>
      </c>
      <c r="I178" s="88">
        <v>960</v>
      </c>
      <c r="J178" s="89">
        <v>0</v>
      </c>
      <c r="K178" s="23">
        <v>16</v>
      </c>
      <c r="L178" s="436">
        <f t="shared" si="86"/>
        <v>60</v>
      </c>
      <c r="M178" s="90">
        <v>46034</v>
      </c>
      <c r="N178" s="90">
        <v>46030</v>
      </c>
      <c r="O178" s="91" t="s">
        <v>5674</v>
      </c>
      <c r="P178" s="91"/>
      <c r="Q178" s="91"/>
      <c r="R178" s="91" t="s">
        <v>1102</v>
      </c>
      <c r="S178" s="91" t="s">
        <v>123</v>
      </c>
      <c r="T178" s="453" t="s">
        <v>5675</v>
      </c>
      <c r="U178" s="91" t="s">
        <v>4983</v>
      </c>
      <c r="V178" s="91"/>
      <c r="W178" s="91"/>
      <c r="X178" s="114" t="s">
        <v>5676</v>
      </c>
      <c r="Y178" s="91" t="s">
        <v>634</v>
      </c>
      <c r="Z178" s="116">
        <v>0.9059</v>
      </c>
      <c r="AA178" s="117">
        <f t="shared" si="105"/>
        <v>869.664</v>
      </c>
      <c r="AB178" s="469" t="s">
        <v>3582</v>
      </c>
      <c r="AC178" s="23" t="s">
        <v>4979</v>
      </c>
      <c r="AD178" s="467" t="s">
        <v>128</v>
      </c>
      <c r="AE178" s="467" t="s">
        <v>4930</v>
      </c>
      <c r="AF178" s="23"/>
      <c r="AG178" s="483">
        <f t="shared" si="106"/>
        <v>-960</v>
      </c>
      <c r="AH178" s="23" t="s">
        <v>4335</v>
      </c>
      <c r="AI178" s="470"/>
      <c r="AJ178" s="155">
        <f t="shared" si="107"/>
        <v>960</v>
      </c>
      <c r="AK178" s="155"/>
      <c r="AL178" s="175">
        <f t="shared" ref="AL178:AL184" si="120">I178</f>
        <v>960</v>
      </c>
      <c r="AM178" s="486"/>
      <c r="AN178" s="88"/>
      <c r="AO178" s="88"/>
      <c r="AP178" s="436">
        <f t="shared" si="109"/>
        <v>960</v>
      </c>
      <c r="AQ178" s="436"/>
      <c r="AR178" s="88"/>
      <c r="AS178" s="436">
        <f t="shared" si="110"/>
        <v>866</v>
      </c>
      <c r="AT178" s="621">
        <f t="shared" si="111"/>
        <v>94</v>
      </c>
      <c r="AU178" s="486"/>
      <c r="AV178" s="486"/>
      <c r="AW178" s="486"/>
      <c r="AX178" s="514"/>
      <c r="AY178" s="181"/>
      <c r="AZ178" s="181"/>
      <c r="BA178" s="181"/>
      <c r="BB178" s="181"/>
      <c r="BC178" s="181">
        <f t="shared" ref="BC178:BC182" si="121">I178/16</f>
        <v>60</v>
      </c>
      <c r="BD178" s="181"/>
      <c r="BE178" s="181"/>
      <c r="BF178" s="181"/>
      <c r="BG178" s="181"/>
      <c r="BH178" s="181"/>
      <c r="BI178" s="181"/>
      <c r="BJ178" s="181"/>
      <c r="BK178" s="181"/>
      <c r="BL178" s="181"/>
      <c r="BM178" s="181"/>
      <c r="BN178" s="181"/>
      <c r="BQ178" s="3">
        <f t="shared" si="119"/>
        <v>592611</v>
      </c>
    </row>
    <row r="179" s="3" customFormat="1" ht="36" customHeight="1" spans="1:69">
      <c r="A179" s="18">
        <v>45988</v>
      </c>
      <c r="B179" s="75" t="s">
        <v>4976</v>
      </c>
      <c r="C179" s="76" t="s">
        <v>117</v>
      </c>
      <c r="D179" s="21">
        <v>4500187253</v>
      </c>
      <c r="E179" s="1693" t="s">
        <v>5677</v>
      </c>
      <c r="F179" s="21" t="s">
        <v>5678</v>
      </c>
      <c r="G179" s="23" t="s">
        <v>4979</v>
      </c>
      <c r="H179" s="24" t="s">
        <v>4980</v>
      </c>
      <c r="I179" s="88">
        <v>960</v>
      </c>
      <c r="J179" s="89">
        <v>0</v>
      </c>
      <c r="K179" s="23">
        <v>16</v>
      </c>
      <c r="L179" s="436">
        <f t="shared" si="86"/>
        <v>60</v>
      </c>
      <c r="M179" s="90">
        <v>46034</v>
      </c>
      <c r="N179" s="90">
        <v>46030</v>
      </c>
      <c r="O179" s="91" t="s">
        <v>5679</v>
      </c>
      <c r="P179" s="91"/>
      <c r="Q179" s="91"/>
      <c r="R179" s="91" t="s">
        <v>1102</v>
      </c>
      <c r="S179" s="91" t="s">
        <v>123</v>
      </c>
      <c r="T179" s="453" t="s">
        <v>5675</v>
      </c>
      <c r="U179" s="91" t="s">
        <v>4983</v>
      </c>
      <c r="V179" s="91"/>
      <c r="W179" s="91"/>
      <c r="X179" s="114" t="s">
        <v>5676</v>
      </c>
      <c r="Y179" s="91" t="s">
        <v>634</v>
      </c>
      <c r="Z179" s="116">
        <v>0.9059</v>
      </c>
      <c r="AA179" s="117">
        <f t="shared" si="105"/>
        <v>869.664</v>
      </c>
      <c r="AB179" s="469" t="s">
        <v>3582</v>
      </c>
      <c r="AC179" s="23" t="s">
        <v>4979</v>
      </c>
      <c r="AD179" s="467" t="s">
        <v>128</v>
      </c>
      <c r="AE179" s="467" t="s">
        <v>4930</v>
      </c>
      <c r="AF179" s="23"/>
      <c r="AG179" s="483">
        <f t="shared" si="106"/>
        <v>-960</v>
      </c>
      <c r="AH179" s="23" t="s">
        <v>4335</v>
      </c>
      <c r="AI179" s="470"/>
      <c r="AJ179" s="155">
        <f t="shared" si="107"/>
        <v>960</v>
      </c>
      <c r="AK179" s="155"/>
      <c r="AL179" s="175">
        <f t="shared" si="120"/>
        <v>960</v>
      </c>
      <c r="AM179" s="486"/>
      <c r="AN179" s="88"/>
      <c r="AO179" s="88"/>
      <c r="AP179" s="436">
        <f t="shared" si="109"/>
        <v>960</v>
      </c>
      <c r="AQ179" s="436"/>
      <c r="AR179" s="88"/>
      <c r="AS179" s="436">
        <f t="shared" si="110"/>
        <v>866</v>
      </c>
      <c r="AT179" s="621">
        <f t="shared" si="111"/>
        <v>94</v>
      </c>
      <c r="AU179" s="486"/>
      <c r="AV179" s="486"/>
      <c r="AW179" s="486"/>
      <c r="AX179" s="514"/>
      <c r="AY179" s="181"/>
      <c r="AZ179" s="181"/>
      <c r="BA179" s="181"/>
      <c r="BB179" s="181"/>
      <c r="BC179" s="181">
        <f t="shared" si="121"/>
        <v>60</v>
      </c>
      <c r="BD179" s="181"/>
      <c r="BE179" s="181"/>
      <c r="BF179" s="181"/>
      <c r="BG179" s="181"/>
      <c r="BH179" s="181"/>
      <c r="BI179" s="181"/>
      <c r="BJ179" s="181"/>
      <c r="BK179" s="181"/>
      <c r="BL179" s="181"/>
      <c r="BM179" s="181"/>
      <c r="BN179" s="181"/>
      <c r="BQ179" s="3">
        <f t="shared" si="119"/>
        <v>593571</v>
      </c>
    </row>
    <row r="180" s="3" customFormat="1" ht="36" customHeight="1" spans="1:69">
      <c r="A180" s="18">
        <v>45988</v>
      </c>
      <c r="B180" s="75" t="s">
        <v>4976</v>
      </c>
      <c r="C180" s="76" t="s">
        <v>117</v>
      </c>
      <c r="D180" s="21">
        <v>4500187253</v>
      </c>
      <c r="E180" s="1693" t="s">
        <v>5680</v>
      </c>
      <c r="F180" s="21" t="s">
        <v>5681</v>
      </c>
      <c r="G180" s="23" t="s">
        <v>4979</v>
      </c>
      <c r="H180" s="24" t="s">
        <v>4980</v>
      </c>
      <c r="I180" s="88">
        <v>960</v>
      </c>
      <c r="J180" s="89">
        <v>0</v>
      </c>
      <c r="K180" s="23">
        <v>16</v>
      </c>
      <c r="L180" s="436">
        <f t="shared" si="86"/>
        <v>60</v>
      </c>
      <c r="M180" s="90">
        <v>46034</v>
      </c>
      <c r="N180" s="90">
        <v>46030</v>
      </c>
      <c r="O180" s="91" t="s">
        <v>5674</v>
      </c>
      <c r="P180" s="91"/>
      <c r="Q180" s="91"/>
      <c r="R180" s="91" t="s">
        <v>1102</v>
      </c>
      <c r="S180" s="91" t="s">
        <v>123</v>
      </c>
      <c r="T180" s="453" t="s">
        <v>5675</v>
      </c>
      <c r="U180" s="91" t="s">
        <v>4983</v>
      </c>
      <c r="V180" s="91"/>
      <c r="W180" s="91"/>
      <c r="X180" s="114" t="s">
        <v>5676</v>
      </c>
      <c r="Y180" s="91" t="s">
        <v>634</v>
      </c>
      <c r="Z180" s="116">
        <v>0.9059</v>
      </c>
      <c r="AA180" s="117">
        <f t="shared" si="105"/>
        <v>869.664</v>
      </c>
      <c r="AB180" s="469" t="s">
        <v>3582</v>
      </c>
      <c r="AC180" s="23" t="s">
        <v>4979</v>
      </c>
      <c r="AD180" s="467" t="s">
        <v>128</v>
      </c>
      <c r="AE180" s="467" t="s">
        <v>4930</v>
      </c>
      <c r="AF180" s="23"/>
      <c r="AG180" s="483">
        <f t="shared" si="106"/>
        <v>-960</v>
      </c>
      <c r="AH180" s="23" t="s">
        <v>4335</v>
      </c>
      <c r="AI180" s="470"/>
      <c r="AJ180" s="155">
        <f t="shared" si="107"/>
        <v>960</v>
      </c>
      <c r="AK180" s="155"/>
      <c r="AL180" s="175">
        <f t="shared" si="120"/>
        <v>960</v>
      </c>
      <c r="AM180" s="486"/>
      <c r="AN180" s="88"/>
      <c r="AO180" s="88"/>
      <c r="AP180" s="436">
        <f t="shared" si="109"/>
        <v>960</v>
      </c>
      <c r="AQ180" s="436"/>
      <c r="AR180" s="88"/>
      <c r="AS180" s="436">
        <f t="shared" si="110"/>
        <v>866</v>
      </c>
      <c r="AT180" s="621">
        <f t="shared" si="111"/>
        <v>94</v>
      </c>
      <c r="AU180" s="486"/>
      <c r="AV180" s="486"/>
      <c r="AW180" s="486"/>
      <c r="AX180" s="514"/>
      <c r="AY180" s="181"/>
      <c r="AZ180" s="181"/>
      <c r="BA180" s="181"/>
      <c r="BB180" s="181"/>
      <c r="BC180" s="181">
        <f t="shared" si="121"/>
        <v>60</v>
      </c>
      <c r="BD180" s="181"/>
      <c r="BE180" s="181"/>
      <c r="BF180" s="181"/>
      <c r="BG180" s="181"/>
      <c r="BH180" s="181"/>
      <c r="BI180" s="181"/>
      <c r="BJ180" s="181"/>
      <c r="BK180" s="181"/>
      <c r="BL180" s="181"/>
      <c r="BM180" s="181"/>
      <c r="BN180" s="181"/>
      <c r="BQ180" s="3">
        <f t="shared" si="119"/>
        <v>594531</v>
      </c>
    </row>
    <row r="181" s="3" customFormat="1" ht="36" customHeight="1" spans="1:69">
      <c r="A181" s="18">
        <v>45988</v>
      </c>
      <c r="B181" s="75" t="s">
        <v>4976</v>
      </c>
      <c r="C181" s="76" t="s">
        <v>117</v>
      </c>
      <c r="D181" s="21">
        <v>4500187253</v>
      </c>
      <c r="E181" s="1693" t="s">
        <v>5682</v>
      </c>
      <c r="F181" s="21" t="s">
        <v>5683</v>
      </c>
      <c r="G181" s="23" t="s">
        <v>4979</v>
      </c>
      <c r="H181" s="24" t="s">
        <v>4980</v>
      </c>
      <c r="I181" s="88">
        <v>960</v>
      </c>
      <c r="J181" s="89">
        <v>0</v>
      </c>
      <c r="K181" s="23">
        <v>16</v>
      </c>
      <c r="L181" s="436">
        <f t="shared" si="86"/>
        <v>60</v>
      </c>
      <c r="M181" s="90">
        <v>46034</v>
      </c>
      <c r="N181" s="90">
        <v>46030</v>
      </c>
      <c r="O181" s="91" t="s">
        <v>5679</v>
      </c>
      <c r="P181" s="91"/>
      <c r="Q181" s="91"/>
      <c r="R181" s="91" t="s">
        <v>1102</v>
      </c>
      <c r="S181" s="91" t="s">
        <v>123</v>
      </c>
      <c r="T181" s="453" t="s">
        <v>5675</v>
      </c>
      <c r="U181" s="91" t="s">
        <v>4983</v>
      </c>
      <c r="V181" s="91"/>
      <c r="W181" s="91"/>
      <c r="X181" s="114" t="s">
        <v>5676</v>
      </c>
      <c r="Y181" s="91" t="s">
        <v>634</v>
      </c>
      <c r="Z181" s="116">
        <v>0.9059</v>
      </c>
      <c r="AA181" s="117">
        <f t="shared" si="105"/>
        <v>869.664</v>
      </c>
      <c r="AB181" s="469" t="s">
        <v>3582</v>
      </c>
      <c r="AC181" s="23" t="s">
        <v>4979</v>
      </c>
      <c r="AD181" s="467" t="s">
        <v>128</v>
      </c>
      <c r="AE181" s="467" t="s">
        <v>4930</v>
      </c>
      <c r="AF181" s="23"/>
      <c r="AG181" s="483">
        <f t="shared" si="106"/>
        <v>-960</v>
      </c>
      <c r="AH181" s="23" t="s">
        <v>4335</v>
      </c>
      <c r="AI181" s="470"/>
      <c r="AJ181" s="155">
        <f t="shared" si="107"/>
        <v>960</v>
      </c>
      <c r="AK181" s="155"/>
      <c r="AL181" s="175">
        <f t="shared" si="120"/>
        <v>960</v>
      </c>
      <c r="AM181" s="486"/>
      <c r="AN181" s="88"/>
      <c r="AO181" s="88"/>
      <c r="AP181" s="436">
        <f t="shared" si="109"/>
        <v>960</v>
      </c>
      <c r="AQ181" s="436"/>
      <c r="AR181" s="88"/>
      <c r="AS181" s="436">
        <f t="shared" si="110"/>
        <v>866</v>
      </c>
      <c r="AT181" s="621">
        <f t="shared" si="111"/>
        <v>94</v>
      </c>
      <c r="AU181" s="486"/>
      <c r="AV181" s="486"/>
      <c r="AW181" s="486"/>
      <c r="AX181" s="514"/>
      <c r="AY181" s="181"/>
      <c r="AZ181" s="181"/>
      <c r="BA181" s="181"/>
      <c r="BB181" s="181"/>
      <c r="BC181" s="181">
        <f t="shared" si="121"/>
        <v>60</v>
      </c>
      <c r="BD181" s="181"/>
      <c r="BE181" s="181"/>
      <c r="BF181" s="181"/>
      <c r="BG181" s="181"/>
      <c r="BH181" s="181"/>
      <c r="BI181" s="181"/>
      <c r="BJ181" s="181"/>
      <c r="BK181" s="181"/>
      <c r="BL181" s="181"/>
      <c r="BM181" s="181"/>
      <c r="BN181" s="181"/>
      <c r="BQ181" s="3">
        <f t="shared" si="119"/>
        <v>595491</v>
      </c>
    </row>
    <row r="182" s="3" customFormat="1" ht="36" customHeight="1" spans="1:69">
      <c r="A182" s="18">
        <v>45988</v>
      </c>
      <c r="B182" s="75" t="s">
        <v>4976</v>
      </c>
      <c r="C182" s="76" t="s">
        <v>117</v>
      </c>
      <c r="D182" s="21">
        <v>4500187253</v>
      </c>
      <c r="E182" s="1693" t="s">
        <v>5684</v>
      </c>
      <c r="F182" s="21" t="s">
        <v>5685</v>
      </c>
      <c r="G182" s="23" t="s">
        <v>4979</v>
      </c>
      <c r="H182" s="24" t="s">
        <v>4980</v>
      </c>
      <c r="I182" s="88">
        <v>960</v>
      </c>
      <c r="J182" s="89">
        <v>0</v>
      </c>
      <c r="K182" s="23">
        <v>16</v>
      </c>
      <c r="L182" s="436">
        <f t="shared" si="86"/>
        <v>60</v>
      </c>
      <c r="M182" s="90">
        <v>46034</v>
      </c>
      <c r="N182" s="90">
        <v>46030</v>
      </c>
      <c r="O182" s="91" t="s">
        <v>5679</v>
      </c>
      <c r="P182" s="91"/>
      <c r="Q182" s="91"/>
      <c r="R182" s="91" t="s">
        <v>1102</v>
      </c>
      <c r="S182" s="91" t="s">
        <v>123</v>
      </c>
      <c r="T182" s="453" t="s">
        <v>5675</v>
      </c>
      <c r="U182" s="91" t="s">
        <v>4983</v>
      </c>
      <c r="V182" s="91"/>
      <c r="W182" s="91"/>
      <c r="X182" s="114" t="s">
        <v>5676</v>
      </c>
      <c r="Y182" s="91" t="s">
        <v>634</v>
      </c>
      <c r="Z182" s="116">
        <v>0.9059</v>
      </c>
      <c r="AA182" s="117">
        <f t="shared" si="105"/>
        <v>869.664</v>
      </c>
      <c r="AB182" s="469" t="s">
        <v>3582</v>
      </c>
      <c r="AC182" s="23" t="s">
        <v>4979</v>
      </c>
      <c r="AD182" s="467" t="s">
        <v>128</v>
      </c>
      <c r="AE182" s="467" t="s">
        <v>4930</v>
      </c>
      <c r="AF182" s="23"/>
      <c r="AG182" s="483">
        <f t="shared" si="106"/>
        <v>-960</v>
      </c>
      <c r="AH182" s="23" t="s">
        <v>4335</v>
      </c>
      <c r="AI182" s="470"/>
      <c r="AJ182" s="155">
        <f t="shared" si="107"/>
        <v>960</v>
      </c>
      <c r="AK182" s="155"/>
      <c r="AL182" s="175">
        <f t="shared" si="120"/>
        <v>960</v>
      </c>
      <c r="AM182" s="486"/>
      <c r="AN182" s="88"/>
      <c r="AO182" s="88"/>
      <c r="AP182" s="436">
        <f t="shared" si="109"/>
        <v>960</v>
      </c>
      <c r="AQ182" s="436"/>
      <c r="AR182" s="88"/>
      <c r="AS182" s="436">
        <f t="shared" si="110"/>
        <v>866</v>
      </c>
      <c r="AT182" s="621">
        <f t="shared" si="111"/>
        <v>94</v>
      </c>
      <c r="AU182" s="486"/>
      <c r="AV182" s="486"/>
      <c r="AW182" s="486"/>
      <c r="AX182" s="514"/>
      <c r="AY182" s="181"/>
      <c r="AZ182" s="181"/>
      <c r="BA182" s="181"/>
      <c r="BB182" s="181"/>
      <c r="BC182" s="181">
        <f t="shared" si="121"/>
        <v>60</v>
      </c>
      <c r="BD182" s="181"/>
      <c r="BE182" s="181"/>
      <c r="BF182" s="181"/>
      <c r="BG182" s="181"/>
      <c r="BH182" s="181"/>
      <c r="BI182" s="181"/>
      <c r="BJ182" s="181"/>
      <c r="BK182" s="181"/>
      <c r="BL182" s="181"/>
      <c r="BM182" s="181"/>
      <c r="BN182" s="181"/>
      <c r="BQ182" s="3">
        <f t="shared" si="119"/>
        <v>596451</v>
      </c>
    </row>
    <row r="183" s="3" customFormat="1" ht="36" customHeight="1" spans="1:69">
      <c r="A183" s="18">
        <v>45995</v>
      </c>
      <c r="B183" s="75" t="s">
        <v>189</v>
      </c>
      <c r="C183" s="76" t="s">
        <v>190</v>
      </c>
      <c r="D183" s="21">
        <v>4500188101</v>
      </c>
      <c r="E183" s="114">
        <v>21336524</v>
      </c>
      <c r="F183" s="21" t="s">
        <v>5686</v>
      </c>
      <c r="G183" s="23" t="s">
        <v>5066</v>
      </c>
      <c r="H183" s="24" t="s">
        <v>5048</v>
      </c>
      <c r="I183" s="88">
        <v>1404</v>
      </c>
      <c r="J183" s="89">
        <v>0</v>
      </c>
      <c r="K183" s="23">
        <v>13</v>
      </c>
      <c r="L183" s="436">
        <f t="shared" si="86"/>
        <v>108</v>
      </c>
      <c r="M183" s="90">
        <v>46034</v>
      </c>
      <c r="N183" s="574">
        <v>46031</v>
      </c>
      <c r="O183" s="91"/>
      <c r="P183" s="91"/>
      <c r="Q183" s="91"/>
      <c r="R183" s="452">
        <v>46003</v>
      </c>
      <c r="S183" s="91" t="s">
        <v>123</v>
      </c>
      <c r="T183" s="113" t="s">
        <v>5687</v>
      </c>
      <c r="U183" s="91"/>
      <c r="V183" s="91"/>
      <c r="W183" s="91"/>
      <c r="X183" s="114" t="s">
        <v>5688</v>
      </c>
      <c r="Y183" s="139" t="s">
        <v>1011</v>
      </c>
      <c r="Z183" s="116">
        <v>1.449</v>
      </c>
      <c r="AA183" s="117">
        <f t="shared" si="105"/>
        <v>2034.396</v>
      </c>
      <c r="AB183" s="469" t="s">
        <v>3582</v>
      </c>
      <c r="AC183" s="470" t="s">
        <v>5066</v>
      </c>
      <c r="AD183" s="467" t="s">
        <v>128</v>
      </c>
      <c r="AE183" s="467" t="s">
        <v>4930</v>
      </c>
      <c r="AF183" s="23"/>
      <c r="AG183" s="483">
        <f t="shared" si="106"/>
        <v>-1404</v>
      </c>
      <c r="AH183" s="23" t="s">
        <v>4335</v>
      </c>
      <c r="AI183" s="153"/>
      <c r="AJ183" s="155">
        <f t="shared" si="107"/>
        <v>1404</v>
      </c>
      <c r="AK183" s="484"/>
      <c r="AL183" s="485">
        <f t="shared" si="120"/>
        <v>1404</v>
      </c>
      <c r="AM183" s="486"/>
      <c r="AN183" s="88"/>
      <c r="AO183" s="88"/>
      <c r="AP183" s="436">
        <f t="shared" si="109"/>
        <v>1404</v>
      </c>
      <c r="AQ183" s="436"/>
      <c r="AR183" s="175"/>
      <c r="AS183" s="436">
        <f t="shared" si="110"/>
        <v>1266.525</v>
      </c>
      <c r="AT183" s="621">
        <f t="shared" si="111"/>
        <v>137.475</v>
      </c>
      <c r="AU183" s="175"/>
      <c r="AV183" s="628"/>
      <c r="AW183" s="628"/>
      <c r="AX183" s="181">
        <f t="shared" ref="AX183:AX186" si="122">I183/13</f>
        <v>108</v>
      </c>
      <c r="AY183" s="181"/>
      <c r="AZ183" s="181"/>
      <c r="BA183" s="181"/>
      <c r="BB183" s="181"/>
      <c r="BC183" s="181"/>
      <c r="BD183" s="181"/>
      <c r="BE183" s="181"/>
      <c r="BF183" s="181"/>
      <c r="BG183" s="181"/>
      <c r="BH183" s="181"/>
      <c r="BI183" s="181"/>
      <c r="BJ183" s="181"/>
      <c r="BK183" s="181"/>
      <c r="BL183" s="181"/>
      <c r="BM183" s="181"/>
      <c r="BN183" s="181"/>
      <c r="BQ183" s="3">
        <f t="shared" si="119"/>
        <v>597855</v>
      </c>
    </row>
    <row r="184" s="3" customFormat="1" ht="36" customHeight="1" spans="1:69">
      <c r="A184" s="18">
        <v>45995</v>
      </c>
      <c r="B184" s="75" t="s">
        <v>232</v>
      </c>
      <c r="C184" s="76" t="s">
        <v>233</v>
      </c>
      <c r="D184" s="21">
        <v>4500188102</v>
      </c>
      <c r="E184" s="114">
        <v>21336527</v>
      </c>
      <c r="F184" s="21" t="s">
        <v>5689</v>
      </c>
      <c r="G184" s="23" t="s">
        <v>5066</v>
      </c>
      <c r="H184" s="24" t="s">
        <v>5048</v>
      </c>
      <c r="I184" s="88">
        <v>104</v>
      </c>
      <c r="J184" s="89">
        <v>0</v>
      </c>
      <c r="K184" s="23">
        <v>13</v>
      </c>
      <c r="L184" s="436">
        <f t="shared" si="86"/>
        <v>8</v>
      </c>
      <c r="M184" s="90">
        <v>46034</v>
      </c>
      <c r="N184" s="574">
        <v>46031</v>
      </c>
      <c r="O184" s="91"/>
      <c r="P184" s="91"/>
      <c r="Q184" s="91"/>
      <c r="R184" s="452">
        <v>46003</v>
      </c>
      <c r="S184" s="91" t="s">
        <v>123</v>
      </c>
      <c r="T184" s="113" t="s">
        <v>5687</v>
      </c>
      <c r="U184" s="91"/>
      <c r="V184" s="91"/>
      <c r="W184" s="91"/>
      <c r="X184" s="114" t="s">
        <v>5690</v>
      </c>
      <c r="Y184" s="139" t="s">
        <v>1011</v>
      </c>
      <c r="Z184" s="116">
        <v>1.4539</v>
      </c>
      <c r="AA184" s="117">
        <f t="shared" si="105"/>
        <v>151.2056</v>
      </c>
      <c r="AB184" s="469" t="s">
        <v>3582</v>
      </c>
      <c r="AC184" s="470" t="s">
        <v>5066</v>
      </c>
      <c r="AD184" s="467" t="s">
        <v>128</v>
      </c>
      <c r="AE184" s="467" t="s">
        <v>4930</v>
      </c>
      <c r="AF184" s="23"/>
      <c r="AG184" s="483">
        <f t="shared" si="106"/>
        <v>-104</v>
      </c>
      <c r="AH184" s="23" t="s">
        <v>4335</v>
      </c>
      <c r="AI184" s="153"/>
      <c r="AJ184" s="155">
        <f t="shared" si="107"/>
        <v>104</v>
      </c>
      <c r="AK184" s="484"/>
      <c r="AL184" s="485">
        <f t="shared" si="120"/>
        <v>104</v>
      </c>
      <c r="AM184" s="486"/>
      <c r="AN184" s="88"/>
      <c r="AO184" s="88"/>
      <c r="AP184" s="436">
        <f t="shared" si="109"/>
        <v>104</v>
      </c>
      <c r="AQ184" s="436"/>
      <c r="AR184" s="175"/>
      <c r="AS184" s="436">
        <f t="shared" si="110"/>
        <v>93.8166666666667</v>
      </c>
      <c r="AT184" s="621">
        <f t="shared" si="111"/>
        <v>10.1833333333333</v>
      </c>
      <c r="AU184" s="175"/>
      <c r="AV184" s="628"/>
      <c r="AW184" s="628"/>
      <c r="AX184" s="181">
        <f t="shared" si="122"/>
        <v>8</v>
      </c>
      <c r="AY184" s="181"/>
      <c r="AZ184" s="181"/>
      <c r="BA184" s="181"/>
      <c r="BB184" s="181"/>
      <c r="BC184" s="181"/>
      <c r="BD184" s="181"/>
      <c r="BE184" s="181"/>
      <c r="BF184" s="181"/>
      <c r="BG184" s="181"/>
      <c r="BH184" s="181"/>
      <c r="BI184" s="181"/>
      <c r="BJ184" s="181"/>
      <c r="BK184" s="181"/>
      <c r="BL184" s="181"/>
      <c r="BM184" s="181"/>
      <c r="BN184" s="181"/>
      <c r="BQ184" s="3">
        <f t="shared" si="119"/>
        <v>597959</v>
      </c>
    </row>
    <row r="185" s="400" customFormat="1" ht="36" customHeight="1" spans="1:69">
      <c r="A185" s="420">
        <v>45951</v>
      </c>
      <c r="B185" s="421" t="s">
        <v>5691</v>
      </c>
      <c r="C185" s="422" t="s">
        <v>351</v>
      </c>
      <c r="D185" s="423">
        <v>4500182548</v>
      </c>
      <c r="E185" s="424">
        <v>942104</v>
      </c>
      <c r="F185" s="423" t="s">
        <v>5692</v>
      </c>
      <c r="G185" s="425" t="s">
        <v>4988</v>
      </c>
      <c r="H185" s="426" t="s">
        <v>4989</v>
      </c>
      <c r="I185" s="437">
        <v>350</v>
      </c>
      <c r="J185" s="438">
        <v>0</v>
      </c>
      <c r="K185" s="425">
        <v>25</v>
      </c>
      <c r="L185" s="439">
        <f t="shared" si="86"/>
        <v>14</v>
      </c>
      <c r="M185" s="734">
        <v>46034</v>
      </c>
      <c r="N185" s="734">
        <v>46031</v>
      </c>
      <c r="O185" s="441"/>
      <c r="P185" s="441" t="s">
        <v>1262</v>
      </c>
      <c r="Q185" s="441" t="s">
        <v>3451</v>
      </c>
      <c r="R185" s="449">
        <v>45961</v>
      </c>
      <c r="S185" s="448" t="s">
        <v>77</v>
      </c>
      <c r="T185" s="455" t="s">
        <v>5693</v>
      </c>
      <c r="U185" s="441"/>
      <c r="V185" s="441"/>
      <c r="W185" s="441"/>
      <c r="X185" s="424" t="s">
        <v>5694</v>
      </c>
      <c r="Y185" s="473" t="s">
        <v>647</v>
      </c>
      <c r="Z185" s="474">
        <v>1.6</v>
      </c>
      <c r="AA185" s="475">
        <f t="shared" si="105"/>
        <v>560</v>
      </c>
      <c r="AB185" s="476" t="s">
        <v>3582</v>
      </c>
      <c r="AC185" s="478" t="s">
        <v>5042</v>
      </c>
      <c r="AD185" s="477" t="s">
        <v>128</v>
      </c>
      <c r="AE185" s="477" t="s">
        <v>4930</v>
      </c>
      <c r="AF185" s="425">
        <v>350</v>
      </c>
      <c r="AG185" s="425">
        <f t="shared" si="106"/>
        <v>0</v>
      </c>
      <c r="AH185" s="425" t="s">
        <v>4335</v>
      </c>
      <c r="AI185" s="487"/>
      <c r="AJ185" s="488">
        <f t="shared" si="107"/>
        <v>350</v>
      </c>
      <c r="AK185" s="488"/>
      <c r="AL185" s="489"/>
      <c r="AM185" s="490">
        <f>I185</f>
        <v>350</v>
      </c>
      <c r="AN185" s="437"/>
      <c r="AO185" s="437"/>
      <c r="AP185" s="439">
        <f t="shared" si="109"/>
        <v>350</v>
      </c>
      <c r="AQ185" s="439"/>
      <c r="AR185" s="489"/>
      <c r="AS185" s="439">
        <f t="shared" si="110"/>
        <v>315.729166666667</v>
      </c>
      <c r="AT185" s="621">
        <f t="shared" si="111"/>
        <v>34.2708333333333</v>
      </c>
      <c r="AU185" s="489"/>
      <c r="AV185" s="489"/>
      <c r="AW185" s="489"/>
      <c r="AX185" s="512"/>
      <c r="AY185" s="512"/>
      <c r="AZ185" s="512"/>
      <c r="BA185" s="512"/>
      <c r="BB185" s="512">
        <f>I185/25</f>
        <v>14</v>
      </c>
      <c r="BC185" s="512"/>
      <c r="BD185" s="512"/>
      <c r="BE185" s="512"/>
      <c r="BF185" s="512"/>
      <c r="BG185" s="512"/>
      <c r="BH185" s="512"/>
      <c r="BI185" s="512"/>
      <c r="BJ185" s="512"/>
      <c r="BK185" s="512"/>
      <c r="BL185" s="512"/>
      <c r="BM185" s="512"/>
      <c r="BN185" s="512"/>
      <c r="BQ185" s="400">
        <f t="shared" si="119"/>
        <v>598309</v>
      </c>
    </row>
    <row r="186" s="3" customFormat="1" ht="36" customHeight="1" spans="1:69">
      <c r="A186" s="18">
        <v>45968</v>
      </c>
      <c r="B186" s="75" t="s">
        <v>5234</v>
      </c>
      <c r="C186" s="76" t="s">
        <v>117</v>
      </c>
      <c r="D186" s="21">
        <v>4500184978</v>
      </c>
      <c r="E186" s="114" t="s">
        <v>5695</v>
      </c>
      <c r="F186" s="21" t="s">
        <v>5696</v>
      </c>
      <c r="G186" s="23" t="s">
        <v>5066</v>
      </c>
      <c r="H186" s="24" t="s">
        <v>5048</v>
      </c>
      <c r="I186" s="88">
        <v>2067</v>
      </c>
      <c r="J186" s="89">
        <v>0</v>
      </c>
      <c r="K186" s="23">
        <v>13</v>
      </c>
      <c r="L186" s="436">
        <f t="shared" si="86"/>
        <v>159</v>
      </c>
      <c r="M186" s="574">
        <v>46036</v>
      </c>
      <c r="N186" s="574">
        <v>46034</v>
      </c>
      <c r="O186" s="91" t="s">
        <v>5697</v>
      </c>
      <c r="P186" s="91"/>
      <c r="Q186" s="91"/>
      <c r="R186" s="452">
        <v>45985</v>
      </c>
      <c r="S186" s="453" t="s">
        <v>77</v>
      </c>
      <c r="T186" s="458" t="s">
        <v>77</v>
      </c>
      <c r="U186" s="91"/>
      <c r="V186" s="91" t="s">
        <v>5631</v>
      </c>
      <c r="W186" s="91" t="s">
        <v>5238</v>
      </c>
      <c r="X186" s="114" t="s">
        <v>5698</v>
      </c>
      <c r="Y186" s="91" t="s">
        <v>1187</v>
      </c>
      <c r="Z186" s="116">
        <v>0.858</v>
      </c>
      <c r="AA186" s="117">
        <f t="shared" si="105"/>
        <v>1773.486</v>
      </c>
      <c r="AB186" s="469" t="s">
        <v>3582</v>
      </c>
      <c r="AC186" s="470" t="s">
        <v>5066</v>
      </c>
      <c r="AD186" s="467" t="s">
        <v>128</v>
      </c>
      <c r="AE186" s="467" t="s">
        <v>4930</v>
      </c>
      <c r="AF186" s="23"/>
      <c r="AG186" s="483">
        <f t="shared" si="106"/>
        <v>-2067</v>
      </c>
      <c r="AH186" s="23" t="s">
        <v>77</v>
      </c>
      <c r="AI186" s="470"/>
      <c r="AJ186" s="155">
        <f t="shared" si="107"/>
        <v>2067</v>
      </c>
      <c r="AK186" s="484"/>
      <c r="AL186" s="485">
        <f>I186</f>
        <v>2067</v>
      </c>
      <c r="AM186" s="486"/>
      <c r="AN186" s="88"/>
      <c r="AO186" s="88"/>
      <c r="AP186" s="436">
        <f t="shared" si="109"/>
        <v>2067</v>
      </c>
      <c r="AQ186" s="436"/>
      <c r="AR186" s="88"/>
      <c r="AS186" s="436">
        <f t="shared" si="110"/>
        <v>1864.60625</v>
      </c>
      <c r="AT186" s="621">
        <f t="shared" si="111"/>
        <v>202.39375</v>
      </c>
      <c r="AU186" s="486"/>
      <c r="AV186" s="486"/>
      <c r="AW186" s="486"/>
      <c r="AX186" s="181">
        <f t="shared" si="122"/>
        <v>159</v>
      </c>
      <c r="AY186" s="181"/>
      <c r="AZ186" s="181"/>
      <c r="BA186" s="181"/>
      <c r="BB186" s="181"/>
      <c r="BC186" s="181"/>
      <c r="BD186" s="181"/>
      <c r="BE186" s="181"/>
      <c r="BF186" s="181"/>
      <c r="BG186" s="181"/>
      <c r="BH186" s="181"/>
      <c r="BI186" s="181"/>
      <c r="BJ186" s="181"/>
      <c r="BK186" s="181"/>
      <c r="BL186" s="181"/>
      <c r="BM186" s="181"/>
      <c r="BN186" s="181"/>
      <c r="BQ186" s="3">
        <f t="shared" si="119"/>
        <v>600376</v>
      </c>
    </row>
    <row r="187" s="403" customFormat="1" ht="36" customHeight="1" spans="1:66">
      <c r="A187" s="638">
        <v>46028</v>
      </c>
      <c r="B187" s="639"/>
      <c r="C187" s="644"/>
      <c r="D187" s="641" t="s">
        <v>5699</v>
      </c>
      <c r="E187" s="223"/>
      <c r="F187" s="641" t="s">
        <v>5700</v>
      </c>
      <c r="G187" s="642" t="s">
        <v>5701</v>
      </c>
      <c r="H187" s="726"/>
      <c r="I187" s="677" t="s">
        <v>5702</v>
      </c>
      <c r="J187" s="740"/>
      <c r="K187" s="642"/>
      <c r="L187" s="681"/>
      <c r="M187" s="654">
        <v>46036</v>
      </c>
      <c r="N187" s="654">
        <v>46032</v>
      </c>
      <c r="O187" s="655"/>
      <c r="P187" s="655"/>
      <c r="Q187" s="655"/>
      <c r="R187" s="744"/>
      <c r="S187" s="660"/>
      <c r="T187" s="745"/>
      <c r="U187" s="655"/>
      <c r="V187" s="655"/>
      <c r="W187" s="655"/>
      <c r="X187" s="223" t="s">
        <v>5703</v>
      </c>
      <c r="Y187" s="655"/>
      <c r="Z187" s="748"/>
      <c r="AA187" s="753"/>
      <c r="AB187" s="677"/>
      <c r="AC187" s="672"/>
      <c r="AD187" s="669"/>
      <c r="AE187" s="669"/>
      <c r="AF187" s="642"/>
      <c r="AG187" s="758"/>
      <c r="AH187" s="642"/>
      <c r="AI187" s="672"/>
      <c r="AJ187" s="759"/>
      <c r="AK187" s="760"/>
      <c r="AL187" s="761"/>
      <c r="AM187" s="676"/>
      <c r="AN187" s="677"/>
      <c r="AO187" s="677"/>
      <c r="AP187" s="681"/>
      <c r="AQ187" s="681"/>
      <c r="AR187" s="677"/>
      <c r="AS187" s="681"/>
      <c r="AT187" s="683"/>
      <c r="AU187" s="676"/>
      <c r="AV187" s="676"/>
      <c r="AW187" s="676"/>
      <c r="AX187" s="690"/>
      <c r="AY187" s="689"/>
      <c r="AZ187" s="689"/>
      <c r="BA187" s="689"/>
      <c r="BB187" s="689"/>
      <c r="BC187" s="689"/>
      <c r="BD187" s="689"/>
      <c r="BE187" s="689"/>
      <c r="BF187" s="689"/>
      <c r="BG187" s="689"/>
      <c r="BH187" s="689"/>
      <c r="BI187" s="689"/>
      <c r="BJ187" s="689"/>
      <c r="BK187" s="689"/>
      <c r="BL187" s="689"/>
      <c r="BM187" s="689"/>
      <c r="BN187" s="689"/>
    </row>
    <row r="188" s="3" customFormat="1" ht="36" customHeight="1" spans="1:69">
      <c r="A188" s="18">
        <v>45971</v>
      </c>
      <c r="B188" s="75" t="s">
        <v>848</v>
      </c>
      <c r="C188" s="76" t="s">
        <v>849</v>
      </c>
      <c r="D188" s="21">
        <v>4500185120</v>
      </c>
      <c r="E188" s="114"/>
      <c r="F188" s="21" t="s">
        <v>5704</v>
      </c>
      <c r="G188" s="23" t="s">
        <v>4974</v>
      </c>
      <c r="H188" s="24" t="s">
        <v>5205</v>
      </c>
      <c r="I188" s="88">
        <v>1000</v>
      </c>
      <c r="J188" s="89">
        <v>0</v>
      </c>
      <c r="K188" s="23">
        <v>50</v>
      </c>
      <c r="L188" s="436">
        <f t="shared" ref="L188:L246" si="123">I188/K188</f>
        <v>20</v>
      </c>
      <c r="M188" s="90">
        <v>46037</v>
      </c>
      <c r="N188" s="90">
        <v>46034</v>
      </c>
      <c r="O188" s="91"/>
      <c r="P188" s="91"/>
      <c r="Q188" s="91"/>
      <c r="R188" s="459">
        <v>45982</v>
      </c>
      <c r="S188" s="459" t="s">
        <v>77</v>
      </c>
      <c r="T188" s="446" t="s">
        <v>5705</v>
      </c>
      <c r="U188" s="91"/>
      <c r="V188" s="91"/>
      <c r="W188" s="91"/>
      <c r="X188" s="114" t="s">
        <v>5706</v>
      </c>
      <c r="Y188" s="91" t="s">
        <v>618</v>
      </c>
      <c r="Z188" s="116">
        <v>1.55</v>
      </c>
      <c r="AA188" s="117">
        <f t="shared" ref="AA188:AA219" si="124">Z188*I188</f>
        <v>1550</v>
      </c>
      <c r="AB188" s="469" t="s">
        <v>3582</v>
      </c>
      <c r="AC188" s="23" t="s">
        <v>5391</v>
      </c>
      <c r="AD188" s="752" t="s">
        <v>128</v>
      </c>
      <c r="AE188" s="467" t="s">
        <v>4930</v>
      </c>
      <c r="AF188" s="23"/>
      <c r="AG188" s="483">
        <f t="shared" ref="AG188:AG235" si="125">AF188-I188</f>
        <v>-1000</v>
      </c>
      <c r="AH188" s="23" t="s">
        <v>4335</v>
      </c>
      <c r="AI188" s="470"/>
      <c r="AJ188" s="155">
        <f t="shared" ref="AJ188:AJ192" si="126">I188</f>
        <v>1000</v>
      </c>
      <c r="AK188" s="155"/>
      <c r="AL188" s="175"/>
      <c r="AM188" s="88">
        <f>I188</f>
        <v>1000</v>
      </c>
      <c r="AN188" s="88"/>
      <c r="AO188" s="88"/>
      <c r="AP188" s="436">
        <f t="shared" ref="AP188:AP192" si="127">I188</f>
        <v>1000</v>
      </c>
      <c r="AQ188" s="436"/>
      <c r="AR188" s="88"/>
      <c r="AS188" s="436">
        <f t="shared" ref="AS188:AS235" si="128">AP188-AT188</f>
        <v>902.083333333333</v>
      </c>
      <c r="AT188" s="621">
        <f>I188*(1-(1/48))/10</f>
        <v>97.9166666666667</v>
      </c>
      <c r="AU188" s="175"/>
      <c r="AV188" s="486"/>
      <c r="AW188" s="486"/>
      <c r="AX188" s="514"/>
      <c r="AY188" s="181"/>
      <c r="AZ188" s="181"/>
      <c r="BA188" s="181"/>
      <c r="BB188" s="181">
        <f>I188/25</f>
        <v>40</v>
      </c>
      <c r="BC188" s="181"/>
      <c r="BD188" s="181"/>
      <c r="BE188" s="181"/>
      <c r="BF188" s="181"/>
      <c r="BG188" s="181"/>
      <c r="BH188" s="181"/>
      <c r="BI188" s="181"/>
      <c r="BJ188" s="181"/>
      <c r="BK188" s="181"/>
      <c r="BL188" s="181"/>
      <c r="BM188" s="181"/>
      <c r="BN188" s="181"/>
      <c r="BQ188" s="3">
        <f>AJ188+BQ186</f>
        <v>601376</v>
      </c>
    </row>
    <row r="189" s="3" customFormat="1" ht="36" customHeight="1" spans="1:69">
      <c r="A189" s="18">
        <v>45993</v>
      </c>
      <c r="B189" s="75" t="s">
        <v>762</v>
      </c>
      <c r="C189" s="76" t="s">
        <v>763</v>
      </c>
      <c r="D189" s="21">
        <v>4500187623</v>
      </c>
      <c r="E189" s="114">
        <v>4504562690</v>
      </c>
      <c r="F189" s="21" t="s">
        <v>5707</v>
      </c>
      <c r="G189" s="23" t="s">
        <v>4974</v>
      </c>
      <c r="H189" s="24" t="s">
        <v>5205</v>
      </c>
      <c r="I189" s="88">
        <v>10000</v>
      </c>
      <c r="J189" s="89">
        <v>0</v>
      </c>
      <c r="K189" s="23">
        <v>50</v>
      </c>
      <c r="L189" s="436">
        <f t="shared" si="123"/>
        <v>200</v>
      </c>
      <c r="M189" s="90">
        <v>46037</v>
      </c>
      <c r="N189" s="90">
        <v>46034</v>
      </c>
      <c r="O189" s="91" t="s">
        <v>2573</v>
      </c>
      <c r="P189" s="91"/>
      <c r="Q189" s="91"/>
      <c r="R189" s="459">
        <v>45999</v>
      </c>
      <c r="S189" s="459" t="s">
        <v>77</v>
      </c>
      <c r="T189" s="446" t="s">
        <v>5708</v>
      </c>
      <c r="U189" s="91"/>
      <c r="V189" s="91"/>
      <c r="W189" s="91"/>
      <c r="X189" s="114" t="s">
        <v>5709</v>
      </c>
      <c r="Y189" s="91" t="s">
        <v>618</v>
      </c>
      <c r="Z189" s="116">
        <v>1.4435</v>
      </c>
      <c r="AA189" s="117">
        <f t="shared" si="124"/>
        <v>14435</v>
      </c>
      <c r="AB189" s="469" t="s">
        <v>3582</v>
      </c>
      <c r="AC189" s="23" t="s">
        <v>5391</v>
      </c>
      <c r="AD189" s="467" t="s">
        <v>128</v>
      </c>
      <c r="AE189" s="467" t="s">
        <v>4930</v>
      </c>
      <c r="AF189" s="23"/>
      <c r="AG189" s="483">
        <f t="shared" si="125"/>
        <v>-10000</v>
      </c>
      <c r="AH189" s="23" t="s">
        <v>4335</v>
      </c>
      <c r="AI189" s="470"/>
      <c r="AJ189" s="155">
        <f t="shared" si="126"/>
        <v>10000</v>
      </c>
      <c r="AK189" s="155"/>
      <c r="AL189" s="175"/>
      <c r="AM189" s="88">
        <f>I189</f>
        <v>10000</v>
      </c>
      <c r="AN189" s="88"/>
      <c r="AO189" s="88"/>
      <c r="AP189" s="436">
        <f t="shared" si="127"/>
        <v>10000</v>
      </c>
      <c r="AQ189" s="436"/>
      <c r="AR189" s="88"/>
      <c r="AS189" s="436">
        <f t="shared" si="128"/>
        <v>9020.83333333333</v>
      </c>
      <c r="AT189" s="621">
        <f>I189*(1-(1/48))/10</f>
        <v>979.166666666667</v>
      </c>
      <c r="AU189" s="175"/>
      <c r="AV189" s="486"/>
      <c r="AW189" s="486"/>
      <c r="AX189" s="514"/>
      <c r="AY189" s="181"/>
      <c r="AZ189" s="181"/>
      <c r="BA189" s="181"/>
      <c r="BB189" s="181">
        <f>I189/25</f>
        <v>400</v>
      </c>
      <c r="BC189" s="181"/>
      <c r="BD189" s="181"/>
      <c r="BE189" s="181"/>
      <c r="BF189" s="181"/>
      <c r="BG189" s="181"/>
      <c r="BH189" s="181"/>
      <c r="BI189" s="181"/>
      <c r="BJ189" s="181"/>
      <c r="BK189" s="181"/>
      <c r="BL189" s="181"/>
      <c r="BM189" s="181"/>
      <c r="BN189" s="181"/>
      <c r="BQ189" s="3">
        <f t="shared" ref="BQ189:BQ235" si="129">AJ189+BQ188</f>
        <v>611376</v>
      </c>
    </row>
    <row r="190" s="403" customFormat="1" ht="36" customHeight="1" spans="1:66">
      <c r="A190" s="727">
        <v>46026</v>
      </c>
      <c r="B190" s="728"/>
      <c r="C190" s="729"/>
      <c r="D190" s="730" t="s">
        <v>5710</v>
      </c>
      <c r="E190" s="223"/>
      <c r="F190" s="641"/>
      <c r="G190" s="642" t="s">
        <v>4963</v>
      </c>
      <c r="H190" s="726" t="s">
        <v>5625</v>
      </c>
      <c r="I190" s="677" t="s">
        <v>5711</v>
      </c>
      <c r="J190" s="740">
        <v>0</v>
      </c>
      <c r="K190" s="642">
        <v>24</v>
      </c>
      <c r="L190" s="681" t="e">
        <f t="shared" si="123"/>
        <v>#VALUE!</v>
      </c>
      <c r="M190" s="654">
        <v>46037</v>
      </c>
      <c r="N190" s="654">
        <v>46034</v>
      </c>
      <c r="O190" s="655"/>
      <c r="P190" s="655"/>
      <c r="Q190" s="655"/>
      <c r="R190" s="746"/>
      <c r="S190" s="746"/>
      <c r="T190" s="747"/>
      <c r="U190" s="655"/>
      <c r="V190" s="655"/>
      <c r="W190" s="655"/>
      <c r="X190" s="223" t="s">
        <v>5712</v>
      </c>
      <c r="Y190" s="655"/>
      <c r="Z190" s="748"/>
      <c r="AA190" s="753"/>
      <c r="AB190" s="677"/>
      <c r="AC190" s="642"/>
      <c r="AD190" s="669"/>
      <c r="AE190" s="669"/>
      <c r="AF190" s="642"/>
      <c r="AG190" s="642"/>
      <c r="AH190" s="642"/>
      <c r="AI190" s="672"/>
      <c r="AJ190" s="759" t="str">
        <f t="shared" si="126"/>
        <v>24套散件</v>
      </c>
      <c r="AK190" s="759"/>
      <c r="AL190" s="675"/>
      <c r="AM190" s="677"/>
      <c r="AN190" s="677"/>
      <c r="AO190" s="677"/>
      <c r="AP190" s="681"/>
      <c r="AQ190" s="681"/>
      <c r="AR190" s="677"/>
      <c r="AS190" s="681"/>
      <c r="AT190" s="683"/>
      <c r="AU190" s="675"/>
      <c r="AV190" s="676"/>
      <c r="AW190" s="676"/>
      <c r="AX190" s="690"/>
      <c r="AY190" s="689"/>
      <c r="AZ190" s="689"/>
      <c r="BA190" s="689"/>
      <c r="BB190" s="689"/>
      <c r="BC190" s="689"/>
      <c r="BD190" s="689"/>
      <c r="BE190" s="689"/>
      <c r="BF190" s="689"/>
      <c r="BG190" s="689"/>
      <c r="BH190" s="689"/>
      <c r="BI190" s="689"/>
      <c r="BJ190" s="689"/>
      <c r="BK190" s="689"/>
      <c r="BL190" s="689"/>
      <c r="BM190" s="689"/>
      <c r="BN190" s="689"/>
    </row>
    <row r="191" s="3" customFormat="1" ht="36" customHeight="1" spans="1:69">
      <c r="A191" s="18">
        <v>45979</v>
      </c>
      <c r="B191" s="75" t="s">
        <v>3770</v>
      </c>
      <c r="C191" s="76" t="s">
        <v>373</v>
      </c>
      <c r="D191" s="21">
        <v>4500186008</v>
      </c>
      <c r="E191" s="114"/>
      <c r="F191" s="21" t="s">
        <v>5713</v>
      </c>
      <c r="G191" s="23" t="s">
        <v>4974</v>
      </c>
      <c r="H191" s="24" t="s">
        <v>5205</v>
      </c>
      <c r="I191" s="88">
        <v>2400</v>
      </c>
      <c r="J191" s="89">
        <v>0</v>
      </c>
      <c r="K191" s="23">
        <v>50</v>
      </c>
      <c r="L191" s="436">
        <f t="shared" si="123"/>
        <v>48</v>
      </c>
      <c r="M191" s="90">
        <v>46038</v>
      </c>
      <c r="N191" s="90">
        <v>46034</v>
      </c>
      <c r="O191" s="91"/>
      <c r="P191" s="91"/>
      <c r="Q191" s="91" t="s">
        <v>5714</v>
      </c>
      <c r="R191" s="459">
        <v>45982</v>
      </c>
      <c r="S191" s="459" t="s">
        <v>77</v>
      </c>
      <c r="T191" s="446" t="s">
        <v>5715</v>
      </c>
      <c r="U191" s="91"/>
      <c r="V191" s="91" t="s">
        <v>878</v>
      </c>
      <c r="W191" s="91"/>
      <c r="X191" s="114" t="s">
        <v>5716</v>
      </c>
      <c r="Y191" s="91" t="s">
        <v>3560</v>
      </c>
      <c r="Z191" s="116">
        <v>1.55</v>
      </c>
      <c r="AA191" s="117">
        <f t="shared" si="124"/>
        <v>3720</v>
      </c>
      <c r="AB191" s="469" t="s">
        <v>3582</v>
      </c>
      <c r="AC191" s="23" t="s">
        <v>5391</v>
      </c>
      <c r="AD191" s="467" t="s">
        <v>128</v>
      </c>
      <c r="AE191" s="467" t="s">
        <v>4930</v>
      </c>
      <c r="AF191" s="23"/>
      <c r="AG191" s="483">
        <f t="shared" si="125"/>
        <v>-2400</v>
      </c>
      <c r="AH191" s="23" t="s">
        <v>75</v>
      </c>
      <c r="AI191" s="470"/>
      <c r="AJ191" s="155">
        <f t="shared" si="126"/>
        <v>2400</v>
      </c>
      <c r="AK191" s="155"/>
      <c r="AL191" s="175"/>
      <c r="AM191" s="88">
        <f>I191</f>
        <v>2400</v>
      </c>
      <c r="AN191" s="88"/>
      <c r="AO191" s="88"/>
      <c r="AP191" s="436">
        <f t="shared" si="127"/>
        <v>2400</v>
      </c>
      <c r="AQ191" s="436"/>
      <c r="AR191" s="88"/>
      <c r="AS191" s="436">
        <f t="shared" si="128"/>
        <v>2165</v>
      </c>
      <c r="AT191" s="621">
        <f t="shared" ref="AT191:AT235" si="130">I191*(1-(1/48))/10</f>
        <v>235</v>
      </c>
      <c r="AU191" s="175">
        <f>I191</f>
        <v>2400</v>
      </c>
      <c r="AV191" s="486"/>
      <c r="AW191" s="486"/>
      <c r="AX191" s="514"/>
      <c r="AY191" s="181"/>
      <c r="AZ191" s="181"/>
      <c r="BA191" s="181"/>
      <c r="BB191" s="181">
        <f>I191/25</f>
        <v>96</v>
      </c>
      <c r="BC191" s="181"/>
      <c r="BD191" s="181"/>
      <c r="BE191" s="181"/>
      <c r="BF191" s="181"/>
      <c r="BG191" s="181"/>
      <c r="BH191" s="181"/>
      <c r="BI191" s="181"/>
      <c r="BJ191" s="181"/>
      <c r="BK191" s="181"/>
      <c r="BL191" s="181"/>
      <c r="BM191" s="181"/>
      <c r="BN191" s="181"/>
      <c r="BQ191" s="3">
        <f>AJ191+BQ189</f>
        <v>613776</v>
      </c>
    </row>
    <row r="192" s="3" customFormat="1" ht="36" customHeight="1" spans="1:69">
      <c r="A192" s="18">
        <v>45993</v>
      </c>
      <c r="B192" s="75" t="s">
        <v>225</v>
      </c>
      <c r="C192" s="76" t="s">
        <v>213</v>
      </c>
      <c r="D192" s="21">
        <v>4500187663</v>
      </c>
      <c r="E192" s="114" t="s">
        <v>5717</v>
      </c>
      <c r="F192" s="21" t="s">
        <v>5718</v>
      </c>
      <c r="G192" s="23" t="s">
        <v>4970</v>
      </c>
      <c r="H192" s="24" t="s">
        <v>5144</v>
      </c>
      <c r="I192" s="88">
        <v>3120</v>
      </c>
      <c r="J192" s="89">
        <v>0</v>
      </c>
      <c r="K192" s="23">
        <v>52</v>
      </c>
      <c r="L192" s="436">
        <f t="shared" si="123"/>
        <v>60</v>
      </c>
      <c r="M192" s="90">
        <v>46038</v>
      </c>
      <c r="N192" s="90">
        <v>46034</v>
      </c>
      <c r="O192" s="91"/>
      <c r="P192" s="91"/>
      <c r="Q192" s="91"/>
      <c r="R192" s="459">
        <v>45993</v>
      </c>
      <c r="S192" s="91" t="s">
        <v>77</v>
      </c>
      <c r="T192" s="446" t="s">
        <v>5719</v>
      </c>
      <c r="U192" s="91"/>
      <c r="V192" s="91"/>
      <c r="W192" s="91"/>
      <c r="X192" s="719" t="s">
        <v>5720</v>
      </c>
      <c r="Y192" s="91" t="s">
        <v>5386</v>
      </c>
      <c r="Z192" s="116">
        <v>1.4132</v>
      </c>
      <c r="AA192" s="117">
        <f t="shared" si="124"/>
        <v>4409.184</v>
      </c>
      <c r="AB192" s="469" t="s">
        <v>3582</v>
      </c>
      <c r="AC192" s="23" t="s">
        <v>4970</v>
      </c>
      <c r="AD192" s="467" t="s">
        <v>128</v>
      </c>
      <c r="AE192" s="467" t="s">
        <v>4930</v>
      </c>
      <c r="AF192" s="23"/>
      <c r="AG192" s="483">
        <f t="shared" si="125"/>
        <v>-3120</v>
      </c>
      <c r="AH192" s="23" t="s">
        <v>4335</v>
      </c>
      <c r="AI192" s="470"/>
      <c r="AJ192" s="155">
        <f t="shared" si="126"/>
        <v>3120</v>
      </c>
      <c r="AK192" s="155"/>
      <c r="AL192" s="175">
        <f t="shared" ref="AL192:AL196" si="131">I192</f>
        <v>3120</v>
      </c>
      <c r="AM192" s="88"/>
      <c r="AN192" s="88"/>
      <c r="AO192" s="88"/>
      <c r="AP192" s="436">
        <f t="shared" si="127"/>
        <v>3120</v>
      </c>
      <c r="AQ192" s="436"/>
      <c r="AR192" s="175"/>
      <c r="AS192" s="436">
        <f t="shared" si="128"/>
        <v>2814.5</v>
      </c>
      <c r="AT192" s="621">
        <f t="shared" si="130"/>
        <v>305.5</v>
      </c>
      <c r="AU192" s="175"/>
      <c r="AV192" s="486"/>
      <c r="AW192" s="486"/>
      <c r="AX192" s="181">
        <f t="shared" ref="AX192:AX196" si="132">I192/13</f>
        <v>240</v>
      </c>
      <c r="AY192" s="181"/>
      <c r="AZ192" s="181"/>
      <c r="BA192" s="181"/>
      <c r="BB192" s="181"/>
      <c r="BC192" s="181"/>
      <c r="BD192" s="181"/>
      <c r="BE192" s="181"/>
      <c r="BF192" s="181"/>
      <c r="BG192" s="181"/>
      <c r="BH192" s="181"/>
      <c r="BI192" s="181"/>
      <c r="BJ192" s="181"/>
      <c r="BK192" s="181"/>
      <c r="BL192" s="181"/>
      <c r="BM192" s="181"/>
      <c r="BN192" s="181"/>
      <c r="BQ192" s="3">
        <f t="shared" si="129"/>
        <v>616896</v>
      </c>
    </row>
    <row r="193" s="3" customFormat="1" ht="36" customHeight="1" spans="1:69">
      <c r="A193" s="18">
        <v>45989</v>
      </c>
      <c r="B193" s="75" t="s">
        <v>3926</v>
      </c>
      <c r="C193" s="76" t="s">
        <v>351</v>
      </c>
      <c r="D193" s="21">
        <v>4500187446</v>
      </c>
      <c r="E193" s="114" t="s">
        <v>5721</v>
      </c>
      <c r="F193" s="21" t="s">
        <v>5722</v>
      </c>
      <c r="G193" s="23" t="s">
        <v>5092</v>
      </c>
      <c r="H193" s="24" t="s">
        <v>5093</v>
      </c>
      <c r="I193" s="88">
        <v>12</v>
      </c>
      <c r="J193" s="89">
        <v>0</v>
      </c>
      <c r="K193" s="23">
        <v>12</v>
      </c>
      <c r="L193" s="436">
        <f t="shared" si="123"/>
        <v>1</v>
      </c>
      <c r="M193" s="90">
        <v>46038</v>
      </c>
      <c r="N193" s="90">
        <v>46034</v>
      </c>
      <c r="O193" s="91"/>
      <c r="P193" s="91"/>
      <c r="Q193" s="91"/>
      <c r="R193" s="459">
        <v>45989</v>
      </c>
      <c r="S193" s="91" t="s">
        <v>123</v>
      </c>
      <c r="T193" s="91" t="s">
        <v>5723</v>
      </c>
      <c r="U193" s="91"/>
      <c r="V193" s="91"/>
      <c r="W193" s="91"/>
      <c r="X193" s="114" t="s">
        <v>5724</v>
      </c>
      <c r="Y193" s="91" t="s">
        <v>396</v>
      </c>
      <c r="Z193" s="116">
        <v>3.1965</v>
      </c>
      <c r="AA193" s="117">
        <f t="shared" si="124"/>
        <v>38.358</v>
      </c>
      <c r="AB193" s="469" t="s">
        <v>3582</v>
      </c>
      <c r="AC193" s="470" t="s">
        <v>5098</v>
      </c>
      <c r="AD193" s="467" t="s">
        <v>128</v>
      </c>
      <c r="AE193" s="467" t="s">
        <v>4930</v>
      </c>
      <c r="AF193" s="23"/>
      <c r="AG193" s="483">
        <f t="shared" si="125"/>
        <v>-12</v>
      </c>
      <c r="AH193" s="23" t="s">
        <v>4335</v>
      </c>
      <c r="AI193" s="470"/>
      <c r="AJ193" s="155">
        <f>I193*2</f>
        <v>24</v>
      </c>
      <c r="AK193" s="155"/>
      <c r="AL193" s="175"/>
      <c r="AM193" s="88"/>
      <c r="AN193" s="88">
        <f>I193*2</f>
        <v>24</v>
      </c>
      <c r="AO193" s="88"/>
      <c r="AP193" s="436">
        <f>I193*2</f>
        <v>24</v>
      </c>
      <c r="AQ193" s="436"/>
      <c r="AR193" s="88"/>
      <c r="AS193" s="436">
        <f t="shared" si="128"/>
        <v>21.65</v>
      </c>
      <c r="AT193" s="621">
        <f>I193*(1-(1/48))/10*2</f>
        <v>2.35</v>
      </c>
      <c r="AU193" s="175"/>
      <c r="AV193" s="486"/>
      <c r="AW193" s="486"/>
      <c r="AX193" s="514"/>
      <c r="AY193" s="181"/>
      <c r="AZ193" s="181"/>
      <c r="BA193" s="181"/>
      <c r="BB193" s="181"/>
      <c r="BC193" s="181"/>
      <c r="BD193" s="181"/>
      <c r="BE193" s="181"/>
      <c r="BF193" s="181"/>
      <c r="BG193" s="181"/>
      <c r="BH193" s="181"/>
      <c r="BI193" s="181"/>
      <c r="BJ193" s="181"/>
      <c r="BK193" s="181"/>
      <c r="BL193" s="181"/>
      <c r="BM193" s="181">
        <f>I193</f>
        <v>12</v>
      </c>
      <c r="BN193" s="181">
        <f>I193</f>
        <v>12</v>
      </c>
      <c r="BQ193" s="3">
        <f t="shared" si="129"/>
        <v>616920</v>
      </c>
    </row>
    <row r="194" s="3" customFormat="1" ht="36" customHeight="1" spans="1:69">
      <c r="A194" s="18">
        <v>45988</v>
      </c>
      <c r="B194" s="75" t="s">
        <v>4976</v>
      </c>
      <c r="C194" s="76" t="s">
        <v>117</v>
      </c>
      <c r="D194" s="21">
        <v>4500187256</v>
      </c>
      <c r="E194" s="1693" t="s">
        <v>5725</v>
      </c>
      <c r="F194" s="21" t="s">
        <v>5726</v>
      </c>
      <c r="G194" s="23" t="s">
        <v>4979</v>
      </c>
      <c r="H194" s="24" t="s">
        <v>4980</v>
      </c>
      <c r="I194" s="88">
        <v>960</v>
      </c>
      <c r="J194" s="89">
        <v>0</v>
      </c>
      <c r="K194" s="23">
        <v>16</v>
      </c>
      <c r="L194" s="436">
        <f t="shared" si="123"/>
        <v>60</v>
      </c>
      <c r="M194" s="90">
        <v>46041</v>
      </c>
      <c r="N194" s="90">
        <v>46037</v>
      </c>
      <c r="O194" s="91" t="s">
        <v>5727</v>
      </c>
      <c r="P194" s="91"/>
      <c r="Q194" s="91"/>
      <c r="R194" s="91" t="s">
        <v>1102</v>
      </c>
      <c r="S194" s="91" t="s">
        <v>123</v>
      </c>
      <c r="T194" s="453" t="s">
        <v>5728</v>
      </c>
      <c r="U194" s="91" t="s">
        <v>4983</v>
      </c>
      <c r="V194" s="91"/>
      <c r="W194" s="91"/>
      <c r="X194" s="114" t="s">
        <v>5676</v>
      </c>
      <c r="Y194" s="91" t="s">
        <v>634</v>
      </c>
      <c r="Z194" s="116">
        <v>0.9059</v>
      </c>
      <c r="AA194" s="117">
        <f t="shared" si="124"/>
        <v>869.664</v>
      </c>
      <c r="AB194" s="469" t="s">
        <v>3582</v>
      </c>
      <c r="AC194" s="23" t="s">
        <v>4979</v>
      </c>
      <c r="AD194" s="467" t="s">
        <v>128</v>
      </c>
      <c r="AE194" s="467" t="s">
        <v>4930</v>
      </c>
      <c r="AF194" s="23"/>
      <c r="AG194" s="483">
        <f t="shared" si="125"/>
        <v>-960</v>
      </c>
      <c r="AH194" s="23" t="s">
        <v>4335</v>
      </c>
      <c r="AI194" s="470"/>
      <c r="AJ194" s="155">
        <f t="shared" ref="AJ194:AJ201" si="133">I194</f>
        <v>960</v>
      </c>
      <c r="AK194" s="155"/>
      <c r="AL194" s="175">
        <f t="shared" si="131"/>
        <v>960</v>
      </c>
      <c r="AM194" s="88"/>
      <c r="AN194" s="88"/>
      <c r="AO194" s="88"/>
      <c r="AP194" s="436">
        <f t="shared" ref="AP194:AP201" si="134">I194</f>
        <v>960</v>
      </c>
      <c r="AQ194" s="436"/>
      <c r="AR194" s="88"/>
      <c r="AS194" s="436">
        <f t="shared" si="128"/>
        <v>866</v>
      </c>
      <c r="AT194" s="621">
        <f t="shared" si="130"/>
        <v>94</v>
      </c>
      <c r="AU194" s="175"/>
      <c r="AV194" s="486"/>
      <c r="AW194" s="486"/>
      <c r="AX194" s="514"/>
      <c r="AY194" s="181"/>
      <c r="AZ194" s="181"/>
      <c r="BA194" s="181"/>
      <c r="BB194" s="181"/>
      <c r="BC194" s="181">
        <f>I194/16</f>
        <v>60</v>
      </c>
      <c r="BD194" s="181"/>
      <c r="BE194" s="181"/>
      <c r="BF194" s="181"/>
      <c r="BG194" s="181"/>
      <c r="BH194" s="181"/>
      <c r="BI194" s="181"/>
      <c r="BJ194" s="181"/>
      <c r="BK194" s="181"/>
      <c r="BL194" s="181"/>
      <c r="BM194" s="181"/>
      <c r="BN194" s="181"/>
      <c r="BQ194" s="3">
        <f t="shared" si="129"/>
        <v>617880</v>
      </c>
    </row>
    <row r="195" s="3" customFormat="1" ht="36" customHeight="1" spans="1:69">
      <c r="A195" s="18">
        <v>46002</v>
      </c>
      <c r="B195" s="75" t="s">
        <v>189</v>
      </c>
      <c r="C195" s="76" t="s">
        <v>190</v>
      </c>
      <c r="D195" s="21">
        <v>4500188650</v>
      </c>
      <c r="E195" s="114">
        <v>21336516</v>
      </c>
      <c r="F195" s="21" t="s">
        <v>5729</v>
      </c>
      <c r="G195" s="23" t="s">
        <v>5066</v>
      </c>
      <c r="H195" s="24" t="s">
        <v>5048</v>
      </c>
      <c r="I195" s="575">
        <v>1365</v>
      </c>
      <c r="J195" s="89">
        <v>0</v>
      </c>
      <c r="K195" s="23">
        <v>13</v>
      </c>
      <c r="L195" s="436">
        <f t="shared" si="123"/>
        <v>105</v>
      </c>
      <c r="M195" s="90">
        <v>46041</v>
      </c>
      <c r="N195" s="90">
        <v>46037</v>
      </c>
      <c r="O195" s="91"/>
      <c r="P195" s="91"/>
      <c r="Q195" s="91"/>
      <c r="R195" s="452">
        <v>46010</v>
      </c>
      <c r="S195" s="91" t="s">
        <v>123</v>
      </c>
      <c r="T195" s="113" t="s">
        <v>5730</v>
      </c>
      <c r="U195" s="91"/>
      <c r="V195" s="91"/>
      <c r="W195" s="91"/>
      <c r="X195" s="114" t="s">
        <v>5731</v>
      </c>
      <c r="Y195" s="91" t="s">
        <v>1011</v>
      </c>
      <c r="Z195" s="116">
        <v>1.449</v>
      </c>
      <c r="AA195" s="117">
        <f t="shared" si="124"/>
        <v>1977.885</v>
      </c>
      <c r="AB195" s="469" t="s">
        <v>3582</v>
      </c>
      <c r="AC195" s="470" t="s">
        <v>5066</v>
      </c>
      <c r="AD195" s="467" t="s">
        <v>128</v>
      </c>
      <c r="AE195" s="467" t="s">
        <v>4930</v>
      </c>
      <c r="AF195" s="23"/>
      <c r="AG195" s="483">
        <f t="shared" si="125"/>
        <v>-1365</v>
      </c>
      <c r="AH195" s="23" t="s">
        <v>4335</v>
      </c>
      <c r="AI195" s="470"/>
      <c r="AJ195" s="155">
        <f t="shared" si="133"/>
        <v>1365</v>
      </c>
      <c r="AK195" s="484"/>
      <c r="AL195" s="485">
        <f t="shared" si="131"/>
        <v>1365</v>
      </c>
      <c r="AM195" s="486"/>
      <c r="AN195" s="88"/>
      <c r="AO195" s="88"/>
      <c r="AP195" s="436">
        <f t="shared" si="134"/>
        <v>1365</v>
      </c>
      <c r="AQ195" s="436"/>
      <c r="AR195" s="88"/>
      <c r="AS195" s="436">
        <f t="shared" si="128"/>
        <v>1231.34375</v>
      </c>
      <c r="AT195" s="621">
        <f t="shared" si="130"/>
        <v>133.65625</v>
      </c>
      <c r="AU195" s="486"/>
      <c r="AV195" s="486"/>
      <c r="AW195" s="486"/>
      <c r="AX195" s="181">
        <f t="shared" si="132"/>
        <v>105</v>
      </c>
      <c r="AY195" s="181"/>
      <c r="AZ195" s="181"/>
      <c r="BA195" s="181"/>
      <c r="BB195" s="181"/>
      <c r="BC195" s="181"/>
      <c r="BD195" s="181"/>
      <c r="BE195" s="181"/>
      <c r="BF195" s="181"/>
      <c r="BG195" s="181"/>
      <c r="BH195" s="181"/>
      <c r="BI195" s="181"/>
      <c r="BJ195" s="181"/>
      <c r="BK195" s="181"/>
      <c r="BL195" s="181"/>
      <c r="BM195" s="181"/>
      <c r="BN195" s="181"/>
      <c r="BQ195" s="3">
        <f t="shared" si="129"/>
        <v>619245</v>
      </c>
    </row>
    <row r="196" s="3" customFormat="1" ht="36" customHeight="1" spans="1:69">
      <c r="A196" s="18">
        <v>46002</v>
      </c>
      <c r="B196" s="75" t="s">
        <v>232</v>
      </c>
      <c r="C196" s="76" t="s">
        <v>233</v>
      </c>
      <c r="D196" s="21">
        <v>4500188651</v>
      </c>
      <c r="E196" s="114">
        <v>21336525</v>
      </c>
      <c r="F196" s="21" t="s">
        <v>5732</v>
      </c>
      <c r="G196" s="23" t="s">
        <v>5066</v>
      </c>
      <c r="H196" s="24" t="s">
        <v>5048</v>
      </c>
      <c r="I196" s="88">
        <v>143</v>
      </c>
      <c r="J196" s="89">
        <v>0</v>
      </c>
      <c r="K196" s="23">
        <v>13</v>
      </c>
      <c r="L196" s="436">
        <f t="shared" si="123"/>
        <v>11</v>
      </c>
      <c r="M196" s="90">
        <v>46041</v>
      </c>
      <c r="N196" s="90">
        <v>46037</v>
      </c>
      <c r="O196" s="91"/>
      <c r="P196" s="91"/>
      <c r="Q196" s="91"/>
      <c r="R196" s="452">
        <v>46010</v>
      </c>
      <c r="S196" s="91" t="s">
        <v>123</v>
      </c>
      <c r="T196" s="113" t="s">
        <v>5733</v>
      </c>
      <c r="U196" s="91"/>
      <c r="V196" s="91"/>
      <c r="W196" s="91"/>
      <c r="X196" s="114" t="s">
        <v>5734</v>
      </c>
      <c r="Y196" s="91" t="s">
        <v>1011</v>
      </c>
      <c r="Z196" s="116">
        <v>1.4539</v>
      </c>
      <c r="AA196" s="117">
        <f t="shared" si="124"/>
        <v>207.9077</v>
      </c>
      <c r="AB196" s="469" t="s">
        <v>3582</v>
      </c>
      <c r="AC196" s="470" t="s">
        <v>5066</v>
      </c>
      <c r="AD196" s="467" t="s">
        <v>128</v>
      </c>
      <c r="AE196" s="467" t="s">
        <v>4930</v>
      </c>
      <c r="AF196" s="23"/>
      <c r="AG196" s="483">
        <f t="shared" si="125"/>
        <v>-143</v>
      </c>
      <c r="AH196" s="23" t="s">
        <v>4335</v>
      </c>
      <c r="AI196" s="470"/>
      <c r="AJ196" s="155">
        <f t="shared" si="133"/>
        <v>143</v>
      </c>
      <c r="AK196" s="484"/>
      <c r="AL196" s="485">
        <f t="shared" si="131"/>
        <v>143</v>
      </c>
      <c r="AM196" s="486"/>
      <c r="AN196" s="88"/>
      <c r="AO196" s="88"/>
      <c r="AP196" s="436">
        <f t="shared" si="134"/>
        <v>143</v>
      </c>
      <c r="AQ196" s="436"/>
      <c r="AR196" s="88"/>
      <c r="AS196" s="436">
        <f t="shared" si="128"/>
        <v>128.997916666667</v>
      </c>
      <c r="AT196" s="621">
        <f t="shared" si="130"/>
        <v>14.0020833333333</v>
      </c>
      <c r="AU196" s="486"/>
      <c r="AV196" s="486"/>
      <c r="AW196" s="486"/>
      <c r="AX196" s="181">
        <f t="shared" si="132"/>
        <v>11</v>
      </c>
      <c r="AY196" s="181"/>
      <c r="AZ196" s="181"/>
      <c r="BA196" s="181"/>
      <c r="BB196" s="181"/>
      <c r="BC196" s="181"/>
      <c r="BD196" s="181"/>
      <c r="BE196" s="181"/>
      <c r="BF196" s="181"/>
      <c r="BG196" s="181"/>
      <c r="BH196" s="181"/>
      <c r="BI196" s="181"/>
      <c r="BJ196" s="181"/>
      <c r="BK196" s="181"/>
      <c r="BL196" s="181"/>
      <c r="BM196" s="181"/>
      <c r="BN196" s="181"/>
      <c r="BQ196" s="3">
        <f t="shared" si="129"/>
        <v>619388</v>
      </c>
    </row>
    <row r="197" s="3" customFormat="1" ht="36" customHeight="1" spans="1:69">
      <c r="A197" s="18">
        <v>45993</v>
      </c>
      <c r="B197" s="75" t="s">
        <v>3794</v>
      </c>
      <c r="C197" s="76" t="s">
        <v>1095</v>
      </c>
      <c r="D197" s="21">
        <v>4500187640</v>
      </c>
      <c r="E197" s="114" t="s">
        <v>5735</v>
      </c>
      <c r="F197" s="21" t="s">
        <v>5736</v>
      </c>
      <c r="G197" s="23" t="s">
        <v>4974</v>
      </c>
      <c r="H197" s="24" t="s">
        <v>5205</v>
      </c>
      <c r="I197" s="88">
        <v>1500</v>
      </c>
      <c r="J197" s="89">
        <v>0</v>
      </c>
      <c r="K197" s="23">
        <v>50</v>
      </c>
      <c r="L197" s="436">
        <f t="shared" si="123"/>
        <v>30</v>
      </c>
      <c r="M197" s="90">
        <v>46042</v>
      </c>
      <c r="N197" s="90">
        <v>46038</v>
      </c>
      <c r="O197" s="91"/>
      <c r="P197" s="91"/>
      <c r="Q197" s="91"/>
      <c r="R197" s="459">
        <v>45999</v>
      </c>
      <c r="S197" s="459" t="s">
        <v>77</v>
      </c>
      <c r="T197" s="446" t="s">
        <v>5737</v>
      </c>
      <c r="U197" s="91"/>
      <c r="V197" s="91"/>
      <c r="W197" s="91" t="s">
        <v>5738</v>
      </c>
      <c r="X197" s="114" t="s">
        <v>5739</v>
      </c>
      <c r="Y197" s="91" t="s">
        <v>618</v>
      </c>
      <c r="Z197" s="116">
        <v>1.4535</v>
      </c>
      <c r="AA197" s="117">
        <f t="shared" si="124"/>
        <v>2180.25</v>
      </c>
      <c r="AB197" s="469" t="s">
        <v>3582</v>
      </c>
      <c r="AC197" s="23" t="s">
        <v>5391</v>
      </c>
      <c r="AD197" s="467" t="s">
        <v>128</v>
      </c>
      <c r="AE197" s="467" t="s">
        <v>4930</v>
      </c>
      <c r="AF197" s="23"/>
      <c r="AG197" s="483">
        <f t="shared" si="125"/>
        <v>-1500</v>
      </c>
      <c r="AH197" s="23" t="s">
        <v>4335</v>
      </c>
      <c r="AI197" s="470"/>
      <c r="AJ197" s="155">
        <f t="shared" si="133"/>
        <v>1500</v>
      </c>
      <c r="AK197" s="155"/>
      <c r="AL197" s="175"/>
      <c r="AM197" s="88">
        <f>I197</f>
        <v>1500</v>
      </c>
      <c r="AN197" s="88"/>
      <c r="AO197" s="88"/>
      <c r="AP197" s="436">
        <f t="shared" si="134"/>
        <v>1500</v>
      </c>
      <c r="AQ197" s="436"/>
      <c r="AR197" s="88"/>
      <c r="AS197" s="436">
        <f t="shared" si="128"/>
        <v>1353.125</v>
      </c>
      <c r="AT197" s="621">
        <f t="shared" si="130"/>
        <v>146.875</v>
      </c>
      <c r="AU197" s="175"/>
      <c r="AV197" s="486"/>
      <c r="AW197" s="486"/>
      <c r="AX197" s="514"/>
      <c r="AY197" s="181"/>
      <c r="AZ197" s="181"/>
      <c r="BA197" s="181"/>
      <c r="BB197" s="181">
        <f>I197/25</f>
        <v>60</v>
      </c>
      <c r="BC197" s="181"/>
      <c r="BD197" s="181"/>
      <c r="BE197" s="181"/>
      <c r="BF197" s="181"/>
      <c r="BG197" s="181"/>
      <c r="BH197" s="181"/>
      <c r="BI197" s="181"/>
      <c r="BJ197" s="181"/>
      <c r="BK197" s="181"/>
      <c r="BL197" s="181"/>
      <c r="BM197" s="181"/>
      <c r="BN197" s="181"/>
      <c r="BQ197" s="3">
        <f t="shared" si="129"/>
        <v>620888</v>
      </c>
    </row>
    <row r="198" s="3" customFormat="1" ht="36" customHeight="1" spans="1:69">
      <c r="A198" s="18">
        <v>46003</v>
      </c>
      <c r="B198" s="75" t="s">
        <v>5740</v>
      </c>
      <c r="C198" s="76" t="s">
        <v>5741</v>
      </c>
      <c r="D198" s="21">
        <v>4500188846</v>
      </c>
      <c r="E198" s="114"/>
      <c r="F198" s="21" t="s">
        <v>5742</v>
      </c>
      <c r="G198" s="23" t="s">
        <v>4974</v>
      </c>
      <c r="H198" s="24" t="s">
        <v>5205</v>
      </c>
      <c r="I198" s="88">
        <v>6000</v>
      </c>
      <c r="J198" s="89">
        <v>0</v>
      </c>
      <c r="K198" s="23">
        <v>50</v>
      </c>
      <c r="L198" s="436">
        <f t="shared" si="123"/>
        <v>120</v>
      </c>
      <c r="M198" s="90">
        <v>46044</v>
      </c>
      <c r="N198" s="90">
        <v>46041</v>
      </c>
      <c r="O198" s="91"/>
      <c r="P198" s="91"/>
      <c r="Q198" s="91"/>
      <c r="R198" s="459">
        <v>46013</v>
      </c>
      <c r="S198" s="459" t="s">
        <v>77</v>
      </c>
      <c r="T198" s="453" t="s">
        <v>5743</v>
      </c>
      <c r="U198" s="91"/>
      <c r="V198" s="91"/>
      <c r="W198" s="91"/>
      <c r="X198" s="114" t="s">
        <v>5744</v>
      </c>
      <c r="Y198" s="91" t="s">
        <v>1140</v>
      </c>
      <c r="Z198" s="116">
        <v>1.4616</v>
      </c>
      <c r="AA198" s="117">
        <f t="shared" si="124"/>
        <v>8769.6</v>
      </c>
      <c r="AB198" s="469" t="s">
        <v>3582</v>
      </c>
      <c r="AC198" s="23" t="s">
        <v>4974</v>
      </c>
      <c r="AD198" s="467" t="s">
        <v>128</v>
      </c>
      <c r="AE198" s="467" t="s">
        <v>4930</v>
      </c>
      <c r="AF198" s="23"/>
      <c r="AG198" s="483">
        <f t="shared" si="125"/>
        <v>-6000</v>
      </c>
      <c r="AH198" s="467" t="s">
        <v>4335</v>
      </c>
      <c r="AI198" s="470"/>
      <c r="AJ198" s="155">
        <f t="shared" si="133"/>
        <v>6000</v>
      </c>
      <c r="AK198" s="155"/>
      <c r="AL198" s="175">
        <f t="shared" ref="AL198:AL201" si="135">I198</f>
        <v>6000</v>
      </c>
      <c r="AM198" s="88"/>
      <c r="AN198" s="88"/>
      <c r="AO198" s="88"/>
      <c r="AP198" s="436">
        <f t="shared" si="134"/>
        <v>6000</v>
      </c>
      <c r="AQ198" s="436"/>
      <c r="AR198" s="88"/>
      <c r="AS198" s="436">
        <f t="shared" si="128"/>
        <v>5412.5</v>
      </c>
      <c r="AT198" s="621">
        <f t="shared" si="130"/>
        <v>587.5</v>
      </c>
      <c r="AU198" s="175"/>
      <c r="AV198" s="486"/>
      <c r="AW198" s="486"/>
      <c r="AX198" s="514"/>
      <c r="AY198" s="181"/>
      <c r="AZ198" s="181"/>
      <c r="BA198" s="181">
        <f t="shared" ref="BA198:BA200" si="136">I198/25</f>
        <v>240</v>
      </c>
      <c r="BB198" s="181"/>
      <c r="BC198" s="181"/>
      <c r="BD198" s="181"/>
      <c r="BE198" s="181"/>
      <c r="BF198" s="181"/>
      <c r="BG198" s="181"/>
      <c r="BH198" s="181"/>
      <c r="BI198" s="181"/>
      <c r="BJ198" s="181"/>
      <c r="BK198" s="181"/>
      <c r="BL198" s="181"/>
      <c r="BM198" s="181"/>
      <c r="BN198" s="181"/>
      <c r="BQ198" s="3">
        <f t="shared" si="129"/>
        <v>626888</v>
      </c>
    </row>
    <row r="199" s="3" customFormat="1" ht="34" customHeight="1" spans="1:69">
      <c r="A199" s="18">
        <v>45996</v>
      </c>
      <c r="B199" s="75" t="s">
        <v>5745</v>
      </c>
      <c r="C199" s="76" t="s">
        <v>117</v>
      </c>
      <c r="D199" s="21">
        <v>4500188208</v>
      </c>
      <c r="E199" s="114">
        <v>4353960671</v>
      </c>
      <c r="F199" s="21" t="s">
        <v>5746</v>
      </c>
      <c r="G199" s="23" t="s">
        <v>4988</v>
      </c>
      <c r="H199" s="24" t="s">
        <v>4989</v>
      </c>
      <c r="I199" s="88">
        <v>4175</v>
      </c>
      <c r="J199" s="89">
        <v>0</v>
      </c>
      <c r="K199" s="23">
        <v>25</v>
      </c>
      <c r="L199" s="436">
        <f t="shared" si="123"/>
        <v>167</v>
      </c>
      <c r="M199" s="90">
        <v>46044</v>
      </c>
      <c r="N199" s="90">
        <v>46041</v>
      </c>
      <c r="O199" s="91"/>
      <c r="P199" s="91"/>
      <c r="Q199" s="91"/>
      <c r="R199" s="452">
        <v>46009</v>
      </c>
      <c r="S199" s="453" t="s">
        <v>77</v>
      </c>
      <c r="T199" s="447" t="s">
        <v>5747</v>
      </c>
      <c r="U199" s="91"/>
      <c r="V199" s="91"/>
      <c r="W199" s="91"/>
      <c r="X199" s="114" t="s">
        <v>5748</v>
      </c>
      <c r="Y199" s="91" t="s">
        <v>521</v>
      </c>
      <c r="Z199" s="116">
        <v>0.8608</v>
      </c>
      <c r="AA199" s="117">
        <f t="shared" si="124"/>
        <v>3593.84</v>
      </c>
      <c r="AB199" s="469" t="s">
        <v>3582</v>
      </c>
      <c r="AC199" s="470" t="s">
        <v>4988</v>
      </c>
      <c r="AD199" s="467" t="s">
        <v>128</v>
      </c>
      <c r="AE199" s="467" t="s">
        <v>4930</v>
      </c>
      <c r="AF199" s="23"/>
      <c r="AG199" s="483">
        <f t="shared" si="125"/>
        <v>-4175</v>
      </c>
      <c r="AH199" s="23" t="s">
        <v>4335</v>
      </c>
      <c r="AI199" s="470"/>
      <c r="AJ199" s="155">
        <f t="shared" si="133"/>
        <v>4175</v>
      </c>
      <c r="AK199" s="155"/>
      <c r="AL199" s="175">
        <f t="shared" si="135"/>
        <v>4175</v>
      </c>
      <c r="AM199" s="486"/>
      <c r="AN199" s="88"/>
      <c r="AO199" s="88"/>
      <c r="AP199" s="436">
        <f t="shared" si="134"/>
        <v>4175</v>
      </c>
      <c r="AQ199" s="436"/>
      <c r="AR199" s="735"/>
      <c r="AS199" s="436">
        <f t="shared" si="128"/>
        <v>3766.19791666667</v>
      </c>
      <c r="AT199" s="621">
        <f t="shared" si="130"/>
        <v>408.802083333333</v>
      </c>
      <c r="AU199" s="175"/>
      <c r="AV199" s="486"/>
      <c r="AW199" s="486"/>
      <c r="AX199" s="514"/>
      <c r="AY199" s="181"/>
      <c r="AZ199" s="181"/>
      <c r="BA199" s="181">
        <f t="shared" si="136"/>
        <v>167</v>
      </c>
      <c r="BB199" s="181"/>
      <c r="BC199" s="181"/>
      <c r="BD199" s="181"/>
      <c r="BE199" s="181"/>
      <c r="BF199" s="181"/>
      <c r="BG199" s="181"/>
      <c r="BH199" s="181"/>
      <c r="BI199" s="181"/>
      <c r="BJ199" s="181"/>
      <c r="BK199" s="181"/>
      <c r="BL199" s="181"/>
      <c r="BM199" s="181"/>
      <c r="BN199" s="181"/>
      <c r="BQ199" s="3">
        <f t="shared" si="129"/>
        <v>631063</v>
      </c>
    </row>
    <row r="200" s="3" customFormat="1" ht="36" customHeight="1" spans="1:69">
      <c r="A200" s="18">
        <v>45995</v>
      </c>
      <c r="B200" s="75" t="s">
        <v>5745</v>
      </c>
      <c r="C200" s="76" t="s">
        <v>117</v>
      </c>
      <c r="D200" s="21">
        <v>4500187984</v>
      </c>
      <c r="E200" s="114">
        <v>4353960389</v>
      </c>
      <c r="F200" s="21" t="s">
        <v>5749</v>
      </c>
      <c r="G200" s="23" t="s">
        <v>4988</v>
      </c>
      <c r="H200" s="24" t="s">
        <v>4989</v>
      </c>
      <c r="I200" s="88">
        <v>5125</v>
      </c>
      <c r="J200" s="89">
        <v>0</v>
      </c>
      <c r="K200" s="23">
        <v>25</v>
      </c>
      <c r="L200" s="436">
        <f t="shared" si="123"/>
        <v>205</v>
      </c>
      <c r="M200" s="90">
        <v>46044</v>
      </c>
      <c r="N200" s="90">
        <v>46041</v>
      </c>
      <c r="O200" s="91"/>
      <c r="P200" s="91"/>
      <c r="Q200" s="91"/>
      <c r="R200" s="452">
        <v>46009</v>
      </c>
      <c r="S200" s="453" t="s">
        <v>77</v>
      </c>
      <c r="T200" s="447" t="s">
        <v>5747</v>
      </c>
      <c r="U200" s="91"/>
      <c r="V200" s="91"/>
      <c r="W200" s="91"/>
      <c r="X200" s="114" t="s">
        <v>5748</v>
      </c>
      <c r="Y200" s="91" t="s">
        <v>521</v>
      </c>
      <c r="Z200" s="116">
        <v>0.8679</v>
      </c>
      <c r="AA200" s="117">
        <f t="shared" si="124"/>
        <v>4447.9875</v>
      </c>
      <c r="AB200" s="469" t="s">
        <v>3582</v>
      </c>
      <c r="AC200" s="470" t="s">
        <v>4988</v>
      </c>
      <c r="AD200" s="467" t="s">
        <v>128</v>
      </c>
      <c r="AE200" s="467" t="s">
        <v>4930</v>
      </c>
      <c r="AF200" s="23"/>
      <c r="AG200" s="483">
        <f t="shared" si="125"/>
        <v>-5125</v>
      </c>
      <c r="AH200" s="23" t="s">
        <v>4335</v>
      </c>
      <c r="AI200" s="470"/>
      <c r="AJ200" s="155">
        <f t="shared" si="133"/>
        <v>5125</v>
      </c>
      <c r="AK200" s="155"/>
      <c r="AL200" s="175">
        <f t="shared" si="135"/>
        <v>5125</v>
      </c>
      <c r="AM200" s="486"/>
      <c r="AN200" s="88"/>
      <c r="AO200" s="88"/>
      <c r="AP200" s="436">
        <f t="shared" si="134"/>
        <v>5125</v>
      </c>
      <c r="AQ200" s="436"/>
      <c r="AR200" s="735"/>
      <c r="AS200" s="436">
        <f t="shared" si="128"/>
        <v>4623.17708333333</v>
      </c>
      <c r="AT200" s="621">
        <f t="shared" si="130"/>
        <v>501.822916666667</v>
      </c>
      <c r="AU200" s="175"/>
      <c r="AV200" s="486"/>
      <c r="AW200" s="486"/>
      <c r="AX200" s="514"/>
      <c r="AY200" s="181"/>
      <c r="AZ200" s="181"/>
      <c r="BA200" s="181">
        <f t="shared" si="136"/>
        <v>205</v>
      </c>
      <c r="BB200" s="181"/>
      <c r="BC200" s="181"/>
      <c r="BD200" s="181"/>
      <c r="BE200" s="181"/>
      <c r="BF200" s="181"/>
      <c r="BG200" s="181"/>
      <c r="BH200" s="181"/>
      <c r="BI200" s="181"/>
      <c r="BJ200" s="181"/>
      <c r="BK200" s="181"/>
      <c r="BL200" s="181"/>
      <c r="BM200" s="181"/>
      <c r="BN200" s="181"/>
      <c r="BQ200" s="3">
        <f t="shared" si="129"/>
        <v>636188</v>
      </c>
    </row>
    <row r="201" s="3" customFormat="1" ht="36" customHeight="1" spans="1:69">
      <c r="A201" s="18">
        <v>46008</v>
      </c>
      <c r="B201" s="75" t="s">
        <v>5141</v>
      </c>
      <c r="C201" s="76" t="s">
        <v>117</v>
      </c>
      <c r="D201" s="21">
        <v>4500188454</v>
      </c>
      <c r="E201" s="114" t="s">
        <v>5750</v>
      </c>
      <c r="F201" s="21" t="s">
        <v>5751</v>
      </c>
      <c r="G201" s="23" t="s">
        <v>4970</v>
      </c>
      <c r="H201" s="24" t="s">
        <v>5144</v>
      </c>
      <c r="I201" s="88">
        <v>3016</v>
      </c>
      <c r="J201" s="89">
        <v>0</v>
      </c>
      <c r="K201" s="23">
        <v>52</v>
      </c>
      <c r="L201" s="436">
        <f t="shared" si="123"/>
        <v>58</v>
      </c>
      <c r="M201" s="90">
        <v>46045</v>
      </c>
      <c r="N201" s="90">
        <v>46041</v>
      </c>
      <c r="O201" s="91"/>
      <c r="P201" s="91"/>
      <c r="Q201" s="91"/>
      <c r="R201" s="452">
        <v>46008</v>
      </c>
      <c r="S201" s="452" t="s">
        <v>123</v>
      </c>
      <c r="T201" s="447" t="s">
        <v>5752</v>
      </c>
      <c r="U201" s="91"/>
      <c r="V201" s="91"/>
      <c r="W201" s="91"/>
      <c r="X201" s="114" t="s">
        <v>5146</v>
      </c>
      <c r="Y201" s="91" t="s">
        <v>283</v>
      </c>
      <c r="Z201" s="116">
        <v>0.8479</v>
      </c>
      <c r="AA201" s="117">
        <f t="shared" si="124"/>
        <v>2557.2664</v>
      </c>
      <c r="AB201" s="469" t="s">
        <v>3582</v>
      </c>
      <c r="AC201" s="23" t="s">
        <v>4970</v>
      </c>
      <c r="AD201" s="467" t="s">
        <v>128</v>
      </c>
      <c r="AE201" s="467" t="s">
        <v>4930</v>
      </c>
      <c r="AF201" s="23"/>
      <c r="AG201" s="483">
        <f t="shared" si="125"/>
        <v>-3016</v>
      </c>
      <c r="AH201" s="467" t="s">
        <v>4335</v>
      </c>
      <c r="AI201" s="470"/>
      <c r="AJ201" s="155">
        <f t="shared" si="133"/>
        <v>3016</v>
      </c>
      <c r="AK201" s="155"/>
      <c r="AL201" s="175">
        <f t="shared" si="135"/>
        <v>3016</v>
      </c>
      <c r="AM201" s="486"/>
      <c r="AN201" s="486"/>
      <c r="AO201" s="486"/>
      <c r="AP201" s="436">
        <f t="shared" si="134"/>
        <v>3016</v>
      </c>
      <c r="AQ201" s="624"/>
      <c r="AR201" s="486"/>
      <c r="AS201" s="436">
        <f t="shared" si="128"/>
        <v>2720.68333333333</v>
      </c>
      <c r="AT201" s="621">
        <f t="shared" si="130"/>
        <v>295.316666666667</v>
      </c>
      <c r="AU201" s="628"/>
      <c r="AV201" s="486"/>
      <c r="AW201" s="486"/>
      <c r="AX201" s="181">
        <f>I201/13</f>
        <v>232</v>
      </c>
      <c r="AY201" s="181"/>
      <c r="AZ201" s="181"/>
      <c r="BA201" s="181"/>
      <c r="BB201" s="181"/>
      <c r="BC201" s="181"/>
      <c r="BD201" s="181"/>
      <c r="BE201" s="181"/>
      <c r="BF201" s="181"/>
      <c r="BG201" s="181"/>
      <c r="BH201" s="181"/>
      <c r="BI201" s="181"/>
      <c r="BJ201" s="181"/>
      <c r="BK201" s="181"/>
      <c r="BL201" s="181"/>
      <c r="BM201" s="181"/>
      <c r="BN201" s="181"/>
      <c r="BQ201" s="3">
        <f t="shared" si="129"/>
        <v>639204</v>
      </c>
    </row>
    <row r="202" s="3" customFormat="1" ht="36" customHeight="1" spans="1:69">
      <c r="A202" s="18">
        <v>45985</v>
      </c>
      <c r="B202" s="75" t="s">
        <v>449</v>
      </c>
      <c r="C202" s="76" t="s">
        <v>213</v>
      </c>
      <c r="D202" s="21">
        <v>4500186739</v>
      </c>
      <c r="E202" s="114" t="s">
        <v>5753</v>
      </c>
      <c r="F202" s="21" t="s">
        <v>5754</v>
      </c>
      <c r="G202" s="23" t="s">
        <v>5092</v>
      </c>
      <c r="H202" s="24" t="s">
        <v>5093</v>
      </c>
      <c r="I202" s="88">
        <v>588</v>
      </c>
      <c r="J202" s="89">
        <v>0</v>
      </c>
      <c r="K202" s="23">
        <v>12</v>
      </c>
      <c r="L202" s="436">
        <f t="shared" si="123"/>
        <v>49</v>
      </c>
      <c r="M202" s="90">
        <v>46048</v>
      </c>
      <c r="N202" s="90">
        <v>46044</v>
      </c>
      <c r="O202" s="91"/>
      <c r="P202" s="91"/>
      <c r="Q202" s="91"/>
      <c r="R202" s="452" t="s">
        <v>5282</v>
      </c>
      <c r="S202" s="91" t="s">
        <v>123</v>
      </c>
      <c r="T202" s="91" t="s">
        <v>5755</v>
      </c>
      <c r="U202" s="91"/>
      <c r="V202" s="91"/>
      <c r="W202" s="91"/>
      <c r="X202" s="114" t="s">
        <v>5756</v>
      </c>
      <c r="Y202" s="91" t="s">
        <v>5757</v>
      </c>
      <c r="Z202" s="116">
        <v>3.0803</v>
      </c>
      <c r="AA202" s="117">
        <f t="shared" si="124"/>
        <v>1811.2164</v>
      </c>
      <c r="AB202" s="469" t="s">
        <v>3582</v>
      </c>
      <c r="AC202" s="470" t="s">
        <v>5098</v>
      </c>
      <c r="AD202" s="467" t="s">
        <v>128</v>
      </c>
      <c r="AE202" s="467" t="s">
        <v>4930</v>
      </c>
      <c r="AF202" s="23"/>
      <c r="AG202" s="483">
        <f t="shared" si="125"/>
        <v>-588</v>
      </c>
      <c r="AH202" s="23" t="s">
        <v>4335</v>
      </c>
      <c r="AI202" s="470"/>
      <c r="AJ202" s="155">
        <f>I202*2</f>
        <v>1176</v>
      </c>
      <c r="AK202" s="155"/>
      <c r="AL202" s="175"/>
      <c r="AM202" s="88"/>
      <c r="AN202" s="88">
        <f>I202*2</f>
        <v>1176</v>
      </c>
      <c r="AO202" s="88"/>
      <c r="AP202" s="436">
        <f>I202*2</f>
        <v>1176</v>
      </c>
      <c r="AQ202" s="436"/>
      <c r="AR202" s="88"/>
      <c r="AS202" s="436">
        <f t="shared" si="128"/>
        <v>1060.85</v>
      </c>
      <c r="AT202" s="621">
        <f>I202*(1-(1/48))/10*2</f>
        <v>115.15</v>
      </c>
      <c r="AU202" s="175">
        <f>I202</f>
        <v>588</v>
      </c>
      <c r="AV202" s="486"/>
      <c r="AW202" s="486"/>
      <c r="AX202" s="514"/>
      <c r="AY202" s="181"/>
      <c r="AZ202" s="181"/>
      <c r="BA202" s="181"/>
      <c r="BB202" s="181"/>
      <c r="BC202" s="181"/>
      <c r="BD202" s="181"/>
      <c r="BE202" s="181"/>
      <c r="BF202" s="181"/>
      <c r="BG202" s="181"/>
      <c r="BH202" s="181"/>
      <c r="BI202" s="181"/>
      <c r="BJ202" s="181"/>
      <c r="BK202" s="181"/>
      <c r="BL202" s="181"/>
      <c r="BM202" s="181">
        <f>I202</f>
        <v>588</v>
      </c>
      <c r="BN202" s="181">
        <f>I202</f>
        <v>588</v>
      </c>
      <c r="BQ202" s="3">
        <f t="shared" si="129"/>
        <v>640380</v>
      </c>
    </row>
    <row r="203" s="3" customFormat="1" ht="36" customHeight="1" spans="1:69">
      <c r="A203" s="18">
        <v>45988</v>
      </c>
      <c r="B203" s="75" t="s">
        <v>4976</v>
      </c>
      <c r="C203" s="76" t="s">
        <v>117</v>
      </c>
      <c r="D203" s="21">
        <v>4500187260</v>
      </c>
      <c r="E203" s="1693" t="s">
        <v>5758</v>
      </c>
      <c r="F203" s="21" t="s">
        <v>5759</v>
      </c>
      <c r="G203" s="23" t="s">
        <v>4979</v>
      </c>
      <c r="H203" s="24" t="s">
        <v>4980</v>
      </c>
      <c r="I203" s="88">
        <v>960</v>
      </c>
      <c r="J203" s="89">
        <v>0</v>
      </c>
      <c r="K203" s="23">
        <v>16</v>
      </c>
      <c r="L203" s="436">
        <f t="shared" si="123"/>
        <v>60</v>
      </c>
      <c r="M203" s="90">
        <v>46048</v>
      </c>
      <c r="N203" s="90">
        <v>46044</v>
      </c>
      <c r="O203" s="576" t="s">
        <v>5760</v>
      </c>
      <c r="P203" s="91"/>
      <c r="Q203" s="91"/>
      <c r="R203" s="91" t="s">
        <v>1102</v>
      </c>
      <c r="S203" s="91" t="s">
        <v>123</v>
      </c>
      <c r="T203" s="453" t="s">
        <v>5675</v>
      </c>
      <c r="U203" s="91" t="s">
        <v>4983</v>
      </c>
      <c r="V203" s="91"/>
      <c r="W203" s="91"/>
      <c r="X203" s="114" t="s">
        <v>5676</v>
      </c>
      <c r="Y203" s="91" t="s">
        <v>634</v>
      </c>
      <c r="Z203" s="116">
        <v>0.9059</v>
      </c>
      <c r="AA203" s="117">
        <f t="shared" si="124"/>
        <v>869.664</v>
      </c>
      <c r="AB203" s="469" t="s">
        <v>3582</v>
      </c>
      <c r="AC203" s="23" t="s">
        <v>4979</v>
      </c>
      <c r="AD203" s="467" t="s">
        <v>128</v>
      </c>
      <c r="AE203" s="467" t="s">
        <v>4930</v>
      </c>
      <c r="AF203" s="23"/>
      <c r="AG203" s="483">
        <f t="shared" si="125"/>
        <v>-960</v>
      </c>
      <c r="AH203" s="23" t="s">
        <v>4335</v>
      </c>
      <c r="AI203" s="470"/>
      <c r="AJ203" s="155">
        <f t="shared" ref="AJ203:AJ246" si="137">I203</f>
        <v>960</v>
      </c>
      <c r="AK203" s="155"/>
      <c r="AL203" s="175">
        <f t="shared" ref="AL203:AL211" si="138">I203</f>
        <v>960</v>
      </c>
      <c r="AM203" s="88"/>
      <c r="AN203" s="88"/>
      <c r="AO203" s="88"/>
      <c r="AP203" s="436">
        <f t="shared" ref="AP203:AP235" si="139">I203</f>
        <v>960</v>
      </c>
      <c r="AQ203" s="436"/>
      <c r="AR203" s="88"/>
      <c r="AS203" s="436">
        <f t="shared" si="128"/>
        <v>866</v>
      </c>
      <c r="AT203" s="621">
        <f t="shared" si="130"/>
        <v>94</v>
      </c>
      <c r="AU203" s="175"/>
      <c r="AV203" s="486"/>
      <c r="AW203" s="486"/>
      <c r="AX203" s="514"/>
      <c r="AY203" s="181"/>
      <c r="AZ203" s="181"/>
      <c r="BA203" s="181"/>
      <c r="BB203" s="181"/>
      <c r="BC203" s="181">
        <f t="shared" ref="BC203:BC205" si="140">I203/16</f>
        <v>60</v>
      </c>
      <c r="BD203" s="181"/>
      <c r="BE203" s="181"/>
      <c r="BF203" s="181"/>
      <c r="BG203" s="181"/>
      <c r="BH203" s="181"/>
      <c r="BI203" s="181"/>
      <c r="BJ203" s="181"/>
      <c r="BK203" s="181"/>
      <c r="BL203" s="181"/>
      <c r="BM203" s="181"/>
      <c r="BN203" s="181"/>
      <c r="BQ203" s="3">
        <f t="shared" si="129"/>
        <v>641340</v>
      </c>
    </row>
    <row r="204" s="3" customFormat="1" ht="36" customHeight="1" spans="1:69">
      <c r="A204" s="18">
        <v>45988</v>
      </c>
      <c r="B204" s="75" t="s">
        <v>4976</v>
      </c>
      <c r="C204" s="76" t="s">
        <v>117</v>
      </c>
      <c r="D204" s="21">
        <v>4500187260</v>
      </c>
      <c r="E204" s="1693" t="s">
        <v>5761</v>
      </c>
      <c r="F204" s="21" t="s">
        <v>5762</v>
      </c>
      <c r="G204" s="23" t="s">
        <v>4979</v>
      </c>
      <c r="H204" s="24" t="s">
        <v>4980</v>
      </c>
      <c r="I204" s="88">
        <v>960</v>
      </c>
      <c r="J204" s="89">
        <v>0</v>
      </c>
      <c r="K204" s="23">
        <v>16</v>
      </c>
      <c r="L204" s="436">
        <f t="shared" si="123"/>
        <v>60</v>
      </c>
      <c r="M204" s="90">
        <v>46048</v>
      </c>
      <c r="N204" s="90">
        <v>46044</v>
      </c>
      <c r="O204" s="576" t="s">
        <v>5763</v>
      </c>
      <c r="P204" s="91"/>
      <c r="Q204" s="91"/>
      <c r="R204" s="91" t="s">
        <v>1102</v>
      </c>
      <c r="S204" s="91" t="s">
        <v>123</v>
      </c>
      <c r="T204" s="453" t="s">
        <v>5675</v>
      </c>
      <c r="U204" s="91" t="s">
        <v>4983</v>
      </c>
      <c r="V204" s="91"/>
      <c r="W204" s="91"/>
      <c r="X204" s="114" t="s">
        <v>5676</v>
      </c>
      <c r="Y204" s="91" t="s">
        <v>634</v>
      </c>
      <c r="Z204" s="116">
        <v>0.9059</v>
      </c>
      <c r="AA204" s="117">
        <f t="shared" si="124"/>
        <v>869.664</v>
      </c>
      <c r="AB204" s="469" t="s">
        <v>3582</v>
      </c>
      <c r="AC204" s="23" t="s">
        <v>4979</v>
      </c>
      <c r="AD204" s="467" t="s">
        <v>128</v>
      </c>
      <c r="AE204" s="467" t="s">
        <v>4930</v>
      </c>
      <c r="AF204" s="23"/>
      <c r="AG204" s="483">
        <f t="shared" si="125"/>
        <v>-960</v>
      </c>
      <c r="AH204" s="23" t="s">
        <v>4335</v>
      </c>
      <c r="AI204" s="470"/>
      <c r="AJ204" s="155">
        <f t="shared" si="137"/>
        <v>960</v>
      </c>
      <c r="AK204" s="155"/>
      <c r="AL204" s="175">
        <f t="shared" si="138"/>
        <v>960</v>
      </c>
      <c r="AM204" s="88"/>
      <c r="AN204" s="88"/>
      <c r="AO204" s="88"/>
      <c r="AP204" s="436">
        <f t="shared" si="139"/>
        <v>960</v>
      </c>
      <c r="AQ204" s="436"/>
      <c r="AR204" s="88"/>
      <c r="AS204" s="436">
        <f t="shared" si="128"/>
        <v>866</v>
      </c>
      <c r="AT204" s="621">
        <f t="shared" si="130"/>
        <v>94</v>
      </c>
      <c r="AU204" s="175"/>
      <c r="AV204" s="486"/>
      <c r="AW204" s="486"/>
      <c r="AX204" s="514"/>
      <c r="AY204" s="181"/>
      <c r="AZ204" s="181"/>
      <c r="BA204" s="181"/>
      <c r="BB204" s="181"/>
      <c r="BC204" s="181">
        <f t="shared" si="140"/>
        <v>60</v>
      </c>
      <c r="BD204" s="181"/>
      <c r="BE204" s="181"/>
      <c r="BF204" s="181"/>
      <c r="BG204" s="181"/>
      <c r="BH204" s="181"/>
      <c r="BI204" s="181"/>
      <c r="BJ204" s="181"/>
      <c r="BK204" s="181"/>
      <c r="BL204" s="181"/>
      <c r="BM204" s="181"/>
      <c r="BN204" s="181"/>
      <c r="BQ204" s="3">
        <f t="shared" si="129"/>
        <v>642300</v>
      </c>
    </row>
    <row r="205" s="3" customFormat="1" ht="36" customHeight="1" spans="1:69">
      <c r="A205" s="18">
        <v>45988</v>
      </c>
      <c r="B205" s="75" t="s">
        <v>4976</v>
      </c>
      <c r="C205" s="76" t="s">
        <v>117</v>
      </c>
      <c r="D205" s="21">
        <v>4500187260</v>
      </c>
      <c r="E205" s="1693" t="s">
        <v>5764</v>
      </c>
      <c r="F205" s="21" t="s">
        <v>5765</v>
      </c>
      <c r="G205" s="23" t="s">
        <v>4979</v>
      </c>
      <c r="H205" s="24" t="s">
        <v>4980</v>
      </c>
      <c r="I205" s="88">
        <v>960</v>
      </c>
      <c r="J205" s="89">
        <v>0</v>
      </c>
      <c r="K205" s="23">
        <v>16</v>
      </c>
      <c r="L205" s="436">
        <f t="shared" si="123"/>
        <v>60</v>
      </c>
      <c r="M205" s="90">
        <v>46048</v>
      </c>
      <c r="N205" s="90">
        <v>46044</v>
      </c>
      <c r="O205" s="576" t="s">
        <v>5763</v>
      </c>
      <c r="P205" s="91"/>
      <c r="Q205" s="91"/>
      <c r="R205" s="91" t="s">
        <v>1102</v>
      </c>
      <c r="S205" s="91" t="s">
        <v>123</v>
      </c>
      <c r="T205" s="453" t="s">
        <v>5675</v>
      </c>
      <c r="U205" s="91" t="s">
        <v>4983</v>
      </c>
      <c r="V205" s="91"/>
      <c r="W205" s="91"/>
      <c r="X205" s="114" t="s">
        <v>5676</v>
      </c>
      <c r="Y205" s="91" t="s">
        <v>634</v>
      </c>
      <c r="Z205" s="116">
        <v>0.9059</v>
      </c>
      <c r="AA205" s="117">
        <f t="shared" si="124"/>
        <v>869.664</v>
      </c>
      <c r="AB205" s="469" t="s">
        <v>3582</v>
      </c>
      <c r="AC205" s="23" t="s">
        <v>4979</v>
      </c>
      <c r="AD205" s="467" t="s">
        <v>128</v>
      </c>
      <c r="AE205" s="467" t="s">
        <v>4930</v>
      </c>
      <c r="AF205" s="23"/>
      <c r="AG205" s="483">
        <f t="shared" si="125"/>
        <v>-960</v>
      </c>
      <c r="AH205" s="23" t="s">
        <v>4335</v>
      </c>
      <c r="AI205" s="470"/>
      <c r="AJ205" s="155">
        <f t="shared" si="137"/>
        <v>960</v>
      </c>
      <c r="AK205" s="155"/>
      <c r="AL205" s="175">
        <f t="shared" si="138"/>
        <v>960</v>
      </c>
      <c r="AM205" s="88"/>
      <c r="AN205" s="88"/>
      <c r="AO205" s="88"/>
      <c r="AP205" s="436">
        <f t="shared" si="139"/>
        <v>960</v>
      </c>
      <c r="AQ205" s="436"/>
      <c r="AR205" s="88"/>
      <c r="AS205" s="436">
        <f t="shared" si="128"/>
        <v>866</v>
      </c>
      <c r="AT205" s="621">
        <f t="shared" si="130"/>
        <v>94</v>
      </c>
      <c r="AU205" s="175"/>
      <c r="AV205" s="486"/>
      <c r="AW205" s="486"/>
      <c r="AX205" s="514"/>
      <c r="AY205" s="181"/>
      <c r="AZ205" s="181"/>
      <c r="BA205" s="181"/>
      <c r="BB205" s="181"/>
      <c r="BC205" s="181">
        <f t="shared" si="140"/>
        <v>60</v>
      </c>
      <c r="BD205" s="181"/>
      <c r="BE205" s="181"/>
      <c r="BF205" s="181"/>
      <c r="BG205" s="181"/>
      <c r="BH205" s="181"/>
      <c r="BI205" s="181"/>
      <c r="BJ205" s="181"/>
      <c r="BK205" s="181"/>
      <c r="BL205" s="181"/>
      <c r="BM205" s="181"/>
      <c r="BN205" s="181"/>
      <c r="BQ205" s="3">
        <f t="shared" si="129"/>
        <v>643260</v>
      </c>
    </row>
    <row r="206" s="3" customFormat="1" ht="36" customHeight="1" spans="1:69">
      <c r="A206" s="18">
        <v>45989</v>
      </c>
      <c r="B206" s="75" t="s">
        <v>189</v>
      </c>
      <c r="C206" s="76" t="s">
        <v>190</v>
      </c>
      <c r="D206" s="21" t="s">
        <v>5766</v>
      </c>
      <c r="E206" s="114"/>
      <c r="F206" s="765" t="s">
        <v>5767</v>
      </c>
      <c r="G206" s="23" t="s">
        <v>5768</v>
      </c>
      <c r="H206" s="24" t="s">
        <v>5769</v>
      </c>
      <c r="I206" s="88">
        <v>19360</v>
      </c>
      <c r="J206" s="89">
        <v>0</v>
      </c>
      <c r="K206" s="23">
        <v>44</v>
      </c>
      <c r="L206" s="436">
        <f t="shared" si="123"/>
        <v>440</v>
      </c>
      <c r="M206" s="90">
        <v>46048</v>
      </c>
      <c r="N206" s="90">
        <v>46044</v>
      </c>
      <c r="O206" s="91"/>
      <c r="P206" s="91"/>
      <c r="Q206" s="91" t="s">
        <v>5770</v>
      </c>
      <c r="R206" s="459" t="s">
        <v>5771</v>
      </c>
      <c r="S206" s="453" t="s">
        <v>77</v>
      </c>
      <c r="T206" s="91" t="s">
        <v>5772</v>
      </c>
      <c r="U206" s="91"/>
      <c r="V206" s="91"/>
      <c r="W206" s="91"/>
      <c r="X206" s="114" t="s">
        <v>5773</v>
      </c>
      <c r="Y206" s="91" t="s">
        <v>5774</v>
      </c>
      <c r="Z206" s="116">
        <v>1.32</v>
      </c>
      <c r="AA206" s="117">
        <f t="shared" si="124"/>
        <v>25555.2</v>
      </c>
      <c r="AB206" s="469" t="s">
        <v>3582</v>
      </c>
      <c r="AC206" s="23" t="s">
        <v>5768</v>
      </c>
      <c r="AD206" s="467" t="s">
        <v>128</v>
      </c>
      <c r="AE206" s="467" t="s">
        <v>4930</v>
      </c>
      <c r="AF206" s="23"/>
      <c r="AG206" s="483">
        <f t="shared" si="125"/>
        <v>-19360</v>
      </c>
      <c r="AH206" s="23"/>
      <c r="AI206" s="470"/>
      <c r="AJ206" s="155">
        <f t="shared" si="137"/>
        <v>19360</v>
      </c>
      <c r="AK206" s="155"/>
      <c r="AL206" s="175">
        <f t="shared" si="138"/>
        <v>19360</v>
      </c>
      <c r="AM206" s="486"/>
      <c r="AN206" s="486"/>
      <c r="AO206" s="486"/>
      <c r="AP206" s="436">
        <f t="shared" si="139"/>
        <v>19360</v>
      </c>
      <c r="AQ206" s="436"/>
      <c r="AR206" s="88"/>
      <c r="AS206" s="436">
        <f t="shared" si="128"/>
        <v>17464.3333333333</v>
      </c>
      <c r="AT206" s="621">
        <f t="shared" si="130"/>
        <v>1895.66666666667</v>
      </c>
      <c r="AU206" s="628"/>
      <c r="AV206" s="486"/>
      <c r="AW206" s="486"/>
      <c r="AX206" s="514"/>
      <c r="AY206" s="181"/>
      <c r="AZ206" s="181"/>
      <c r="BA206" s="181"/>
      <c r="BB206" s="181"/>
      <c r="BC206" s="181"/>
      <c r="BD206" s="181"/>
      <c r="BE206" s="181"/>
      <c r="BF206" s="181"/>
      <c r="BG206" s="181"/>
      <c r="BH206" s="181"/>
      <c r="BI206" s="181"/>
      <c r="BJ206" s="181"/>
      <c r="BK206" s="181"/>
      <c r="BL206" s="181"/>
      <c r="BM206" s="181"/>
      <c r="BN206" s="181"/>
      <c r="BQ206" s="3">
        <f t="shared" si="129"/>
        <v>662620</v>
      </c>
    </row>
    <row r="207" s="691" customFormat="1" ht="36" customHeight="1" spans="1:69">
      <c r="A207" s="720">
        <v>46003</v>
      </c>
      <c r="B207" s="721" t="s">
        <v>189</v>
      </c>
      <c r="C207" s="722" t="s">
        <v>190</v>
      </c>
      <c r="D207" s="723">
        <v>4500188871</v>
      </c>
      <c r="E207" s="724">
        <v>21347328</v>
      </c>
      <c r="F207" s="766" t="s">
        <v>5775</v>
      </c>
      <c r="G207" s="483" t="s">
        <v>5066</v>
      </c>
      <c r="H207" s="725" t="s">
        <v>5048</v>
      </c>
      <c r="I207" s="735">
        <v>2392</v>
      </c>
      <c r="J207" s="736">
        <v>0</v>
      </c>
      <c r="K207" s="483">
        <v>13</v>
      </c>
      <c r="L207" s="737">
        <f t="shared" si="123"/>
        <v>184</v>
      </c>
      <c r="M207" s="738">
        <v>46048</v>
      </c>
      <c r="N207" s="738">
        <v>46044</v>
      </c>
      <c r="O207" s="739"/>
      <c r="P207" s="739"/>
      <c r="Q207" s="739"/>
      <c r="R207" s="452">
        <v>46017</v>
      </c>
      <c r="S207" s="91" t="s">
        <v>123</v>
      </c>
      <c r="T207" s="113" t="s">
        <v>5776</v>
      </c>
      <c r="U207" s="739"/>
      <c r="V207" s="739"/>
      <c r="W207" s="739"/>
      <c r="X207" s="724" t="s">
        <v>5777</v>
      </c>
      <c r="Y207" s="739" t="s">
        <v>5774</v>
      </c>
      <c r="Z207" s="749">
        <v>1.449</v>
      </c>
      <c r="AA207" s="750">
        <f t="shared" si="124"/>
        <v>3466.008</v>
      </c>
      <c r="AB207" s="751" t="s">
        <v>3582</v>
      </c>
      <c r="AC207" s="470" t="s">
        <v>5066</v>
      </c>
      <c r="AD207" s="752" t="s">
        <v>128</v>
      </c>
      <c r="AE207" s="467" t="s">
        <v>4930</v>
      </c>
      <c r="AF207" s="483"/>
      <c r="AG207" s="483">
        <f t="shared" si="125"/>
        <v>-2392</v>
      </c>
      <c r="AH207" s="483"/>
      <c r="AI207" s="754"/>
      <c r="AJ207" s="755">
        <f t="shared" si="137"/>
        <v>2392</v>
      </c>
      <c r="AK207" s="805"/>
      <c r="AL207" s="485">
        <f t="shared" si="138"/>
        <v>2392</v>
      </c>
      <c r="AM207" s="486"/>
      <c r="AN207" s="88"/>
      <c r="AO207" s="88"/>
      <c r="AP207" s="436">
        <f t="shared" si="139"/>
        <v>2392</v>
      </c>
      <c r="AQ207" s="436"/>
      <c r="AR207" s="88"/>
      <c r="AS207" s="436">
        <f t="shared" si="128"/>
        <v>2157.78333333333</v>
      </c>
      <c r="AT207" s="621">
        <f t="shared" si="130"/>
        <v>234.216666666667</v>
      </c>
      <c r="AU207" s="486"/>
      <c r="AV207" s="486"/>
      <c r="AW207" s="486"/>
      <c r="AX207" s="181">
        <f t="shared" ref="AX207:AX211" si="141">I207/13</f>
        <v>184</v>
      </c>
      <c r="AY207" s="764"/>
      <c r="AZ207" s="764"/>
      <c r="BA207" s="764"/>
      <c r="BB207" s="764"/>
      <c r="BC207" s="764"/>
      <c r="BD207" s="764"/>
      <c r="BE207" s="764"/>
      <c r="BF207" s="764"/>
      <c r="BG207" s="764"/>
      <c r="BH207" s="764"/>
      <c r="BI207" s="764"/>
      <c r="BJ207" s="764"/>
      <c r="BK207" s="764"/>
      <c r="BL207" s="764"/>
      <c r="BM207" s="764"/>
      <c r="BN207" s="764"/>
      <c r="BQ207" s="3">
        <f t="shared" si="129"/>
        <v>665012</v>
      </c>
    </row>
    <row r="208" s="691" customFormat="1" ht="36" customHeight="1" spans="1:69">
      <c r="A208" s="720">
        <v>46003</v>
      </c>
      <c r="B208" s="721" t="s">
        <v>189</v>
      </c>
      <c r="C208" s="722" t="s">
        <v>190</v>
      </c>
      <c r="D208" s="723">
        <v>4500188871</v>
      </c>
      <c r="E208" s="724">
        <v>21359941</v>
      </c>
      <c r="F208" s="723" t="s">
        <v>5778</v>
      </c>
      <c r="G208" s="483" t="s">
        <v>5066</v>
      </c>
      <c r="H208" s="725" t="s">
        <v>5048</v>
      </c>
      <c r="I208" s="735">
        <v>1963</v>
      </c>
      <c r="J208" s="736">
        <v>0</v>
      </c>
      <c r="K208" s="483">
        <v>13</v>
      </c>
      <c r="L208" s="737">
        <f t="shared" si="123"/>
        <v>151</v>
      </c>
      <c r="M208" s="738">
        <v>46048</v>
      </c>
      <c r="N208" s="738">
        <v>46044</v>
      </c>
      <c r="O208" s="739"/>
      <c r="P208" s="739"/>
      <c r="Q208" s="739"/>
      <c r="R208" s="452">
        <v>46017</v>
      </c>
      <c r="S208" s="91" t="s">
        <v>123</v>
      </c>
      <c r="T208" s="113" t="s">
        <v>5776</v>
      </c>
      <c r="U208" s="739"/>
      <c r="V208" s="739"/>
      <c r="W208" s="739"/>
      <c r="X208" s="724" t="s">
        <v>5777</v>
      </c>
      <c r="Y208" s="739" t="s">
        <v>5774</v>
      </c>
      <c r="Z208" s="749">
        <v>1.449</v>
      </c>
      <c r="AA208" s="750">
        <f t="shared" si="124"/>
        <v>2844.387</v>
      </c>
      <c r="AB208" s="751" t="s">
        <v>3582</v>
      </c>
      <c r="AC208" s="470" t="s">
        <v>5066</v>
      </c>
      <c r="AD208" s="752" t="s">
        <v>128</v>
      </c>
      <c r="AE208" s="467" t="s">
        <v>4930</v>
      </c>
      <c r="AF208" s="483"/>
      <c r="AG208" s="483">
        <f t="shared" si="125"/>
        <v>-1963</v>
      </c>
      <c r="AH208" s="483"/>
      <c r="AI208" s="754"/>
      <c r="AJ208" s="755">
        <f t="shared" si="137"/>
        <v>1963</v>
      </c>
      <c r="AK208" s="805"/>
      <c r="AL208" s="485">
        <f t="shared" si="138"/>
        <v>1963</v>
      </c>
      <c r="AM208" s="486"/>
      <c r="AN208" s="88"/>
      <c r="AO208" s="88"/>
      <c r="AP208" s="436">
        <f t="shared" si="139"/>
        <v>1963</v>
      </c>
      <c r="AQ208" s="436"/>
      <c r="AR208" s="88"/>
      <c r="AS208" s="436">
        <f t="shared" si="128"/>
        <v>1770.78958333333</v>
      </c>
      <c r="AT208" s="621">
        <f t="shared" si="130"/>
        <v>192.210416666667</v>
      </c>
      <c r="AU208" s="486"/>
      <c r="AV208" s="486"/>
      <c r="AW208" s="486"/>
      <c r="AX208" s="181">
        <f t="shared" si="141"/>
        <v>151</v>
      </c>
      <c r="AY208" s="764"/>
      <c r="AZ208" s="764"/>
      <c r="BA208" s="764"/>
      <c r="BB208" s="764"/>
      <c r="BC208" s="764"/>
      <c r="BD208" s="764"/>
      <c r="BE208" s="764"/>
      <c r="BF208" s="764"/>
      <c r="BG208" s="764"/>
      <c r="BH208" s="764"/>
      <c r="BI208" s="764"/>
      <c r="BJ208" s="764"/>
      <c r="BK208" s="764"/>
      <c r="BL208" s="764"/>
      <c r="BM208" s="764"/>
      <c r="BN208" s="764"/>
      <c r="BQ208" s="3">
        <f t="shared" si="129"/>
        <v>666975</v>
      </c>
    </row>
    <row r="209" s="691" customFormat="1" ht="36" customHeight="1" spans="1:69">
      <c r="A209" s="720">
        <v>46003</v>
      </c>
      <c r="B209" s="721" t="s">
        <v>189</v>
      </c>
      <c r="C209" s="722" t="s">
        <v>190</v>
      </c>
      <c r="D209" s="723">
        <v>4500188871</v>
      </c>
      <c r="E209" s="724">
        <v>21359942</v>
      </c>
      <c r="F209" s="723" t="s">
        <v>5779</v>
      </c>
      <c r="G209" s="483" t="s">
        <v>5066</v>
      </c>
      <c r="H209" s="725" t="s">
        <v>5048</v>
      </c>
      <c r="I209" s="735">
        <v>1508</v>
      </c>
      <c r="J209" s="736">
        <v>0</v>
      </c>
      <c r="K209" s="483">
        <v>13</v>
      </c>
      <c r="L209" s="737">
        <f t="shared" si="123"/>
        <v>116</v>
      </c>
      <c r="M209" s="738">
        <v>46048</v>
      </c>
      <c r="N209" s="738">
        <v>46044</v>
      </c>
      <c r="O209" s="739"/>
      <c r="P209" s="739"/>
      <c r="Q209" s="739"/>
      <c r="R209" s="452">
        <v>46017</v>
      </c>
      <c r="S209" s="91" t="s">
        <v>123</v>
      </c>
      <c r="T209" s="113" t="s">
        <v>5776</v>
      </c>
      <c r="U209" s="739"/>
      <c r="V209" s="739"/>
      <c r="W209" s="739"/>
      <c r="X209" s="724" t="s">
        <v>5777</v>
      </c>
      <c r="Y209" s="739" t="s">
        <v>5774</v>
      </c>
      <c r="Z209" s="749">
        <v>1.449</v>
      </c>
      <c r="AA209" s="750">
        <f t="shared" si="124"/>
        <v>2185.092</v>
      </c>
      <c r="AB209" s="751" t="s">
        <v>3582</v>
      </c>
      <c r="AC209" s="470" t="s">
        <v>5066</v>
      </c>
      <c r="AD209" s="752" t="s">
        <v>128</v>
      </c>
      <c r="AE209" s="467" t="s">
        <v>4930</v>
      </c>
      <c r="AF209" s="483"/>
      <c r="AG209" s="483">
        <f t="shared" si="125"/>
        <v>-1508</v>
      </c>
      <c r="AH209" s="483"/>
      <c r="AI209" s="754"/>
      <c r="AJ209" s="755">
        <f t="shared" si="137"/>
        <v>1508</v>
      </c>
      <c r="AK209" s="805"/>
      <c r="AL209" s="485">
        <f t="shared" si="138"/>
        <v>1508</v>
      </c>
      <c r="AM209" s="486"/>
      <c r="AN209" s="88"/>
      <c r="AO209" s="88"/>
      <c r="AP209" s="436">
        <f t="shared" si="139"/>
        <v>1508</v>
      </c>
      <c r="AQ209" s="436"/>
      <c r="AR209" s="88"/>
      <c r="AS209" s="436">
        <f t="shared" si="128"/>
        <v>1360.34166666667</v>
      </c>
      <c r="AT209" s="621">
        <f t="shared" si="130"/>
        <v>147.658333333333</v>
      </c>
      <c r="AU209" s="486"/>
      <c r="AV209" s="486"/>
      <c r="AW209" s="486"/>
      <c r="AX209" s="181">
        <f t="shared" si="141"/>
        <v>116</v>
      </c>
      <c r="AY209" s="764"/>
      <c r="AZ209" s="764"/>
      <c r="BA209" s="764"/>
      <c r="BB209" s="764"/>
      <c r="BC209" s="764"/>
      <c r="BD209" s="764"/>
      <c r="BE209" s="764"/>
      <c r="BF209" s="764"/>
      <c r="BG209" s="764"/>
      <c r="BH209" s="764"/>
      <c r="BI209" s="764"/>
      <c r="BJ209" s="764"/>
      <c r="BK209" s="764"/>
      <c r="BL209" s="764"/>
      <c r="BM209" s="764"/>
      <c r="BN209" s="764"/>
      <c r="BQ209" s="3">
        <f t="shared" si="129"/>
        <v>668483</v>
      </c>
    </row>
    <row r="210" s="691" customFormat="1" ht="36" customHeight="1" spans="1:69">
      <c r="A210" s="720">
        <v>46003</v>
      </c>
      <c r="B210" s="721" t="s">
        <v>232</v>
      </c>
      <c r="C210" s="722" t="s">
        <v>233</v>
      </c>
      <c r="D210" s="723">
        <v>4500188875</v>
      </c>
      <c r="E210" s="724">
        <v>21347329</v>
      </c>
      <c r="F210" s="723" t="s">
        <v>5780</v>
      </c>
      <c r="G210" s="483" t="s">
        <v>5066</v>
      </c>
      <c r="H210" s="725" t="s">
        <v>5048</v>
      </c>
      <c r="I210" s="735">
        <v>143</v>
      </c>
      <c r="J210" s="736">
        <v>0</v>
      </c>
      <c r="K210" s="483">
        <v>13</v>
      </c>
      <c r="L210" s="737">
        <f t="shared" si="123"/>
        <v>11</v>
      </c>
      <c r="M210" s="738">
        <v>46048</v>
      </c>
      <c r="N210" s="738">
        <v>46044</v>
      </c>
      <c r="O210" s="739"/>
      <c r="P210" s="739"/>
      <c r="Q210" s="739"/>
      <c r="R210" s="452">
        <v>46017</v>
      </c>
      <c r="S210" s="91" t="s">
        <v>123</v>
      </c>
      <c r="T210" s="113" t="s">
        <v>5776</v>
      </c>
      <c r="U210" s="739"/>
      <c r="V210" s="739"/>
      <c r="W210" s="739"/>
      <c r="X210" s="724" t="s">
        <v>5781</v>
      </c>
      <c r="Y210" s="739" t="s">
        <v>5782</v>
      </c>
      <c r="Z210" s="749">
        <v>1.449</v>
      </c>
      <c r="AA210" s="750">
        <f t="shared" si="124"/>
        <v>207.207</v>
      </c>
      <c r="AB210" s="751" t="s">
        <v>3582</v>
      </c>
      <c r="AC210" s="470" t="s">
        <v>5066</v>
      </c>
      <c r="AD210" s="752" t="s">
        <v>128</v>
      </c>
      <c r="AE210" s="467" t="s">
        <v>4930</v>
      </c>
      <c r="AF210" s="483"/>
      <c r="AG210" s="483">
        <f t="shared" si="125"/>
        <v>-143</v>
      </c>
      <c r="AH210" s="483"/>
      <c r="AI210" s="754"/>
      <c r="AJ210" s="755">
        <f t="shared" si="137"/>
        <v>143</v>
      </c>
      <c r="AK210" s="805"/>
      <c r="AL210" s="485">
        <f t="shared" si="138"/>
        <v>143</v>
      </c>
      <c r="AM210" s="486"/>
      <c r="AN210" s="88"/>
      <c r="AO210" s="88"/>
      <c r="AP210" s="436">
        <f t="shared" si="139"/>
        <v>143</v>
      </c>
      <c r="AQ210" s="436"/>
      <c r="AR210" s="88"/>
      <c r="AS210" s="436">
        <f t="shared" si="128"/>
        <v>128.997916666667</v>
      </c>
      <c r="AT210" s="621">
        <f t="shared" si="130"/>
        <v>14.0020833333333</v>
      </c>
      <c r="AU210" s="486"/>
      <c r="AV210" s="486"/>
      <c r="AW210" s="486"/>
      <c r="AX210" s="181">
        <f t="shared" si="141"/>
        <v>11</v>
      </c>
      <c r="AY210" s="764"/>
      <c r="AZ210" s="764"/>
      <c r="BA210" s="764"/>
      <c r="BB210" s="764"/>
      <c r="BC210" s="764"/>
      <c r="BD210" s="764"/>
      <c r="BE210" s="764"/>
      <c r="BF210" s="764"/>
      <c r="BG210" s="764"/>
      <c r="BH210" s="764"/>
      <c r="BI210" s="764"/>
      <c r="BJ210" s="764"/>
      <c r="BK210" s="764"/>
      <c r="BL210" s="764"/>
      <c r="BM210" s="764"/>
      <c r="BN210" s="764"/>
      <c r="BQ210" s="3">
        <f t="shared" si="129"/>
        <v>668626</v>
      </c>
    </row>
    <row r="211" s="691" customFormat="1" ht="36" customHeight="1" spans="1:69">
      <c r="A211" s="720">
        <v>46007</v>
      </c>
      <c r="B211" s="721" t="s">
        <v>561</v>
      </c>
      <c r="C211" s="722" t="s">
        <v>190</v>
      </c>
      <c r="D211" s="723">
        <v>4500189146</v>
      </c>
      <c r="E211" s="724">
        <v>2568978</v>
      </c>
      <c r="F211" s="723" t="s">
        <v>5783</v>
      </c>
      <c r="G211" s="483" t="s">
        <v>5066</v>
      </c>
      <c r="H211" s="725" t="s">
        <v>5048</v>
      </c>
      <c r="I211" s="735">
        <v>4004</v>
      </c>
      <c r="J211" s="736">
        <v>0</v>
      </c>
      <c r="K211" s="483">
        <v>13</v>
      </c>
      <c r="L211" s="737">
        <f t="shared" si="123"/>
        <v>308</v>
      </c>
      <c r="M211" s="738">
        <v>46048</v>
      </c>
      <c r="N211" s="738">
        <v>46044</v>
      </c>
      <c r="O211" s="739"/>
      <c r="P211" s="739"/>
      <c r="Q211" s="739"/>
      <c r="R211" s="793">
        <v>46007</v>
      </c>
      <c r="S211" s="91" t="s">
        <v>123</v>
      </c>
      <c r="T211" s="113" t="s">
        <v>5784</v>
      </c>
      <c r="U211" s="739"/>
      <c r="V211" s="739"/>
      <c r="W211" s="739"/>
      <c r="X211" s="724" t="s">
        <v>5785</v>
      </c>
      <c r="Y211" s="739" t="s">
        <v>3057</v>
      </c>
      <c r="Z211" s="749">
        <v>1.449</v>
      </c>
      <c r="AA211" s="750">
        <f t="shared" si="124"/>
        <v>5801.796</v>
      </c>
      <c r="AB211" s="751" t="s">
        <v>3582</v>
      </c>
      <c r="AC211" s="470" t="s">
        <v>5066</v>
      </c>
      <c r="AD211" s="752" t="s">
        <v>128</v>
      </c>
      <c r="AE211" s="467" t="s">
        <v>4930</v>
      </c>
      <c r="AF211" s="483"/>
      <c r="AG211" s="483">
        <f t="shared" si="125"/>
        <v>-4004</v>
      </c>
      <c r="AH211" s="483"/>
      <c r="AI211" s="754"/>
      <c r="AJ211" s="755">
        <f t="shared" si="137"/>
        <v>4004</v>
      </c>
      <c r="AK211" s="805"/>
      <c r="AL211" s="485">
        <f t="shared" si="138"/>
        <v>4004</v>
      </c>
      <c r="AM211" s="486"/>
      <c r="AN211" s="88"/>
      <c r="AO211" s="88"/>
      <c r="AP211" s="436">
        <f t="shared" si="139"/>
        <v>4004</v>
      </c>
      <c r="AQ211" s="436"/>
      <c r="AR211" s="88"/>
      <c r="AS211" s="436">
        <f t="shared" si="128"/>
        <v>3611.94166666667</v>
      </c>
      <c r="AT211" s="621">
        <f t="shared" si="130"/>
        <v>392.058333333333</v>
      </c>
      <c r="AU211" s="486"/>
      <c r="AV211" s="486"/>
      <c r="AW211" s="486"/>
      <c r="AX211" s="181">
        <f t="shared" si="141"/>
        <v>308</v>
      </c>
      <c r="AY211" s="764"/>
      <c r="AZ211" s="764"/>
      <c r="BA211" s="764"/>
      <c r="BB211" s="764"/>
      <c r="BC211" s="764"/>
      <c r="BD211" s="764"/>
      <c r="BE211" s="764"/>
      <c r="BF211" s="764"/>
      <c r="BG211" s="764"/>
      <c r="BH211" s="764"/>
      <c r="BI211" s="764"/>
      <c r="BJ211" s="764"/>
      <c r="BK211" s="764"/>
      <c r="BL211" s="764"/>
      <c r="BM211" s="764"/>
      <c r="BN211" s="764"/>
      <c r="BQ211" s="3">
        <f t="shared" si="129"/>
        <v>672630</v>
      </c>
    </row>
    <row r="212" s="3" customFormat="1" ht="34" customHeight="1" spans="1:69">
      <c r="A212" s="18">
        <v>45996</v>
      </c>
      <c r="B212" s="75" t="s">
        <v>4074</v>
      </c>
      <c r="C212" s="76" t="s">
        <v>613</v>
      </c>
      <c r="D212" s="21">
        <v>4500188302</v>
      </c>
      <c r="F212" s="21" t="s">
        <v>5786</v>
      </c>
      <c r="G212" s="23" t="s">
        <v>4974</v>
      </c>
      <c r="H212" s="24" t="s">
        <v>5205</v>
      </c>
      <c r="I212" s="88">
        <v>700</v>
      </c>
      <c r="J212" s="89">
        <v>0</v>
      </c>
      <c r="K212" s="23">
        <v>50</v>
      </c>
      <c r="L212" s="436">
        <f t="shared" si="123"/>
        <v>14</v>
      </c>
      <c r="M212" s="90">
        <v>46045</v>
      </c>
      <c r="N212" s="574">
        <v>46045</v>
      </c>
      <c r="O212" s="91"/>
      <c r="P212" s="91"/>
      <c r="Q212" s="91"/>
      <c r="R212" s="459">
        <v>46021</v>
      </c>
      <c r="S212" s="459" t="s">
        <v>77</v>
      </c>
      <c r="T212" s="459" t="s">
        <v>5787</v>
      </c>
      <c r="U212" s="91"/>
      <c r="V212" s="91"/>
      <c r="W212" s="91"/>
      <c r="X212" s="719" t="s">
        <v>5788</v>
      </c>
      <c r="Y212" s="91" t="s">
        <v>3879</v>
      </c>
      <c r="Z212" s="116">
        <v>1.4584</v>
      </c>
      <c r="AA212" s="117">
        <f t="shared" si="124"/>
        <v>1020.88</v>
      </c>
      <c r="AB212" s="469" t="s">
        <v>3582</v>
      </c>
      <c r="AC212" s="692" t="s">
        <v>5391</v>
      </c>
      <c r="AD212" s="467" t="s">
        <v>128</v>
      </c>
      <c r="AE212" s="467" t="s">
        <v>4930</v>
      </c>
      <c r="AF212" s="23"/>
      <c r="AG212" s="483">
        <f t="shared" si="125"/>
        <v>-700</v>
      </c>
      <c r="AH212" s="23"/>
      <c r="AI212" s="470"/>
      <c r="AJ212" s="155">
        <f t="shared" si="137"/>
        <v>700</v>
      </c>
      <c r="AK212" s="806"/>
      <c r="AM212" s="807">
        <f t="shared" ref="AM212:AM216" si="142">I212</f>
        <v>700</v>
      </c>
      <c r="AN212" s="175"/>
      <c r="AO212" s="175"/>
      <c r="AP212" s="436">
        <f t="shared" si="139"/>
        <v>700</v>
      </c>
      <c r="AQ212" s="436"/>
      <c r="AR212" s="88"/>
      <c r="AS212" s="436">
        <f t="shared" si="128"/>
        <v>631.458333333333</v>
      </c>
      <c r="AT212" s="621">
        <f t="shared" si="130"/>
        <v>68.5416666666667</v>
      </c>
      <c r="AU212" s="175"/>
      <c r="AV212" s="486"/>
      <c r="AW212" s="486"/>
      <c r="AX212" s="514"/>
      <c r="AY212" s="181"/>
      <c r="AZ212" s="181"/>
      <c r="BB212" s="818">
        <f t="shared" ref="BB212:BB216" si="143">I212/25</f>
        <v>28</v>
      </c>
      <c r="BC212" s="181"/>
      <c r="BD212" s="181"/>
      <c r="BE212" s="181"/>
      <c r="BF212" s="181"/>
      <c r="BG212" s="181"/>
      <c r="BH212" s="181"/>
      <c r="BI212" s="181"/>
      <c r="BJ212" s="181"/>
      <c r="BK212" s="181"/>
      <c r="BL212" s="181"/>
      <c r="BM212" s="181"/>
      <c r="BN212" s="181"/>
      <c r="BQ212" s="3">
        <f t="shared" si="129"/>
        <v>673330</v>
      </c>
    </row>
    <row r="213" s="3" customFormat="1" ht="34" customHeight="1" spans="1:69">
      <c r="A213" s="18">
        <v>45999</v>
      </c>
      <c r="B213" s="75" t="s">
        <v>4074</v>
      </c>
      <c r="C213" s="76" t="s">
        <v>613</v>
      </c>
      <c r="D213" s="21">
        <v>4500188248</v>
      </c>
      <c r="F213" s="21" t="s">
        <v>5789</v>
      </c>
      <c r="G213" s="23" t="s">
        <v>4974</v>
      </c>
      <c r="H213" s="24" t="s">
        <v>5205</v>
      </c>
      <c r="I213" s="88">
        <v>1500</v>
      </c>
      <c r="J213" s="89">
        <v>0</v>
      </c>
      <c r="K213" s="23">
        <v>50</v>
      </c>
      <c r="L213" s="436">
        <f t="shared" si="123"/>
        <v>30</v>
      </c>
      <c r="M213" s="90">
        <v>46045</v>
      </c>
      <c r="N213" s="574">
        <v>46045</v>
      </c>
      <c r="O213" s="91"/>
      <c r="P213" s="91"/>
      <c r="Q213" s="91"/>
      <c r="R213" s="459">
        <v>46021</v>
      </c>
      <c r="S213" s="459" t="s">
        <v>77</v>
      </c>
      <c r="T213" s="459" t="s">
        <v>5790</v>
      </c>
      <c r="U213" s="91"/>
      <c r="V213" s="91"/>
      <c r="W213" s="91"/>
      <c r="X213" s="719" t="s">
        <v>5791</v>
      </c>
      <c r="Y213" s="91" t="s">
        <v>3879</v>
      </c>
      <c r="Z213" s="116">
        <v>1.4535</v>
      </c>
      <c r="AA213" s="117">
        <f t="shared" si="124"/>
        <v>2180.25</v>
      </c>
      <c r="AB213" s="469" t="s">
        <v>3582</v>
      </c>
      <c r="AC213" s="23" t="s">
        <v>5391</v>
      </c>
      <c r="AD213" s="467" t="s">
        <v>128</v>
      </c>
      <c r="AE213" s="467" t="s">
        <v>4930</v>
      </c>
      <c r="AF213" s="23"/>
      <c r="AG213" s="483">
        <f t="shared" si="125"/>
        <v>-1500</v>
      </c>
      <c r="AH213" s="23"/>
      <c r="AI213" s="470"/>
      <c r="AJ213" s="155">
        <f t="shared" si="137"/>
        <v>1500</v>
      </c>
      <c r="AK213" s="155"/>
      <c r="AL213" s="175"/>
      <c r="AM213" s="88">
        <f t="shared" si="142"/>
        <v>1500</v>
      </c>
      <c r="AN213" s="175"/>
      <c r="AO213" s="175"/>
      <c r="AP213" s="436">
        <f t="shared" si="139"/>
        <v>1500</v>
      </c>
      <c r="AQ213" s="436"/>
      <c r="AR213" s="88"/>
      <c r="AS213" s="436">
        <f t="shared" si="128"/>
        <v>1353.125</v>
      </c>
      <c r="AT213" s="621">
        <f t="shared" si="130"/>
        <v>146.875</v>
      </c>
      <c r="AU213" s="175"/>
      <c r="AV213" s="486"/>
      <c r="AW213" s="486"/>
      <c r="AX213" s="514"/>
      <c r="AY213" s="181"/>
      <c r="AZ213" s="181"/>
      <c r="BA213" s="181"/>
      <c r="BB213" s="181">
        <f t="shared" si="143"/>
        <v>60</v>
      </c>
      <c r="BC213" s="181"/>
      <c r="BD213" s="181"/>
      <c r="BE213" s="181"/>
      <c r="BF213" s="181"/>
      <c r="BG213" s="181"/>
      <c r="BH213" s="181"/>
      <c r="BI213" s="181"/>
      <c r="BJ213" s="181"/>
      <c r="BK213" s="181"/>
      <c r="BL213" s="181"/>
      <c r="BM213" s="181"/>
      <c r="BN213" s="181"/>
      <c r="BQ213" s="3">
        <f t="shared" si="129"/>
        <v>674830</v>
      </c>
    </row>
    <row r="214" s="3" customFormat="1" ht="36" customHeight="1" spans="1:69">
      <c r="A214" s="74">
        <v>46008</v>
      </c>
      <c r="B214" s="75" t="s">
        <v>4074</v>
      </c>
      <c r="C214" s="76" t="s">
        <v>613</v>
      </c>
      <c r="D214" s="77">
        <v>4500189203</v>
      </c>
      <c r="E214" s="114"/>
      <c r="F214" s="77" t="s">
        <v>5792</v>
      </c>
      <c r="G214" s="23" t="s">
        <v>4974</v>
      </c>
      <c r="H214" s="24" t="s">
        <v>5205</v>
      </c>
      <c r="I214" s="88">
        <v>1000</v>
      </c>
      <c r="J214" s="89">
        <v>0</v>
      </c>
      <c r="K214" s="23">
        <v>50</v>
      </c>
      <c r="L214" s="436">
        <f t="shared" si="123"/>
        <v>20</v>
      </c>
      <c r="M214" s="90">
        <v>46045</v>
      </c>
      <c r="N214" s="574">
        <v>46045</v>
      </c>
      <c r="O214" s="91"/>
      <c r="P214" s="91"/>
      <c r="Q214" s="91"/>
      <c r="R214" s="459">
        <v>46021</v>
      </c>
      <c r="S214" s="459" t="s">
        <v>77</v>
      </c>
      <c r="T214" s="459" t="s">
        <v>5790</v>
      </c>
      <c r="U214" s="91"/>
      <c r="V214" s="91"/>
      <c r="W214" s="91"/>
      <c r="X214" s="114" t="s">
        <v>5793</v>
      </c>
      <c r="Y214" s="139" t="s">
        <v>3879</v>
      </c>
      <c r="Z214" s="116">
        <v>1.4368</v>
      </c>
      <c r="AA214" s="117">
        <f t="shared" si="124"/>
        <v>1436.8</v>
      </c>
      <c r="AB214" s="469" t="s">
        <v>3582</v>
      </c>
      <c r="AC214" s="23" t="s">
        <v>5391</v>
      </c>
      <c r="AD214" s="467" t="s">
        <v>128</v>
      </c>
      <c r="AE214" s="467" t="s">
        <v>4930</v>
      </c>
      <c r="AF214" s="23"/>
      <c r="AG214" s="483">
        <f t="shared" si="125"/>
        <v>-1000</v>
      </c>
      <c r="AH214" s="23"/>
      <c r="AI214" s="470"/>
      <c r="AJ214" s="155">
        <f t="shared" si="137"/>
        <v>1000</v>
      </c>
      <c r="AK214" s="155"/>
      <c r="AL214" s="175"/>
      <c r="AM214" s="88">
        <f t="shared" si="142"/>
        <v>1000</v>
      </c>
      <c r="AN214" s="88"/>
      <c r="AO214" s="88"/>
      <c r="AP214" s="436">
        <f t="shared" si="139"/>
        <v>1000</v>
      </c>
      <c r="AQ214" s="436"/>
      <c r="AR214" s="88"/>
      <c r="AS214" s="436">
        <f t="shared" si="128"/>
        <v>902.083333333333</v>
      </c>
      <c r="AT214" s="621">
        <f t="shared" si="130"/>
        <v>97.9166666666667</v>
      </c>
      <c r="AU214" s="175"/>
      <c r="AV214" s="175"/>
      <c r="AW214" s="175"/>
      <c r="AX214" s="181"/>
      <c r="AY214" s="181"/>
      <c r="AZ214" s="181"/>
      <c r="BA214" s="181"/>
      <c r="BB214" s="181">
        <f t="shared" si="143"/>
        <v>40</v>
      </c>
      <c r="BC214" s="181"/>
      <c r="BD214" s="181"/>
      <c r="BE214" s="181"/>
      <c r="BF214" s="181"/>
      <c r="BG214" s="181"/>
      <c r="BH214" s="181"/>
      <c r="BI214" s="181"/>
      <c r="BJ214" s="181"/>
      <c r="BK214" s="181"/>
      <c r="BL214" s="181"/>
      <c r="BM214" s="181"/>
      <c r="BN214" s="181"/>
      <c r="BQ214" s="3">
        <f t="shared" si="129"/>
        <v>675830</v>
      </c>
    </row>
    <row r="215" s="3" customFormat="1" ht="36" customHeight="1" spans="1:69">
      <c r="A215" s="74">
        <v>46014</v>
      </c>
      <c r="B215" s="75" t="s">
        <v>4074</v>
      </c>
      <c r="C215" s="76" t="s">
        <v>613</v>
      </c>
      <c r="D215" s="77">
        <v>4500189691</v>
      </c>
      <c r="E215" s="114"/>
      <c r="F215" s="77" t="s">
        <v>5794</v>
      </c>
      <c r="G215" s="23" t="s">
        <v>4974</v>
      </c>
      <c r="H215" s="24" t="s">
        <v>5205</v>
      </c>
      <c r="I215" s="88">
        <v>600</v>
      </c>
      <c r="J215" s="89">
        <v>0</v>
      </c>
      <c r="K215" s="23">
        <v>50</v>
      </c>
      <c r="L215" s="436">
        <f t="shared" si="123"/>
        <v>12</v>
      </c>
      <c r="M215" s="90">
        <v>46045</v>
      </c>
      <c r="N215" s="90">
        <v>46045</v>
      </c>
      <c r="O215" s="91"/>
      <c r="P215" s="91"/>
      <c r="Q215" s="91"/>
      <c r="R215" s="459">
        <v>46021</v>
      </c>
      <c r="S215" s="452" t="s">
        <v>77</v>
      </c>
      <c r="T215" s="459" t="s">
        <v>5790</v>
      </c>
      <c r="U215" s="91"/>
      <c r="V215" s="91"/>
      <c r="W215" s="91"/>
      <c r="X215" s="114" t="s">
        <v>5795</v>
      </c>
      <c r="Y215" s="139" t="s">
        <v>3879</v>
      </c>
      <c r="Z215" s="116">
        <v>1.4584</v>
      </c>
      <c r="AA215" s="117">
        <f t="shared" si="124"/>
        <v>875.04</v>
      </c>
      <c r="AB215" s="469" t="s">
        <v>3582</v>
      </c>
      <c r="AC215" s="23" t="s">
        <v>5391</v>
      </c>
      <c r="AD215" s="467" t="s">
        <v>128</v>
      </c>
      <c r="AE215" s="467"/>
      <c r="AF215" s="23"/>
      <c r="AG215" s="483">
        <f t="shared" si="125"/>
        <v>-600</v>
      </c>
      <c r="AH215" s="23"/>
      <c r="AI215" s="470"/>
      <c r="AJ215" s="155">
        <f t="shared" si="137"/>
        <v>600</v>
      </c>
      <c r="AK215" s="155"/>
      <c r="AL215" s="175"/>
      <c r="AM215" s="88">
        <f t="shared" si="142"/>
        <v>600</v>
      </c>
      <c r="AN215" s="88"/>
      <c r="AO215" s="88"/>
      <c r="AP215" s="436">
        <f t="shared" si="139"/>
        <v>600</v>
      </c>
      <c r="AQ215" s="436"/>
      <c r="AR215" s="88"/>
      <c r="AS215" s="436">
        <f t="shared" si="128"/>
        <v>541.25</v>
      </c>
      <c r="AT215" s="621">
        <f t="shared" si="130"/>
        <v>58.75</v>
      </c>
      <c r="AU215" s="175"/>
      <c r="AV215" s="175"/>
      <c r="AW215" s="175"/>
      <c r="AX215" s="181"/>
      <c r="AY215" s="181"/>
      <c r="AZ215" s="181"/>
      <c r="BA215" s="181"/>
      <c r="BB215" s="181">
        <f t="shared" si="143"/>
        <v>24</v>
      </c>
      <c r="BC215" s="181"/>
      <c r="BD215" s="181"/>
      <c r="BE215" s="181"/>
      <c r="BF215" s="181"/>
      <c r="BG215" s="181"/>
      <c r="BH215" s="181"/>
      <c r="BI215" s="181"/>
      <c r="BJ215" s="181"/>
      <c r="BK215" s="181"/>
      <c r="BL215" s="181"/>
      <c r="BM215" s="181"/>
      <c r="BN215" s="181"/>
      <c r="BQ215" s="3">
        <f t="shared" si="129"/>
        <v>676430</v>
      </c>
    </row>
    <row r="216" s="3" customFormat="1" ht="36" customHeight="1" spans="1:69">
      <c r="A216" s="767">
        <v>46014</v>
      </c>
      <c r="B216" s="768" t="s">
        <v>4074</v>
      </c>
      <c r="C216" s="769" t="s">
        <v>613</v>
      </c>
      <c r="D216" s="770">
        <v>4500188307</v>
      </c>
      <c r="E216" s="768"/>
      <c r="F216" s="770" t="s">
        <v>5796</v>
      </c>
      <c r="G216" s="23" t="s">
        <v>4974</v>
      </c>
      <c r="H216" s="24" t="s">
        <v>5205</v>
      </c>
      <c r="I216" s="88">
        <v>1100</v>
      </c>
      <c r="J216" s="89">
        <v>0</v>
      </c>
      <c r="K216" s="23">
        <v>50</v>
      </c>
      <c r="L216" s="436">
        <f t="shared" si="123"/>
        <v>22</v>
      </c>
      <c r="M216" s="90">
        <v>46045</v>
      </c>
      <c r="N216" s="90">
        <v>46045</v>
      </c>
      <c r="O216" s="91"/>
      <c r="P216" s="91"/>
      <c r="Q216" s="91"/>
      <c r="R216" s="459">
        <v>46021</v>
      </c>
      <c r="S216" s="452" t="s">
        <v>77</v>
      </c>
      <c r="T216" s="459" t="s">
        <v>5790</v>
      </c>
      <c r="U216" s="91"/>
      <c r="V216" s="91"/>
      <c r="W216" s="91"/>
      <c r="X216" s="114" t="s">
        <v>5797</v>
      </c>
      <c r="Y216" s="139" t="s">
        <v>3879</v>
      </c>
      <c r="Z216" s="116">
        <v>1.4535</v>
      </c>
      <c r="AA216" s="117">
        <f t="shared" si="124"/>
        <v>1598.85</v>
      </c>
      <c r="AB216" s="469" t="s">
        <v>3582</v>
      </c>
      <c r="AC216" s="23" t="s">
        <v>5391</v>
      </c>
      <c r="AD216" s="467" t="s">
        <v>128</v>
      </c>
      <c r="AE216" s="467"/>
      <c r="AF216" s="23"/>
      <c r="AG216" s="483">
        <f t="shared" si="125"/>
        <v>-1100</v>
      </c>
      <c r="AH216" s="23"/>
      <c r="AI216" s="470"/>
      <c r="AJ216" s="155">
        <f t="shared" si="137"/>
        <v>1100</v>
      </c>
      <c r="AK216" s="155"/>
      <c r="AL216" s="175"/>
      <c r="AM216" s="88">
        <f t="shared" si="142"/>
        <v>1100</v>
      </c>
      <c r="AN216" s="88"/>
      <c r="AO216" s="88"/>
      <c r="AP216" s="436">
        <f t="shared" si="139"/>
        <v>1100</v>
      </c>
      <c r="AQ216" s="436"/>
      <c r="AR216" s="88"/>
      <c r="AS216" s="436">
        <f t="shared" si="128"/>
        <v>992.291666666667</v>
      </c>
      <c r="AT216" s="621">
        <f t="shared" si="130"/>
        <v>107.708333333333</v>
      </c>
      <c r="AU216" s="175"/>
      <c r="AV216" s="175"/>
      <c r="AW216" s="175"/>
      <c r="AX216" s="181"/>
      <c r="AY216" s="181"/>
      <c r="AZ216" s="181"/>
      <c r="BA216" s="181"/>
      <c r="BB216" s="181">
        <f t="shared" si="143"/>
        <v>44</v>
      </c>
      <c r="BC216" s="181"/>
      <c r="BD216" s="181"/>
      <c r="BE216" s="181"/>
      <c r="BF216" s="181"/>
      <c r="BG216" s="181"/>
      <c r="BH216" s="181"/>
      <c r="BI216" s="181"/>
      <c r="BJ216" s="181"/>
      <c r="BK216" s="181"/>
      <c r="BL216" s="181"/>
      <c r="BM216" s="181"/>
      <c r="BN216" s="181"/>
      <c r="BQ216" s="3">
        <f t="shared" si="129"/>
        <v>677530</v>
      </c>
    </row>
    <row r="217" s="3" customFormat="1" ht="36" customHeight="1" spans="1:69">
      <c r="A217" s="18">
        <v>45988</v>
      </c>
      <c r="B217" s="75" t="s">
        <v>4976</v>
      </c>
      <c r="C217" s="76" t="s">
        <v>117</v>
      </c>
      <c r="D217" s="21">
        <v>4500187261</v>
      </c>
      <c r="E217" s="1693" t="s">
        <v>5798</v>
      </c>
      <c r="F217" s="21" t="s">
        <v>5799</v>
      </c>
      <c r="G217" s="23" t="s">
        <v>4979</v>
      </c>
      <c r="H217" s="24" t="s">
        <v>4980</v>
      </c>
      <c r="I217" s="88">
        <v>960</v>
      </c>
      <c r="J217" s="89">
        <v>0</v>
      </c>
      <c r="K217" s="23">
        <v>16</v>
      </c>
      <c r="L217" s="436">
        <f t="shared" si="123"/>
        <v>60</v>
      </c>
      <c r="M217" s="90">
        <v>46051</v>
      </c>
      <c r="N217" s="738">
        <v>46048</v>
      </c>
      <c r="O217" s="576" t="s">
        <v>5763</v>
      </c>
      <c r="P217" s="91"/>
      <c r="Q217" s="91"/>
      <c r="R217" s="91" t="s">
        <v>1102</v>
      </c>
      <c r="S217" s="91" t="s">
        <v>123</v>
      </c>
      <c r="T217" s="453" t="s">
        <v>5675</v>
      </c>
      <c r="U217" s="91" t="s">
        <v>4983</v>
      </c>
      <c r="V217" s="91"/>
      <c r="W217" s="91"/>
      <c r="X217" s="114" t="s">
        <v>5676</v>
      </c>
      <c r="Y217" s="91" t="s">
        <v>634</v>
      </c>
      <c r="Z217" s="116">
        <v>0.895</v>
      </c>
      <c r="AA217" s="117">
        <f t="shared" si="124"/>
        <v>859.2</v>
      </c>
      <c r="AB217" s="469" t="s">
        <v>3582</v>
      </c>
      <c r="AC217" s="23" t="s">
        <v>4979</v>
      </c>
      <c r="AD217" s="467" t="s">
        <v>128</v>
      </c>
      <c r="AE217" s="467" t="s">
        <v>4930</v>
      </c>
      <c r="AF217" s="23"/>
      <c r="AG217" s="483">
        <f t="shared" si="125"/>
        <v>-960</v>
      </c>
      <c r="AH217" s="23" t="s">
        <v>4335</v>
      </c>
      <c r="AI217" s="470"/>
      <c r="AJ217" s="155">
        <f t="shared" si="137"/>
        <v>960</v>
      </c>
      <c r="AK217" s="155"/>
      <c r="AL217" s="175">
        <f t="shared" ref="AL217:AL220" si="144">I217</f>
        <v>960</v>
      </c>
      <c r="AM217" s="486"/>
      <c r="AN217" s="486"/>
      <c r="AO217" s="486"/>
      <c r="AP217" s="436">
        <f t="shared" si="139"/>
        <v>960</v>
      </c>
      <c r="AQ217" s="624"/>
      <c r="AR217" s="486"/>
      <c r="AS217" s="436">
        <f t="shared" si="128"/>
        <v>866</v>
      </c>
      <c r="AT217" s="621">
        <f t="shared" si="130"/>
        <v>94</v>
      </c>
      <c r="AU217" s="628"/>
      <c r="AV217" s="486"/>
      <c r="AW217" s="486"/>
      <c r="AX217" s="514"/>
      <c r="AY217" s="181"/>
      <c r="AZ217" s="181"/>
      <c r="BA217" s="181"/>
      <c r="BB217" s="181"/>
      <c r="BC217" s="181">
        <f>I217/16</f>
        <v>60</v>
      </c>
      <c r="BD217" s="181"/>
      <c r="BE217" s="181"/>
      <c r="BF217" s="181"/>
      <c r="BG217" s="181"/>
      <c r="BH217" s="181"/>
      <c r="BI217" s="181"/>
      <c r="BJ217" s="181"/>
      <c r="BK217" s="181"/>
      <c r="BL217" s="181"/>
      <c r="BM217" s="181"/>
      <c r="BN217" s="181"/>
      <c r="BQ217" s="3">
        <f t="shared" si="129"/>
        <v>678490</v>
      </c>
    </row>
    <row r="218" s="3" customFormat="1" ht="36" customHeight="1" spans="1:69">
      <c r="A218" s="18">
        <v>45988</v>
      </c>
      <c r="B218" s="75" t="s">
        <v>4976</v>
      </c>
      <c r="C218" s="76" t="s">
        <v>117</v>
      </c>
      <c r="D218" s="21">
        <v>4500187261</v>
      </c>
      <c r="E218" s="1693" t="s">
        <v>5800</v>
      </c>
      <c r="F218" s="21" t="s">
        <v>5801</v>
      </c>
      <c r="G218" s="23" t="s">
        <v>4979</v>
      </c>
      <c r="H218" s="24" t="s">
        <v>4980</v>
      </c>
      <c r="I218" s="88">
        <v>960</v>
      </c>
      <c r="J218" s="89">
        <v>0</v>
      </c>
      <c r="K218" s="23">
        <v>16</v>
      </c>
      <c r="L218" s="436">
        <f t="shared" si="123"/>
        <v>60</v>
      </c>
      <c r="M218" s="90">
        <v>46051</v>
      </c>
      <c r="N218" s="738">
        <v>46048</v>
      </c>
      <c r="O218" s="576" t="s">
        <v>5763</v>
      </c>
      <c r="P218" s="91"/>
      <c r="Q218" s="91"/>
      <c r="R218" s="91" t="s">
        <v>1102</v>
      </c>
      <c r="S218" s="91" t="s">
        <v>123</v>
      </c>
      <c r="T218" s="453" t="s">
        <v>5675</v>
      </c>
      <c r="U218" s="91" t="s">
        <v>4983</v>
      </c>
      <c r="V218" s="91"/>
      <c r="W218" s="91"/>
      <c r="X218" s="114" t="s">
        <v>5676</v>
      </c>
      <c r="Y218" s="91" t="s">
        <v>634</v>
      </c>
      <c r="Z218" s="116">
        <v>0.9059</v>
      </c>
      <c r="AA218" s="117">
        <f t="shared" si="124"/>
        <v>869.664</v>
      </c>
      <c r="AB218" s="469" t="s">
        <v>3582</v>
      </c>
      <c r="AC218" s="23" t="s">
        <v>4979</v>
      </c>
      <c r="AD218" s="467" t="s">
        <v>128</v>
      </c>
      <c r="AE218" s="467" t="s">
        <v>4930</v>
      </c>
      <c r="AF218" s="23"/>
      <c r="AG218" s="483">
        <f t="shared" si="125"/>
        <v>-960</v>
      </c>
      <c r="AH218" s="23" t="s">
        <v>4335</v>
      </c>
      <c r="AI218" s="470"/>
      <c r="AJ218" s="155">
        <f t="shared" si="137"/>
        <v>960</v>
      </c>
      <c r="AK218" s="155"/>
      <c r="AL218" s="175">
        <f t="shared" si="144"/>
        <v>960</v>
      </c>
      <c r="AM218" s="486"/>
      <c r="AN218" s="486"/>
      <c r="AO218" s="486"/>
      <c r="AP218" s="436">
        <f t="shared" si="139"/>
        <v>960</v>
      </c>
      <c r="AQ218" s="624"/>
      <c r="AR218" s="486"/>
      <c r="AS218" s="436">
        <f t="shared" si="128"/>
        <v>866</v>
      </c>
      <c r="AT218" s="621">
        <f t="shared" si="130"/>
        <v>94</v>
      </c>
      <c r="AU218" s="628"/>
      <c r="AV218" s="486"/>
      <c r="AW218" s="486"/>
      <c r="AX218" s="514"/>
      <c r="AY218" s="181"/>
      <c r="AZ218" s="181"/>
      <c r="BA218" s="181"/>
      <c r="BB218" s="181"/>
      <c r="BC218" s="181">
        <f>I218/16</f>
        <v>60</v>
      </c>
      <c r="BD218" s="181"/>
      <c r="BE218" s="181"/>
      <c r="BF218" s="181"/>
      <c r="BG218" s="181"/>
      <c r="BH218" s="181"/>
      <c r="BI218" s="181"/>
      <c r="BJ218" s="181"/>
      <c r="BK218" s="181"/>
      <c r="BL218" s="181"/>
      <c r="BM218" s="181"/>
      <c r="BN218" s="181"/>
      <c r="BQ218" s="3">
        <f t="shared" si="129"/>
        <v>679450</v>
      </c>
    </row>
    <row r="219" s="691" customFormat="1" ht="36" customHeight="1" spans="1:69">
      <c r="A219" s="720">
        <v>46003</v>
      </c>
      <c r="B219" s="721" t="s">
        <v>3269</v>
      </c>
      <c r="C219" s="722" t="s">
        <v>3188</v>
      </c>
      <c r="D219" s="723">
        <v>4500188881</v>
      </c>
      <c r="E219" s="724"/>
      <c r="F219" s="723" t="s">
        <v>5802</v>
      </c>
      <c r="G219" s="483" t="s">
        <v>4970</v>
      </c>
      <c r="H219" s="725" t="s">
        <v>5144</v>
      </c>
      <c r="I219" s="735">
        <v>624</v>
      </c>
      <c r="J219" s="736">
        <v>0</v>
      </c>
      <c r="K219" s="483">
        <v>52</v>
      </c>
      <c r="L219" s="737">
        <f t="shared" si="123"/>
        <v>12</v>
      </c>
      <c r="M219" s="738">
        <v>46051</v>
      </c>
      <c r="N219" s="738">
        <v>46048</v>
      </c>
      <c r="O219" s="739" t="s">
        <v>878</v>
      </c>
      <c r="P219" s="739"/>
      <c r="Q219" s="739"/>
      <c r="R219" s="739">
        <v>46022</v>
      </c>
      <c r="S219" s="91" t="s">
        <v>77</v>
      </c>
      <c r="T219" s="742" t="s">
        <v>5803</v>
      </c>
      <c r="U219" s="739"/>
      <c r="V219" s="739"/>
      <c r="W219" s="739"/>
      <c r="X219" s="724" t="s">
        <v>5804</v>
      </c>
      <c r="Y219" s="739" t="s">
        <v>618</v>
      </c>
      <c r="Z219" s="749">
        <v>1.4181</v>
      </c>
      <c r="AA219" s="750">
        <f t="shared" si="124"/>
        <v>884.8944</v>
      </c>
      <c r="AB219" s="751" t="s">
        <v>3582</v>
      </c>
      <c r="AC219" s="23" t="s">
        <v>5381</v>
      </c>
      <c r="AD219" s="752" t="s">
        <v>128</v>
      </c>
      <c r="AE219" s="467" t="s">
        <v>4930</v>
      </c>
      <c r="AF219" s="483"/>
      <c r="AG219" s="483">
        <f t="shared" si="125"/>
        <v>-624</v>
      </c>
      <c r="AH219" s="483"/>
      <c r="AI219" s="754"/>
      <c r="AJ219" s="155">
        <f t="shared" si="137"/>
        <v>624</v>
      </c>
      <c r="AK219" s="155"/>
      <c r="AL219" s="175"/>
      <c r="AM219" s="88">
        <f t="shared" ref="AM219:AM225" si="145">I219</f>
        <v>624</v>
      </c>
      <c r="AN219" s="88"/>
      <c r="AO219" s="88"/>
      <c r="AP219" s="436">
        <f t="shared" si="139"/>
        <v>624</v>
      </c>
      <c r="AQ219" s="436"/>
      <c r="AR219" s="175"/>
      <c r="AS219" s="436">
        <f t="shared" si="128"/>
        <v>562.9</v>
      </c>
      <c r="AT219" s="621">
        <f t="shared" si="130"/>
        <v>61.1</v>
      </c>
      <c r="AU219" s="757"/>
      <c r="AV219" s="762"/>
      <c r="AW219" s="762"/>
      <c r="AX219" s="763"/>
      <c r="AY219" s="181">
        <f>I219/13</f>
        <v>48</v>
      </c>
      <c r="AZ219" s="181"/>
      <c r="BA219" s="764"/>
      <c r="BB219" s="764"/>
      <c r="BC219" s="764"/>
      <c r="BD219" s="764"/>
      <c r="BE219" s="764"/>
      <c r="BF219" s="764"/>
      <c r="BG219" s="764"/>
      <c r="BH219" s="764"/>
      <c r="BI219" s="764"/>
      <c r="BJ219" s="764"/>
      <c r="BK219" s="764"/>
      <c r="BL219" s="764"/>
      <c r="BM219" s="764"/>
      <c r="BN219" s="764"/>
      <c r="BQ219" s="3">
        <f t="shared" si="129"/>
        <v>680074</v>
      </c>
    </row>
    <row r="220" s="3" customFormat="1" ht="36" customHeight="1" spans="1:69">
      <c r="A220" s="74">
        <v>46016</v>
      </c>
      <c r="B220" s="771" t="s">
        <v>5805</v>
      </c>
      <c r="C220" s="772" t="s">
        <v>117</v>
      </c>
      <c r="D220" s="77">
        <v>4500189455</v>
      </c>
      <c r="E220" s="114"/>
      <c r="F220" s="773" t="s">
        <v>5806</v>
      </c>
      <c r="G220" s="774" t="s">
        <v>5807</v>
      </c>
      <c r="H220" s="775" t="s">
        <v>5808</v>
      </c>
      <c r="I220" s="784">
        <v>4800</v>
      </c>
      <c r="J220" s="785">
        <v>0</v>
      </c>
      <c r="K220" s="774">
        <v>1200</v>
      </c>
      <c r="L220" s="786">
        <f t="shared" si="123"/>
        <v>4</v>
      </c>
      <c r="M220" s="787">
        <v>46052</v>
      </c>
      <c r="N220" s="787">
        <v>46048</v>
      </c>
      <c r="O220" s="788"/>
      <c r="P220" s="788"/>
      <c r="Q220" s="788"/>
      <c r="R220" s="452">
        <v>46028</v>
      </c>
      <c r="S220" s="452" t="s">
        <v>77</v>
      </c>
      <c r="T220" s="452" t="s">
        <v>77</v>
      </c>
      <c r="U220" s="788"/>
      <c r="V220" s="788" t="s">
        <v>863</v>
      </c>
      <c r="W220" s="788"/>
      <c r="X220" s="794" t="s">
        <v>5809</v>
      </c>
      <c r="Y220" s="788" t="s">
        <v>406</v>
      </c>
      <c r="Z220" s="796">
        <v>1048.225</v>
      </c>
      <c r="AA220" s="797">
        <f>L220*Z220</f>
        <v>4192.9</v>
      </c>
      <c r="AB220" s="798" t="s">
        <v>3582</v>
      </c>
      <c r="AC220" s="774" t="s">
        <v>5807</v>
      </c>
      <c r="AD220" s="799" t="s">
        <v>128</v>
      </c>
      <c r="AE220" s="799"/>
      <c r="AF220" s="774"/>
      <c r="AG220" s="483">
        <f t="shared" si="125"/>
        <v>-4800</v>
      </c>
      <c r="AH220" s="774"/>
      <c r="AI220" s="808"/>
      <c r="AJ220" s="155">
        <f t="shared" si="137"/>
        <v>4800</v>
      </c>
      <c r="AK220" s="155"/>
      <c r="AL220" s="175">
        <f t="shared" si="144"/>
        <v>4800</v>
      </c>
      <c r="AM220" s="486"/>
      <c r="AN220" s="486"/>
      <c r="AO220" s="486"/>
      <c r="AP220" s="436">
        <f t="shared" si="139"/>
        <v>4800</v>
      </c>
      <c r="AQ220" s="624"/>
      <c r="AR220" s="486"/>
      <c r="AS220" s="436">
        <f t="shared" si="128"/>
        <v>4330</v>
      </c>
      <c r="AT220" s="621">
        <f t="shared" si="130"/>
        <v>470</v>
      </c>
      <c r="AU220" s="812"/>
      <c r="AV220" s="813"/>
      <c r="AW220" s="813"/>
      <c r="AX220" s="819"/>
      <c r="AY220" s="820"/>
      <c r="AZ220" s="820"/>
      <c r="BA220" s="181">
        <f>I220/25</f>
        <v>192</v>
      </c>
      <c r="BB220" s="820"/>
      <c r="BC220" s="820"/>
      <c r="BD220" s="820"/>
      <c r="BE220" s="820"/>
      <c r="BF220" s="820"/>
      <c r="BG220" s="820"/>
      <c r="BH220" s="820"/>
      <c r="BI220" s="820"/>
      <c r="BJ220" s="820"/>
      <c r="BK220" s="820"/>
      <c r="BL220" s="820"/>
      <c r="BM220" s="820"/>
      <c r="BN220" s="820"/>
      <c r="BQ220" s="3">
        <f t="shared" si="129"/>
        <v>684874</v>
      </c>
    </row>
    <row r="221" s="3" customFormat="1" ht="36" customHeight="1" spans="1:69">
      <c r="A221" s="74">
        <v>46021</v>
      </c>
      <c r="B221" s="771" t="s">
        <v>4074</v>
      </c>
      <c r="C221" s="772" t="s">
        <v>613</v>
      </c>
      <c r="D221" s="77">
        <v>4500190234</v>
      </c>
      <c r="E221" s="114"/>
      <c r="F221" s="773" t="s">
        <v>5810</v>
      </c>
      <c r="G221" s="774" t="s">
        <v>4974</v>
      </c>
      <c r="H221" s="24" t="s">
        <v>5205</v>
      </c>
      <c r="I221" s="784">
        <v>300</v>
      </c>
      <c r="J221" s="89">
        <v>0</v>
      </c>
      <c r="K221" s="23">
        <v>50</v>
      </c>
      <c r="L221" s="436">
        <f t="shared" si="123"/>
        <v>6</v>
      </c>
      <c r="M221" s="787">
        <v>46052</v>
      </c>
      <c r="N221" s="787">
        <v>46048</v>
      </c>
      <c r="O221" s="788"/>
      <c r="P221" s="788"/>
      <c r="Q221" s="788"/>
      <c r="R221" s="452">
        <v>46386</v>
      </c>
      <c r="S221" s="452" t="s">
        <v>77</v>
      </c>
      <c r="T221" s="459" t="s">
        <v>5790</v>
      </c>
      <c r="U221" s="788"/>
      <c r="V221" s="788"/>
      <c r="W221" s="788"/>
      <c r="X221" s="794" t="s">
        <v>5811</v>
      </c>
      <c r="Y221" s="788" t="s">
        <v>3879</v>
      </c>
      <c r="Z221" s="796">
        <v>1.4417</v>
      </c>
      <c r="AA221" s="117">
        <f t="shared" ref="AA221:AA236" si="146">Z221*I221</f>
        <v>432.51</v>
      </c>
      <c r="AB221" s="798" t="s">
        <v>3582</v>
      </c>
      <c r="AC221" s="23" t="s">
        <v>5391</v>
      </c>
      <c r="AD221" s="799" t="s">
        <v>128</v>
      </c>
      <c r="AE221" s="799"/>
      <c r="AF221" s="774"/>
      <c r="AG221" s="483">
        <f t="shared" si="125"/>
        <v>-300</v>
      </c>
      <c r="AH221" s="774"/>
      <c r="AI221" s="808"/>
      <c r="AJ221" s="155">
        <f t="shared" si="137"/>
        <v>300</v>
      </c>
      <c r="AK221" s="155"/>
      <c r="AL221" s="175"/>
      <c r="AM221" s="88">
        <f t="shared" si="145"/>
        <v>300</v>
      </c>
      <c r="AN221" s="88"/>
      <c r="AO221" s="88"/>
      <c r="AP221" s="436">
        <f t="shared" si="139"/>
        <v>300</v>
      </c>
      <c r="AQ221" s="436"/>
      <c r="AR221" s="88"/>
      <c r="AS221" s="436">
        <f t="shared" si="128"/>
        <v>270.625</v>
      </c>
      <c r="AT221" s="621">
        <f t="shared" si="130"/>
        <v>29.375</v>
      </c>
      <c r="AU221" s="812"/>
      <c r="AV221" s="813"/>
      <c r="AW221" s="813"/>
      <c r="AX221" s="819"/>
      <c r="AY221" s="820"/>
      <c r="AZ221" s="820"/>
      <c r="BA221" s="181"/>
      <c r="BB221" s="181">
        <f t="shared" ref="BB221:BB223" si="147">I221/25</f>
        <v>12</v>
      </c>
      <c r="BC221" s="820"/>
      <c r="BD221" s="820"/>
      <c r="BE221" s="820"/>
      <c r="BF221" s="820"/>
      <c r="BG221" s="820"/>
      <c r="BH221" s="820"/>
      <c r="BI221" s="820"/>
      <c r="BJ221" s="820"/>
      <c r="BK221" s="820"/>
      <c r="BL221" s="820"/>
      <c r="BM221" s="820"/>
      <c r="BN221" s="820"/>
      <c r="BQ221" s="3">
        <f t="shared" si="129"/>
        <v>685174</v>
      </c>
    </row>
    <row r="222" s="691" customFormat="1" ht="36" customHeight="1" spans="1:69">
      <c r="A222" s="776">
        <v>45965</v>
      </c>
      <c r="B222" s="721" t="s">
        <v>3273</v>
      </c>
      <c r="C222" s="722" t="s">
        <v>286</v>
      </c>
      <c r="D222" s="777">
        <v>4500184293</v>
      </c>
      <c r="E222" s="724"/>
      <c r="F222" s="777" t="s">
        <v>5812</v>
      </c>
      <c r="G222" s="483" t="s">
        <v>4974</v>
      </c>
      <c r="H222" s="725" t="s">
        <v>5205</v>
      </c>
      <c r="I222" s="735">
        <v>2500</v>
      </c>
      <c r="J222" s="736">
        <v>0</v>
      </c>
      <c r="K222" s="483">
        <v>50</v>
      </c>
      <c r="L222" s="737">
        <f t="shared" si="123"/>
        <v>50</v>
      </c>
      <c r="M222" s="738">
        <v>46007</v>
      </c>
      <c r="N222" s="101">
        <v>46049</v>
      </c>
      <c r="O222" s="739" t="s">
        <v>5813</v>
      </c>
      <c r="P222" s="87"/>
      <c r="Q222" s="739"/>
      <c r="R222" s="452">
        <v>46026</v>
      </c>
      <c r="S222" s="453" t="s">
        <v>77</v>
      </c>
      <c r="T222" s="795" t="s">
        <v>5814</v>
      </c>
      <c r="U222" s="739"/>
      <c r="V222" s="739"/>
      <c r="W222" s="739"/>
      <c r="X222" s="724" t="s">
        <v>5815</v>
      </c>
      <c r="Y222" s="800" t="s">
        <v>290</v>
      </c>
      <c r="Z222" s="749">
        <v>1.55</v>
      </c>
      <c r="AA222" s="750">
        <f t="shared" si="146"/>
        <v>3875</v>
      </c>
      <c r="AB222" s="751" t="s">
        <v>3582</v>
      </c>
      <c r="AC222" s="23" t="s">
        <v>5391</v>
      </c>
      <c r="AD222" s="752" t="s">
        <v>128</v>
      </c>
      <c r="AE222" s="467" t="s">
        <v>4930</v>
      </c>
      <c r="AF222" s="483"/>
      <c r="AG222" s="483">
        <f t="shared" si="125"/>
        <v>-2500</v>
      </c>
      <c r="AH222" s="483" t="s">
        <v>4335</v>
      </c>
      <c r="AI222" s="809"/>
      <c r="AJ222" s="755">
        <f t="shared" si="137"/>
        <v>2500</v>
      </c>
      <c r="AK222" s="755"/>
      <c r="AL222" s="175"/>
      <c r="AM222" s="88">
        <f t="shared" si="145"/>
        <v>2500</v>
      </c>
      <c r="AN222" s="175"/>
      <c r="AO222" s="175"/>
      <c r="AP222" s="436">
        <f t="shared" si="139"/>
        <v>2500</v>
      </c>
      <c r="AQ222" s="436"/>
      <c r="AR222" s="88"/>
      <c r="AS222" s="436">
        <f t="shared" si="128"/>
        <v>2255.20833333333</v>
      </c>
      <c r="AT222" s="621">
        <f t="shared" si="130"/>
        <v>244.791666666667</v>
      </c>
      <c r="AU222" s="814"/>
      <c r="AV222" s="814"/>
      <c r="AW222" s="814">
        <f>I222</f>
        <v>2500</v>
      </c>
      <c r="AX222" s="764"/>
      <c r="AY222" s="764"/>
      <c r="AZ222" s="764"/>
      <c r="BA222" s="181"/>
      <c r="BB222" s="181">
        <f t="shared" si="147"/>
        <v>100</v>
      </c>
      <c r="BC222" s="764"/>
      <c r="BD222" s="764"/>
      <c r="BE222" s="764"/>
      <c r="BF222" s="764"/>
      <c r="BG222" s="764"/>
      <c r="BH222" s="764"/>
      <c r="BI222" s="764"/>
      <c r="BJ222" s="764"/>
      <c r="BK222" s="764"/>
      <c r="BL222" s="764"/>
      <c r="BM222" s="764"/>
      <c r="BN222" s="764"/>
      <c r="BQ222" s="3">
        <f t="shared" si="129"/>
        <v>687674</v>
      </c>
    </row>
    <row r="223" s="3" customFormat="1" ht="36" customHeight="1" spans="1:69">
      <c r="A223" s="74">
        <v>46016</v>
      </c>
      <c r="B223" s="771" t="s">
        <v>5816</v>
      </c>
      <c r="C223" s="772" t="s">
        <v>286</v>
      </c>
      <c r="D223" s="77">
        <v>4500190045</v>
      </c>
      <c r="E223" s="114"/>
      <c r="F223" s="773" t="s">
        <v>5817</v>
      </c>
      <c r="G223" s="774" t="s">
        <v>4974</v>
      </c>
      <c r="H223" s="775" t="s">
        <v>5205</v>
      </c>
      <c r="I223" s="784">
        <v>2500</v>
      </c>
      <c r="J223" s="785">
        <v>0</v>
      </c>
      <c r="K223" s="774">
        <v>50</v>
      </c>
      <c r="L223" s="786">
        <f t="shared" si="123"/>
        <v>50</v>
      </c>
      <c r="M223" s="787">
        <v>46055</v>
      </c>
      <c r="N223" s="787">
        <v>46051</v>
      </c>
      <c r="O223" s="788"/>
      <c r="P223" s="788"/>
      <c r="Q223" s="788"/>
      <c r="R223" s="452">
        <v>46021</v>
      </c>
      <c r="S223" s="452" t="s">
        <v>77</v>
      </c>
      <c r="T223" s="447" t="s">
        <v>5818</v>
      </c>
      <c r="U223" s="788"/>
      <c r="V223" s="788"/>
      <c r="W223" s="788"/>
      <c r="X223" s="794" t="s">
        <v>5819</v>
      </c>
      <c r="Y223" s="788" t="s">
        <v>290</v>
      </c>
      <c r="Z223" s="796">
        <v>1.4535</v>
      </c>
      <c r="AA223" s="797">
        <f t="shared" si="146"/>
        <v>3633.75</v>
      </c>
      <c r="AB223" s="798" t="s">
        <v>3582</v>
      </c>
      <c r="AC223" s="23" t="s">
        <v>5391</v>
      </c>
      <c r="AD223" s="467" t="s">
        <v>128</v>
      </c>
      <c r="AE223" s="799"/>
      <c r="AF223" s="774"/>
      <c r="AG223" s="483">
        <f t="shared" si="125"/>
        <v>-2500</v>
      </c>
      <c r="AH223" s="774"/>
      <c r="AI223" s="808"/>
      <c r="AJ223" s="484">
        <f t="shared" si="137"/>
        <v>2500</v>
      </c>
      <c r="AK223" s="484"/>
      <c r="AL223" s="485"/>
      <c r="AM223" s="88">
        <f t="shared" si="145"/>
        <v>2500</v>
      </c>
      <c r="AN223" s="88"/>
      <c r="AO223" s="88"/>
      <c r="AP223" s="436">
        <f t="shared" si="139"/>
        <v>2500</v>
      </c>
      <c r="AQ223" s="436"/>
      <c r="AR223" s="88"/>
      <c r="AS223" s="436">
        <f t="shared" si="128"/>
        <v>2255.20833333333</v>
      </c>
      <c r="AT223" s="621">
        <f t="shared" si="130"/>
        <v>244.791666666667</v>
      </c>
      <c r="AU223" s="812"/>
      <c r="AV223" s="813"/>
      <c r="AW223" s="813">
        <f>I223</f>
        <v>2500</v>
      </c>
      <c r="AX223" s="819"/>
      <c r="AY223" s="820"/>
      <c r="AZ223" s="820"/>
      <c r="BA223" s="820"/>
      <c r="BB223" s="181">
        <f t="shared" si="147"/>
        <v>100</v>
      </c>
      <c r="BC223" s="820"/>
      <c r="BD223" s="820"/>
      <c r="BE223" s="820"/>
      <c r="BF223" s="820"/>
      <c r="BG223" s="820"/>
      <c r="BH223" s="820"/>
      <c r="BI223" s="820"/>
      <c r="BJ223" s="820"/>
      <c r="BK223" s="820"/>
      <c r="BL223" s="820"/>
      <c r="BM223" s="820"/>
      <c r="BN223" s="820"/>
      <c r="BQ223" s="3">
        <f t="shared" si="129"/>
        <v>690174</v>
      </c>
    </row>
    <row r="224" s="88" customFormat="1" ht="36" customHeight="1" spans="1:69">
      <c r="A224" s="778">
        <v>46015</v>
      </c>
      <c r="B224" s="779" t="s">
        <v>1500</v>
      </c>
      <c r="C224" s="780" t="s">
        <v>351</v>
      </c>
      <c r="D224" s="781">
        <v>4500189941</v>
      </c>
      <c r="E224" s="779" t="s">
        <v>5820</v>
      </c>
      <c r="F224" s="781" t="s">
        <v>5821</v>
      </c>
      <c r="G224" s="23" t="s">
        <v>5066</v>
      </c>
      <c r="H224" s="24" t="s">
        <v>5048</v>
      </c>
      <c r="I224" s="88">
        <v>780</v>
      </c>
      <c r="J224" s="89">
        <v>0</v>
      </c>
      <c r="K224" s="23">
        <v>13</v>
      </c>
      <c r="L224" s="436">
        <f t="shared" si="123"/>
        <v>60</v>
      </c>
      <c r="M224" s="90">
        <v>46055</v>
      </c>
      <c r="N224" s="90">
        <v>46051</v>
      </c>
      <c r="O224" s="91"/>
      <c r="P224" s="91"/>
      <c r="Q224" s="91"/>
      <c r="R224" s="459">
        <v>46027</v>
      </c>
      <c r="S224" s="459" t="s">
        <v>77</v>
      </c>
      <c r="T224" s="446" t="s">
        <v>5822</v>
      </c>
      <c r="U224" s="91"/>
      <c r="V224" s="91"/>
      <c r="W224" s="91"/>
      <c r="X224" s="114" t="s">
        <v>5823</v>
      </c>
      <c r="Y224" s="139" t="s">
        <v>4238</v>
      </c>
      <c r="Z224" s="116">
        <v>1.4191</v>
      </c>
      <c r="AA224" s="117">
        <f t="shared" si="146"/>
        <v>1106.898</v>
      </c>
      <c r="AB224" s="469" t="s">
        <v>3582</v>
      </c>
      <c r="AC224" s="23" t="s">
        <v>5052</v>
      </c>
      <c r="AD224" s="467" t="s">
        <v>128</v>
      </c>
      <c r="AE224" s="467"/>
      <c r="AF224" s="23"/>
      <c r="AG224" s="483">
        <f t="shared" si="125"/>
        <v>-780</v>
      </c>
      <c r="AH224" s="23"/>
      <c r="AI224" s="470"/>
      <c r="AJ224" s="755">
        <f t="shared" si="137"/>
        <v>780</v>
      </c>
      <c r="AK224" s="756"/>
      <c r="AL224" s="757"/>
      <c r="AM224" s="486">
        <f t="shared" si="145"/>
        <v>780</v>
      </c>
      <c r="AN224" s="757"/>
      <c r="AO224" s="757"/>
      <c r="AP224" s="436">
        <f t="shared" si="139"/>
        <v>780</v>
      </c>
      <c r="AQ224" s="436"/>
      <c r="AS224" s="436">
        <f t="shared" si="128"/>
        <v>703.625</v>
      </c>
      <c r="AT224" s="621">
        <f t="shared" si="130"/>
        <v>76.375</v>
      </c>
      <c r="AU224" s="175"/>
      <c r="AV224" s="762"/>
      <c r="AW224" s="762"/>
      <c r="AX224" s="763"/>
      <c r="AY224" s="181">
        <f>I224/13</f>
        <v>60</v>
      </c>
      <c r="AZ224" s="181"/>
      <c r="BA224" s="181"/>
      <c r="BB224" s="181"/>
      <c r="BC224" s="181"/>
      <c r="BD224" s="181"/>
      <c r="BE224" s="181"/>
      <c r="BF224" s="181"/>
      <c r="BG224" s="181"/>
      <c r="BH224" s="181"/>
      <c r="BI224" s="181"/>
      <c r="BJ224" s="181"/>
      <c r="BK224" s="181"/>
      <c r="BL224" s="181"/>
      <c r="BM224" s="181"/>
      <c r="BN224" s="181"/>
      <c r="BQ224" s="3">
        <f t="shared" si="129"/>
        <v>690954</v>
      </c>
    </row>
    <row r="225" s="88" customFormat="1" ht="36" customHeight="1" spans="1:69">
      <c r="A225" s="778">
        <v>46015</v>
      </c>
      <c r="B225" s="779" t="s">
        <v>4198</v>
      </c>
      <c r="C225" s="780" t="s">
        <v>1087</v>
      </c>
      <c r="D225" s="781">
        <v>4500189773</v>
      </c>
      <c r="E225" s="779" t="s">
        <v>5824</v>
      </c>
      <c r="F225" s="781" t="s">
        <v>5825</v>
      </c>
      <c r="G225" s="23" t="s">
        <v>4974</v>
      </c>
      <c r="H225" s="775" t="s">
        <v>5205</v>
      </c>
      <c r="I225" s="784">
        <v>2750</v>
      </c>
      <c r="J225" s="785">
        <v>0</v>
      </c>
      <c r="K225" s="774">
        <v>50</v>
      </c>
      <c r="L225" s="786">
        <f t="shared" si="123"/>
        <v>55</v>
      </c>
      <c r="M225" s="90">
        <v>46055</v>
      </c>
      <c r="N225" s="90">
        <v>46051</v>
      </c>
      <c r="O225" s="91"/>
      <c r="P225" s="91"/>
      <c r="Q225" s="91"/>
      <c r="R225" s="452">
        <v>46026</v>
      </c>
      <c r="S225" s="452" t="s">
        <v>77</v>
      </c>
      <c r="T225" s="447" t="s">
        <v>5826</v>
      </c>
      <c r="U225" s="91"/>
      <c r="V225" s="91"/>
      <c r="W225" s="91"/>
      <c r="X225" s="794" t="s">
        <v>5827</v>
      </c>
      <c r="Y225" s="139" t="s">
        <v>618</v>
      </c>
      <c r="Z225" s="796">
        <v>1.4535</v>
      </c>
      <c r="AA225" s="797">
        <f t="shared" si="146"/>
        <v>3997.125</v>
      </c>
      <c r="AB225" s="469" t="s">
        <v>3582</v>
      </c>
      <c r="AC225" s="23" t="s">
        <v>5391</v>
      </c>
      <c r="AD225" s="467" t="s">
        <v>128</v>
      </c>
      <c r="AE225" s="467"/>
      <c r="AF225" s="23"/>
      <c r="AG225" s="483">
        <f t="shared" si="125"/>
        <v>-2750</v>
      </c>
      <c r="AH225" s="23"/>
      <c r="AI225" s="470"/>
      <c r="AJ225" s="484">
        <f t="shared" si="137"/>
        <v>2750</v>
      </c>
      <c r="AK225" s="484"/>
      <c r="AL225" s="175"/>
      <c r="AM225" s="88">
        <f t="shared" si="145"/>
        <v>2750</v>
      </c>
      <c r="AP225" s="436">
        <f t="shared" si="139"/>
        <v>2750</v>
      </c>
      <c r="AQ225" s="436"/>
      <c r="AS225" s="436">
        <f t="shared" si="128"/>
        <v>2480.72916666667</v>
      </c>
      <c r="AT225" s="621">
        <f t="shared" si="130"/>
        <v>269.270833333333</v>
      </c>
      <c r="AU225" s="175"/>
      <c r="AV225" s="175"/>
      <c r="AW225" s="175"/>
      <c r="AX225" s="181"/>
      <c r="AY225" s="181"/>
      <c r="AZ225" s="181"/>
      <c r="BA225" s="181"/>
      <c r="BB225" s="181">
        <f>I225/25</f>
        <v>110</v>
      </c>
      <c r="BC225" s="181"/>
      <c r="BD225" s="181"/>
      <c r="BE225" s="181"/>
      <c r="BF225" s="181"/>
      <c r="BG225" s="181"/>
      <c r="BH225" s="181"/>
      <c r="BI225" s="181"/>
      <c r="BJ225" s="181"/>
      <c r="BK225" s="181"/>
      <c r="BL225" s="181"/>
      <c r="BM225" s="181"/>
      <c r="BN225" s="181"/>
      <c r="BQ225" s="3">
        <f t="shared" si="129"/>
        <v>693704</v>
      </c>
    </row>
    <row r="226" s="3" customFormat="1" ht="36" customHeight="1" spans="1:69">
      <c r="A226" s="18">
        <v>46016</v>
      </c>
      <c r="B226" s="19" t="s">
        <v>4976</v>
      </c>
      <c r="C226" s="20" t="s">
        <v>117</v>
      </c>
      <c r="D226" s="21">
        <v>4500189982</v>
      </c>
      <c r="E226" s="1694" t="s">
        <v>5828</v>
      </c>
      <c r="F226" s="21" t="s">
        <v>5829</v>
      </c>
      <c r="G226" s="782" t="s">
        <v>4979</v>
      </c>
      <c r="H226" s="783" t="s">
        <v>4980</v>
      </c>
      <c r="I226" s="486">
        <v>960</v>
      </c>
      <c r="J226" s="789">
        <v>0</v>
      </c>
      <c r="K226" s="782">
        <v>16</v>
      </c>
      <c r="L226" s="624">
        <f t="shared" si="123"/>
        <v>60</v>
      </c>
      <c r="M226" s="790">
        <v>46059</v>
      </c>
      <c r="N226" s="790">
        <v>46055</v>
      </c>
      <c r="O226" s="791"/>
      <c r="P226" s="791"/>
      <c r="Q226" s="791"/>
      <c r="R226" s="91" t="s">
        <v>1102</v>
      </c>
      <c r="S226" s="91" t="s">
        <v>123</v>
      </c>
      <c r="T226" s="453" t="s">
        <v>5830</v>
      </c>
      <c r="U226" s="91" t="s">
        <v>4983</v>
      </c>
      <c r="V226" s="791"/>
      <c r="W226" s="791"/>
      <c r="X226" s="22" t="s">
        <v>5005</v>
      </c>
      <c r="Y226" s="791" t="s">
        <v>634</v>
      </c>
      <c r="Z226" s="801">
        <v>0.9059</v>
      </c>
      <c r="AA226" s="802">
        <f t="shared" si="146"/>
        <v>869.664</v>
      </c>
      <c r="AB226" s="803" t="s">
        <v>3582</v>
      </c>
      <c r="AC226" s="23" t="s">
        <v>4979</v>
      </c>
      <c r="AD226" s="604" t="s">
        <v>128</v>
      </c>
      <c r="AE226" s="604"/>
      <c r="AF226" s="782"/>
      <c r="AG226" s="483">
        <f t="shared" si="125"/>
        <v>-960</v>
      </c>
      <c r="AH226" s="23" t="s">
        <v>4335</v>
      </c>
      <c r="AI226" s="810"/>
      <c r="AJ226" s="618">
        <f t="shared" si="137"/>
        <v>960</v>
      </c>
      <c r="AK226" s="618"/>
      <c r="AL226" s="175">
        <f t="shared" ref="AL226:AL235" si="148">I226</f>
        <v>960</v>
      </c>
      <c r="AM226" s="486"/>
      <c r="AN226" s="486"/>
      <c r="AO226" s="486"/>
      <c r="AP226" s="436">
        <f t="shared" si="139"/>
        <v>960</v>
      </c>
      <c r="AQ226" s="624"/>
      <c r="AR226" s="486"/>
      <c r="AS226" s="436">
        <f t="shared" si="128"/>
        <v>866</v>
      </c>
      <c r="AT226" s="621">
        <f t="shared" si="130"/>
        <v>94</v>
      </c>
      <c r="AU226" s="628"/>
      <c r="AV226" s="486"/>
      <c r="AW226" s="486"/>
      <c r="AX226" s="514"/>
      <c r="AY226" s="514"/>
      <c r="AZ226" s="514"/>
      <c r="BA226" s="514"/>
      <c r="BB226" s="514"/>
      <c r="BC226" s="181">
        <f t="shared" ref="BC226:BC235" si="149">I226/16</f>
        <v>60</v>
      </c>
      <c r="BD226" s="514"/>
      <c r="BE226" s="514"/>
      <c r="BF226" s="514"/>
      <c r="BG226" s="514"/>
      <c r="BH226" s="514"/>
      <c r="BI226" s="514"/>
      <c r="BJ226" s="514"/>
      <c r="BK226" s="514"/>
      <c r="BL226" s="514"/>
      <c r="BM226" s="514"/>
      <c r="BN226" s="514"/>
      <c r="BQ226" s="3">
        <f t="shared" si="129"/>
        <v>694664</v>
      </c>
    </row>
    <row r="227" s="3" customFormat="1" ht="36" customHeight="1" spans="1:69">
      <c r="A227" s="18">
        <v>46016</v>
      </c>
      <c r="B227" s="75" t="s">
        <v>4976</v>
      </c>
      <c r="C227" s="76" t="s">
        <v>117</v>
      </c>
      <c r="D227" s="21">
        <v>4500189982</v>
      </c>
      <c r="E227" s="1693" t="s">
        <v>5831</v>
      </c>
      <c r="F227" s="21" t="s">
        <v>5832</v>
      </c>
      <c r="G227" s="23" t="s">
        <v>4979</v>
      </c>
      <c r="H227" s="24" t="s">
        <v>4980</v>
      </c>
      <c r="I227" s="88">
        <v>960</v>
      </c>
      <c r="J227" s="89">
        <v>0</v>
      </c>
      <c r="K227" s="23">
        <v>16</v>
      </c>
      <c r="L227" s="436">
        <f t="shared" si="123"/>
        <v>60</v>
      </c>
      <c r="M227" s="90">
        <v>46059</v>
      </c>
      <c r="N227" s="90">
        <v>46055</v>
      </c>
      <c r="O227" s="91"/>
      <c r="P227" s="91"/>
      <c r="Q227" s="91"/>
      <c r="R227" s="91" t="s">
        <v>1102</v>
      </c>
      <c r="S227" s="91" t="s">
        <v>123</v>
      </c>
      <c r="T227" s="453" t="s">
        <v>5830</v>
      </c>
      <c r="U227" s="91" t="s">
        <v>4983</v>
      </c>
      <c r="V227" s="91"/>
      <c r="W227" s="91"/>
      <c r="X227" s="114" t="s">
        <v>5005</v>
      </c>
      <c r="Y227" s="91" t="s">
        <v>634</v>
      </c>
      <c r="Z227" s="116">
        <v>0.9059</v>
      </c>
      <c r="AA227" s="117">
        <f t="shared" si="146"/>
        <v>869.664</v>
      </c>
      <c r="AB227" s="803" t="s">
        <v>3582</v>
      </c>
      <c r="AC227" s="23" t="s">
        <v>4979</v>
      </c>
      <c r="AD227" s="604" t="s">
        <v>128</v>
      </c>
      <c r="AE227" s="467"/>
      <c r="AF227" s="23"/>
      <c r="AG227" s="483">
        <f t="shared" si="125"/>
        <v>-960</v>
      </c>
      <c r="AH227" s="23" t="s">
        <v>4335</v>
      </c>
      <c r="AI227" s="470"/>
      <c r="AJ227" s="155">
        <f t="shared" si="137"/>
        <v>960</v>
      </c>
      <c r="AK227" s="155"/>
      <c r="AL227" s="175">
        <f t="shared" si="148"/>
        <v>960</v>
      </c>
      <c r="AM227" s="486"/>
      <c r="AN227" s="486"/>
      <c r="AO227" s="486"/>
      <c r="AP227" s="436">
        <f t="shared" si="139"/>
        <v>960</v>
      </c>
      <c r="AQ227" s="624"/>
      <c r="AR227" s="486"/>
      <c r="AS227" s="436">
        <f t="shared" si="128"/>
        <v>866</v>
      </c>
      <c r="AT227" s="621">
        <f t="shared" si="130"/>
        <v>94</v>
      </c>
      <c r="AU227" s="628"/>
      <c r="AV227" s="486"/>
      <c r="AW227" s="486"/>
      <c r="AX227" s="514"/>
      <c r="AY227" s="181"/>
      <c r="AZ227" s="181"/>
      <c r="BA227" s="181"/>
      <c r="BB227" s="181"/>
      <c r="BC227" s="181">
        <f t="shared" si="149"/>
        <v>60</v>
      </c>
      <c r="BD227" s="181"/>
      <c r="BE227" s="181"/>
      <c r="BF227" s="181"/>
      <c r="BG227" s="181"/>
      <c r="BH227" s="181"/>
      <c r="BI227" s="181"/>
      <c r="BJ227" s="181"/>
      <c r="BK227" s="181"/>
      <c r="BL227" s="181"/>
      <c r="BM227" s="181"/>
      <c r="BN227" s="181"/>
      <c r="BQ227" s="3">
        <f t="shared" si="129"/>
        <v>695624</v>
      </c>
    </row>
    <row r="228" s="3" customFormat="1" ht="36" customHeight="1" spans="1:69">
      <c r="A228" s="18">
        <v>46016</v>
      </c>
      <c r="B228" s="75" t="s">
        <v>4976</v>
      </c>
      <c r="C228" s="76" t="s">
        <v>117</v>
      </c>
      <c r="D228" s="21">
        <v>4500189982</v>
      </c>
      <c r="E228" s="1693" t="s">
        <v>5833</v>
      </c>
      <c r="F228" s="21" t="s">
        <v>5834</v>
      </c>
      <c r="G228" s="23" t="s">
        <v>4979</v>
      </c>
      <c r="H228" s="24" t="s">
        <v>4980</v>
      </c>
      <c r="I228" s="88">
        <v>960</v>
      </c>
      <c r="J228" s="89">
        <v>0</v>
      </c>
      <c r="K228" s="23">
        <v>16</v>
      </c>
      <c r="L228" s="436">
        <f t="shared" si="123"/>
        <v>60</v>
      </c>
      <c r="M228" s="90">
        <v>46059</v>
      </c>
      <c r="N228" s="90">
        <v>46055</v>
      </c>
      <c r="O228" s="91"/>
      <c r="P228" s="91"/>
      <c r="Q228" s="91"/>
      <c r="R228" s="91" t="s">
        <v>1102</v>
      </c>
      <c r="S228" s="91" t="s">
        <v>123</v>
      </c>
      <c r="T228" s="453" t="s">
        <v>5830</v>
      </c>
      <c r="U228" s="91" t="s">
        <v>4983</v>
      </c>
      <c r="V228" s="91"/>
      <c r="W228" s="91"/>
      <c r="X228" s="114" t="s">
        <v>5005</v>
      </c>
      <c r="Y228" s="91" t="s">
        <v>634</v>
      </c>
      <c r="Z228" s="116">
        <v>0.9059</v>
      </c>
      <c r="AA228" s="117">
        <f t="shared" si="146"/>
        <v>869.664</v>
      </c>
      <c r="AB228" s="803" t="s">
        <v>3582</v>
      </c>
      <c r="AC228" s="23" t="s">
        <v>4979</v>
      </c>
      <c r="AD228" s="604" t="s">
        <v>128</v>
      </c>
      <c r="AE228" s="467"/>
      <c r="AF228" s="23"/>
      <c r="AG228" s="483">
        <f t="shared" si="125"/>
        <v>-960</v>
      </c>
      <c r="AH228" s="23" t="s">
        <v>4335</v>
      </c>
      <c r="AI228" s="470"/>
      <c r="AJ228" s="155">
        <f t="shared" si="137"/>
        <v>960</v>
      </c>
      <c r="AK228" s="155"/>
      <c r="AL228" s="175">
        <f t="shared" si="148"/>
        <v>960</v>
      </c>
      <c r="AM228" s="486"/>
      <c r="AN228" s="486"/>
      <c r="AO228" s="486"/>
      <c r="AP228" s="436">
        <f t="shared" si="139"/>
        <v>960</v>
      </c>
      <c r="AQ228" s="624"/>
      <c r="AR228" s="486"/>
      <c r="AS228" s="436">
        <f t="shared" si="128"/>
        <v>866</v>
      </c>
      <c r="AT228" s="621">
        <f t="shared" si="130"/>
        <v>94</v>
      </c>
      <c r="AU228" s="628"/>
      <c r="AV228" s="486"/>
      <c r="AW228" s="486"/>
      <c r="AX228" s="514"/>
      <c r="AY228" s="181"/>
      <c r="AZ228" s="181"/>
      <c r="BA228" s="181"/>
      <c r="BB228" s="181"/>
      <c r="BC228" s="181">
        <f t="shared" si="149"/>
        <v>60</v>
      </c>
      <c r="BD228" s="181"/>
      <c r="BE228" s="181"/>
      <c r="BF228" s="181"/>
      <c r="BG228" s="181"/>
      <c r="BH228" s="181"/>
      <c r="BI228" s="181"/>
      <c r="BJ228" s="181"/>
      <c r="BK228" s="181"/>
      <c r="BL228" s="181"/>
      <c r="BM228" s="181"/>
      <c r="BN228" s="181"/>
      <c r="BQ228" s="3">
        <f t="shared" si="129"/>
        <v>696584</v>
      </c>
    </row>
    <row r="229" s="3" customFormat="1" ht="36" customHeight="1" spans="1:69">
      <c r="A229" s="18">
        <v>46016</v>
      </c>
      <c r="B229" s="75" t="s">
        <v>4976</v>
      </c>
      <c r="C229" s="76" t="s">
        <v>117</v>
      </c>
      <c r="D229" s="21">
        <v>4500189982</v>
      </c>
      <c r="E229" s="1693" t="s">
        <v>5835</v>
      </c>
      <c r="F229" s="21" t="s">
        <v>5836</v>
      </c>
      <c r="G229" s="23" t="s">
        <v>4979</v>
      </c>
      <c r="H229" s="24" t="s">
        <v>4980</v>
      </c>
      <c r="I229" s="88">
        <v>960</v>
      </c>
      <c r="J229" s="89">
        <v>0</v>
      </c>
      <c r="K229" s="23">
        <v>16</v>
      </c>
      <c r="L229" s="436">
        <f t="shared" si="123"/>
        <v>60</v>
      </c>
      <c r="M229" s="90">
        <v>46059</v>
      </c>
      <c r="N229" s="90">
        <v>46055</v>
      </c>
      <c r="O229" s="91"/>
      <c r="P229" s="91"/>
      <c r="Q229" s="91"/>
      <c r="R229" s="91" t="s">
        <v>1102</v>
      </c>
      <c r="S229" s="91" t="s">
        <v>123</v>
      </c>
      <c r="T229" s="453" t="s">
        <v>5830</v>
      </c>
      <c r="U229" s="91" t="s">
        <v>4983</v>
      </c>
      <c r="V229" s="91"/>
      <c r="W229" s="91"/>
      <c r="X229" s="114" t="s">
        <v>5005</v>
      </c>
      <c r="Y229" s="91" t="s">
        <v>634</v>
      </c>
      <c r="Z229" s="116">
        <v>0.9059</v>
      </c>
      <c r="AA229" s="117">
        <f t="shared" si="146"/>
        <v>869.664</v>
      </c>
      <c r="AB229" s="803" t="s">
        <v>3582</v>
      </c>
      <c r="AC229" s="23" t="s">
        <v>4979</v>
      </c>
      <c r="AD229" s="604" t="s">
        <v>128</v>
      </c>
      <c r="AE229" s="467"/>
      <c r="AF229" s="23"/>
      <c r="AG229" s="483">
        <f t="shared" si="125"/>
        <v>-960</v>
      </c>
      <c r="AH229" s="23" t="s">
        <v>4335</v>
      </c>
      <c r="AI229" s="470"/>
      <c r="AJ229" s="155">
        <f t="shared" si="137"/>
        <v>960</v>
      </c>
      <c r="AK229" s="155"/>
      <c r="AL229" s="175">
        <f t="shared" si="148"/>
        <v>960</v>
      </c>
      <c r="AM229" s="486"/>
      <c r="AN229" s="486"/>
      <c r="AO229" s="486"/>
      <c r="AP229" s="436">
        <f t="shared" si="139"/>
        <v>960</v>
      </c>
      <c r="AQ229" s="624"/>
      <c r="AR229" s="486"/>
      <c r="AS229" s="436">
        <f t="shared" si="128"/>
        <v>866</v>
      </c>
      <c r="AT229" s="621">
        <f t="shared" si="130"/>
        <v>94</v>
      </c>
      <c r="AU229" s="628"/>
      <c r="AV229" s="486"/>
      <c r="AW229" s="486"/>
      <c r="AX229" s="514"/>
      <c r="AY229" s="181"/>
      <c r="AZ229" s="181"/>
      <c r="BA229" s="181"/>
      <c r="BB229" s="181"/>
      <c r="BC229" s="181">
        <f t="shared" si="149"/>
        <v>60</v>
      </c>
      <c r="BD229" s="181"/>
      <c r="BE229" s="181"/>
      <c r="BF229" s="181"/>
      <c r="BG229" s="181"/>
      <c r="BH229" s="181"/>
      <c r="BI229" s="181"/>
      <c r="BJ229" s="181"/>
      <c r="BK229" s="181"/>
      <c r="BL229" s="181"/>
      <c r="BM229" s="181"/>
      <c r="BN229" s="181"/>
      <c r="BQ229" s="3">
        <f t="shared" si="129"/>
        <v>697544</v>
      </c>
    </row>
    <row r="230" s="3" customFormat="1" ht="36" customHeight="1" spans="1:69">
      <c r="A230" s="18">
        <v>46016</v>
      </c>
      <c r="B230" s="75" t="s">
        <v>4976</v>
      </c>
      <c r="C230" s="76" t="s">
        <v>117</v>
      </c>
      <c r="D230" s="21">
        <v>4500189982</v>
      </c>
      <c r="E230" s="1693" t="s">
        <v>5837</v>
      </c>
      <c r="F230" s="21" t="s">
        <v>5838</v>
      </c>
      <c r="G230" s="23" t="s">
        <v>4979</v>
      </c>
      <c r="H230" s="24" t="s">
        <v>4980</v>
      </c>
      <c r="I230" s="88">
        <v>960</v>
      </c>
      <c r="J230" s="89">
        <v>0</v>
      </c>
      <c r="K230" s="23">
        <v>16</v>
      </c>
      <c r="L230" s="436">
        <f t="shared" si="123"/>
        <v>60</v>
      </c>
      <c r="M230" s="90">
        <v>46059</v>
      </c>
      <c r="N230" s="90">
        <v>46055</v>
      </c>
      <c r="O230" s="91"/>
      <c r="P230" s="91"/>
      <c r="Q230" s="91"/>
      <c r="R230" s="91" t="s">
        <v>1102</v>
      </c>
      <c r="S230" s="91" t="s">
        <v>123</v>
      </c>
      <c r="T230" s="453" t="s">
        <v>5830</v>
      </c>
      <c r="U230" s="91" t="s">
        <v>4983</v>
      </c>
      <c r="V230" s="91"/>
      <c r="W230" s="91"/>
      <c r="X230" s="114" t="s">
        <v>5005</v>
      </c>
      <c r="Y230" s="91" t="s">
        <v>634</v>
      </c>
      <c r="Z230" s="116">
        <v>0.9059</v>
      </c>
      <c r="AA230" s="117">
        <f t="shared" si="146"/>
        <v>869.664</v>
      </c>
      <c r="AB230" s="803" t="s">
        <v>3582</v>
      </c>
      <c r="AC230" s="23" t="s">
        <v>4979</v>
      </c>
      <c r="AD230" s="604" t="s">
        <v>128</v>
      </c>
      <c r="AE230" s="467"/>
      <c r="AF230" s="23"/>
      <c r="AG230" s="483">
        <f t="shared" si="125"/>
        <v>-960</v>
      </c>
      <c r="AH230" s="23" t="s">
        <v>4335</v>
      </c>
      <c r="AI230" s="470"/>
      <c r="AJ230" s="155">
        <f t="shared" si="137"/>
        <v>960</v>
      </c>
      <c r="AK230" s="155"/>
      <c r="AL230" s="175">
        <f t="shared" si="148"/>
        <v>960</v>
      </c>
      <c r="AM230" s="486"/>
      <c r="AN230" s="486"/>
      <c r="AO230" s="486"/>
      <c r="AP230" s="436">
        <f t="shared" si="139"/>
        <v>960</v>
      </c>
      <c r="AQ230" s="624"/>
      <c r="AR230" s="486"/>
      <c r="AS230" s="436">
        <f t="shared" si="128"/>
        <v>866</v>
      </c>
      <c r="AT230" s="621">
        <f t="shared" si="130"/>
        <v>94</v>
      </c>
      <c r="AU230" s="628"/>
      <c r="AV230" s="486"/>
      <c r="AW230" s="486"/>
      <c r="AX230" s="514"/>
      <c r="AY230" s="181"/>
      <c r="AZ230" s="181"/>
      <c r="BA230" s="181"/>
      <c r="BB230" s="181"/>
      <c r="BC230" s="181">
        <f t="shared" si="149"/>
        <v>60</v>
      </c>
      <c r="BD230" s="181"/>
      <c r="BE230" s="181"/>
      <c r="BF230" s="181"/>
      <c r="BG230" s="181"/>
      <c r="BH230" s="181"/>
      <c r="BI230" s="181"/>
      <c r="BJ230" s="181"/>
      <c r="BK230" s="181"/>
      <c r="BL230" s="181"/>
      <c r="BM230" s="181"/>
      <c r="BN230" s="181"/>
      <c r="BQ230" s="3">
        <f t="shared" si="129"/>
        <v>698504</v>
      </c>
    </row>
    <row r="231" s="3" customFormat="1" ht="36" customHeight="1" spans="1:69">
      <c r="A231" s="18">
        <v>46016</v>
      </c>
      <c r="B231" s="75" t="s">
        <v>4976</v>
      </c>
      <c r="C231" s="76" t="s">
        <v>117</v>
      </c>
      <c r="D231" s="21">
        <v>4500189983</v>
      </c>
      <c r="E231" s="1693" t="s">
        <v>5839</v>
      </c>
      <c r="F231" s="21" t="s">
        <v>5840</v>
      </c>
      <c r="G231" s="23" t="s">
        <v>4979</v>
      </c>
      <c r="H231" s="24" t="s">
        <v>4980</v>
      </c>
      <c r="I231" s="88">
        <v>960</v>
      </c>
      <c r="J231" s="89">
        <v>0</v>
      </c>
      <c r="K231" s="23">
        <v>16</v>
      </c>
      <c r="L231" s="436">
        <f t="shared" si="123"/>
        <v>60</v>
      </c>
      <c r="M231" s="90">
        <v>46076</v>
      </c>
      <c r="N231" s="90">
        <v>46062</v>
      </c>
      <c r="O231" s="91"/>
      <c r="P231" s="91"/>
      <c r="Q231" s="91"/>
      <c r="R231" s="91" t="s">
        <v>1102</v>
      </c>
      <c r="S231" s="91" t="s">
        <v>123</v>
      </c>
      <c r="T231" s="453" t="s">
        <v>5830</v>
      </c>
      <c r="U231" s="91" t="s">
        <v>4983</v>
      </c>
      <c r="V231" s="91"/>
      <c r="W231" s="91"/>
      <c r="X231" s="114" t="s">
        <v>5841</v>
      </c>
      <c r="Y231" s="91" t="s">
        <v>634</v>
      </c>
      <c r="Z231" s="116">
        <v>0.9059</v>
      </c>
      <c r="AA231" s="117">
        <f t="shared" si="146"/>
        <v>869.664</v>
      </c>
      <c r="AB231" s="469" t="s">
        <v>3582</v>
      </c>
      <c r="AC231" s="23" t="s">
        <v>4979</v>
      </c>
      <c r="AD231" s="604" t="s">
        <v>128</v>
      </c>
      <c r="AE231" s="467"/>
      <c r="AF231" s="23"/>
      <c r="AG231" s="483">
        <f t="shared" si="125"/>
        <v>-960</v>
      </c>
      <c r="AH231" s="23" t="s">
        <v>4335</v>
      </c>
      <c r="AI231" s="470"/>
      <c r="AJ231" s="155">
        <f t="shared" si="137"/>
        <v>960</v>
      </c>
      <c r="AK231" s="155"/>
      <c r="AL231" s="175">
        <f t="shared" si="148"/>
        <v>960</v>
      </c>
      <c r="AM231" s="486"/>
      <c r="AN231" s="486"/>
      <c r="AO231" s="486"/>
      <c r="AP231" s="436">
        <f t="shared" si="139"/>
        <v>960</v>
      </c>
      <c r="AQ231" s="624"/>
      <c r="AR231" s="486"/>
      <c r="AS231" s="436">
        <f t="shared" si="128"/>
        <v>866</v>
      </c>
      <c r="AT231" s="621">
        <f t="shared" si="130"/>
        <v>94</v>
      </c>
      <c r="AU231" s="628"/>
      <c r="AV231" s="486"/>
      <c r="AW231" s="486"/>
      <c r="AX231" s="514"/>
      <c r="AY231" s="181"/>
      <c r="AZ231" s="181"/>
      <c r="BA231" s="181"/>
      <c r="BB231" s="181"/>
      <c r="BC231" s="181">
        <f t="shared" si="149"/>
        <v>60</v>
      </c>
      <c r="BD231" s="181"/>
      <c r="BE231" s="181"/>
      <c r="BF231" s="181"/>
      <c r="BG231" s="181"/>
      <c r="BH231" s="181"/>
      <c r="BI231" s="181"/>
      <c r="BJ231" s="181"/>
      <c r="BK231" s="181"/>
      <c r="BL231" s="181"/>
      <c r="BM231" s="181"/>
      <c r="BN231" s="181"/>
      <c r="BQ231" s="3">
        <f t="shared" si="129"/>
        <v>699464</v>
      </c>
    </row>
    <row r="232" s="3" customFormat="1" ht="36" customHeight="1" spans="1:69">
      <c r="A232" s="18">
        <v>46016</v>
      </c>
      <c r="B232" s="75" t="s">
        <v>4976</v>
      </c>
      <c r="C232" s="76" t="s">
        <v>117</v>
      </c>
      <c r="D232" s="21">
        <v>4500189983</v>
      </c>
      <c r="E232" s="1693" t="s">
        <v>5842</v>
      </c>
      <c r="F232" s="21" t="s">
        <v>5843</v>
      </c>
      <c r="G232" s="23" t="s">
        <v>4979</v>
      </c>
      <c r="H232" s="24" t="s">
        <v>4980</v>
      </c>
      <c r="I232" s="88">
        <v>960</v>
      </c>
      <c r="J232" s="89">
        <v>0</v>
      </c>
      <c r="K232" s="23">
        <v>16</v>
      </c>
      <c r="L232" s="436">
        <f t="shared" si="123"/>
        <v>60</v>
      </c>
      <c r="M232" s="90">
        <v>46076</v>
      </c>
      <c r="N232" s="90">
        <v>46062</v>
      </c>
      <c r="O232" s="91"/>
      <c r="P232" s="91"/>
      <c r="Q232" s="91"/>
      <c r="R232" s="91" t="s">
        <v>1102</v>
      </c>
      <c r="S232" s="91" t="s">
        <v>123</v>
      </c>
      <c r="T232" s="453" t="s">
        <v>5830</v>
      </c>
      <c r="U232" s="91" t="s">
        <v>4983</v>
      </c>
      <c r="V232" s="91"/>
      <c r="W232" s="91"/>
      <c r="X232" s="114" t="s">
        <v>5841</v>
      </c>
      <c r="Y232" s="91" t="s">
        <v>634</v>
      </c>
      <c r="Z232" s="116">
        <v>0.9059</v>
      </c>
      <c r="AA232" s="117">
        <f t="shared" si="146"/>
        <v>869.664</v>
      </c>
      <c r="AB232" s="469" t="s">
        <v>3582</v>
      </c>
      <c r="AC232" s="23" t="s">
        <v>4979</v>
      </c>
      <c r="AD232" s="604" t="s">
        <v>128</v>
      </c>
      <c r="AE232" s="467"/>
      <c r="AF232" s="23"/>
      <c r="AG232" s="483">
        <f t="shared" si="125"/>
        <v>-960</v>
      </c>
      <c r="AH232" s="23" t="s">
        <v>4335</v>
      </c>
      <c r="AI232" s="470"/>
      <c r="AJ232" s="155">
        <f t="shared" si="137"/>
        <v>960</v>
      </c>
      <c r="AK232" s="155"/>
      <c r="AL232" s="175">
        <f t="shared" si="148"/>
        <v>960</v>
      </c>
      <c r="AM232" s="486"/>
      <c r="AN232" s="486"/>
      <c r="AO232" s="486"/>
      <c r="AP232" s="436">
        <f t="shared" si="139"/>
        <v>960</v>
      </c>
      <c r="AQ232" s="624"/>
      <c r="AR232" s="486"/>
      <c r="AS232" s="436">
        <f t="shared" si="128"/>
        <v>866</v>
      </c>
      <c r="AT232" s="621">
        <f t="shared" si="130"/>
        <v>94</v>
      </c>
      <c r="AU232" s="628"/>
      <c r="AV232" s="486"/>
      <c r="AW232" s="486"/>
      <c r="AX232" s="514"/>
      <c r="AY232" s="181"/>
      <c r="AZ232" s="181"/>
      <c r="BA232" s="181"/>
      <c r="BB232" s="181"/>
      <c r="BC232" s="181">
        <f t="shared" si="149"/>
        <v>60</v>
      </c>
      <c r="BD232" s="181"/>
      <c r="BE232" s="181"/>
      <c r="BF232" s="181"/>
      <c r="BG232" s="181"/>
      <c r="BH232" s="181"/>
      <c r="BI232" s="181"/>
      <c r="BJ232" s="181"/>
      <c r="BK232" s="181"/>
      <c r="BL232" s="181"/>
      <c r="BM232" s="181"/>
      <c r="BN232" s="181"/>
      <c r="BQ232" s="3">
        <f t="shared" si="129"/>
        <v>700424</v>
      </c>
    </row>
    <row r="233" s="3" customFormat="1" ht="36" customHeight="1" spans="1:69">
      <c r="A233" s="18">
        <v>46016</v>
      </c>
      <c r="B233" s="75" t="s">
        <v>4976</v>
      </c>
      <c r="C233" s="76" t="s">
        <v>117</v>
      </c>
      <c r="D233" s="21">
        <v>4500189985</v>
      </c>
      <c r="E233" s="1693" t="s">
        <v>5844</v>
      </c>
      <c r="F233" s="21" t="s">
        <v>5845</v>
      </c>
      <c r="G233" s="23" t="s">
        <v>4979</v>
      </c>
      <c r="H233" s="24" t="s">
        <v>4980</v>
      </c>
      <c r="I233" s="88">
        <v>960</v>
      </c>
      <c r="J233" s="89">
        <v>0</v>
      </c>
      <c r="K233" s="23">
        <v>16</v>
      </c>
      <c r="L233" s="436">
        <f t="shared" si="123"/>
        <v>60</v>
      </c>
      <c r="M233" s="90">
        <v>46079</v>
      </c>
      <c r="N233" s="90">
        <v>46062</v>
      </c>
      <c r="O233" s="91"/>
      <c r="P233" s="91"/>
      <c r="Q233" s="91"/>
      <c r="R233" s="91" t="s">
        <v>1102</v>
      </c>
      <c r="S233" s="91" t="s">
        <v>123</v>
      </c>
      <c r="T233" s="453" t="s">
        <v>5830</v>
      </c>
      <c r="U233" s="91" t="s">
        <v>4983</v>
      </c>
      <c r="V233" s="91"/>
      <c r="W233" s="91"/>
      <c r="X233" s="114" t="s">
        <v>5029</v>
      </c>
      <c r="Y233" s="91" t="s">
        <v>634</v>
      </c>
      <c r="Z233" s="116">
        <v>0.9059</v>
      </c>
      <c r="AA233" s="117">
        <f t="shared" si="146"/>
        <v>869.664</v>
      </c>
      <c r="AB233" s="469" t="s">
        <v>3582</v>
      </c>
      <c r="AC233" s="23" t="s">
        <v>4979</v>
      </c>
      <c r="AD233" s="604" t="s">
        <v>128</v>
      </c>
      <c r="AE233" s="467"/>
      <c r="AF233" s="23"/>
      <c r="AG233" s="483">
        <f t="shared" si="125"/>
        <v>-960</v>
      </c>
      <c r="AH233" s="23" t="s">
        <v>4335</v>
      </c>
      <c r="AI233" s="470"/>
      <c r="AJ233" s="155">
        <f t="shared" si="137"/>
        <v>960</v>
      </c>
      <c r="AK233" s="155"/>
      <c r="AL233" s="175">
        <f t="shared" si="148"/>
        <v>960</v>
      </c>
      <c r="AM233" s="486"/>
      <c r="AN233" s="486"/>
      <c r="AO233" s="486"/>
      <c r="AP233" s="436">
        <f t="shared" si="139"/>
        <v>960</v>
      </c>
      <c r="AQ233" s="624"/>
      <c r="AR233" s="486"/>
      <c r="AS233" s="436">
        <f t="shared" si="128"/>
        <v>866</v>
      </c>
      <c r="AT233" s="621">
        <f t="shared" si="130"/>
        <v>94</v>
      </c>
      <c r="AU233" s="628"/>
      <c r="AV233" s="486"/>
      <c r="AW233" s="486"/>
      <c r="AX233" s="514"/>
      <c r="AY233" s="181"/>
      <c r="AZ233" s="181"/>
      <c r="BA233" s="181"/>
      <c r="BB233" s="181"/>
      <c r="BC233" s="181">
        <f t="shared" si="149"/>
        <v>60</v>
      </c>
      <c r="BD233" s="181"/>
      <c r="BE233" s="181"/>
      <c r="BF233" s="181"/>
      <c r="BG233" s="181"/>
      <c r="BH233" s="181"/>
      <c r="BI233" s="181"/>
      <c r="BJ233" s="181"/>
      <c r="BK233" s="181"/>
      <c r="BL233" s="181"/>
      <c r="BM233" s="181"/>
      <c r="BN233" s="181"/>
      <c r="BQ233" s="3">
        <f t="shared" si="129"/>
        <v>701384</v>
      </c>
    </row>
    <row r="234" s="3" customFormat="1" ht="36" customHeight="1" spans="1:69">
      <c r="A234" s="18">
        <v>46016</v>
      </c>
      <c r="B234" s="75" t="s">
        <v>4976</v>
      </c>
      <c r="C234" s="76" t="s">
        <v>117</v>
      </c>
      <c r="D234" s="21">
        <v>4500189985</v>
      </c>
      <c r="E234" s="1693" t="s">
        <v>5846</v>
      </c>
      <c r="F234" s="21" t="s">
        <v>5847</v>
      </c>
      <c r="G234" s="23" t="s">
        <v>4979</v>
      </c>
      <c r="H234" s="24" t="s">
        <v>4980</v>
      </c>
      <c r="I234" s="88">
        <v>960</v>
      </c>
      <c r="J234" s="89">
        <v>0</v>
      </c>
      <c r="K234" s="23">
        <v>16</v>
      </c>
      <c r="L234" s="436">
        <f t="shared" si="123"/>
        <v>60</v>
      </c>
      <c r="M234" s="90">
        <v>46079</v>
      </c>
      <c r="N234" s="90">
        <v>46062</v>
      </c>
      <c r="O234" s="91"/>
      <c r="P234" s="91"/>
      <c r="Q234" s="91"/>
      <c r="R234" s="91" t="s">
        <v>1102</v>
      </c>
      <c r="S234" s="91" t="s">
        <v>123</v>
      </c>
      <c r="T234" s="453" t="s">
        <v>5830</v>
      </c>
      <c r="U234" s="91" t="s">
        <v>4983</v>
      </c>
      <c r="V234" s="91"/>
      <c r="W234" s="91"/>
      <c r="X234" s="114" t="s">
        <v>5029</v>
      </c>
      <c r="Y234" s="91" t="s">
        <v>634</v>
      </c>
      <c r="Z234" s="116">
        <v>0.9059</v>
      </c>
      <c r="AA234" s="117">
        <f t="shared" si="146"/>
        <v>869.664</v>
      </c>
      <c r="AB234" s="469" t="s">
        <v>3582</v>
      </c>
      <c r="AC234" s="23" t="s">
        <v>4979</v>
      </c>
      <c r="AD234" s="604" t="s">
        <v>128</v>
      </c>
      <c r="AE234" s="467"/>
      <c r="AF234" s="23"/>
      <c r="AG234" s="483">
        <f t="shared" si="125"/>
        <v>-960</v>
      </c>
      <c r="AH234" s="23" t="s">
        <v>4335</v>
      </c>
      <c r="AI234" s="470"/>
      <c r="AJ234" s="155">
        <f t="shared" si="137"/>
        <v>960</v>
      </c>
      <c r="AK234" s="155"/>
      <c r="AL234" s="175">
        <f t="shared" si="148"/>
        <v>960</v>
      </c>
      <c r="AM234" s="486"/>
      <c r="AN234" s="486"/>
      <c r="AO234" s="486"/>
      <c r="AP234" s="436">
        <f t="shared" si="139"/>
        <v>960</v>
      </c>
      <c r="AQ234" s="624"/>
      <c r="AR234" s="486"/>
      <c r="AS234" s="436">
        <f t="shared" si="128"/>
        <v>866</v>
      </c>
      <c r="AT234" s="621">
        <f t="shared" si="130"/>
        <v>94</v>
      </c>
      <c r="AU234" s="628"/>
      <c r="AV234" s="486"/>
      <c r="AW234" s="486"/>
      <c r="AX234" s="514"/>
      <c r="AY234" s="181"/>
      <c r="AZ234" s="181"/>
      <c r="BA234" s="181"/>
      <c r="BB234" s="181"/>
      <c r="BC234" s="181">
        <f t="shared" si="149"/>
        <v>60</v>
      </c>
      <c r="BD234" s="181"/>
      <c r="BE234" s="181"/>
      <c r="BF234" s="181"/>
      <c r="BG234" s="181"/>
      <c r="BH234" s="181"/>
      <c r="BI234" s="181"/>
      <c r="BJ234" s="181"/>
      <c r="BK234" s="181"/>
      <c r="BL234" s="181"/>
      <c r="BM234" s="181"/>
      <c r="BN234" s="181"/>
      <c r="BQ234" s="3">
        <f t="shared" si="129"/>
        <v>702344</v>
      </c>
    </row>
    <row r="235" s="3" customFormat="1" ht="36" customHeight="1" spans="1:69">
      <c r="A235" s="18">
        <v>46016</v>
      </c>
      <c r="B235" s="75" t="s">
        <v>4976</v>
      </c>
      <c r="C235" s="76" t="s">
        <v>117</v>
      </c>
      <c r="D235" s="21">
        <v>4500189985</v>
      </c>
      <c r="E235" s="1693" t="s">
        <v>5848</v>
      </c>
      <c r="F235" s="21" t="s">
        <v>5849</v>
      </c>
      <c r="G235" s="23" t="s">
        <v>4979</v>
      </c>
      <c r="H235" s="24" t="s">
        <v>4980</v>
      </c>
      <c r="I235" s="88">
        <v>960</v>
      </c>
      <c r="J235" s="89">
        <v>0</v>
      </c>
      <c r="K235" s="23">
        <v>16</v>
      </c>
      <c r="L235" s="436">
        <f t="shared" si="123"/>
        <v>60</v>
      </c>
      <c r="M235" s="90">
        <v>46079</v>
      </c>
      <c r="N235" s="90">
        <v>46062</v>
      </c>
      <c r="O235" s="91"/>
      <c r="P235" s="91"/>
      <c r="Q235" s="91"/>
      <c r="R235" s="91" t="s">
        <v>1102</v>
      </c>
      <c r="S235" s="91" t="s">
        <v>123</v>
      </c>
      <c r="T235" s="453" t="s">
        <v>5830</v>
      </c>
      <c r="U235" s="91" t="s">
        <v>4983</v>
      </c>
      <c r="V235" s="91"/>
      <c r="W235" s="91"/>
      <c r="X235" s="114" t="s">
        <v>5029</v>
      </c>
      <c r="Y235" s="91" t="s">
        <v>634</v>
      </c>
      <c r="Z235" s="116">
        <v>0.9059</v>
      </c>
      <c r="AA235" s="117">
        <f t="shared" si="146"/>
        <v>869.664</v>
      </c>
      <c r="AB235" s="469" t="s">
        <v>3582</v>
      </c>
      <c r="AC235" s="23" t="s">
        <v>4979</v>
      </c>
      <c r="AD235" s="604" t="s">
        <v>128</v>
      </c>
      <c r="AE235" s="467"/>
      <c r="AF235" s="23"/>
      <c r="AG235" s="483">
        <f t="shared" si="125"/>
        <v>-960</v>
      </c>
      <c r="AH235" s="23" t="s">
        <v>4335</v>
      </c>
      <c r="AI235" s="470"/>
      <c r="AJ235" s="155">
        <f t="shared" si="137"/>
        <v>960</v>
      </c>
      <c r="AK235" s="155"/>
      <c r="AL235" s="175">
        <f t="shared" si="148"/>
        <v>960</v>
      </c>
      <c r="AM235" s="88"/>
      <c r="AN235" s="88"/>
      <c r="AO235" s="486"/>
      <c r="AP235" s="436">
        <f t="shared" si="139"/>
        <v>960</v>
      </c>
      <c r="AQ235" s="624"/>
      <c r="AR235" s="486"/>
      <c r="AS235" s="436">
        <f t="shared" si="128"/>
        <v>866</v>
      </c>
      <c r="AT235" s="621">
        <f t="shared" si="130"/>
        <v>94</v>
      </c>
      <c r="AU235" s="628"/>
      <c r="AV235" s="486"/>
      <c r="AW235" s="486"/>
      <c r="AX235" s="514"/>
      <c r="AY235" s="181"/>
      <c r="AZ235" s="181"/>
      <c r="BA235" s="181"/>
      <c r="BB235" s="181"/>
      <c r="BC235" s="181">
        <f t="shared" si="149"/>
        <v>60</v>
      </c>
      <c r="BD235" s="181"/>
      <c r="BE235" s="181"/>
      <c r="BF235" s="181"/>
      <c r="BG235" s="181"/>
      <c r="BH235" s="181"/>
      <c r="BI235" s="181"/>
      <c r="BJ235" s="181"/>
      <c r="BK235" s="181"/>
      <c r="BL235" s="181"/>
      <c r="BM235" s="181"/>
      <c r="BN235" s="181"/>
      <c r="BQ235" s="3">
        <f t="shared" si="129"/>
        <v>703304</v>
      </c>
    </row>
    <row r="236" s="403" customFormat="1" ht="36" customHeight="1" spans="1:66">
      <c r="A236" s="638">
        <v>46028</v>
      </c>
      <c r="B236" s="639" t="s">
        <v>660</v>
      </c>
      <c r="C236" s="644" t="s">
        <v>373</v>
      </c>
      <c r="D236" s="641">
        <v>4500190678</v>
      </c>
      <c r="E236" s="223"/>
      <c r="F236" s="641" t="s">
        <v>5850</v>
      </c>
      <c r="G236" s="642" t="s">
        <v>5066</v>
      </c>
      <c r="H236" s="726" t="s">
        <v>5048</v>
      </c>
      <c r="I236" s="677">
        <v>728</v>
      </c>
      <c r="J236" s="740">
        <v>0</v>
      </c>
      <c r="K236" s="642">
        <v>13</v>
      </c>
      <c r="L236" s="681">
        <f t="shared" si="123"/>
        <v>56</v>
      </c>
      <c r="M236" s="654">
        <v>46080</v>
      </c>
      <c r="N236" s="654">
        <v>46076</v>
      </c>
      <c r="O236" s="655"/>
      <c r="P236" s="655"/>
      <c r="Q236" s="655"/>
      <c r="R236" s="655"/>
      <c r="S236" s="655"/>
      <c r="T236" s="660"/>
      <c r="U236" s="655"/>
      <c r="V236" s="655"/>
      <c r="W236" s="655"/>
      <c r="X236" s="223" t="s">
        <v>5851</v>
      </c>
      <c r="Y236" s="655" t="s">
        <v>5174</v>
      </c>
      <c r="Z236" s="748">
        <v>1.4027</v>
      </c>
      <c r="AA236" s="753">
        <f t="shared" si="146"/>
        <v>1021.1656</v>
      </c>
      <c r="AB236" s="677"/>
      <c r="AC236" s="642"/>
      <c r="AD236" s="804"/>
      <c r="AE236" s="669"/>
      <c r="AF236" s="642"/>
      <c r="AG236" s="642"/>
      <c r="AH236" s="642"/>
      <c r="AI236" s="672"/>
      <c r="AJ236" s="759">
        <f t="shared" si="137"/>
        <v>728</v>
      </c>
      <c r="AK236" s="759"/>
      <c r="AL236" s="675"/>
      <c r="AM236" s="677"/>
      <c r="AN236" s="677"/>
      <c r="AO236" s="676"/>
      <c r="AP236" s="681"/>
      <c r="AQ236" s="815"/>
      <c r="AR236" s="676"/>
      <c r="AS236" s="681"/>
      <c r="AT236" s="683"/>
      <c r="AU236" s="684"/>
      <c r="AV236" s="676"/>
      <c r="AW236" s="676"/>
      <c r="AX236" s="690"/>
      <c r="AY236" s="689"/>
      <c r="AZ236" s="689"/>
      <c r="BA236" s="689"/>
      <c r="BB236" s="689"/>
      <c r="BC236" s="689"/>
      <c r="BD236" s="689"/>
      <c r="BE236" s="689"/>
      <c r="BF236" s="689"/>
      <c r="BG236" s="689"/>
      <c r="BH236" s="689"/>
      <c r="BI236" s="689"/>
      <c r="BJ236" s="689"/>
      <c r="BK236" s="689"/>
      <c r="BL236" s="689"/>
      <c r="BM236" s="689"/>
      <c r="BN236" s="689"/>
    </row>
    <row r="237" s="403" customFormat="1" ht="36" customHeight="1" spans="1:66">
      <c r="A237" s="638">
        <v>46028</v>
      </c>
      <c r="B237" s="639" t="s">
        <v>660</v>
      </c>
      <c r="C237" s="644" t="s">
        <v>373</v>
      </c>
      <c r="D237" s="641">
        <v>4500190678</v>
      </c>
      <c r="E237" s="223"/>
      <c r="F237" s="641" t="s">
        <v>5852</v>
      </c>
      <c r="G237" s="642" t="s">
        <v>5171</v>
      </c>
      <c r="H237" s="726" t="s">
        <v>5055</v>
      </c>
      <c r="I237" s="677">
        <v>1200</v>
      </c>
      <c r="J237" s="740">
        <v>0</v>
      </c>
      <c r="K237" s="642">
        <v>30</v>
      </c>
      <c r="L237" s="681">
        <f t="shared" si="123"/>
        <v>40</v>
      </c>
      <c r="M237" s="654">
        <v>46080</v>
      </c>
      <c r="N237" s="654">
        <v>46076</v>
      </c>
      <c r="O237" s="655"/>
      <c r="P237" s="655"/>
      <c r="Q237" s="655"/>
      <c r="R237" s="744"/>
      <c r="S237" s="660"/>
      <c r="T237" s="660"/>
      <c r="U237" s="655"/>
      <c r="V237" s="655"/>
      <c r="W237" s="655"/>
      <c r="X237" s="223" t="s">
        <v>5853</v>
      </c>
      <c r="Y237" s="655" t="s">
        <v>5174</v>
      </c>
      <c r="Z237" s="748">
        <v>57.6081</v>
      </c>
      <c r="AA237" s="753">
        <f>Z237*L237</f>
        <v>2304.324</v>
      </c>
      <c r="AB237" s="677"/>
      <c r="AC237" s="642"/>
      <c r="AD237" s="669"/>
      <c r="AE237" s="669"/>
      <c r="AF237" s="642"/>
      <c r="AG237" s="642"/>
      <c r="AH237" s="642"/>
      <c r="AI237" s="672"/>
      <c r="AJ237" s="759">
        <f t="shared" si="137"/>
        <v>1200</v>
      </c>
      <c r="AK237" s="811"/>
      <c r="AL237" s="684"/>
      <c r="AM237" s="676"/>
      <c r="AN237" s="677"/>
      <c r="AO237" s="677"/>
      <c r="AP237" s="681"/>
      <c r="AQ237" s="681"/>
      <c r="AR237" s="675"/>
      <c r="AS237" s="681"/>
      <c r="AT237" s="683"/>
      <c r="AU237" s="675"/>
      <c r="AV237" s="676"/>
      <c r="AW237" s="676"/>
      <c r="AX237" s="690"/>
      <c r="AY237" s="689"/>
      <c r="AZ237" s="689"/>
      <c r="BA237" s="689"/>
      <c r="BB237" s="689"/>
      <c r="BC237" s="689"/>
      <c r="BD237" s="689"/>
      <c r="BE237" s="689"/>
      <c r="BF237" s="689"/>
      <c r="BG237" s="689"/>
      <c r="BH237" s="689"/>
      <c r="BI237" s="689"/>
      <c r="BJ237" s="689"/>
      <c r="BK237" s="689"/>
      <c r="BL237" s="689"/>
      <c r="BM237" s="689"/>
      <c r="BN237" s="689"/>
    </row>
    <row r="238" s="3" customFormat="1" ht="36" customHeight="1" spans="1:69">
      <c r="A238" s="74">
        <v>45980</v>
      </c>
      <c r="B238" s="75" t="s">
        <v>1357</v>
      </c>
      <c r="C238" s="76" t="s">
        <v>286</v>
      </c>
      <c r="D238" s="77">
        <v>4500186204</v>
      </c>
      <c r="E238" s="114"/>
      <c r="F238" s="77" t="s">
        <v>5854</v>
      </c>
      <c r="G238" s="23" t="s">
        <v>4974</v>
      </c>
      <c r="H238" s="24" t="s">
        <v>5205</v>
      </c>
      <c r="I238" s="88">
        <v>1000</v>
      </c>
      <c r="J238" s="89">
        <v>0</v>
      </c>
      <c r="K238" s="23">
        <v>50</v>
      </c>
      <c r="L238" s="436">
        <f t="shared" si="123"/>
        <v>20</v>
      </c>
      <c r="M238" s="90">
        <v>46082</v>
      </c>
      <c r="N238" s="574">
        <v>46079</v>
      </c>
      <c r="O238" s="91" t="s">
        <v>5855</v>
      </c>
      <c r="P238" s="87" t="s">
        <v>5856</v>
      </c>
      <c r="Q238" s="91"/>
      <c r="R238" s="452" t="s">
        <v>5857</v>
      </c>
      <c r="S238" s="453" t="s">
        <v>123</v>
      </c>
      <c r="T238" s="91" t="s">
        <v>5858</v>
      </c>
      <c r="U238" s="91"/>
      <c r="V238" s="91"/>
      <c r="W238" s="91"/>
      <c r="X238" s="114" t="s">
        <v>5859</v>
      </c>
      <c r="Y238" s="139" t="s">
        <v>3879</v>
      </c>
      <c r="Z238" s="116">
        <v>1.55</v>
      </c>
      <c r="AA238" s="117">
        <f t="shared" ref="AA238:AA244" si="150">Z238*I238</f>
        <v>1550</v>
      </c>
      <c r="AB238" s="469" t="s">
        <v>3582</v>
      </c>
      <c r="AC238" s="23" t="s">
        <v>5391</v>
      </c>
      <c r="AD238" s="467" t="s">
        <v>128</v>
      </c>
      <c r="AE238" s="467"/>
      <c r="AF238" s="23"/>
      <c r="AG238" s="483">
        <f>AF238-I238</f>
        <v>-1000</v>
      </c>
      <c r="AH238" s="23"/>
      <c r="AI238" s="470"/>
      <c r="AJ238" s="155">
        <f t="shared" si="137"/>
        <v>1000</v>
      </c>
      <c r="AK238" s="155"/>
      <c r="AL238" s="175"/>
      <c r="AM238" s="88">
        <f>I238</f>
        <v>1000</v>
      </c>
      <c r="AN238" s="88"/>
      <c r="AO238" s="88"/>
      <c r="AP238" s="436">
        <f>I238</f>
        <v>1000</v>
      </c>
      <c r="AQ238" s="436"/>
      <c r="AR238" s="88"/>
      <c r="AS238" s="436">
        <f>AP238-AT238</f>
        <v>902.083333333333</v>
      </c>
      <c r="AT238" s="621">
        <f>I238*(1-(1/48))/10</f>
        <v>97.9166666666667</v>
      </c>
      <c r="AU238" s="175"/>
      <c r="AV238" s="175"/>
      <c r="AW238" s="175"/>
      <c r="AX238" s="181"/>
      <c r="AY238" s="181"/>
      <c r="AZ238" s="181"/>
      <c r="BA238" s="181"/>
      <c r="BB238" s="181">
        <f>I238/25</f>
        <v>40</v>
      </c>
      <c r="BC238" s="181"/>
      <c r="BD238" s="181"/>
      <c r="BE238" s="181"/>
      <c r="BF238" s="181"/>
      <c r="BG238" s="181"/>
      <c r="BH238" s="181"/>
      <c r="BI238" s="181"/>
      <c r="BJ238" s="181"/>
      <c r="BK238" s="181"/>
      <c r="BL238" s="181"/>
      <c r="BM238" s="181"/>
      <c r="BN238" s="181"/>
      <c r="BQ238" s="3">
        <f>AJ238+BQ235</f>
        <v>704304</v>
      </c>
    </row>
    <row r="239" s="403" customFormat="1" ht="36" customHeight="1" spans="1:66">
      <c r="A239" s="638">
        <v>46026</v>
      </c>
      <c r="B239" s="639" t="s">
        <v>5141</v>
      </c>
      <c r="C239" s="644" t="s">
        <v>117</v>
      </c>
      <c r="D239" s="641">
        <v>4500190546</v>
      </c>
      <c r="E239" s="223" t="s">
        <v>5860</v>
      </c>
      <c r="F239" s="641" t="s">
        <v>5861</v>
      </c>
      <c r="G239" s="642" t="s">
        <v>4970</v>
      </c>
      <c r="H239" s="726" t="s">
        <v>5144</v>
      </c>
      <c r="I239" s="792">
        <v>3016</v>
      </c>
      <c r="J239" s="740">
        <v>0</v>
      </c>
      <c r="K239" s="642">
        <v>52</v>
      </c>
      <c r="L239" s="681">
        <f t="shared" si="123"/>
        <v>58</v>
      </c>
      <c r="M239" s="654">
        <v>46087</v>
      </c>
      <c r="N239" s="654">
        <v>46083</v>
      </c>
      <c r="O239" s="655"/>
      <c r="P239" s="655"/>
      <c r="Q239" s="655"/>
      <c r="R239" s="744"/>
      <c r="S239" s="660"/>
      <c r="T239" s="655"/>
      <c r="U239" s="655"/>
      <c r="V239" s="655"/>
      <c r="W239" s="655"/>
      <c r="X239" s="223" t="s">
        <v>5862</v>
      </c>
      <c r="Y239" s="665" t="s">
        <v>283</v>
      </c>
      <c r="Z239" s="748">
        <v>0.8479</v>
      </c>
      <c r="AA239" s="753">
        <f t="shared" si="150"/>
        <v>2557.2664</v>
      </c>
      <c r="AB239" s="677"/>
      <c r="AC239" s="642"/>
      <c r="AD239" s="669"/>
      <c r="AE239" s="669"/>
      <c r="AF239" s="642"/>
      <c r="AG239" s="642"/>
      <c r="AH239" s="642"/>
      <c r="AI239" s="672"/>
      <c r="AJ239" s="759">
        <f t="shared" si="137"/>
        <v>3016</v>
      </c>
      <c r="AK239" s="759"/>
      <c r="AL239" s="675"/>
      <c r="AM239" s="677"/>
      <c r="AN239" s="677"/>
      <c r="AO239" s="677"/>
      <c r="AP239" s="816"/>
      <c r="AQ239" s="682"/>
      <c r="AS239" s="681"/>
      <c r="AT239" s="817"/>
      <c r="AU239" s="675"/>
      <c r="AV239" s="684"/>
      <c r="AW239" s="684"/>
      <c r="AX239" s="690"/>
      <c r="AY239" s="689"/>
      <c r="AZ239" s="689"/>
      <c r="BA239" s="689"/>
      <c r="BB239" s="689"/>
      <c r="BC239" s="689"/>
      <c r="BD239" s="689"/>
      <c r="BE239" s="689"/>
      <c r="BF239" s="689"/>
      <c r="BG239" s="689"/>
      <c r="BH239" s="689"/>
      <c r="BI239" s="689"/>
      <c r="BJ239" s="689"/>
      <c r="BK239" s="689"/>
      <c r="BL239" s="689"/>
      <c r="BM239" s="689"/>
      <c r="BN239" s="689"/>
    </row>
    <row r="240" s="3" customFormat="1" ht="36" customHeight="1" spans="1:69">
      <c r="A240" s="18">
        <v>46000</v>
      </c>
      <c r="B240" s="75" t="s">
        <v>5216</v>
      </c>
      <c r="C240" s="76" t="s">
        <v>213</v>
      </c>
      <c r="D240" s="21">
        <v>4500187028</v>
      </c>
      <c r="E240" s="114" t="s">
        <v>5863</v>
      </c>
      <c r="F240" s="21" t="s">
        <v>5864</v>
      </c>
      <c r="G240" s="23" t="s">
        <v>5219</v>
      </c>
      <c r="H240" s="24" t="s">
        <v>5220</v>
      </c>
      <c r="I240" s="88">
        <v>500</v>
      </c>
      <c r="J240" s="89">
        <v>25</v>
      </c>
      <c r="K240" s="23">
        <v>50</v>
      </c>
      <c r="L240" s="436">
        <f t="shared" si="123"/>
        <v>10</v>
      </c>
      <c r="M240" s="90">
        <v>46090</v>
      </c>
      <c r="N240" s="90">
        <v>46086</v>
      </c>
      <c r="O240" s="91"/>
      <c r="P240" s="91"/>
      <c r="Q240" s="91"/>
      <c r="R240" s="452">
        <v>46000</v>
      </c>
      <c r="S240" s="453" t="s">
        <v>77</v>
      </c>
      <c r="T240" s="91" t="s">
        <v>77</v>
      </c>
      <c r="U240" s="91"/>
      <c r="V240" s="91"/>
      <c r="W240" s="91"/>
      <c r="X240" s="114" t="s">
        <v>5865</v>
      </c>
      <c r="Y240" s="139" t="s">
        <v>695</v>
      </c>
      <c r="Z240" s="116">
        <v>1.4836</v>
      </c>
      <c r="AA240" s="117">
        <f t="shared" si="150"/>
        <v>741.8</v>
      </c>
      <c r="AB240" s="469" t="s">
        <v>3582</v>
      </c>
      <c r="AC240" s="23" t="s">
        <v>5219</v>
      </c>
      <c r="AD240" s="467" t="s">
        <v>128</v>
      </c>
      <c r="AE240" s="467"/>
      <c r="AF240" s="23"/>
      <c r="AG240" s="483">
        <f>AF240-I240</f>
        <v>-500</v>
      </c>
      <c r="AH240" s="23"/>
      <c r="AI240" s="470"/>
      <c r="AJ240" s="155">
        <f t="shared" si="137"/>
        <v>500</v>
      </c>
      <c r="AK240" s="155"/>
      <c r="AL240" s="175">
        <f>I240</f>
        <v>500</v>
      </c>
      <c r="AM240" s="88"/>
      <c r="AN240" s="88"/>
      <c r="AO240" s="88"/>
      <c r="AP240" s="485">
        <f>I240</f>
        <v>500</v>
      </c>
      <c r="AQ240" s="408"/>
      <c r="AS240" s="175">
        <f>AP240</f>
        <v>500</v>
      </c>
      <c r="AT240" s="629"/>
      <c r="AU240" s="175">
        <f>I240</f>
        <v>500</v>
      </c>
      <c r="AV240" s="628"/>
      <c r="AW240" s="628"/>
      <c r="AX240" s="514"/>
      <c r="AY240" s="181"/>
      <c r="AZ240" s="181"/>
      <c r="BA240" s="181">
        <f>I240/25</f>
        <v>20</v>
      </c>
      <c r="BB240" s="181"/>
      <c r="BC240" s="181"/>
      <c r="BD240" s="181"/>
      <c r="BE240" s="181"/>
      <c r="BF240" s="181"/>
      <c r="BG240" s="181"/>
      <c r="BH240" s="181"/>
      <c r="BI240" s="181"/>
      <c r="BJ240" s="181"/>
      <c r="BK240" s="181"/>
      <c r="BL240" s="181"/>
      <c r="BM240" s="181"/>
      <c r="BN240" s="181"/>
      <c r="BQ240" s="3">
        <f>AJ240+BQ238</f>
        <v>704804</v>
      </c>
    </row>
    <row r="241" s="3" customFormat="1" ht="36" customHeight="1" spans="1:69">
      <c r="A241" s="18">
        <v>46017</v>
      </c>
      <c r="B241" s="75" t="s">
        <v>5866</v>
      </c>
      <c r="C241" s="76" t="s">
        <v>934</v>
      </c>
      <c r="D241" s="21">
        <v>4500190102</v>
      </c>
      <c r="E241" s="114">
        <v>5000002099</v>
      </c>
      <c r="F241" s="21" t="s">
        <v>5867</v>
      </c>
      <c r="G241" s="23" t="s">
        <v>5868</v>
      </c>
      <c r="H241" s="24" t="s">
        <v>5869</v>
      </c>
      <c r="I241" s="88">
        <v>13000</v>
      </c>
      <c r="J241" s="89">
        <v>0</v>
      </c>
      <c r="K241" s="23">
        <v>13</v>
      </c>
      <c r="L241" s="436">
        <f t="shared" si="123"/>
        <v>1000</v>
      </c>
      <c r="M241" s="90">
        <v>46104</v>
      </c>
      <c r="N241" s="90">
        <v>46100</v>
      </c>
      <c r="O241" s="91"/>
      <c r="P241" s="91"/>
      <c r="Q241" s="91"/>
      <c r="R241" s="452">
        <v>46386</v>
      </c>
      <c r="S241" s="453" t="s">
        <v>77</v>
      </c>
      <c r="T241" s="453" t="s">
        <v>5870</v>
      </c>
      <c r="U241" s="87" t="s">
        <v>5871</v>
      </c>
      <c r="V241" s="91"/>
      <c r="W241" s="91"/>
      <c r="X241" s="114" t="s">
        <v>5872</v>
      </c>
      <c r="Y241" s="139" t="s">
        <v>5873</v>
      </c>
      <c r="Z241" s="116">
        <v>1.5</v>
      </c>
      <c r="AA241" s="117">
        <f t="shared" si="150"/>
        <v>19500</v>
      </c>
      <c r="AB241" s="469" t="s">
        <v>3582</v>
      </c>
      <c r="AC241" s="23" t="s">
        <v>5868</v>
      </c>
      <c r="AD241" s="467" t="s">
        <v>128</v>
      </c>
      <c r="AE241" s="467"/>
      <c r="AF241" s="23"/>
      <c r="AG241" s="483">
        <f>AF241-I241</f>
        <v>-13000</v>
      </c>
      <c r="AH241" s="23"/>
      <c r="AI241" s="470"/>
      <c r="AJ241" s="155">
        <f t="shared" si="137"/>
        <v>13000</v>
      </c>
      <c r="AK241" s="155">
        <f t="shared" ref="AK241:AK244" si="151">AJ241</f>
        <v>13000</v>
      </c>
      <c r="AL241" s="175"/>
      <c r="AM241" s="88"/>
      <c r="AN241" s="88"/>
      <c r="AO241" s="486">
        <f t="shared" ref="AO241:AO244" si="152">I241</f>
        <v>13000</v>
      </c>
      <c r="AP241" s="175"/>
      <c r="AQ241" s="175">
        <f t="shared" ref="AQ241:AQ244" si="153">I241</f>
        <v>13000</v>
      </c>
      <c r="AR241" s="88"/>
      <c r="AS241" s="628"/>
      <c r="AT241" s="629"/>
      <c r="AU241" s="628"/>
      <c r="AV241" s="628"/>
      <c r="AW241" s="628"/>
      <c r="AX241" s="514"/>
      <c r="AY241" s="181"/>
      <c r="AZ241" s="181">
        <f t="shared" ref="AZ241:AZ244" si="154">I241/13</f>
        <v>1000</v>
      </c>
      <c r="BA241" s="181"/>
      <c r="BB241" s="181"/>
      <c r="BC241" s="181"/>
      <c r="BD241" s="181"/>
      <c r="BE241" s="181"/>
      <c r="BF241" s="181"/>
      <c r="BG241" s="181"/>
      <c r="BH241" s="181"/>
      <c r="BI241" s="181"/>
      <c r="BJ241" s="181"/>
      <c r="BK241" s="181"/>
      <c r="BL241" s="181"/>
      <c r="BM241" s="181"/>
      <c r="BN241" s="181"/>
      <c r="BQ241" s="3">
        <f>AJ241+BQ240</f>
        <v>717804</v>
      </c>
    </row>
    <row r="242" s="3" customFormat="1" ht="36" customHeight="1" spans="1:69">
      <c r="A242" s="18">
        <v>46017</v>
      </c>
      <c r="B242" s="75" t="s">
        <v>5866</v>
      </c>
      <c r="C242" s="76" t="s">
        <v>934</v>
      </c>
      <c r="D242" s="21">
        <v>4500190102</v>
      </c>
      <c r="E242" s="114">
        <v>5000002099</v>
      </c>
      <c r="F242" s="21" t="s">
        <v>5874</v>
      </c>
      <c r="G242" s="23" t="s">
        <v>5868</v>
      </c>
      <c r="H242" s="24" t="s">
        <v>5869</v>
      </c>
      <c r="I242" s="88">
        <v>4004</v>
      </c>
      <c r="J242" s="89">
        <v>0</v>
      </c>
      <c r="K242" s="23">
        <v>13</v>
      </c>
      <c r="L242" s="436">
        <f t="shared" si="123"/>
        <v>308</v>
      </c>
      <c r="M242" s="90">
        <v>46104</v>
      </c>
      <c r="N242" s="90">
        <v>46100</v>
      </c>
      <c r="O242" s="91"/>
      <c r="P242" s="91"/>
      <c r="Q242" s="91"/>
      <c r="R242" s="452">
        <v>46386</v>
      </c>
      <c r="S242" s="453" t="s">
        <v>77</v>
      </c>
      <c r="T242" s="453" t="s">
        <v>5870</v>
      </c>
      <c r="U242" s="87" t="s">
        <v>5871</v>
      </c>
      <c r="V242" s="91"/>
      <c r="W242" s="91"/>
      <c r="X242" s="114" t="s">
        <v>5872</v>
      </c>
      <c r="Y242" s="139" t="s">
        <v>5873</v>
      </c>
      <c r="Z242" s="116">
        <v>1.5</v>
      </c>
      <c r="AA242" s="117">
        <f t="shared" si="150"/>
        <v>6006</v>
      </c>
      <c r="AB242" s="469" t="s">
        <v>3582</v>
      </c>
      <c r="AC242" s="23" t="s">
        <v>5868</v>
      </c>
      <c r="AD242" s="467" t="s">
        <v>128</v>
      </c>
      <c r="AE242" s="467"/>
      <c r="AF242" s="23"/>
      <c r="AG242" s="483">
        <f>AF242-I242</f>
        <v>-4004</v>
      </c>
      <c r="AH242" s="23"/>
      <c r="AI242" s="470"/>
      <c r="AJ242" s="155">
        <f t="shared" si="137"/>
        <v>4004</v>
      </c>
      <c r="AK242" s="155">
        <f t="shared" si="151"/>
        <v>4004</v>
      </c>
      <c r="AL242" s="175"/>
      <c r="AM242" s="88"/>
      <c r="AN242" s="88"/>
      <c r="AO242" s="486">
        <f t="shared" si="152"/>
        <v>4004</v>
      </c>
      <c r="AP242" s="175"/>
      <c r="AQ242" s="175">
        <f t="shared" si="153"/>
        <v>4004</v>
      </c>
      <c r="AR242" s="88"/>
      <c r="AS242" s="628"/>
      <c r="AT242" s="629"/>
      <c r="AU242" s="628"/>
      <c r="AV242" s="628"/>
      <c r="AW242" s="628"/>
      <c r="AX242" s="514"/>
      <c r="AY242" s="181"/>
      <c r="AZ242" s="181">
        <f t="shared" si="154"/>
        <v>308</v>
      </c>
      <c r="BA242" s="181"/>
      <c r="BB242" s="181"/>
      <c r="BC242" s="181"/>
      <c r="BD242" s="181"/>
      <c r="BE242" s="181"/>
      <c r="BF242" s="181"/>
      <c r="BG242" s="181"/>
      <c r="BH242" s="181"/>
      <c r="BI242" s="181"/>
      <c r="BJ242" s="181"/>
      <c r="BK242" s="181"/>
      <c r="BL242" s="181"/>
      <c r="BM242" s="181"/>
      <c r="BN242" s="181"/>
      <c r="BQ242" s="3">
        <f t="shared" ref="BQ242:BQ246" si="155">AJ242+BQ241</f>
        <v>721808</v>
      </c>
    </row>
    <row r="243" s="3" customFormat="1" ht="36" customHeight="1" spans="1:69">
      <c r="A243" s="18">
        <v>46017</v>
      </c>
      <c r="B243" s="75" t="s">
        <v>5866</v>
      </c>
      <c r="C243" s="76" t="s">
        <v>934</v>
      </c>
      <c r="D243" s="21">
        <v>4500190102</v>
      </c>
      <c r="E243" s="114">
        <v>5000002099</v>
      </c>
      <c r="F243" s="21" t="s">
        <v>5875</v>
      </c>
      <c r="G243" s="23" t="s">
        <v>5868</v>
      </c>
      <c r="H243" s="24" t="s">
        <v>5869</v>
      </c>
      <c r="I243" s="88">
        <v>455</v>
      </c>
      <c r="J243" s="89">
        <v>0</v>
      </c>
      <c r="K243" s="23">
        <v>13</v>
      </c>
      <c r="L243" s="436">
        <f t="shared" si="123"/>
        <v>35</v>
      </c>
      <c r="M243" s="90">
        <v>46104</v>
      </c>
      <c r="N243" s="90">
        <v>46100</v>
      </c>
      <c r="O243" s="91"/>
      <c r="P243" s="91"/>
      <c r="Q243" s="91"/>
      <c r="R243" s="452">
        <v>46386</v>
      </c>
      <c r="S243" s="453" t="s">
        <v>77</v>
      </c>
      <c r="T243" s="453" t="s">
        <v>5870</v>
      </c>
      <c r="U243" s="87" t="s">
        <v>5871</v>
      </c>
      <c r="V243" s="91"/>
      <c r="W243" s="91"/>
      <c r="X243" s="114" t="s">
        <v>5872</v>
      </c>
      <c r="Y243" s="139" t="s">
        <v>5873</v>
      </c>
      <c r="Z243" s="116">
        <v>1.5</v>
      </c>
      <c r="AA243" s="117">
        <f t="shared" si="150"/>
        <v>682.5</v>
      </c>
      <c r="AB243" s="469" t="s">
        <v>3582</v>
      </c>
      <c r="AC243" s="23" t="s">
        <v>5868</v>
      </c>
      <c r="AD243" s="467" t="s">
        <v>128</v>
      </c>
      <c r="AE243" s="467"/>
      <c r="AF243" s="23"/>
      <c r="AG243" s="483">
        <f>AF243-I243</f>
        <v>-455</v>
      </c>
      <c r="AH243" s="23"/>
      <c r="AI243" s="470"/>
      <c r="AJ243" s="155">
        <f t="shared" si="137"/>
        <v>455</v>
      </c>
      <c r="AK243" s="155">
        <f t="shared" si="151"/>
        <v>455</v>
      </c>
      <c r="AL243" s="175"/>
      <c r="AM243" s="88"/>
      <c r="AN243" s="88"/>
      <c r="AO243" s="486">
        <f t="shared" si="152"/>
        <v>455</v>
      </c>
      <c r="AP243" s="628"/>
      <c r="AQ243" s="175">
        <f t="shared" si="153"/>
        <v>455</v>
      </c>
      <c r="AR243" s="486"/>
      <c r="AS243" s="628"/>
      <c r="AT243" s="629"/>
      <c r="AU243" s="628"/>
      <c r="AV243" s="628"/>
      <c r="AW243" s="628"/>
      <c r="AX243" s="514"/>
      <c r="AY243" s="181"/>
      <c r="AZ243" s="181">
        <f t="shared" si="154"/>
        <v>35</v>
      </c>
      <c r="BA243" s="181"/>
      <c r="BB243" s="181"/>
      <c r="BC243" s="181"/>
      <c r="BD243" s="181"/>
      <c r="BE243" s="181"/>
      <c r="BF243" s="181"/>
      <c r="BG243" s="181"/>
      <c r="BH243" s="181"/>
      <c r="BI243" s="181"/>
      <c r="BJ243" s="181"/>
      <c r="BK243" s="181"/>
      <c r="BL243" s="181"/>
      <c r="BM243" s="181"/>
      <c r="BN243" s="181"/>
      <c r="BQ243" s="3">
        <f t="shared" si="155"/>
        <v>722263</v>
      </c>
    </row>
    <row r="244" s="3" customFormat="1" ht="36" customHeight="1" spans="1:69">
      <c r="A244" s="18">
        <v>46017</v>
      </c>
      <c r="B244" s="75" t="s">
        <v>5866</v>
      </c>
      <c r="C244" s="76" t="s">
        <v>934</v>
      </c>
      <c r="D244" s="21">
        <v>4500190102</v>
      </c>
      <c r="E244" s="114">
        <v>5000002099</v>
      </c>
      <c r="F244" s="21" t="s">
        <v>5876</v>
      </c>
      <c r="G244" s="23" t="s">
        <v>5868</v>
      </c>
      <c r="H244" s="24" t="s">
        <v>5869</v>
      </c>
      <c r="I244" s="575">
        <v>3900</v>
      </c>
      <c r="J244" s="89">
        <v>0</v>
      </c>
      <c r="K244" s="23">
        <v>13</v>
      </c>
      <c r="L244" s="436">
        <f t="shared" si="123"/>
        <v>300</v>
      </c>
      <c r="M244" s="90">
        <v>46104</v>
      </c>
      <c r="N244" s="90">
        <v>46100</v>
      </c>
      <c r="O244" s="91"/>
      <c r="P244" s="91"/>
      <c r="Q244" s="91"/>
      <c r="R244" s="452">
        <v>46386</v>
      </c>
      <c r="S244" s="453" t="s">
        <v>77</v>
      </c>
      <c r="T244" s="453" t="s">
        <v>5870</v>
      </c>
      <c r="U244" s="87" t="s">
        <v>5871</v>
      </c>
      <c r="V244" s="91"/>
      <c r="W244" s="91"/>
      <c r="X244" s="114" t="s">
        <v>5872</v>
      </c>
      <c r="Y244" s="139" t="s">
        <v>5873</v>
      </c>
      <c r="Z244" s="116">
        <v>1.5</v>
      </c>
      <c r="AA244" s="117">
        <f t="shared" si="150"/>
        <v>5850</v>
      </c>
      <c r="AB244" s="469" t="s">
        <v>3582</v>
      </c>
      <c r="AC244" s="23" t="s">
        <v>5868</v>
      </c>
      <c r="AD244" s="467" t="s">
        <v>128</v>
      </c>
      <c r="AE244" s="467"/>
      <c r="AF244" s="23"/>
      <c r="AG244" s="483">
        <f>AF244-I244</f>
        <v>-3900</v>
      </c>
      <c r="AH244" s="23"/>
      <c r="AI244" s="470"/>
      <c r="AJ244" s="155">
        <f t="shared" si="137"/>
        <v>3900</v>
      </c>
      <c r="AK244" s="155">
        <f t="shared" si="151"/>
        <v>3900</v>
      </c>
      <c r="AL244" s="175"/>
      <c r="AM244" s="88"/>
      <c r="AN244" s="88"/>
      <c r="AO244" s="486">
        <f t="shared" si="152"/>
        <v>3900</v>
      </c>
      <c r="AP244" s="628"/>
      <c r="AQ244" s="175">
        <f t="shared" si="153"/>
        <v>3900</v>
      </c>
      <c r="AR244" s="486"/>
      <c r="AS244" s="628"/>
      <c r="AT244" s="629"/>
      <c r="AU244" s="628"/>
      <c r="AV244" s="628"/>
      <c r="AW244" s="628"/>
      <c r="AX244" s="514"/>
      <c r="AY244" s="181"/>
      <c r="AZ244" s="181">
        <f t="shared" si="154"/>
        <v>300</v>
      </c>
      <c r="BA244" s="181"/>
      <c r="BB244" s="181"/>
      <c r="BC244" s="181"/>
      <c r="BD244" s="181"/>
      <c r="BE244" s="181"/>
      <c r="BF244" s="181"/>
      <c r="BG244" s="181"/>
      <c r="BH244" s="181"/>
      <c r="BI244" s="181"/>
      <c r="BJ244" s="181"/>
      <c r="BK244" s="181"/>
      <c r="BL244" s="181"/>
      <c r="BM244" s="181"/>
      <c r="BN244" s="181"/>
      <c r="BQ244" s="3">
        <f t="shared" si="155"/>
        <v>726163</v>
      </c>
    </row>
    <row r="245" s="3" customFormat="1" ht="36" customHeight="1" spans="1:69">
      <c r="A245" s="645"/>
      <c r="B245" s="75"/>
      <c r="C245" s="76"/>
      <c r="D245" s="21"/>
      <c r="E245" s="646"/>
      <c r="F245" s="21"/>
      <c r="G245" s="23"/>
      <c r="H245" s="24"/>
      <c r="I245" s="88"/>
      <c r="J245" s="89"/>
      <c r="K245" s="23"/>
      <c r="L245" s="88"/>
      <c r="M245" s="90"/>
      <c r="N245" s="90"/>
      <c r="O245" s="91"/>
      <c r="P245" s="91"/>
      <c r="Q245" s="91"/>
      <c r="R245" s="91"/>
      <c r="S245" s="91"/>
      <c r="T245" s="91"/>
      <c r="U245" s="91"/>
      <c r="V245" s="91"/>
      <c r="W245" s="91"/>
      <c r="X245" s="114"/>
      <c r="Y245" s="91"/>
      <c r="Z245" s="116"/>
      <c r="AA245" s="117"/>
      <c r="AB245" s="88"/>
      <c r="AC245" s="470"/>
      <c r="AD245" s="23"/>
      <c r="AE245" s="23"/>
      <c r="AF245" s="472"/>
      <c r="AG245" s="472"/>
      <c r="AH245" s="23"/>
      <c r="AI245" s="470"/>
      <c r="AJ245" s="155"/>
      <c r="AK245" s="618"/>
      <c r="AL245" s="628"/>
      <c r="AM245" s="628"/>
      <c r="AN245" s="628"/>
      <c r="AO245" s="628"/>
      <c r="AP245" s="628"/>
      <c r="AQ245" s="628"/>
      <c r="AR245" s="628"/>
      <c r="AS245" s="628"/>
      <c r="AT245" s="628"/>
      <c r="AU245" s="628"/>
      <c r="AV245" s="628"/>
      <c r="AW245" s="628"/>
      <c r="AX245" s="514"/>
      <c r="AY245" s="181"/>
      <c r="AZ245" s="181"/>
      <c r="BA245" s="181"/>
      <c r="BB245" s="181"/>
      <c r="BC245" s="181"/>
      <c r="BD245" s="181"/>
      <c r="BE245" s="181"/>
      <c r="BF245" s="181"/>
      <c r="BG245" s="181"/>
      <c r="BH245" s="181"/>
      <c r="BI245" s="181"/>
      <c r="BJ245" s="181"/>
      <c r="BK245" s="181"/>
      <c r="BL245" s="181"/>
      <c r="BM245" s="181"/>
      <c r="BN245" s="181"/>
      <c r="BO245" s="200"/>
      <c r="BQ245" s="3">
        <f t="shared" si="155"/>
        <v>726163</v>
      </c>
    </row>
    <row r="246" s="3" customFormat="1" ht="36" customHeight="1" spans="1:69">
      <c r="A246" s="74"/>
      <c r="B246" s="75"/>
      <c r="C246" s="76"/>
      <c r="D246" s="77"/>
      <c r="E246" s="114"/>
      <c r="F246" s="77"/>
      <c r="G246" s="23"/>
      <c r="H246" s="24"/>
      <c r="I246" s="88"/>
      <c r="J246" s="89"/>
      <c r="K246" s="23"/>
      <c r="L246" s="88"/>
      <c r="M246" s="90"/>
      <c r="N246" s="90"/>
      <c r="O246" s="91"/>
      <c r="P246" s="91"/>
      <c r="Q246" s="91"/>
      <c r="R246" s="91"/>
      <c r="S246" s="662"/>
      <c r="T246" s="662"/>
      <c r="U246" s="662"/>
      <c r="V246" s="662"/>
      <c r="W246" s="662"/>
      <c r="X246" s="114"/>
      <c r="Y246" s="91"/>
      <c r="Z246" s="116"/>
      <c r="AA246" s="117"/>
      <c r="AB246" s="88"/>
      <c r="AC246" s="470"/>
      <c r="AD246" s="23"/>
      <c r="AE246" s="23"/>
      <c r="AF246" s="472"/>
      <c r="AG246" s="472"/>
      <c r="AH246" s="23"/>
      <c r="AI246" s="470"/>
      <c r="AJ246" s="155"/>
      <c r="AK246" s="155"/>
      <c r="AL246" s="88"/>
      <c r="AM246" s="88"/>
      <c r="AN246" s="88"/>
      <c r="AO246" s="88"/>
      <c r="AP246" s="175"/>
      <c r="AQ246" s="175"/>
      <c r="AR246" s="175"/>
      <c r="AS246" s="175"/>
      <c r="AT246" s="175"/>
      <c r="AU246" s="175"/>
      <c r="AV246" s="175"/>
      <c r="AW246" s="175"/>
      <c r="AX246" s="181"/>
      <c r="AY246" s="181"/>
      <c r="AZ246" s="181"/>
      <c r="BA246" s="181"/>
      <c r="BB246" s="181"/>
      <c r="BC246" s="181"/>
      <c r="BD246" s="181"/>
      <c r="BE246" s="181"/>
      <c r="BF246" s="181"/>
      <c r="BG246" s="181"/>
      <c r="BH246" s="181"/>
      <c r="BI246" s="181"/>
      <c r="BJ246" s="181"/>
      <c r="BK246" s="181"/>
      <c r="BL246" s="181"/>
      <c r="BM246" s="181"/>
      <c r="BN246" s="181"/>
      <c r="BO246" s="200"/>
      <c r="BQ246" s="200">
        <f t="shared" si="155"/>
        <v>726163</v>
      </c>
    </row>
    <row r="247" s="3" customFormat="1" ht="36" customHeight="1" spans="1:66">
      <c r="A247" s="647"/>
      <c r="B247" s="75"/>
      <c r="C247" s="76"/>
      <c r="D247" s="77"/>
      <c r="E247" s="114"/>
      <c r="F247" s="77"/>
      <c r="G247" s="23"/>
      <c r="H247" s="24"/>
      <c r="I247" s="88"/>
      <c r="J247" s="89"/>
      <c r="K247" s="23"/>
      <c r="L247" s="88"/>
      <c r="M247" s="90"/>
      <c r="N247" s="90"/>
      <c r="O247" s="87"/>
      <c r="P247" s="91"/>
      <c r="Q247" s="91"/>
      <c r="R247" s="91"/>
      <c r="S247" s="663"/>
      <c r="T247" s="663"/>
      <c r="U247" s="663"/>
      <c r="V247" s="663"/>
      <c r="W247" s="663"/>
      <c r="X247" s="114"/>
      <c r="Y247" s="139"/>
      <c r="Z247" s="116"/>
      <c r="AA247" s="117"/>
      <c r="AB247" s="88"/>
      <c r="AC247" s="470"/>
      <c r="AD247" s="23"/>
      <c r="AE247" s="23"/>
      <c r="AF247" s="472"/>
      <c r="AG247" s="472"/>
      <c r="AH247" s="23"/>
      <c r="AI247" s="470"/>
      <c r="AJ247" s="155"/>
      <c r="AK247" s="155"/>
      <c r="AL247" s="175"/>
      <c r="AM247" s="175"/>
      <c r="AN247" s="175"/>
      <c r="AO247" s="175"/>
      <c r="AP247" s="88"/>
      <c r="AQ247" s="88"/>
      <c r="AR247" s="88"/>
      <c r="AS247" s="88"/>
      <c r="AT247" s="88"/>
      <c r="AU247" s="88"/>
      <c r="AV247" s="88"/>
      <c r="AW247" s="88"/>
      <c r="AX247" s="181"/>
      <c r="AY247" s="181"/>
      <c r="AZ247" s="181"/>
      <c r="BA247" s="181"/>
      <c r="BB247" s="181"/>
      <c r="BC247" s="181"/>
      <c r="BD247" s="181"/>
      <c r="BE247" s="181"/>
      <c r="BF247" s="181"/>
      <c r="BG247" s="181"/>
      <c r="BH247" s="181"/>
      <c r="BI247" s="181"/>
      <c r="BJ247" s="181"/>
      <c r="BK247" s="181"/>
      <c r="BL247" s="181"/>
      <c r="BM247" s="181"/>
      <c r="BN247" s="181"/>
    </row>
    <row r="248" s="3" customFormat="1" ht="36" customHeight="1" spans="1:66">
      <c r="A248" s="647"/>
      <c r="B248" s="75"/>
      <c r="C248" s="76"/>
      <c r="D248" s="77"/>
      <c r="E248" s="114"/>
      <c r="F248" s="77"/>
      <c r="G248" s="23"/>
      <c r="H248" s="24"/>
      <c r="I248" s="88"/>
      <c r="J248" s="89"/>
      <c r="K248" s="23"/>
      <c r="L248" s="88"/>
      <c r="M248" s="90"/>
      <c r="N248" s="90"/>
      <c r="O248" s="87"/>
      <c r="P248" s="91"/>
      <c r="Q248" s="91"/>
      <c r="R248" s="91"/>
      <c r="S248" s="663"/>
      <c r="T248" s="663"/>
      <c r="U248" s="663"/>
      <c r="V248" s="663"/>
      <c r="W248" s="663"/>
      <c r="X248" s="114"/>
      <c r="Y248" s="139"/>
      <c r="Z248" s="116"/>
      <c r="AA248" s="117"/>
      <c r="AB248" s="88"/>
      <c r="AC248" s="470"/>
      <c r="AD248" s="23"/>
      <c r="AE248" s="23"/>
      <c r="AF248" s="472"/>
      <c r="AG248" s="472"/>
      <c r="AH248" s="23"/>
      <c r="AI248" s="470"/>
      <c r="AJ248" s="155"/>
      <c r="AK248" s="155"/>
      <c r="AL248" s="175"/>
      <c r="AM248" s="175"/>
      <c r="AN248" s="175"/>
      <c r="AO248" s="175"/>
      <c r="AP248" s="88"/>
      <c r="AQ248" s="88"/>
      <c r="AR248" s="88"/>
      <c r="AS248" s="88"/>
      <c r="AT248" s="88"/>
      <c r="AU248" s="88"/>
      <c r="AV248" s="88"/>
      <c r="AW248" s="88"/>
      <c r="AX248" s="181"/>
      <c r="AY248" s="181"/>
      <c r="AZ248" s="181"/>
      <c r="BA248" s="181"/>
      <c r="BB248" s="181"/>
      <c r="BC248" s="181"/>
      <c r="BD248" s="181"/>
      <c r="BE248" s="181"/>
      <c r="BF248" s="181"/>
      <c r="BG248" s="181"/>
      <c r="BH248" s="181"/>
      <c r="BI248" s="181"/>
      <c r="BJ248" s="181"/>
      <c r="BK248" s="181"/>
      <c r="BL248" s="181"/>
      <c r="BM248" s="181"/>
      <c r="BN248" s="181"/>
    </row>
    <row r="249" s="3" customFormat="1" ht="36" customHeight="1" spans="1:66">
      <c r="A249" s="647"/>
      <c r="B249" s="75"/>
      <c r="C249" s="76"/>
      <c r="D249" s="77"/>
      <c r="E249" s="114"/>
      <c r="F249" s="77"/>
      <c r="G249" s="23"/>
      <c r="H249" s="24"/>
      <c r="I249" s="88"/>
      <c r="J249" s="89"/>
      <c r="K249" s="23"/>
      <c r="L249" s="88"/>
      <c r="M249" s="90"/>
      <c r="N249" s="90"/>
      <c r="O249" s="87"/>
      <c r="P249" s="91"/>
      <c r="Q249" s="91"/>
      <c r="R249" s="91"/>
      <c r="S249" s="663"/>
      <c r="T249" s="663"/>
      <c r="U249" s="663"/>
      <c r="V249" s="663"/>
      <c r="W249" s="663"/>
      <c r="X249" s="114"/>
      <c r="Y249" s="139"/>
      <c r="Z249" s="116"/>
      <c r="AA249" s="117"/>
      <c r="AB249" s="88"/>
      <c r="AC249" s="470"/>
      <c r="AD249" s="23"/>
      <c r="AE249" s="23"/>
      <c r="AF249" s="472"/>
      <c r="AG249" s="472"/>
      <c r="AH249" s="23"/>
      <c r="AI249" s="470"/>
      <c r="AJ249" s="155"/>
      <c r="AK249" s="155"/>
      <c r="AL249" s="175"/>
      <c r="AM249" s="175"/>
      <c r="AN249" s="175"/>
      <c r="AO249" s="175"/>
      <c r="AP249" s="88"/>
      <c r="AQ249" s="88"/>
      <c r="AR249" s="88"/>
      <c r="AS249" s="88"/>
      <c r="AT249" s="88"/>
      <c r="AU249" s="88"/>
      <c r="AV249" s="88"/>
      <c r="AW249" s="88"/>
      <c r="AX249" s="181"/>
      <c r="AY249" s="181"/>
      <c r="AZ249" s="181"/>
      <c r="BA249" s="181"/>
      <c r="BB249" s="181"/>
      <c r="BC249" s="181"/>
      <c r="BD249" s="181"/>
      <c r="BE249" s="181"/>
      <c r="BF249" s="181"/>
      <c r="BG249" s="181"/>
      <c r="BH249" s="181"/>
      <c r="BI249" s="181"/>
      <c r="BJ249" s="181"/>
      <c r="BK249" s="181"/>
      <c r="BL249" s="181"/>
      <c r="BM249" s="181"/>
      <c r="BN249" s="181"/>
    </row>
    <row r="250" s="3" customFormat="1" ht="36" customHeight="1" spans="1:66">
      <c r="A250" s="647"/>
      <c r="B250" s="75"/>
      <c r="C250" s="76"/>
      <c r="D250" s="77"/>
      <c r="E250" s="114"/>
      <c r="F250" s="77"/>
      <c r="G250" s="23"/>
      <c r="H250" s="24"/>
      <c r="I250" s="88"/>
      <c r="J250" s="89"/>
      <c r="K250" s="23"/>
      <c r="L250" s="88"/>
      <c r="M250" s="90"/>
      <c r="N250" s="90"/>
      <c r="O250" s="87"/>
      <c r="P250" s="91"/>
      <c r="Q250" s="91"/>
      <c r="R250" s="91"/>
      <c r="S250" s="663"/>
      <c r="T250" s="663"/>
      <c r="U250" s="663"/>
      <c r="V250" s="663"/>
      <c r="W250" s="663"/>
      <c r="X250" s="114"/>
      <c r="Y250" s="139"/>
      <c r="Z250" s="116"/>
      <c r="AA250" s="117"/>
      <c r="AB250" s="88"/>
      <c r="AC250" s="470"/>
      <c r="AD250" s="23"/>
      <c r="AE250" s="23"/>
      <c r="AF250" s="472"/>
      <c r="AG250" s="472"/>
      <c r="AH250" s="23"/>
      <c r="AI250" s="470"/>
      <c r="AJ250" s="155"/>
      <c r="AK250" s="155"/>
      <c r="AL250" s="175"/>
      <c r="AM250" s="175"/>
      <c r="AN250" s="175"/>
      <c r="AO250" s="175"/>
      <c r="AP250" s="88"/>
      <c r="AQ250" s="88"/>
      <c r="AR250" s="88"/>
      <c r="AS250" s="88"/>
      <c r="AT250" s="88"/>
      <c r="AU250" s="88"/>
      <c r="AV250" s="88"/>
      <c r="AW250" s="88"/>
      <c r="AX250" s="181"/>
      <c r="AY250" s="181"/>
      <c r="AZ250" s="181"/>
      <c r="BA250" s="181"/>
      <c r="BB250" s="181"/>
      <c r="BC250" s="181"/>
      <c r="BD250" s="181"/>
      <c r="BE250" s="181"/>
      <c r="BF250" s="181"/>
      <c r="BG250" s="181"/>
      <c r="BH250" s="181"/>
      <c r="BI250" s="181"/>
      <c r="BJ250" s="181"/>
      <c r="BK250" s="181"/>
      <c r="BL250" s="181"/>
      <c r="BM250" s="181"/>
      <c r="BN250" s="181"/>
    </row>
    <row r="251" s="3" customFormat="1" ht="36" customHeight="1" spans="1:66">
      <c r="A251" s="647"/>
      <c r="B251" s="75"/>
      <c r="C251" s="76"/>
      <c r="D251" s="77"/>
      <c r="E251" s="114"/>
      <c r="F251" s="77"/>
      <c r="G251" s="23"/>
      <c r="H251" s="24"/>
      <c r="I251" s="88"/>
      <c r="J251" s="89"/>
      <c r="K251" s="23"/>
      <c r="L251" s="88"/>
      <c r="M251" s="90"/>
      <c r="N251" s="90"/>
      <c r="O251" s="87"/>
      <c r="P251" s="91"/>
      <c r="Q251" s="91"/>
      <c r="R251" s="91"/>
      <c r="S251" s="663"/>
      <c r="T251" s="663"/>
      <c r="U251" s="663"/>
      <c r="V251" s="663"/>
      <c r="W251" s="663"/>
      <c r="X251" s="114"/>
      <c r="Y251" s="139"/>
      <c r="Z251" s="116"/>
      <c r="AA251" s="117"/>
      <c r="AB251" s="88"/>
      <c r="AC251" s="470"/>
      <c r="AD251" s="23"/>
      <c r="AE251" s="23"/>
      <c r="AF251" s="472"/>
      <c r="AG251" s="472"/>
      <c r="AH251" s="23"/>
      <c r="AI251" s="470"/>
      <c r="AJ251" s="155"/>
      <c r="AK251" s="155"/>
      <c r="AL251" s="175"/>
      <c r="AM251" s="175"/>
      <c r="AN251" s="175"/>
      <c r="AO251" s="175"/>
      <c r="AP251" s="88"/>
      <c r="AQ251" s="88"/>
      <c r="AR251" s="88"/>
      <c r="AS251" s="88"/>
      <c r="AT251" s="88"/>
      <c r="AU251" s="88"/>
      <c r="AV251" s="88"/>
      <c r="AW251" s="88"/>
      <c r="AX251" s="181"/>
      <c r="AY251" s="181"/>
      <c r="AZ251" s="181"/>
      <c r="BA251" s="181"/>
      <c r="BB251" s="181"/>
      <c r="BC251" s="181"/>
      <c r="BD251" s="181"/>
      <c r="BE251" s="181"/>
      <c r="BF251" s="181"/>
      <c r="BG251" s="181"/>
      <c r="BH251" s="181"/>
      <c r="BI251" s="181"/>
      <c r="BJ251" s="181"/>
      <c r="BK251" s="181"/>
      <c r="BL251" s="181"/>
      <c r="BM251" s="181"/>
      <c r="BN251" s="181"/>
    </row>
    <row r="252" s="3" customFormat="1" ht="26.25" customHeight="1" spans="1:66">
      <c r="A252" s="404"/>
      <c r="B252" s="1"/>
      <c r="C252" s="405"/>
      <c r="E252" s="1"/>
      <c r="F252" s="1"/>
      <c r="H252" s="648"/>
      <c r="I252" s="657"/>
      <c r="M252" s="658"/>
      <c r="N252" s="658"/>
      <c r="O252" s="405"/>
      <c r="P252" s="405"/>
      <c r="Q252" s="405"/>
      <c r="R252" s="658"/>
      <c r="S252" s="658"/>
      <c r="T252" s="405"/>
      <c r="U252" s="405"/>
      <c r="V252" s="405"/>
      <c r="W252" s="405"/>
      <c r="X252" s="664"/>
      <c r="Z252" s="670"/>
      <c r="AA252" s="671"/>
      <c r="AB252" s="408"/>
      <c r="AC252" s="408"/>
      <c r="AD252" s="408"/>
      <c r="AE252" s="408"/>
      <c r="AF252" s="409"/>
      <c r="AG252" s="409"/>
      <c r="AH252" s="408"/>
      <c r="AI252" s="408"/>
      <c r="AJ252" s="657"/>
      <c r="AK252" s="657"/>
      <c r="AL252" s="657"/>
      <c r="AM252" s="657"/>
      <c r="AN252" s="657"/>
      <c r="AO252" s="657"/>
      <c r="AP252" s="657"/>
      <c r="AQ252" s="657"/>
      <c r="AR252" s="657"/>
      <c r="AS252" s="657"/>
      <c r="AT252" s="657"/>
      <c r="AU252" s="657"/>
      <c r="AV252" s="657"/>
      <c r="AW252" s="657"/>
      <c r="AX252" s="657"/>
      <c r="AY252" s="657"/>
      <c r="AZ252" s="657"/>
      <c r="BA252" s="657"/>
      <c r="BB252" s="657"/>
      <c r="BC252" s="657"/>
      <c r="BD252" s="657"/>
      <c r="BE252" s="657"/>
      <c r="BF252" s="657"/>
      <c r="BG252" s="657"/>
      <c r="BH252" s="657"/>
      <c r="BI252" s="657"/>
      <c r="BJ252" s="657"/>
      <c r="BK252" s="657"/>
      <c r="BL252" s="657"/>
      <c r="BM252" s="657"/>
      <c r="BN252" s="657"/>
    </row>
    <row r="253" s="3" customFormat="1" ht="26.25" customHeight="1" spans="1:70">
      <c r="A253" s="404"/>
      <c r="B253" s="1"/>
      <c r="C253" s="405"/>
      <c r="E253" s="1"/>
      <c r="F253" s="1"/>
      <c r="G253" s="3" t="s">
        <v>5877</v>
      </c>
      <c r="H253" s="648" t="s">
        <v>3401</v>
      </c>
      <c r="I253" s="657">
        <f>SUM(I4:I251)</f>
        <v>710460</v>
      </c>
      <c r="M253" s="658"/>
      <c r="N253" s="658"/>
      <c r="O253" s="405"/>
      <c r="P253" s="405"/>
      <c r="Q253" s="405"/>
      <c r="R253" s="658"/>
      <c r="S253" s="658"/>
      <c r="T253" s="405"/>
      <c r="U253" s="405"/>
      <c r="V253" s="405"/>
      <c r="W253" s="405"/>
      <c r="X253" s="406"/>
      <c r="Z253" s="670"/>
      <c r="AA253" s="671">
        <f>SUM(AA4:AA251)*7.75</f>
        <v>6549985.38875</v>
      </c>
      <c r="AB253" s="408"/>
      <c r="AC253" s="408"/>
      <c r="AD253" s="408"/>
      <c r="AE253" s="408"/>
      <c r="AF253" s="409"/>
      <c r="AG253" s="409"/>
      <c r="AH253" s="408"/>
      <c r="AI253" s="408"/>
      <c r="AJ253" s="657">
        <f>SUM(AJ4:AJ251)</f>
        <v>731107</v>
      </c>
      <c r="AK253" s="657"/>
      <c r="AL253" s="657">
        <f>SUM(AL4:AL251)</f>
        <v>520916</v>
      </c>
      <c r="AM253" s="657">
        <f>SUM(AM4:AM251)</f>
        <v>142222</v>
      </c>
      <c r="AN253" s="657">
        <f>SUM(AN4:AN251)</f>
        <v>41688</v>
      </c>
      <c r="AO253" s="657"/>
      <c r="AP253" s="657">
        <f t="shared" ref="AP253:AY253" si="156">SUM(AP4:AP251)</f>
        <v>704704</v>
      </c>
      <c r="AQ253" s="657"/>
      <c r="AR253" s="657">
        <f t="shared" si="156"/>
        <v>309625</v>
      </c>
      <c r="AS253" s="657">
        <f t="shared" si="156"/>
        <v>361087.425</v>
      </c>
      <c r="AT253" s="657">
        <f t="shared" si="156"/>
        <v>33991.575</v>
      </c>
      <c r="AU253" s="657">
        <f t="shared" si="156"/>
        <v>108198</v>
      </c>
      <c r="AV253" s="657">
        <f t="shared" si="156"/>
        <v>2886</v>
      </c>
      <c r="AW253" s="657">
        <f t="shared" si="156"/>
        <v>21750</v>
      </c>
      <c r="AX253" s="657">
        <f t="shared" si="156"/>
        <v>7537</v>
      </c>
      <c r="AY253" s="657">
        <f t="shared" si="156"/>
        <v>1857</v>
      </c>
      <c r="AZ253" s="657"/>
      <c r="BA253" s="657">
        <f t="shared" ref="BA253:BN253" si="157">SUM(BA4:BA251)</f>
        <v>8707</v>
      </c>
      <c r="BB253" s="657">
        <f t="shared" si="157"/>
        <v>3345</v>
      </c>
      <c r="BC253" s="657">
        <f t="shared" si="157"/>
        <v>7277</v>
      </c>
      <c r="BD253" s="657">
        <f t="shared" si="157"/>
        <v>7240</v>
      </c>
      <c r="BE253" s="657">
        <f t="shared" si="157"/>
        <v>0</v>
      </c>
      <c r="BF253" s="657">
        <f t="shared" si="157"/>
        <v>0</v>
      </c>
      <c r="BG253" s="657">
        <f t="shared" si="157"/>
        <v>150</v>
      </c>
      <c r="BH253" s="657">
        <f t="shared" si="157"/>
        <v>150</v>
      </c>
      <c r="BI253" s="657">
        <f t="shared" si="157"/>
        <v>0</v>
      </c>
      <c r="BJ253" s="657">
        <f t="shared" si="157"/>
        <v>0</v>
      </c>
      <c r="BK253" s="657">
        <f t="shared" si="157"/>
        <v>427</v>
      </c>
      <c r="BL253" s="657">
        <f t="shared" si="157"/>
        <v>427</v>
      </c>
      <c r="BM253" s="657">
        <f t="shared" si="157"/>
        <v>20844</v>
      </c>
      <c r="BN253" s="657">
        <f t="shared" si="157"/>
        <v>20844</v>
      </c>
      <c r="BQ253" s="3">
        <f>'77773的生产MA'!O4</f>
        <v>878479</v>
      </c>
      <c r="BR253" s="3">
        <f>BQ253-BQ246</f>
        <v>152316</v>
      </c>
    </row>
    <row r="254" ht="26.25" customHeight="1" spans="3:49">
      <c r="C254" s="405"/>
      <c r="M254" s="658"/>
      <c r="N254" s="658"/>
      <c r="P254" s="405"/>
      <c r="Q254" s="405"/>
      <c r="R254" s="658"/>
      <c r="S254" s="658"/>
      <c r="Z254" s="670"/>
      <c r="AL254" s="405"/>
      <c r="AM254" s="679"/>
      <c r="AN254" s="405"/>
      <c r="AO254" s="405"/>
      <c r="AP254" s="405"/>
      <c r="AQ254" s="405"/>
      <c r="AR254" s="405"/>
      <c r="AS254" s="405"/>
      <c r="AT254" s="405"/>
      <c r="AU254" s="405"/>
      <c r="AV254" s="405"/>
      <c r="AW254" s="405"/>
    </row>
    <row r="255" ht="26.25" customHeight="1" spans="3:49">
      <c r="C255" s="405"/>
      <c r="M255" s="658"/>
      <c r="N255" s="658"/>
      <c r="P255" s="405"/>
      <c r="Q255" s="405"/>
      <c r="R255" s="658"/>
      <c r="S255" s="658"/>
      <c r="Z255" s="670"/>
      <c r="AJ255" s="408">
        <f>SUM(AJ4,AJ8:AJ161,AJ162:AJ164)</f>
        <v>538825</v>
      </c>
      <c r="AL255" s="405"/>
      <c r="AM255" s="679"/>
      <c r="AN255" s="405"/>
      <c r="AO255" s="405"/>
      <c r="AP255" s="687" t="s">
        <v>5878</v>
      </c>
      <c r="AQ255" s="687"/>
      <c r="AR255" s="657">
        <f>310000-AR253</f>
        <v>375</v>
      </c>
      <c r="AS255" s="405"/>
      <c r="AT255" s="405"/>
      <c r="AU255" s="405"/>
      <c r="AV255" s="405"/>
      <c r="AW255" s="405"/>
    </row>
    <row r="256" ht="26.25" customHeight="1" spans="3:49">
      <c r="C256" s="405"/>
      <c r="M256" s="658"/>
      <c r="N256" s="658"/>
      <c r="P256" s="405"/>
      <c r="Q256" s="405"/>
      <c r="R256" s="658"/>
      <c r="S256" s="658"/>
      <c r="Z256" s="670"/>
      <c r="AL256" s="405"/>
      <c r="AM256" s="679"/>
      <c r="AN256" s="405"/>
      <c r="AO256" s="405"/>
      <c r="AP256" s="405"/>
      <c r="AQ256" s="405"/>
      <c r="AR256" s="405"/>
      <c r="AS256" s="405"/>
      <c r="AT256" s="405"/>
      <c r="AU256" s="405"/>
      <c r="AV256" s="405"/>
      <c r="AW256" s="405"/>
    </row>
    <row r="257" ht="26.25" customHeight="1" spans="3:49">
      <c r="C257" s="405"/>
      <c r="M257" s="658"/>
      <c r="N257" s="658"/>
      <c r="P257" s="405"/>
      <c r="Q257" s="405"/>
      <c r="R257" s="658"/>
      <c r="S257" s="658"/>
      <c r="Z257" s="670"/>
      <c r="AL257" s="405"/>
      <c r="AM257" s="679"/>
      <c r="AN257" s="405"/>
      <c r="AO257" s="405"/>
      <c r="AP257" s="405"/>
      <c r="AQ257" s="405"/>
      <c r="AR257" s="405"/>
      <c r="AS257" s="405"/>
      <c r="AT257" s="405"/>
      <c r="AU257" s="405"/>
      <c r="AV257" s="405"/>
      <c r="AW257" s="405"/>
    </row>
    <row r="258" ht="26.25" customHeight="1" spans="3:49">
      <c r="C258" s="405"/>
      <c r="M258" s="658"/>
      <c r="N258" s="658"/>
      <c r="P258" s="405"/>
      <c r="Q258" s="405"/>
      <c r="R258" s="658"/>
      <c r="S258" s="658"/>
      <c r="Z258" s="670"/>
      <c r="AL258" s="405"/>
      <c r="AM258" s="679"/>
      <c r="AN258" s="405"/>
      <c r="AO258" s="405"/>
      <c r="AP258" s="405"/>
      <c r="AQ258" s="405"/>
      <c r="AR258" s="405"/>
      <c r="AS258" s="405"/>
      <c r="AT258" s="405"/>
      <c r="AU258" s="405"/>
      <c r="AV258" s="405"/>
      <c r="AW258" s="405"/>
    </row>
    <row r="259" ht="26.25" customHeight="1" spans="3:49">
      <c r="C259" s="405"/>
      <c r="M259" s="658"/>
      <c r="N259" s="658"/>
      <c r="P259" s="405"/>
      <c r="Q259" s="405"/>
      <c r="R259" s="658"/>
      <c r="S259" s="658"/>
      <c r="Z259" s="670"/>
      <c r="AL259" s="405"/>
      <c r="AM259" s="679"/>
      <c r="AN259" s="405"/>
      <c r="AO259" s="405"/>
      <c r="AP259" s="405"/>
      <c r="AQ259" s="405"/>
      <c r="AR259" s="405"/>
      <c r="AS259" s="405"/>
      <c r="AT259" s="405"/>
      <c r="AU259" s="405"/>
      <c r="AV259" s="405"/>
      <c r="AW259" s="405"/>
    </row>
    <row r="260" ht="26.25" customHeight="1" spans="3:49">
      <c r="C260" s="405"/>
      <c r="M260" s="658"/>
      <c r="N260" s="658"/>
      <c r="P260" s="405"/>
      <c r="Q260" s="405"/>
      <c r="R260" s="658"/>
      <c r="S260" s="658"/>
      <c r="Z260" s="670"/>
      <c r="AL260" s="405"/>
      <c r="AM260" s="679"/>
      <c r="AN260" s="405"/>
      <c r="AO260" s="405"/>
      <c r="AP260" s="405"/>
      <c r="AQ260" s="405"/>
      <c r="AR260" s="405"/>
      <c r="AS260" s="405"/>
      <c r="AT260" s="405"/>
      <c r="AU260" s="405"/>
      <c r="AV260" s="405"/>
      <c r="AW260" s="405"/>
    </row>
    <row r="261" ht="26.25" customHeight="1" spans="3:49">
      <c r="C261" s="405"/>
      <c r="M261" s="658"/>
      <c r="N261" s="658"/>
      <c r="P261" s="405"/>
      <c r="Q261" s="405"/>
      <c r="R261" s="658"/>
      <c r="S261" s="658"/>
      <c r="Z261" s="670"/>
      <c r="AL261" s="405"/>
      <c r="AM261" s="679"/>
      <c r="AN261" s="405"/>
      <c r="AO261" s="405"/>
      <c r="AP261" s="405"/>
      <c r="AQ261" s="405"/>
      <c r="AR261" s="405"/>
      <c r="AS261" s="405"/>
      <c r="AT261" s="405"/>
      <c r="AU261" s="405"/>
      <c r="AV261" s="405"/>
      <c r="AW261" s="405"/>
    </row>
    <row r="262" ht="26.25" customHeight="1" spans="3:49">
      <c r="C262" s="405"/>
      <c r="M262" s="658"/>
      <c r="N262" s="658"/>
      <c r="P262" s="405"/>
      <c r="Q262" s="405"/>
      <c r="R262" s="658"/>
      <c r="S262" s="658"/>
      <c r="Z262" s="670"/>
      <c r="AL262" s="405"/>
      <c r="AM262" s="679"/>
      <c r="AN262" s="405"/>
      <c r="AO262" s="405"/>
      <c r="AP262" s="405"/>
      <c r="AQ262" s="405"/>
      <c r="AR262" s="405"/>
      <c r="AS262" s="405"/>
      <c r="AT262" s="405"/>
      <c r="AU262" s="405"/>
      <c r="AV262" s="405"/>
      <c r="AW262" s="405"/>
    </row>
    <row r="263" ht="26.25" customHeight="1" spans="3:49">
      <c r="C263" s="405"/>
      <c r="M263" s="658"/>
      <c r="N263" s="658" t="s">
        <v>5879</v>
      </c>
      <c r="P263" s="405"/>
      <c r="Q263" s="405"/>
      <c r="R263" s="658"/>
      <c r="S263" s="658"/>
      <c r="Z263" s="670"/>
      <c r="AL263" s="405"/>
      <c r="AM263" s="679"/>
      <c r="AN263" s="405"/>
      <c r="AO263" s="405"/>
      <c r="AP263" s="405"/>
      <c r="AQ263" s="405"/>
      <c r="AR263" s="405"/>
      <c r="AS263" s="405"/>
      <c r="AT263" s="405"/>
      <c r="AU263" s="405"/>
      <c r="AV263" s="405"/>
      <c r="AW263" s="405"/>
    </row>
    <row r="264" ht="26.25" customHeight="1" spans="3:49">
      <c r="C264" s="405"/>
      <c r="M264" s="658"/>
      <c r="N264" s="658"/>
      <c r="P264" s="405"/>
      <c r="Q264" s="405"/>
      <c r="R264" s="658"/>
      <c r="S264" s="658"/>
      <c r="Z264" s="670"/>
      <c r="AL264" s="405"/>
      <c r="AM264" s="679"/>
      <c r="AN264" s="405"/>
      <c r="AO264" s="405"/>
      <c r="AP264" s="405"/>
      <c r="AQ264" s="405"/>
      <c r="AR264" s="405"/>
      <c r="AS264" s="405"/>
      <c r="AT264" s="405"/>
      <c r="AU264" s="405"/>
      <c r="AV264" s="405"/>
      <c r="AW264" s="405"/>
    </row>
    <row r="265" ht="26.25" customHeight="1" spans="3:49">
      <c r="C265" s="405"/>
      <c r="M265" s="658"/>
      <c r="N265" s="658"/>
      <c r="P265" s="405"/>
      <c r="Q265" s="405"/>
      <c r="R265" s="658"/>
      <c r="S265" s="658"/>
      <c r="Z265" s="670"/>
      <c r="AL265" s="405"/>
      <c r="AM265" s="679"/>
      <c r="AN265" s="405"/>
      <c r="AO265" s="405"/>
      <c r="AP265" s="405"/>
      <c r="AQ265" s="405"/>
      <c r="AR265" s="405"/>
      <c r="AS265" s="405"/>
      <c r="AT265" s="405"/>
      <c r="AU265" s="405"/>
      <c r="AV265" s="405"/>
      <c r="AW265" s="405"/>
    </row>
    <row r="266" ht="26.25" customHeight="1" spans="3:49">
      <c r="C266" s="405"/>
      <c r="M266" s="658"/>
      <c r="N266" s="658"/>
      <c r="P266" s="405"/>
      <c r="Q266" s="405"/>
      <c r="R266" s="658"/>
      <c r="S266" s="658"/>
      <c r="Z266" s="670"/>
      <c r="AL266" s="405"/>
      <c r="AM266" s="679"/>
      <c r="AN266" s="405"/>
      <c r="AO266" s="405"/>
      <c r="AP266" s="405"/>
      <c r="AQ266" s="405"/>
      <c r="AR266" s="405"/>
      <c r="AS266" s="405"/>
      <c r="AT266" s="405"/>
      <c r="AU266" s="405"/>
      <c r="AV266" s="405"/>
      <c r="AW266" s="405"/>
    </row>
    <row r="267" ht="26.25" customHeight="1" spans="3:49">
      <c r="C267" s="405"/>
      <c r="M267" s="658"/>
      <c r="N267" s="658"/>
      <c r="P267" s="405"/>
      <c r="Q267" s="405"/>
      <c r="R267" s="658"/>
      <c r="S267" s="658"/>
      <c r="Z267" s="670"/>
      <c r="AL267" s="405"/>
      <c r="AM267" s="679"/>
      <c r="AN267" s="405"/>
      <c r="AO267" s="405"/>
      <c r="AP267" s="405"/>
      <c r="AQ267" s="405"/>
      <c r="AR267" s="405"/>
      <c r="AS267" s="405"/>
      <c r="AT267" s="405"/>
      <c r="AU267" s="405"/>
      <c r="AV267" s="405"/>
      <c r="AW267" s="405"/>
    </row>
    <row r="268" ht="26.25" customHeight="1" spans="3:49">
      <c r="C268" s="405"/>
      <c r="M268" s="658"/>
      <c r="N268" s="658"/>
      <c r="P268" s="405"/>
      <c r="Q268" s="405"/>
      <c r="R268" s="658"/>
      <c r="S268" s="658"/>
      <c r="Z268" s="670"/>
      <c r="AL268" s="405"/>
      <c r="AM268" s="679"/>
      <c r="AN268" s="405"/>
      <c r="AO268" s="405"/>
      <c r="AP268" s="405"/>
      <c r="AQ268" s="405"/>
      <c r="AR268" s="405"/>
      <c r="AS268" s="405"/>
      <c r="AT268" s="405"/>
      <c r="AU268" s="405"/>
      <c r="AV268" s="405"/>
      <c r="AW268" s="405"/>
    </row>
    <row r="269" ht="26.25" customHeight="1" spans="3:49">
      <c r="C269" s="405"/>
      <c r="M269" s="658"/>
      <c r="N269" s="658"/>
      <c r="P269" s="405"/>
      <c r="Q269" s="405"/>
      <c r="R269" s="658"/>
      <c r="S269" s="658"/>
      <c r="Z269" s="670"/>
      <c r="AL269" s="405"/>
      <c r="AM269" s="679"/>
      <c r="AN269" s="405"/>
      <c r="AO269" s="405"/>
      <c r="AP269" s="405"/>
      <c r="AQ269" s="405"/>
      <c r="AR269" s="405"/>
      <c r="AS269" s="405"/>
      <c r="AT269" s="405"/>
      <c r="AU269" s="405"/>
      <c r="AV269" s="405"/>
      <c r="AW269" s="405"/>
    </row>
    <row r="270" ht="26.25" customHeight="1" spans="3:49">
      <c r="C270" s="405"/>
      <c r="M270" s="658"/>
      <c r="N270" s="658"/>
      <c r="P270" s="405"/>
      <c r="Q270" s="405"/>
      <c r="R270" s="658"/>
      <c r="S270" s="658"/>
      <c r="Z270" s="670"/>
      <c r="AL270" s="405"/>
      <c r="AM270" s="679"/>
      <c r="AN270" s="405"/>
      <c r="AO270" s="405"/>
      <c r="AP270" s="405"/>
      <c r="AQ270" s="405"/>
      <c r="AR270" s="405"/>
      <c r="AS270" s="405"/>
      <c r="AT270" s="405"/>
      <c r="AU270" s="405"/>
      <c r="AV270" s="405"/>
      <c r="AW270" s="405"/>
    </row>
    <row r="271" ht="26.25" customHeight="1" spans="3:49">
      <c r="C271" s="405"/>
      <c r="M271" s="658"/>
      <c r="N271" s="658"/>
      <c r="P271" s="405"/>
      <c r="Q271" s="405"/>
      <c r="R271" s="658"/>
      <c r="S271" s="658"/>
      <c r="Z271" s="670"/>
      <c r="AL271" s="405"/>
      <c r="AM271" s="679"/>
      <c r="AN271" s="405"/>
      <c r="AO271" s="405"/>
      <c r="AP271" s="405"/>
      <c r="AQ271" s="405"/>
      <c r="AR271" s="405"/>
      <c r="AS271" s="405"/>
      <c r="AT271" s="405"/>
      <c r="AU271" s="405"/>
      <c r="AV271" s="405"/>
      <c r="AW271" s="405"/>
    </row>
    <row r="272" ht="26.25" customHeight="1" spans="3:49">
      <c r="C272" s="405"/>
      <c r="M272" s="658"/>
      <c r="N272" s="658"/>
      <c r="P272" s="405"/>
      <c r="Q272" s="405"/>
      <c r="R272" s="658"/>
      <c r="S272" s="658"/>
      <c r="Z272" s="670"/>
      <c r="AL272" s="405"/>
      <c r="AM272" s="679"/>
      <c r="AN272" s="405"/>
      <c r="AO272" s="405"/>
      <c r="AP272" s="405"/>
      <c r="AQ272" s="405"/>
      <c r="AR272" s="405"/>
      <c r="AS272" s="405"/>
      <c r="AT272" s="405"/>
      <c r="AU272" s="405"/>
      <c r="AV272" s="405"/>
      <c r="AW272" s="405"/>
    </row>
    <row r="273" ht="26.25" customHeight="1" spans="3:49">
      <c r="C273" s="405"/>
      <c r="M273" s="658"/>
      <c r="N273" s="658"/>
      <c r="P273" s="405"/>
      <c r="Q273" s="405"/>
      <c r="R273" s="658"/>
      <c r="S273" s="658"/>
      <c r="Z273" s="670"/>
      <c r="AL273" s="405"/>
      <c r="AM273" s="679"/>
      <c r="AN273" s="405"/>
      <c r="AO273" s="405"/>
      <c r="AP273" s="405"/>
      <c r="AQ273" s="405"/>
      <c r="AR273" s="405"/>
      <c r="AS273" s="405"/>
      <c r="AT273" s="405"/>
      <c r="AU273" s="405"/>
      <c r="AV273" s="405"/>
      <c r="AW273" s="405"/>
    </row>
    <row r="274" ht="26.25" customHeight="1" spans="3:49">
      <c r="C274" s="405"/>
      <c r="M274" s="658"/>
      <c r="N274" s="658"/>
      <c r="P274" s="405"/>
      <c r="Q274" s="405"/>
      <c r="R274" s="658"/>
      <c r="S274" s="658"/>
      <c r="Z274" s="670"/>
      <c r="AL274" s="405"/>
      <c r="AM274" s="679"/>
      <c r="AN274" s="405"/>
      <c r="AO274" s="405"/>
      <c r="AP274" s="405"/>
      <c r="AQ274" s="405"/>
      <c r="AR274" s="405"/>
      <c r="AS274" s="405"/>
      <c r="AT274" s="405"/>
      <c r="AU274" s="405"/>
      <c r="AV274" s="405"/>
      <c r="AW274" s="405"/>
    </row>
    <row r="275" ht="26.25" customHeight="1" spans="3:49">
      <c r="C275" s="405"/>
      <c r="M275" s="658"/>
      <c r="N275" s="658"/>
      <c r="P275" s="405"/>
      <c r="Q275" s="405"/>
      <c r="R275" s="658"/>
      <c r="S275" s="658"/>
      <c r="Z275" s="670"/>
      <c r="AL275" s="405"/>
      <c r="AM275" s="679"/>
      <c r="AN275" s="405"/>
      <c r="AO275" s="405"/>
      <c r="AP275" s="405"/>
      <c r="AQ275" s="405"/>
      <c r="AR275" s="405"/>
      <c r="AS275" s="405"/>
      <c r="AT275" s="405"/>
      <c r="AU275" s="405"/>
      <c r="AV275" s="405"/>
      <c r="AW275" s="405"/>
    </row>
    <row r="276" ht="26.25" customHeight="1" spans="3:49">
      <c r="C276" s="405"/>
      <c r="M276" s="658"/>
      <c r="N276" s="658"/>
      <c r="P276" s="405"/>
      <c r="Q276" s="405"/>
      <c r="R276" s="658"/>
      <c r="S276" s="658"/>
      <c r="AL276" s="405"/>
      <c r="AM276" s="679"/>
      <c r="AN276" s="405"/>
      <c r="AO276" s="405"/>
      <c r="AP276" s="405"/>
      <c r="AQ276" s="405"/>
      <c r="AR276" s="405"/>
      <c r="AS276" s="405"/>
      <c r="AT276" s="405"/>
      <c r="AU276" s="405"/>
      <c r="AV276" s="405"/>
      <c r="AW276" s="405"/>
    </row>
    <row r="277" ht="26.25" customHeight="1" spans="3:49">
      <c r="C277" s="405"/>
      <c r="M277" s="658"/>
      <c r="N277" s="658"/>
      <c r="P277" s="405"/>
      <c r="Q277" s="405"/>
      <c r="R277" s="658"/>
      <c r="S277" s="658"/>
      <c r="AL277" s="405"/>
      <c r="AM277" s="679"/>
      <c r="AN277" s="405"/>
      <c r="AO277" s="405"/>
      <c r="AP277" s="405"/>
      <c r="AQ277" s="405"/>
      <c r="AR277" s="405"/>
      <c r="AS277" s="405"/>
      <c r="AT277" s="405"/>
      <c r="AU277" s="405"/>
      <c r="AV277" s="405"/>
      <c r="AW277" s="405"/>
    </row>
    <row r="278" ht="26.25" customHeight="1" spans="3:49">
      <c r="C278" s="405"/>
      <c r="M278" s="658"/>
      <c r="N278" s="658"/>
      <c r="P278" s="405"/>
      <c r="Q278" s="405"/>
      <c r="R278" s="658"/>
      <c r="S278" s="658"/>
      <c r="AL278" s="405"/>
      <c r="AM278" s="679"/>
      <c r="AN278" s="405"/>
      <c r="AO278" s="405"/>
      <c r="AP278" s="405"/>
      <c r="AQ278" s="405"/>
      <c r="AR278" s="405"/>
      <c r="AS278" s="405"/>
      <c r="AT278" s="405"/>
      <c r="AU278" s="405"/>
      <c r="AV278" s="405"/>
      <c r="AW278" s="405"/>
    </row>
    <row r="279" ht="26.25" customHeight="1" spans="3:17">
      <c r="C279" s="405"/>
      <c r="M279" s="658"/>
      <c r="N279" s="658"/>
      <c r="P279" s="405"/>
      <c r="Q279" s="405"/>
    </row>
    <row r="280" ht="26.25" customHeight="1" spans="3:17">
      <c r="C280" s="405"/>
      <c r="M280" s="658"/>
      <c r="N280" s="658"/>
      <c r="P280" s="405"/>
      <c r="Q280" s="405"/>
    </row>
    <row r="281" ht="26.25" customHeight="1" spans="3:17">
      <c r="C281" s="405"/>
      <c r="M281" s="658"/>
      <c r="N281" s="658"/>
      <c r="P281" s="405"/>
      <c r="Q281" s="405"/>
    </row>
    <row r="282" ht="26.25" customHeight="1" spans="3:17">
      <c r="C282" s="405"/>
      <c r="M282" s="658"/>
      <c r="N282" s="658"/>
      <c r="P282" s="405"/>
      <c r="Q282" s="405"/>
    </row>
    <row r="283" ht="26.25" customHeight="1" spans="3:17">
      <c r="C283" s="405"/>
      <c r="M283" s="658"/>
      <c r="N283" s="658"/>
      <c r="P283" s="405"/>
      <c r="Q283" s="405"/>
    </row>
    <row r="284" ht="26.25" customHeight="1" spans="3:17">
      <c r="C284" s="405"/>
      <c r="M284" s="658"/>
      <c r="N284" s="658"/>
      <c r="P284" s="405"/>
      <c r="Q284" s="405"/>
    </row>
    <row r="285" ht="26.25" customHeight="1" spans="3:17">
      <c r="C285" s="405"/>
      <c r="M285" s="658"/>
      <c r="N285" s="658"/>
      <c r="P285" s="405"/>
      <c r="Q285" s="405"/>
    </row>
    <row r="286" ht="26.25" customHeight="1" spans="3:17">
      <c r="C286" s="405"/>
      <c r="M286" s="658"/>
      <c r="N286" s="658"/>
      <c r="P286" s="405"/>
      <c r="Q286" s="405"/>
    </row>
    <row r="287" ht="26.25" customHeight="1" spans="3:17">
      <c r="C287" s="405"/>
      <c r="M287" s="658"/>
      <c r="N287" s="658"/>
      <c r="P287" s="405"/>
      <c r="Q287" s="405"/>
    </row>
    <row r="288" ht="26.25" customHeight="1" spans="3:17">
      <c r="C288" s="405"/>
      <c r="M288" s="658"/>
      <c r="N288" s="658"/>
      <c r="P288" s="405"/>
      <c r="Q288" s="405"/>
    </row>
    <row r="289" ht="26.25" customHeight="1" spans="3:17">
      <c r="C289" s="405"/>
      <c r="M289" s="658"/>
      <c r="N289" s="658"/>
      <c r="P289" s="405"/>
      <c r="Q289" s="405"/>
    </row>
    <row r="290" ht="26.25" customHeight="1" spans="3:17">
      <c r="C290" s="405"/>
      <c r="M290" s="658"/>
      <c r="N290" s="658"/>
      <c r="P290" s="405"/>
      <c r="Q290" s="405"/>
    </row>
    <row r="291" ht="26.25" customHeight="1" spans="14:16">
      <c r="N291" s="658"/>
      <c r="P291" s="405"/>
    </row>
    <row r="292" ht="26.25" customHeight="1" spans="14:16">
      <c r="N292" s="658"/>
      <c r="P292" s="405"/>
    </row>
    <row r="293" ht="26.25" customHeight="1" spans="14:16">
      <c r="N293" s="658"/>
      <c r="P293" s="405"/>
    </row>
    <row r="294" ht="26.25" customHeight="1" spans="14:16">
      <c r="N294" s="658"/>
      <c r="P294" s="405"/>
    </row>
    <row r="295" ht="26.25" customHeight="1" spans="14:16">
      <c r="N295" s="658"/>
      <c r="P295" s="405"/>
    </row>
    <row r="296" ht="26.25" customHeight="1" spans="14:16">
      <c r="N296" s="658"/>
      <c r="P296" s="405"/>
    </row>
    <row r="297" ht="26.25" customHeight="1" spans="14:16">
      <c r="N297" s="658"/>
      <c r="P297" s="405"/>
    </row>
    <row r="298" ht="26.25" customHeight="1" spans="14:16">
      <c r="N298" s="658"/>
      <c r="P298" s="405"/>
    </row>
    <row r="299" ht="26.25" customHeight="1" spans="14:16">
      <c r="N299" s="658"/>
      <c r="P299" s="405"/>
    </row>
    <row r="300" ht="26.25" customHeight="1" spans="14:16">
      <c r="N300" s="658"/>
      <c r="P300" s="405"/>
    </row>
    <row r="301" ht="26.25" customHeight="1" spans="14:16">
      <c r="N301" s="658"/>
      <c r="P301" s="405"/>
    </row>
    <row r="302" ht="26.25" customHeight="1" spans="14:16">
      <c r="N302" s="658"/>
      <c r="P302" s="405"/>
    </row>
    <row r="303" ht="26.25" customHeight="1" spans="14:16">
      <c r="N303" s="658"/>
      <c r="P303" s="405"/>
    </row>
    <row r="304" ht="26.25" customHeight="1" spans="14:16">
      <c r="N304" s="658"/>
      <c r="P304" s="405"/>
    </row>
    <row r="305" ht="26.25" customHeight="1" spans="14:16">
      <c r="N305" s="658"/>
      <c r="P305" s="405"/>
    </row>
    <row r="306" ht="26.25" customHeight="1" spans="14:16">
      <c r="N306" s="658"/>
      <c r="P306" s="405"/>
    </row>
    <row r="307" ht="26.25" customHeight="1" spans="14:16">
      <c r="N307" s="658"/>
      <c r="P307" s="405"/>
    </row>
    <row r="308" ht="26.25" customHeight="1" spans="14:16">
      <c r="N308" s="658"/>
      <c r="P308" s="405"/>
    </row>
    <row r="309" ht="26.25" customHeight="1" spans="14:16">
      <c r="N309" s="658"/>
      <c r="P309" s="405"/>
    </row>
    <row r="310" ht="26.25" customHeight="1" spans="14:16">
      <c r="N310" s="658"/>
      <c r="P310" s="405"/>
    </row>
    <row r="311" ht="26.25" customHeight="1" spans="14:16">
      <c r="N311" s="658"/>
      <c r="P311" s="405"/>
    </row>
    <row r="312" ht="26.25" customHeight="1" spans="14:16">
      <c r="N312" s="658"/>
      <c r="P312" s="405"/>
    </row>
    <row r="313" ht="26.25" customHeight="1" spans="14:16">
      <c r="N313" s="658"/>
      <c r="P313" s="405"/>
    </row>
    <row r="314" ht="26.25" customHeight="1" spans="14:16">
      <c r="N314" s="658"/>
      <c r="P314" s="405"/>
    </row>
    <row r="315" ht="26.25" customHeight="1" spans="14:16">
      <c r="N315" s="658"/>
      <c r="P315" s="405"/>
    </row>
    <row r="316" ht="26.25" customHeight="1" spans="14:16">
      <c r="N316" s="658"/>
      <c r="P316" s="405"/>
    </row>
    <row r="317" ht="26.25" customHeight="1" spans="14:16">
      <c r="N317" s="658"/>
      <c r="P317" s="405"/>
    </row>
    <row r="318" ht="26.25" customHeight="1" spans="14:16">
      <c r="N318" s="658"/>
      <c r="P318" s="405"/>
    </row>
    <row r="319" ht="26.25" customHeight="1" spans="14:16">
      <c r="N319" s="658"/>
      <c r="P319" s="405"/>
    </row>
    <row r="320" ht="26.25" customHeight="1" spans="14:16">
      <c r="N320" s="658"/>
      <c r="P320" s="405"/>
    </row>
    <row r="321" ht="26.25" customHeight="1" spans="14:16">
      <c r="N321" s="658"/>
      <c r="P321" s="405"/>
    </row>
    <row r="322" ht="26.25" customHeight="1" spans="14:16">
      <c r="N322" s="658"/>
      <c r="P322" s="405"/>
    </row>
    <row r="323" ht="26.25" customHeight="1" spans="14:16">
      <c r="N323" s="658"/>
      <c r="P323" s="405"/>
    </row>
    <row r="324" ht="26.25" customHeight="1" spans="14:16">
      <c r="N324" s="658"/>
      <c r="P324" s="405"/>
    </row>
    <row r="325" ht="26.25" customHeight="1" spans="14:16">
      <c r="N325" s="658"/>
      <c r="P325" s="405"/>
    </row>
    <row r="326" ht="26.25" customHeight="1" spans="14:16">
      <c r="N326" s="658"/>
      <c r="P326" s="405"/>
    </row>
    <row r="327" ht="26.25" customHeight="1" spans="14:16">
      <c r="N327" s="658"/>
      <c r="P327" s="405"/>
    </row>
    <row r="328" ht="26.25" customHeight="1" spans="14:16">
      <c r="N328" s="658"/>
      <c r="P328" s="405"/>
    </row>
    <row r="329" ht="26.25" customHeight="1" spans="14:16">
      <c r="N329" s="658"/>
      <c r="P329" s="405"/>
    </row>
    <row r="330" ht="26.25" customHeight="1" spans="14:16">
      <c r="N330" s="658"/>
      <c r="P330" s="405"/>
    </row>
    <row r="331" ht="26.25" customHeight="1" spans="14:16">
      <c r="N331" s="658"/>
      <c r="P331" s="405"/>
    </row>
    <row r="332" ht="26.25" customHeight="1" spans="14:16">
      <c r="N332" s="658"/>
      <c r="P332" s="405"/>
    </row>
    <row r="333" ht="26.25" customHeight="1" spans="14:16">
      <c r="N333" s="658"/>
      <c r="P333" s="405"/>
    </row>
    <row r="334" ht="26.25" customHeight="1" spans="14:16">
      <c r="N334" s="658"/>
      <c r="P334" s="405"/>
    </row>
    <row r="335" ht="26.25" customHeight="1" spans="14:16">
      <c r="N335" s="658"/>
      <c r="P335" s="405"/>
    </row>
    <row r="336" ht="26.25" customHeight="1" spans="14:16">
      <c r="N336" s="658"/>
      <c r="P336" s="405"/>
    </row>
    <row r="337" ht="26.25" customHeight="1" spans="14:16">
      <c r="N337" s="658"/>
      <c r="P337" s="405"/>
    </row>
    <row r="338" ht="26.25" customHeight="1" spans="14:16">
      <c r="N338" s="658"/>
      <c r="P338" s="405"/>
    </row>
    <row r="339" ht="26.25" customHeight="1" spans="14:16">
      <c r="N339" s="658"/>
      <c r="P339" s="405"/>
    </row>
    <row r="340" ht="26.25" customHeight="1" spans="14:16">
      <c r="N340" s="658"/>
      <c r="P340" s="405"/>
    </row>
    <row r="341" ht="26.25" customHeight="1" spans="14:16">
      <c r="N341" s="658"/>
      <c r="P341" s="405"/>
    </row>
    <row r="342" ht="26.25" customHeight="1" spans="14:16">
      <c r="N342" s="658"/>
      <c r="P342" s="405"/>
    </row>
    <row r="343" ht="26.25" customHeight="1" spans="14:16">
      <c r="N343" s="658"/>
      <c r="P343" s="405"/>
    </row>
    <row r="344" ht="26.25" customHeight="1" spans="14:16">
      <c r="N344" s="658"/>
      <c r="P344" s="405"/>
    </row>
    <row r="345" ht="26.25" customHeight="1" spans="14:16">
      <c r="N345" s="658"/>
      <c r="P345" s="405"/>
    </row>
    <row r="346" ht="26.25" customHeight="1" spans="14:16">
      <c r="N346" s="658"/>
      <c r="P346" s="405"/>
    </row>
    <row r="347" ht="26.25" customHeight="1" spans="14:16">
      <c r="N347" s="658"/>
      <c r="P347" s="405"/>
    </row>
    <row r="348" ht="26.25" customHeight="1" spans="14:16">
      <c r="N348" s="658"/>
      <c r="P348" s="405"/>
    </row>
    <row r="349" ht="26.25" customHeight="1" spans="14:16">
      <c r="N349" s="658"/>
      <c r="P349" s="405"/>
    </row>
    <row r="350" ht="26.25" customHeight="1" spans="14:16">
      <c r="N350" s="658"/>
      <c r="P350" s="405"/>
    </row>
    <row r="351" ht="26.25" customHeight="1" spans="14:16">
      <c r="N351" s="658"/>
      <c r="P351" s="405"/>
    </row>
    <row r="352" ht="26.25" customHeight="1" spans="14:16">
      <c r="N352" s="658"/>
      <c r="P352" s="405"/>
    </row>
    <row r="353" ht="26.25" customHeight="1" spans="14:16">
      <c r="N353" s="658"/>
      <c r="P353" s="405"/>
    </row>
    <row r="354" ht="26.25" customHeight="1" spans="14:16">
      <c r="N354" s="658"/>
      <c r="P354" s="405"/>
    </row>
    <row r="355" ht="26.25" customHeight="1" spans="14:16">
      <c r="N355" s="658"/>
      <c r="P355" s="405"/>
    </row>
    <row r="356" ht="26.25" customHeight="1" spans="14:16">
      <c r="N356" s="658"/>
      <c r="P356" s="405"/>
    </row>
    <row r="357" ht="26.25" customHeight="1" spans="14:16">
      <c r="N357" s="658"/>
      <c r="P357" s="405"/>
    </row>
    <row r="358" ht="26.25" customHeight="1" spans="14:16">
      <c r="N358" s="658"/>
      <c r="P358" s="405"/>
    </row>
    <row r="359" ht="26.25" customHeight="1" spans="14:16">
      <c r="N359" s="658"/>
      <c r="P359" s="405"/>
    </row>
    <row r="360" ht="26.25" customHeight="1" spans="14:16">
      <c r="N360" s="658"/>
      <c r="P360" s="405"/>
    </row>
    <row r="361" ht="26.25" customHeight="1" spans="14:16">
      <c r="N361" s="658"/>
      <c r="P361" s="405"/>
    </row>
    <row r="362" ht="26.25" customHeight="1" spans="14:16">
      <c r="N362" s="658"/>
      <c r="P362" s="405"/>
    </row>
    <row r="363" ht="26.25" customHeight="1" spans="14:16">
      <c r="N363" s="658"/>
      <c r="P363" s="405"/>
    </row>
    <row r="364" ht="26.25" customHeight="1" spans="14:16">
      <c r="N364" s="658"/>
      <c r="P364" s="405"/>
    </row>
    <row r="365" ht="26.25" customHeight="1" spans="14:16">
      <c r="N365" s="658"/>
      <c r="P365" s="405"/>
    </row>
    <row r="366" ht="26.25" customHeight="1" spans="14:16">
      <c r="N366" s="658"/>
      <c r="P366" s="405"/>
    </row>
    <row r="367" ht="26.25" customHeight="1" spans="14:16">
      <c r="N367" s="658"/>
      <c r="P367" s="405"/>
    </row>
    <row r="368" ht="26.25" customHeight="1" spans="14:16">
      <c r="N368" s="658"/>
      <c r="P368" s="405"/>
    </row>
    <row r="369" ht="26.25" customHeight="1" spans="14:16">
      <c r="N369" s="658"/>
      <c r="P369" s="405"/>
    </row>
    <row r="370" ht="26.25" customHeight="1" spans="14:16">
      <c r="N370" s="658"/>
      <c r="P370" s="405"/>
    </row>
    <row r="371" ht="26.25" customHeight="1" spans="14:16">
      <c r="N371" s="658"/>
      <c r="P371" s="405"/>
    </row>
    <row r="372" ht="26.25" customHeight="1" spans="14:16">
      <c r="N372" s="658"/>
      <c r="P372" s="405"/>
    </row>
    <row r="373" ht="26.25" customHeight="1" spans="14:16">
      <c r="N373" s="658"/>
      <c r="P373" s="405"/>
    </row>
    <row r="374" ht="26.25" customHeight="1" spans="14:16">
      <c r="N374" s="658"/>
      <c r="P374" s="405"/>
    </row>
    <row r="375" ht="26.25" customHeight="1" spans="14:16">
      <c r="N375" s="658"/>
      <c r="P375" s="405"/>
    </row>
    <row r="376" ht="26.25" customHeight="1" spans="14:16">
      <c r="N376" s="658"/>
      <c r="P376" s="405"/>
    </row>
    <row r="377" ht="26.25" customHeight="1" spans="14:16">
      <c r="N377" s="658"/>
      <c r="P377" s="405"/>
    </row>
    <row r="378" ht="26.25" customHeight="1" spans="14:16">
      <c r="N378" s="658"/>
      <c r="P378" s="405"/>
    </row>
    <row r="379" ht="26.25" customHeight="1" spans="14:16">
      <c r="N379" s="658"/>
      <c r="P379" s="405"/>
    </row>
    <row r="380" ht="26.25" customHeight="1" spans="14:16">
      <c r="N380" s="658"/>
      <c r="P380" s="405"/>
    </row>
    <row r="381" ht="26.25" customHeight="1" spans="14:16">
      <c r="N381" s="658"/>
      <c r="P381" s="405"/>
    </row>
    <row r="382" ht="26.25" customHeight="1" spans="14:16">
      <c r="N382" s="658"/>
      <c r="P382" s="405"/>
    </row>
    <row r="383" ht="26.25" customHeight="1" spans="14:16">
      <c r="N383" s="658"/>
      <c r="P383" s="405"/>
    </row>
    <row r="384" ht="26.25" customHeight="1" spans="14:16">
      <c r="N384" s="658"/>
      <c r="P384" s="405"/>
    </row>
    <row r="385" ht="26.25" customHeight="1" spans="14:16">
      <c r="N385" s="658"/>
      <c r="P385" s="405"/>
    </row>
    <row r="386" ht="26.25" customHeight="1" spans="14:16">
      <c r="N386" s="658"/>
      <c r="P386" s="405"/>
    </row>
    <row r="387" ht="26.25" customHeight="1" spans="14:16">
      <c r="N387" s="658"/>
      <c r="P387" s="405"/>
    </row>
    <row r="388" ht="26.25" customHeight="1" spans="14:16">
      <c r="N388" s="658"/>
      <c r="P388" s="405"/>
    </row>
    <row r="389" ht="26.25" customHeight="1" spans="14:16">
      <c r="N389" s="658"/>
      <c r="P389" s="405"/>
    </row>
    <row r="390" ht="26.25" customHeight="1" spans="14:16">
      <c r="N390" s="658"/>
      <c r="P390" s="405"/>
    </row>
    <row r="391" ht="26.25" customHeight="1" spans="14:16">
      <c r="N391" s="658"/>
      <c r="P391" s="405"/>
    </row>
    <row r="392" ht="26.25" customHeight="1" spans="14:16">
      <c r="N392" s="658"/>
      <c r="P392" s="405"/>
    </row>
    <row r="393" ht="26.25" customHeight="1" spans="14:16">
      <c r="N393" s="658"/>
      <c r="P393" s="405"/>
    </row>
    <row r="394" ht="26.25" customHeight="1" spans="14:16">
      <c r="N394" s="658"/>
      <c r="P394" s="405"/>
    </row>
    <row r="395" ht="26.25" customHeight="1" spans="14:16">
      <c r="N395" s="658"/>
      <c r="P395" s="405"/>
    </row>
    <row r="396" ht="26.25" customHeight="1" spans="14:16">
      <c r="N396" s="658"/>
      <c r="P396" s="405"/>
    </row>
    <row r="397" ht="26.25" customHeight="1" spans="14:16">
      <c r="N397" s="658"/>
      <c r="P397" s="405"/>
    </row>
    <row r="398" ht="26.25" customHeight="1" spans="14:16">
      <c r="N398" s="658"/>
      <c r="P398" s="405"/>
    </row>
    <row r="399" ht="26.25" customHeight="1" spans="14:16">
      <c r="N399" s="658"/>
      <c r="P399" s="405"/>
    </row>
    <row r="400" ht="26.25" customHeight="1" spans="14:16">
      <c r="N400" s="658"/>
      <c r="P400" s="405"/>
    </row>
    <row r="401" ht="26.25" customHeight="1" spans="14:16">
      <c r="N401" s="658"/>
      <c r="P401" s="405"/>
    </row>
    <row r="402" ht="26.25" customHeight="1" spans="14:16">
      <c r="N402" s="658"/>
      <c r="P402" s="405"/>
    </row>
    <row r="403" ht="26.25" customHeight="1" spans="14:16">
      <c r="N403" s="658"/>
      <c r="P403" s="405"/>
    </row>
    <row r="404" ht="26.25" customHeight="1" spans="14:16">
      <c r="N404" s="658"/>
      <c r="P404" s="405"/>
    </row>
    <row r="405" ht="26.25" customHeight="1" spans="14:16">
      <c r="N405" s="658"/>
      <c r="P405" s="405"/>
    </row>
    <row r="406" ht="26.25" customHeight="1" spans="14:16">
      <c r="N406" s="658"/>
      <c r="P406" s="405"/>
    </row>
    <row r="407" ht="26.25" customHeight="1" spans="14:16">
      <c r="N407" s="658"/>
      <c r="P407" s="405"/>
    </row>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sheetData>
  <autoFilter xmlns:etc="http://www.wps.cn/officeDocument/2017/etCustomData" ref="A2:BR246" etc:filterBottomFollowUsedRange="0">
    <extLst/>
  </autoFilter>
  <mergeCells count="7">
    <mergeCell ref="AL1:AM1"/>
    <mergeCell ref="AP1:AQ1"/>
    <mergeCell ref="AR1:AS1"/>
    <mergeCell ref="AX1:AZ1"/>
    <mergeCell ref="BA1:BB1"/>
    <mergeCell ref="BE1:BL1"/>
    <mergeCell ref="BM1:BN1"/>
  </mergeCells>
  <conditionalFormatting sqref="R3:W3">
    <cfRule type="cellIs" dxfId="0" priority="493" operator="equal">
      <formula>"欠"</formula>
    </cfRule>
  </conditionalFormatting>
  <conditionalFormatting sqref="U5:W5">
    <cfRule type="cellIs" dxfId="0" priority="506" operator="equal">
      <formula>"欠"</formula>
    </cfRule>
  </conditionalFormatting>
  <conditionalFormatting sqref="U6:W6">
    <cfRule type="cellIs" dxfId="0" priority="504" operator="equal">
      <formula>"欠"</formula>
    </cfRule>
  </conditionalFormatting>
  <conditionalFormatting sqref="R17">
    <cfRule type="cellIs" dxfId="0" priority="474" operator="equal">
      <formula>"欠"</formula>
    </cfRule>
    <cfRule type="containsText" dxfId="1" priority="473" operator="between" text="欠">
      <formula>NOT(ISERROR(SEARCH("欠",R17)))</formula>
    </cfRule>
  </conditionalFormatting>
  <conditionalFormatting sqref="S17:T17">
    <cfRule type="cellIs" dxfId="0" priority="472" operator="equal">
      <formula>"欠"</formula>
    </cfRule>
    <cfRule type="containsText" dxfId="1" priority="471" operator="between" text="欠">
      <formula>NOT(ISERROR(SEARCH("欠",S17)))</formula>
    </cfRule>
  </conditionalFormatting>
  <conditionalFormatting sqref="U17">
    <cfRule type="cellIs" dxfId="0" priority="475" operator="equal">
      <formula>"欠"</formula>
    </cfRule>
  </conditionalFormatting>
  <conditionalFormatting sqref="U32:W32">
    <cfRule type="cellIs" dxfId="0" priority="425" operator="equal">
      <formula>"欠"</formula>
    </cfRule>
  </conditionalFormatting>
  <conditionalFormatting sqref="T40">
    <cfRule type="containsText" dxfId="1" priority="349" operator="between" text="欠">
      <formula>NOT(ISERROR(SEARCH("欠",T40)))</formula>
    </cfRule>
    <cfRule type="cellIs" dxfId="0" priority="348" operator="equal">
      <formula>"欠"</formula>
    </cfRule>
  </conditionalFormatting>
  <conditionalFormatting sqref="R41">
    <cfRule type="cellIs" dxfId="0" priority="418" operator="equal">
      <formula>"欠"</formula>
    </cfRule>
    <cfRule type="containsText" dxfId="1" priority="417" operator="between" text="欠">
      <formula>NOT(ISERROR(SEARCH("欠",R41)))</formula>
    </cfRule>
  </conditionalFormatting>
  <conditionalFormatting sqref="S41">
    <cfRule type="containsText" dxfId="1" priority="416" operator="between" text="欠">
      <formula>NOT(ISERROR(SEARCH("欠",S41)))</formula>
    </cfRule>
    <cfRule type="cellIs" dxfId="0" priority="415" operator="equal">
      <formula>"欠"</formula>
    </cfRule>
  </conditionalFormatting>
  <conditionalFormatting sqref="T41">
    <cfRule type="cellIs" dxfId="0" priority="420" operator="equal">
      <formula>"欠"</formula>
    </cfRule>
    <cfRule type="containsText" dxfId="1" priority="419" operator="between" text="欠">
      <formula>NOT(ISERROR(SEARCH("欠",T41)))</formula>
    </cfRule>
  </conditionalFormatting>
  <conditionalFormatting sqref="U41">
    <cfRule type="cellIs" dxfId="0" priority="421" operator="equal">
      <formula>"欠"</formula>
    </cfRule>
  </conditionalFormatting>
  <conditionalFormatting sqref="V41:W41">
    <cfRule type="cellIs" dxfId="0" priority="422" operator="equal">
      <formula>"欠"</formula>
    </cfRule>
  </conditionalFormatting>
  <conditionalFormatting sqref="R46">
    <cfRule type="cellIs" dxfId="0" priority="399" operator="equal">
      <formula>"欠"</formula>
    </cfRule>
    <cfRule type="containsText" dxfId="1" priority="398" operator="between" text="欠">
      <formula>NOT(ISERROR(SEARCH("欠",R46)))</formula>
    </cfRule>
  </conditionalFormatting>
  <conditionalFormatting sqref="T46">
    <cfRule type="cellIs" dxfId="0" priority="401" operator="equal">
      <formula>"欠"</formula>
    </cfRule>
    <cfRule type="containsText" dxfId="1" priority="400" operator="between" text="欠">
      <formula>NOT(ISERROR(SEARCH("欠",T46)))</formula>
    </cfRule>
  </conditionalFormatting>
  <conditionalFormatting sqref="T48">
    <cfRule type="cellIs" dxfId="0" priority="369" operator="equal">
      <formula>"欠"</formula>
    </cfRule>
    <cfRule type="containsText" dxfId="1" priority="368" operator="between" text="欠">
      <formula>NOT(ISERROR(SEARCH("欠",T48)))</formula>
    </cfRule>
  </conditionalFormatting>
  <conditionalFormatting sqref="R49">
    <cfRule type="cellIs" dxfId="0" priority="363" operator="equal">
      <formula>"欠"</formula>
    </cfRule>
    <cfRule type="containsText" dxfId="1" priority="362" operator="between" text="欠">
      <formula>NOT(ISERROR(SEARCH("欠",R49)))</formula>
    </cfRule>
  </conditionalFormatting>
  <conditionalFormatting sqref="S49">
    <cfRule type="cellIs" dxfId="0" priority="367" operator="equal">
      <formula>"欠"</formula>
    </cfRule>
    <cfRule type="containsText" dxfId="1" priority="366" operator="between" text="欠">
      <formula>NOT(ISERROR(SEARCH("欠",S49)))</formula>
    </cfRule>
  </conditionalFormatting>
  <conditionalFormatting sqref="T49">
    <cfRule type="cellIs" dxfId="0" priority="365" operator="equal">
      <formula>"欠"</formula>
    </cfRule>
    <cfRule type="containsText" dxfId="1" priority="364" operator="between" text="欠">
      <formula>NOT(ISERROR(SEARCH("欠",T49)))</formula>
    </cfRule>
  </conditionalFormatting>
  <conditionalFormatting sqref="R50">
    <cfRule type="cellIs" dxfId="0" priority="432" operator="equal">
      <formula>"欠"</formula>
    </cfRule>
    <cfRule type="containsText" dxfId="1" priority="431" operator="between" text="欠">
      <formula>NOT(ISERROR(SEARCH("欠",R50)))</formula>
    </cfRule>
  </conditionalFormatting>
  <conditionalFormatting sqref="U56">
    <cfRule type="cellIs" dxfId="0" priority="387" operator="equal">
      <formula>"欠"</formula>
    </cfRule>
  </conditionalFormatting>
  <conditionalFormatting sqref="R57">
    <cfRule type="cellIs" dxfId="0" priority="392" operator="equal">
      <formula>"欠"</formula>
    </cfRule>
  </conditionalFormatting>
  <conditionalFormatting sqref="S57">
    <cfRule type="cellIs" dxfId="0" priority="396" operator="equal">
      <formula>"欠"</formula>
    </cfRule>
    <cfRule type="containsText" dxfId="1" priority="395" operator="between" text="欠">
      <formula>NOT(ISERROR(SEARCH("欠",S57)))</formula>
    </cfRule>
  </conditionalFormatting>
  <conditionalFormatting sqref="T57">
    <cfRule type="cellIs" dxfId="0" priority="394" operator="equal">
      <formula>"欠"</formula>
    </cfRule>
    <cfRule type="containsText" dxfId="1" priority="393" operator="between" text="欠">
      <formula>NOT(ISERROR(SEARCH("欠",T57)))</formula>
    </cfRule>
  </conditionalFormatting>
  <conditionalFormatting sqref="U58">
    <cfRule type="cellIs" dxfId="0" priority="404" operator="equal">
      <formula>"欠"</formula>
    </cfRule>
  </conditionalFormatting>
  <conditionalFormatting sqref="U59">
    <cfRule type="cellIs" dxfId="0" priority="427" operator="equal">
      <formula>"欠"</formula>
    </cfRule>
  </conditionalFormatting>
  <conditionalFormatting sqref="V59:W59">
    <cfRule type="cellIs" dxfId="0" priority="428" operator="equal">
      <formula>"欠"</formula>
    </cfRule>
  </conditionalFormatting>
  <conditionalFormatting sqref="V61">
    <cfRule type="cellIs" dxfId="0" priority="374" operator="equal">
      <formula>"欠"</formula>
    </cfRule>
  </conditionalFormatting>
  <conditionalFormatting sqref="T75">
    <cfRule type="cellIs" dxfId="0" priority="359" operator="equal">
      <formula>"欠"</formula>
    </cfRule>
    <cfRule type="containsText" dxfId="1" priority="358" operator="between" text="欠">
      <formula>NOT(ISERROR(SEARCH("欠",T75)))</formula>
    </cfRule>
  </conditionalFormatting>
  <conditionalFormatting sqref="S77">
    <cfRule type="cellIs" dxfId="0" priority="334" operator="equal">
      <formula>"欠"</formula>
    </cfRule>
    <cfRule type="containsText" dxfId="1" priority="333" operator="between" text="欠">
      <formula>NOT(ISERROR(SEARCH("欠",S77)))</formula>
    </cfRule>
  </conditionalFormatting>
  <conditionalFormatting sqref="S87">
    <cfRule type="cellIs" dxfId="0" priority="307" operator="equal">
      <formula>"欠"</formula>
    </cfRule>
    <cfRule type="containsText" dxfId="1" priority="306" operator="between" text="欠">
      <formula>NOT(ISERROR(SEARCH("欠",S87)))</formula>
    </cfRule>
  </conditionalFormatting>
  <conditionalFormatting sqref="S89">
    <cfRule type="containsText" dxfId="1" priority="448" operator="between" text="欠">
      <formula>NOT(ISERROR(SEARCH("欠",S89)))</formula>
    </cfRule>
    <cfRule type="cellIs" dxfId="0" priority="447" operator="equal">
      <formula>"欠"</formula>
    </cfRule>
  </conditionalFormatting>
  <conditionalFormatting sqref="R99">
    <cfRule type="cellIs" dxfId="0" priority="332" operator="equal">
      <formula>"欠"</formula>
    </cfRule>
    <cfRule type="containsText" dxfId="1" priority="331" operator="between" text="欠">
      <formula>NOT(ISERROR(SEARCH("欠",R99)))</formula>
    </cfRule>
  </conditionalFormatting>
  <conditionalFormatting sqref="T99">
    <cfRule type="cellIs" dxfId="0" priority="339" operator="equal">
      <formula>"欠"</formula>
    </cfRule>
    <cfRule type="containsText" dxfId="1" priority="338" operator="between" text="欠">
      <formula>NOT(ISERROR(SEARCH("欠",T99)))</formula>
    </cfRule>
  </conditionalFormatting>
  <conditionalFormatting sqref="U99">
    <cfRule type="cellIs" dxfId="0" priority="340" operator="equal">
      <formula>"欠"</formula>
    </cfRule>
  </conditionalFormatting>
  <conditionalFormatting sqref="V99:W99">
    <cfRule type="cellIs" dxfId="0" priority="341" operator="equal">
      <formula>"欠"</formula>
    </cfRule>
  </conditionalFormatting>
  <conditionalFormatting sqref="R100">
    <cfRule type="cellIs" dxfId="0" priority="320" operator="equal">
      <formula>"欠"</formula>
    </cfRule>
    <cfRule type="containsText" dxfId="1" priority="319" operator="between" text="欠">
      <formula>NOT(ISERROR(SEARCH("欠",R100)))</formula>
    </cfRule>
  </conditionalFormatting>
  <conditionalFormatting sqref="U100">
    <cfRule type="cellIs" dxfId="0" priority="323" operator="equal">
      <formula>"欠"</formula>
    </cfRule>
  </conditionalFormatting>
  <conditionalFormatting sqref="V100:W100">
    <cfRule type="cellIs" dxfId="0" priority="324" operator="equal">
      <formula>"欠"</formula>
    </cfRule>
  </conditionalFormatting>
  <conditionalFormatting sqref="R102">
    <cfRule type="cellIs" dxfId="0" priority="330" operator="equal">
      <formula>"欠"</formula>
    </cfRule>
    <cfRule type="containsText" dxfId="1" priority="329" operator="between" text="欠">
      <formula>NOT(ISERROR(SEARCH("欠",R102)))</formula>
    </cfRule>
  </conditionalFormatting>
  <conditionalFormatting sqref="S102">
    <cfRule type="containsText" dxfId="1" priority="328" operator="between" text="欠">
      <formula>NOT(ISERROR(SEARCH("欠",S102)))</formula>
    </cfRule>
    <cfRule type="cellIs" dxfId="0" priority="327" operator="equal">
      <formula>"欠"</formula>
    </cfRule>
  </conditionalFormatting>
  <conditionalFormatting sqref="T102">
    <cfRule type="containsText" dxfId="1" priority="326" operator="between" text="欠">
      <formula>NOT(ISERROR(SEARCH("欠",T102)))</formula>
    </cfRule>
    <cfRule type="cellIs" dxfId="0" priority="325" operator="equal">
      <formula>"欠"</formula>
    </cfRule>
  </conditionalFormatting>
  <conditionalFormatting sqref="U104">
    <cfRule type="cellIs" dxfId="0" priority="317" operator="equal">
      <formula>"欠"</formula>
    </cfRule>
  </conditionalFormatting>
  <conditionalFormatting sqref="V104:W104">
    <cfRule type="cellIs" dxfId="0" priority="318" operator="equal">
      <formula>"欠"</formula>
    </cfRule>
  </conditionalFormatting>
  <conditionalFormatting sqref="AH104">
    <cfRule type="cellIs" dxfId="0" priority="201" operator="equal">
      <formula>"欠"</formula>
    </cfRule>
    <cfRule type="containsText" dxfId="1" priority="200" operator="between" text="欠">
      <formula>NOT(ISERROR(SEARCH("欠",AH104)))</formula>
    </cfRule>
  </conditionalFormatting>
  <conditionalFormatting sqref="AH108">
    <cfRule type="cellIs" dxfId="0" priority="199" operator="equal">
      <formula>"欠"</formula>
    </cfRule>
    <cfRule type="containsText" dxfId="1" priority="198" operator="between" text="欠">
      <formula>NOT(ISERROR(SEARCH("欠",AH108)))</formula>
    </cfRule>
  </conditionalFormatting>
  <conditionalFormatting sqref="R110">
    <cfRule type="cellIs" dxfId="0" priority="249" operator="equal">
      <formula>"欠"</formula>
    </cfRule>
  </conditionalFormatting>
  <conditionalFormatting sqref="T110">
    <cfRule type="cellIs" dxfId="0" priority="251" operator="equal">
      <formula>"欠"</formula>
    </cfRule>
    <cfRule type="containsText" dxfId="1" priority="250" operator="between" text="欠">
      <formula>NOT(ISERROR(SEARCH("欠",T110)))</formula>
    </cfRule>
  </conditionalFormatting>
  <conditionalFormatting sqref="U110">
    <cfRule type="cellIs" dxfId="0" priority="252" operator="equal">
      <formula>"欠"</formula>
    </cfRule>
  </conditionalFormatting>
  <conditionalFormatting sqref="V110:W110">
    <cfRule type="cellIs" dxfId="0" priority="253" operator="equal">
      <formula>"欠"</formula>
    </cfRule>
  </conditionalFormatting>
  <conditionalFormatting sqref="S111">
    <cfRule type="containsText" dxfId="1" priority="285" operator="between" text="欠">
      <formula>NOT(ISERROR(SEARCH("欠",S111)))</formula>
    </cfRule>
  </conditionalFormatting>
  <conditionalFormatting sqref="T122">
    <cfRule type="containsText" dxfId="1" priority="138" operator="between" text="欠">
      <formula>NOT(ISERROR(SEARCH("欠",T122)))</formula>
    </cfRule>
  </conditionalFormatting>
  <conditionalFormatting sqref="R123">
    <cfRule type="cellIs" dxfId="0" priority="125" operator="equal">
      <formula>"欠"</formula>
    </cfRule>
    <cfRule type="containsText" dxfId="1" priority="124" operator="between" text="欠">
      <formula>NOT(ISERROR(SEARCH("欠",R123)))</formula>
    </cfRule>
  </conditionalFormatting>
  <conditionalFormatting sqref="S123">
    <cfRule type="cellIs" dxfId="0" priority="127" operator="equal">
      <formula>"欠"</formula>
    </cfRule>
    <cfRule type="containsText" dxfId="1" priority="126" operator="between" text="欠">
      <formula>NOT(ISERROR(SEARCH("欠",S123)))</formula>
    </cfRule>
  </conditionalFormatting>
  <conditionalFormatting sqref="T123">
    <cfRule type="cellIs" dxfId="0" priority="123" operator="equal">
      <formula>"欠"</formula>
    </cfRule>
    <cfRule type="containsText" dxfId="1" priority="122" operator="between" text="欠">
      <formula>NOT(ISERROR(SEARCH("欠",T123)))</formula>
    </cfRule>
  </conditionalFormatting>
  <conditionalFormatting sqref="U130">
    <cfRule type="cellIs" dxfId="0" priority="296" operator="equal">
      <formula>"欠"</formula>
    </cfRule>
  </conditionalFormatting>
  <conditionalFormatting sqref="V130:W130">
    <cfRule type="cellIs" dxfId="0" priority="297" operator="equal">
      <formula>"欠"</formula>
    </cfRule>
  </conditionalFormatting>
  <conditionalFormatting sqref="U131">
    <cfRule type="cellIs" dxfId="0" priority="294" operator="equal">
      <formula>"欠"</formula>
    </cfRule>
  </conditionalFormatting>
  <conditionalFormatting sqref="V131:W131">
    <cfRule type="cellIs" dxfId="0" priority="295" operator="equal">
      <formula>"欠"</formula>
    </cfRule>
  </conditionalFormatting>
  <conditionalFormatting sqref="R134">
    <cfRule type="cellIs" dxfId="0" priority="238" operator="equal">
      <formula>"欠"</formula>
    </cfRule>
    <cfRule type="containsText" dxfId="1" priority="237" operator="between" text="欠">
      <formula>NOT(ISERROR(SEARCH("欠",R134)))</formula>
    </cfRule>
  </conditionalFormatting>
  <conditionalFormatting sqref="S134">
    <cfRule type="containsText" dxfId="1" priority="244" operator="between" text="欠">
      <formula>NOT(ISERROR(SEARCH("欠",S134)))</formula>
    </cfRule>
    <cfRule type="cellIs" dxfId="0" priority="243" operator="equal">
      <formula>"欠"</formula>
    </cfRule>
  </conditionalFormatting>
  <conditionalFormatting sqref="T134">
    <cfRule type="cellIs" dxfId="0" priority="242" operator="equal">
      <formula>"欠"</formula>
    </cfRule>
    <cfRule type="containsText" dxfId="1" priority="241" operator="between" text="欠">
      <formula>NOT(ISERROR(SEARCH("欠",T134)))</formula>
    </cfRule>
  </conditionalFormatting>
  <conditionalFormatting sqref="U134">
    <cfRule type="cellIs" dxfId="0" priority="239" operator="equal">
      <formula>"欠"</formula>
    </cfRule>
  </conditionalFormatting>
  <conditionalFormatting sqref="V134:W134">
    <cfRule type="cellIs" dxfId="0" priority="240" operator="equal">
      <formula>"欠"</formula>
    </cfRule>
  </conditionalFormatting>
  <conditionalFormatting sqref="S135">
    <cfRule type="containsText" dxfId="1" priority="263" operator="between" text="欠">
      <formula>NOT(ISERROR(SEARCH("欠",S135)))</formula>
    </cfRule>
    <cfRule type="cellIs" dxfId="0" priority="262" operator="equal">
      <formula>"欠"</formula>
    </cfRule>
  </conditionalFormatting>
  <conditionalFormatting sqref="S138">
    <cfRule type="containsText" dxfId="1" priority="259" operator="between" text="欠">
      <formula>NOT(ISERROR(SEARCH("欠",S138)))</formula>
    </cfRule>
    <cfRule type="cellIs" dxfId="0" priority="258" operator="equal">
      <formula>"欠"</formula>
    </cfRule>
  </conditionalFormatting>
  <conditionalFormatting sqref="T138">
    <cfRule type="containsText" dxfId="1" priority="182" operator="between" text="欠">
      <formula>NOT(ISERROR(SEARCH("欠",T138)))</formula>
    </cfRule>
    <cfRule type="cellIs" dxfId="0" priority="181" operator="equal">
      <formula>"欠"</formula>
    </cfRule>
  </conditionalFormatting>
  <conditionalFormatting sqref="S142">
    <cfRule type="cellIs" dxfId="0" priority="228" operator="equal">
      <formula>"欠"</formula>
    </cfRule>
    <cfRule type="containsText" dxfId="1" priority="227" operator="between" text="欠">
      <formula>NOT(ISERROR(SEARCH("欠",S142)))</formula>
    </cfRule>
  </conditionalFormatting>
  <conditionalFormatting sqref="R145">
    <cfRule type="cellIs" dxfId="0" priority="196" operator="equal">
      <formula>"欠"</formula>
    </cfRule>
    <cfRule type="containsText" dxfId="1" priority="195" operator="between" text="欠">
      <formula>NOT(ISERROR(SEARCH("欠",R145)))</formula>
    </cfRule>
  </conditionalFormatting>
  <conditionalFormatting sqref="R146">
    <cfRule type="cellIs" dxfId="0" priority="289" operator="equal">
      <formula>"欠"</formula>
    </cfRule>
    <cfRule type="containsText" dxfId="1" priority="288" operator="between" text="欠">
      <formula>NOT(ISERROR(SEARCH("欠",R146)))</formula>
    </cfRule>
  </conditionalFormatting>
  <conditionalFormatting sqref="S146">
    <cfRule type="cellIs" dxfId="0" priority="280" operator="equal">
      <formula>"欠"</formula>
    </cfRule>
    <cfRule type="containsText" dxfId="1" priority="279" operator="between" text="欠">
      <formula>NOT(ISERROR(SEARCH("欠",S146)))</formula>
    </cfRule>
  </conditionalFormatting>
  <conditionalFormatting sqref="T146">
    <cfRule type="containsText" dxfId="1" priority="287" operator="between" text="欠">
      <formula>NOT(ISERROR(SEARCH("欠",T146)))</formula>
    </cfRule>
    <cfRule type="cellIs" dxfId="0" priority="286" operator="equal">
      <formula>"欠"</formula>
    </cfRule>
  </conditionalFormatting>
  <conditionalFormatting sqref="U146">
    <cfRule type="cellIs" dxfId="0" priority="290" operator="equal">
      <formula>"欠"</formula>
    </cfRule>
  </conditionalFormatting>
  <conditionalFormatting sqref="V146:W146">
    <cfRule type="cellIs" dxfId="0" priority="291" operator="equal">
      <formula>"欠"</formula>
    </cfRule>
  </conditionalFormatting>
  <conditionalFormatting sqref="R147">
    <cfRule type="cellIs" dxfId="0" priority="271" operator="equal">
      <formula>"欠"</formula>
    </cfRule>
    <cfRule type="containsText" dxfId="1" priority="270" operator="between" text="欠">
      <formula>NOT(ISERROR(SEARCH("欠",R147)))</formula>
    </cfRule>
  </conditionalFormatting>
  <conditionalFormatting sqref="S147">
    <cfRule type="containsText" dxfId="1" priority="269" operator="between" text="欠">
      <formula>NOT(ISERROR(SEARCH("欠",S147)))</formula>
    </cfRule>
    <cfRule type="cellIs" dxfId="0" priority="268" operator="equal">
      <formula>"欠"</formula>
    </cfRule>
  </conditionalFormatting>
  <conditionalFormatting sqref="T147">
    <cfRule type="containsText" dxfId="1" priority="267" operator="between" text="欠">
      <formula>NOT(ISERROR(SEARCH("欠",T147)))</formula>
    </cfRule>
    <cfRule type="cellIs" dxfId="0" priority="266" operator="equal">
      <formula>"欠"</formula>
    </cfRule>
  </conditionalFormatting>
  <conditionalFormatting sqref="R148">
    <cfRule type="cellIs" dxfId="0" priority="213" operator="equal">
      <formula>"欠"</formula>
    </cfRule>
    <cfRule type="containsText" dxfId="1" priority="212" operator="between" text="欠">
      <formula>NOT(ISERROR(SEARCH("欠",R148)))</formula>
    </cfRule>
  </conditionalFormatting>
  <conditionalFormatting sqref="R158">
    <cfRule type="cellIs" dxfId="0" priority="345" operator="equal">
      <formula>"欠"</formula>
    </cfRule>
    <cfRule type="containsText" dxfId="1" priority="344" operator="between" text="欠">
      <formula>NOT(ISERROR(SEARCH("欠",R158)))</formula>
    </cfRule>
  </conditionalFormatting>
  <conditionalFormatting sqref="T158">
    <cfRule type="containsText" dxfId="1" priority="450" operator="between" text="欠">
      <formula>NOT(ISERROR(SEARCH("欠",T158)))</formula>
    </cfRule>
    <cfRule type="cellIs" dxfId="0" priority="449" operator="equal">
      <formula>"欠"</formula>
    </cfRule>
  </conditionalFormatting>
  <conditionalFormatting sqref="U158">
    <cfRule type="cellIs" dxfId="0" priority="455" operator="equal">
      <formula>"欠"</formula>
    </cfRule>
  </conditionalFormatting>
  <conditionalFormatting sqref="R164">
    <cfRule type="cellIs" dxfId="0" priority="203" operator="equal">
      <formula>"欠"</formula>
    </cfRule>
    <cfRule type="containsText" dxfId="1" priority="202" operator="between" text="欠">
      <formula>NOT(ISERROR(SEARCH("欠",R164)))</formula>
    </cfRule>
  </conditionalFormatting>
  <conditionalFormatting sqref="R165">
    <cfRule type="cellIs" dxfId="0" priority="16" operator="equal">
      <formula>"欠"</formula>
    </cfRule>
    <cfRule type="containsText" dxfId="1" priority="15" operator="between" text="欠">
      <formula>NOT(ISERROR(SEARCH("欠",R165)))</formula>
    </cfRule>
  </conditionalFormatting>
  <conditionalFormatting sqref="S165">
    <cfRule type="containsText" dxfId="1" priority="12" operator="between" text="欠">
      <formula>NOT(ISERROR(SEARCH("欠",S165)))</formula>
    </cfRule>
    <cfRule type="cellIs" dxfId="0" priority="11" operator="equal">
      <formula>"欠"</formula>
    </cfRule>
  </conditionalFormatting>
  <conditionalFormatting sqref="T165">
    <cfRule type="containsText" dxfId="1" priority="14" operator="between" text="欠">
      <formula>NOT(ISERROR(SEARCH("欠",T165)))</formula>
    </cfRule>
    <cfRule type="cellIs" dxfId="0" priority="13" operator="equal">
      <formula>"欠"</formula>
    </cfRule>
  </conditionalFormatting>
  <conditionalFormatting sqref="R166">
    <cfRule type="cellIs" dxfId="0" priority="226" operator="equal">
      <formula>"欠"</formula>
    </cfRule>
    <cfRule type="containsText" dxfId="1" priority="225" operator="between" text="欠">
      <formula>NOT(ISERROR(SEARCH("欠",R166)))</formula>
    </cfRule>
  </conditionalFormatting>
  <conditionalFormatting sqref="S168">
    <cfRule type="cellIs" dxfId="0" priority="305" operator="equal">
      <formula>"欠"</formula>
    </cfRule>
    <cfRule type="containsText" dxfId="1" priority="304" operator="between" text="欠">
      <formula>NOT(ISERROR(SEARCH("欠",S168)))</formula>
    </cfRule>
  </conditionalFormatting>
  <conditionalFormatting sqref="U168">
    <cfRule type="cellIs" dxfId="0" priority="197" operator="equal">
      <formula>"欠"</formula>
    </cfRule>
  </conditionalFormatting>
  <conditionalFormatting sqref="R172">
    <cfRule type="cellIs" dxfId="0" priority="278" operator="equal">
      <formula>"欠"</formula>
    </cfRule>
    <cfRule type="containsText" dxfId="1" priority="277" operator="between" text="欠">
      <formula>NOT(ISERROR(SEARCH("欠",R172)))</formula>
    </cfRule>
  </conditionalFormatting>
  <conditionalFormatting sqref="T173">
    <cfRule type="cellIs" dxfId="0" priority="188" operator="equal">
      <formula>"欠"</formula>
    </cfRule>
    <cfRule type="containsText" dxfId="1" priority="187" operator="between" text="欠">
      <formula>NOT(ISERROR(SEARCH("欠",T173)))</formula>
    </cfRule>
  </conditionalFormatting>
  <conditionalFormatting sqref="V173">
    <cfRule type="cellIs" dxfId="0" priority="186" operator="equal">
      <formula>"欠"</formula>
    </cfRule>
  </conditionalFormatting>
  <conditionalFormatting sqref="T174">
    <cfRule type="cellIs" dxfId="0" priority="184" operator="equal">
      <formula>"欠"</formula>
    </cfRule>
    <cfRule type="containsText" dxfId="1" priority="183" operator="between" text="欠">
      <formula>NOT(ISERROR(SEARCH("欠",T174)))</formula>
    </cfRule>
  </conditionalFormatting>
  <conditionalFormatting sqref="V174">
    <cfRule type="cellIs" dxfId="0" priority="164" operator="equal">
      <formula>"欠"</formula>
    </cfRule>
  </conditionalFormatting>
  <conditionalFormatting sqref="R175">
    <cfRule type="cellIs" dxfId="0" priority="207" operator="equal">
      <formula>"欠"</formula>
    </cfRule>
    <cfRule type="containsText" dxfId="1" priority="206" operator="between" text="欠">
      <formula>NOT(ISERROR(SEARCH("欠",R175)))</formula>
    </cfRule>
    <cfRule type="containsText" dxfId="1" priority="205" operator="between" text="欠">
      <formula>NOT(ISERROR(SEARCH("欠",R175)))</formula>
    </cfRule>
  </conditionalFormatting>
  <conditionalFormatting sqref="T175">
    <cfRule type="cellIs" dxfId="0" priority="219" operator="equal">
      <formula>"欠"</formula>
    </cfRule>
    <cfRule type="containsText" dxfId="1" priority="218" operator="between" text="欠">
      <formula>NOT(ISERROR(SEARCH("欠",T175)))</formula>
    </cfRule>
  </conditionalFormatting>
  <conditionalFormatting sqref="T176">
    <cfRule type="cellIs" dxfId="0" priority="230" operator="equal">
      <formula>"欠"</formula>
    </cfRule>
    <cfRule type="containsText" dxfId="1" priority="229" operator="between" text="欠">
      <formula>NOT(ISERROR(SEARCH("欠",T176)))</formula>
    </cfRule>
  </conditionalFormatting>
  <conditionalFormatting sqref="R177">
    <cfRule type="cellIs" dxfId="0" priority="153" operator="equal">
      <formula>"欠"</formula>
    </cfRule>
    <cfRule type="containsText" dxfId="1" priority="152" operator="between" text="欠">
      <formula>NOT(ISERROR(SEARCH("欠",R177)))</formula>
    </cfRule>
  </conditionalFormatting>
  <conditionalFormatting sqref="T177">
    <cfRule type="cellIs" dxfId="0" priority="150" operator="equal">
      <formula>"欠"</formula>
    </cfRule>
    <cfRule type="containsText" dxfId="1" priority="149" operator="between" text="欠">
      <formula>NOT(ISERROR(SEARCH("欠",T177)))</formula>
    </cfRule>
  </conditionalFormatting>
  <conditionalFormatting sqref="U177">
    <cfRule type="cellIs" dxfId="0" priority="151" operator="equal">
      <formula>"欠"</formula>
    </cfRule>
  </conditionalFormatting>
  <conditionalFormatting sqref="V177:W177">
    <cfRule type="cellIs" dxfId="0" priority="154" operator="equal">
      <formula>"欠"</formula>
    </cfRule>
  </conditionalFormatting>
  <conditionalFormatting sqref="U183">
    <cfRule type="cellIs" dxfId="0" priority="120" operator="equal">
      <formula>"欠"</formula>
    </cfRule>
  </conditionalFormatting>
  <conditionalFormatting sqref="V183:W183">
    <cfRule type="cellIs" dxfId="0" priority="121" operator="equal">
      <formula>"欠"</formula>
    </cfRule>
  </conditionalFormatting>
  <conditionalFormatting sqref="U184">
    <cfRule type="cellIs" dxfId="0" priority="116" operator="equal">
      <formula>"欠"</formula>
    </cfRule>
  </conditionalFormatting>
  <conditionalFormatting sqref="V184:W184">
    <cfRule type="cellIs" dxfId="0" priority="117" operator="equal">
      <formula>"欠"</formula>
    </cfRule>
  </conditionalFormatting>
  <conditionalFormatting sqref="R185">
    <cfRule type="cellIs" dxfId="0" priority="343" operator="equal">
      <formula>"欠"</formula>
    </cfRule>
    <cfRule type="containsText" dxfId="1" priority="342" operator="between" text="欠">
      <formula>NOT(ISERROR(SEARCH("欠",R185)))</formula>
    </cfRule>
  </conditionalFormatting>
  <conditionalFormatting sqref="S185">
    <cfRule type="containsText" dxfId="1" priority="347" operator="between" text="欠">
      <formula>NOT(ISERROR(SEARCH("欠",S185)))</formula>
    </cfRule>
    <cfRule type="cellIs" dxfId="0" priority="346" operator="equal">
      <formula>"欠"</formula>
    </cfRule>
  </conditionalFormatting>
  <conditionalFormatting sqref="R188">
    <cfRule type="containsText" dxfId="1" priority="178" operator="between" text="欠">
      <formula>NOT(ISERROR(SEARCH("欠",R188)))</formula>
    </cfRule>
    <cfRule type="containsText" dxfId="1" priority="179" operator="between" text="欠">
      <formula>NOT(ISERROR(SEARCH("欠",R188)))</formula>
    </cfRule>
    <cfRule type="cellIs" dxfId="0" priority="180" operator="equal">
      <formula>"欠"</formula>
    </cfRule>
  </conditionalFormatting>
  <conditionalFormatting sqref="V188">
    <cfRule type="cellIs" dxfId="0" priority="174" operator="equal">
      <formula>"欠"</formula>
    </cfRule>
  </conditionalFormatting>
  <conditionalFormatting sqref="R193">
    <cfRule type="containsText" dxfId="1" priority="157" operator="between" text="欠">
      <formula>NOT(ISERROR(SEARCH("欠",R193)))</formula>
    </cfRule>
    <cfRule type="containsText" dxfId="1" priority="158" operator="between" text="欠">
      <formula>NOT(ISERROR(SEARCH("欠",R193)))</formula>
    </cfRule>
    <cfRule type="cellIs" dxfId="0" priority="159" operator="equal">
      <formula>"欠"</formula>
    </cfRule>
  </conditionalFormatting>
  <conditionalFormatting sqref="S193">
    <cfRule type="containsText" dxfId="1" priority="130" operator="between" text="欠">
      <formula>NOT(ISERROR(SEARCH("欠",S193)))</formula>
    </cfRule>
    <cfRule type="cellIs" dxfId="0" priority="131" operator="equal">
      <formula>"欠"</formula>
    </cfRule>
  </conditionalFormatting>
  <conditionalFormatting sqref="T193">
    <cfRule type="containsText" dxfId="1" priority="128" operator="between" text="欠">
      <formula>NOT(ISERROR(SEARCH("欠",T193)))</formula>
    </cfRule>
    <cfRule type="cellIs" dxfId="0" priority="129" operator="equal">
      <formula>"欠"</formula>
    </cfRule>
  </conditionalFormatting>
  <conditionalFormatting sqref="V193">
    <cfRule type="cellIs" dxfId="0" priority="155" operator="equal">
      <formula>"欠"</formula>
    </cfRule>
  </conditionalFormatting>
  <conditionalFormatting sqref="S195">
    <cfRule type="containsText" dxfId="1" priority="78" operator="between" text="欠">
      <formula>NOT(ISERROR(SEARCH("欠",S195)))</formula>
    </cfRule>
    <cfRule type="cellIs" dxfId="0" priority="79" operator="equal">
      <formula>"欠"</formula>
    </cfRule>
  </conditionalFormatting>
  <conditionalFormatting sqref="T195">
    <cfRule type="containsText" dxfId="1" priority="76" operator="between" text="欠">
      <formula>NOT(ISERROR(SEARCH("欠",T195)))</formula>
    </cfRule>
    <cfRule type="cellIs" dxfId="0" priority="77" operator="equal">
      <formula>"欠"</formula>
    </cfRule>
  </conditionalFormatting>
  <conditionalFormatting sqref="R197">
    <cfRule type="containsText" dxfId="1" priority="143" operator="between" text="欠">
      <formula>NOT(ISERROR(SEARCH("欠",R197)))</formula>
    </cfRule>
    <cfRule type="containsText" dxfId="1" priority="144" operator="between" text="欠">
      <formula>NOT(ISERROR(SEARCH("欠",R197)))</formula>
    </cfRule>
    <cfRule type="cellIs" dxfId="0" priority="145" operator="equal">
      <formula>"欠"</formula>
    </cfRule>
  </conditionalFormatting>
  <conditionalFormatting sqref="S197">
    <cfRule type="containsText" dxfId="1" priority="146" operator="between" text="欠">
      <formula>NOT(ISERROR(SEARCH("欠",S197)))</formula>
    </cfRule>
    <cfRule type="cellIs" dxfId="0" priority="147" operator="equal">
      <formula>"欠"</formula>
    </cfRule>
    <cfRule type="containsText" dxfId="1" priority="148" operator="between" text="欠">
      <formula>NOT(ISERROR(SEARCH("欠",S197)))</formula>
    </cfRule>
  </conditionalFormatting>
  <conditionalFormatting sqref="T197">
    <cfRule type="containsText" dxfId="1" priority="141" operator="between" text="欠">
      <formula>NOT(ISERROR(SEARCH("欠",T197)))</formula>
    </cfRule>
    <cfRule type="cellIs" dxfId="0" priority="142" operator="equal">
      <formula>"欠"</formula>
    </cfRule>
  </conditionalFormatting>
  <conditionalFormatting sqref="V197">
    <cfRule type="cellIs" dxfId="0" priority="162" operator="equal">
      <formula>"欠"</formula>
    </cfRule>
  </conditionalFormatting>
  <conditionalFormatting sqref="R198">
    <cfRule type="containsText" dxfId="1" priority="83" operator="between" text="欠">
      <formula>NOT(ISERROR(SEARCH("欠",R198)))</formula>
    </cfRule>
    <cfRule type="containsText" dxfId="1" priority="84" operator="between" text="欠">
      <formula>NOT(ISERROR(SEARCH("欠",R198)))</formula>
    </cfRule>
    <cfRule type="cellIs" dxfId="0" priority="85" operator="equal">
      <formula>"欠"</formula>
    </cfRule>
  </conditionalFormatting>
  <conditionalFormatting sqref="S198">
    <cfRule type="containsText" dxfId="1" priority="80" operator="between" text="欠">
      <formula>NOT(ISERROR(SEARCH("欠",S198)))</formula>
    </cfRule>
    <cfRule type="cellIs" dxfId="0" priority="81" operator="equal">
      <formula>"欠"</formula>
    </cfRule>
    <cfRule type="containsText" dxfId="1" priority="82" operator="between" text="欠">
      <formula>NOT(ISERROR(SEARCH("欠",S198)))</formula>
    </cfRule>
  </conditionalFormatting>
  <conditionalFormatting sqref="T198">
    <cfRule type="cellIs" dxfId="0" priority="103" operator="equal">
      <formula>"欠"</formula>
    </cfRule>
    <cfRule type="containsText" dxfId="1" priority="104" operator="between" text="欠">
      <formula>NOT(ISERROR(SEARCH("欠",T198)))</formula>
    </cfRule>
  </conditionalFormatting>
  <conditionalFormatting sqref="U198">
    <cfRule type="cellIs" dxfId="0" priority="105" operator="equal">
      <formula>"欠"</formula>
    </cfRule>
  </conditionalFormatting>
  <conditionalFormatting sqref="V198">
    <cfRule type="cellIs" dxfId="0" priority="101" operator="equal">
      <formula>"欠"</formula>
    </cfRule>
  </conditionalFormatting>
  <conditionalFormatting sqref="W198">
    <cfRule type="cellIs" dxfId="0" priority="102" operator="equal">
      <formula>"欠"</formula>
    </cfRule>
  </conditionalFormatting>
  <conditionalFormatting sqref="V199">
    <cfRule type="cellIs" dxfId="0" priority="110" operator="equal">
      <formula>"欠"</formula>
    </cfRule>
  </conditionalFormatting>
  <conditionalFormatting sqref="V200">
    <cfRule type="cellIs" dxfId="0" priority="106" operator="equal">
      <formula>"欠"</formula>
    </cfRule>
  </conditionalFormatting>
  <conditionalFormatting sqref="R201">
    <cfRule type="containsText" dxfId="1" priority="60" operator="between" text="欠">
      <formula>NOT(ISERROR(SEARCH("欠",R201)))</formula>
    </cfRule>
    <cfRule type="cellIs" dxfId="0" priority="61" operator="equal">
      <formula>"欠"</formula>
    </cfRule>
  </conditionalFormatting>
  <conditionalFormatting sqref="S201">
    <cfRule type="containsText" dxfId="1" priority="62" operator="between" text="欠">
      <formula>NOT(ISERROR(SEARCH("欠",S201)))</formula>
    </cfRule>
  </conditionalFormatting>
  <conditionalFormatting sqref="T201">
    <cfRule type="containsText" dxfId="1" priority="58" operator="between" text="欠">
      <formula>NOT(ISERROR(SEARCH("欠",T201)))</formula>
    </cfRule>
    <cfRule type="cellIs" dxfId="0" priority="59" operator="equal">
      <formula>"欠"</formula>
    </cfRule>
  </conditionalFormatting>
  <conditionalFormatting sqref="U201">
    <cfRule type="cellIs" dxfId="0" priority="67" operator="equal">
      <formula>"欠"</formula>
    </cfRule>
  </conditionalFormatting>
  <conditionalFormatting sqref="V201">
    <cfRule type="cellIs" dxfId="0" priority="65" operator="equal">
      <formula>"欠"</formula>
    </cfRule>
  </conditionalFormatting>
  <conditionalFormatting sqref="W201">
    <cfRule type="cellIs" dxfId="0" priority="66" operator="equal">
      <formula>"欠"</formula>
    </cfRule>
  </conditionalFormatting>
  <conditionalFormatting sqref="V202">
    <cfRule type="cellIs" dxfId="0" priority="193" operator="equal">
      <formula>"欠"</formula>
    </cfRule>
  </conditionalFormatting>
  <conditionalFormatting sqref="V203">
    <cfRule type="cellIs" dxfId="0" priority="167" operator="equal">
      <formula>"欠"</formula>
    </cfRule>
  </conditionalFormatting>
  <conditionalFormatting sqref="W203">
    <cfRule type="cellIs" dxfId="0" priority="170" operator="equal">
      <formula>"欠"</formula>
    </cfRule>
  </conditionalFormatting>
  <conditionalFormatting sqref="V204">
    <cfRule type="cellIs" dxfId="0" priority="166" operator="equal">
      <formula>"欠"</formula>
    </cfRule>
  </conditionalFormatting>
  <conditionalFormatting sqref="W204">
    <cfRule type="cellIs" dxfId="0" priority="169" operator="equal">
      <formula>"欠"</formula>
    </cfRule>
  </conditionalFormatting>
  <conditionalFormatting sqref="V212">
    <cfRule type="cellIs" dxfId="0" priority="112" operator="equal">
      <formula>"欠"</formula>
    </cfRule>
  </conditionalFormatting>
  <conditionalFormatting sqref="V213">
    <cfRule type="cellIs" dxfId="0" priority="108" operator="equal">
      <formula>"欠"</formula>
    </cfRule>
  </conditionalFormatting>
  <conditionalFormatting sqref="S219">
    <cfRule type="containsText" dxfId="1" priority="56" operator="between" text="欠">
      <formula>NOT(ISERROR(SEARCH("欠",S219)))</formula>
    </cfRule>
    <cfRule type="cellIs" dxfId="0" priority="57" operator="equal">
      <formula>"欠"</formula>
    </cfRule>
  </conditionalFormatting>
  <conditionalFormatting sqref="R220">
    <cfRule type="containsText" dxfId="1" priority="35" operator="between" text="欠">
      <formula>NOT(ISERROR(SEARCH("欠",R220)))</formula>
    </cfRule>
    <cfRule type="cellIs" dxfId="0" priority="36" operator="equal">
      <formula>"欠"</formula>
    </cfRule>
  </conditionalFormatting>
  <conditionalFormatting sqref="T220">
    <cfRule type="containsText" dxfId="1" priority="23" operator="between" text="欠">
      <formula>NOT(ISERROR(SEARCH("欠",T220)))</formula>
    </cfRule>
  </conditionalFormatting>
  <conditionalFormatting sqref="U220">
    <cfRule type="cellIs" dxfId="0" priority="55" operator="equal">
      <formula>"欠"</formula>
    </cfRule>
  </conditionalFormatting>
  <conditionalFormatting sqref="R221">
    <cfRule type="containsText" dxfId="1" priority="17" operator="between" text="欠">
      <formula>NOT(ISERROR(SEARCH("欠",R221)))</formula>
    </cfRule>
    <cfRule type="cellIs" dxfId="0" priority="18" operator="equal">
      <formula>"欠"</formula>
    </cfRule>
  </conditionalFormatting>
  <conditionalFormatting sqref="S221">
    <cfRule type="containsText" dxfId="1" priority="19" operator="between" text="欠">
      <formula>NOT(ISERROR(SEARCH("欠",S221)))</formula>
    </cfRule>
  </conditionalFormatting>
  <conditionalFormatting sqref="T221">
    <cfRule type="containsText" dxfId="1" priority="8" operator="between" text="欠">
      <formula>NOT(ISERROR(SEARCH("欠",T221)))</formula>
    </cfRule>
    <cfRule type="cellIs" dxfId="0" priority="9" operator="equal">
      <formula>"欠"</formula>
    </cfRule>
    <cfRule type="containsText" dxfId="1" priority="10" operator="between" text="欠">
      <formula>NOT(ISERROR(SEARCH("欠",T221)))</formula>
    </cfRule>
  </conditionalFormatting>
  <conditionalFormatting sqref="U221">
    <cfRule type="cellIs" dxfId="0" priority="22" operator="equal">
      <formula>"欠"</formula>
    </cfRule>
  </conditionalFormatting>
  <conditionalFormatting sqref="V221">
    <cfRule type="cellIs" dxfId="0" priority="20" operator="equal">
      <formula>"欠"</formula>
    </cfRule>
  </conditionalFormatting>
  <conditionalFormatting sqref="W221">
    <cfRule type="cellIs" dxfId="0" priority="21" operator="equal">
      <formula>"欠"</formula>
    </cfRule>
  </conditionalFormatting>
  <conditionalFormatting sqref="U223">
    <cfRule type="cellIs" dxfId="0" priority="42" operator="equal">
      <formula>"欠"</formula>
    </cfRule>
  </conditionalFormatting>
  <conditionalFormatting sqref="V223">
    <cfRule type="cellIs" dxfId="0" priority="40" operator="equal">
      <formula>"欠"</formula>
    </cfRule>
  </conditionalFormatting>
  <conditionalFormatting sqref="W223">
    <cfRule type="cellIs" dxfId="0" priority="41" operator="equal">
      <formula>"欠"</formula>
    </cfRule>
  </conditionalFormatting>
  <conditionalFormatting sqref="R224">
    <cfRule type="containsText" dxfId="1" priority="47" operator="between" text="欠">
      <formula>NOT(ISERROR(SEARCH("欠",R224)))</formula>
    </cfRule>
    <cfRule type="containsText" dxfId="1" priority="48" operator="between" text="欠">
      <formula>NOT(ISERROR(SEARCH("欠",R224)))</formula>
    </cfRule>
    <cfRule type="cellIs" dxfId="0" priority="49" operator="equal">
      <formula>"欠"</formula>
    </cfRule>
  </conditionalFormatting>
  <conditionalFormatting sqref="S224">
    <cfRule type="containsText" dxfId="1" priority="50" operator="between" text="欠">
      <formula>NOT(ISERROR(SEARCH("欠",S224)))</formula>
    </cfRule>
    <cfRule type="cellIs" dxfId="0" priority="51" operator="equal">
      <formula>"欠"</formula>
    </cfRule>
    <cfRule type="containsText" dxfId="1" priority="52" operator="between" text="欠">
      <formula>NOT(ISERROR(SEARCH("欠",S224)))</formula>
    </cfRule>
  </conditionalFormatting>
  <conditionalFormatting sqref="T224">
    <cfRule type="containsText" dxfId="1" priority="43" operator="between" text="欠">
      <formula>NOT(ISERROR(SEARCH("欠",T224)))</formula>
    </cfRule>
    <cfRule type="cellIs" dxfId="0" priority="44" operator="equal">
      <formula>"欠"</formula>
    </cfRule>
  </conditionalFormatting>
  <conditionalFormatting sqref="U224">
    <cfRule type="cellIs" dxfId="0" priority="46" operator="equal">
      <formula>"欠"</formula>
    </cfRule>
  </conditionalFormatting>
  <conditionalFormatting sqref="V224:W224">
    <cfRule type="cellIs" dxfId="0" priority="45" operator="equal">
      <formula>"欠"</formula>
    </cfRule>
  </conditionalFormatting>
  <conditionalFormatting sqref="U225">
    <cfRule type="cellIs" dxfId="0" priority="39" operator="equal">
      <formula>"欠"</formula>
    </cfRule>
  </conditionalFormatting>
  <conditionalFormatting sqref="V225:W225">
    <cfRule type="cellIs" dxfId="0" priority="38" operator="equal">
      <formula>"欠"</formula>
    </cfRule>
  </conditionalFormatting>
  <conditionalFormatting sqref="R237">
    <cfRule type="containsText" dxfId="1" priority="5" operator="between" text="欠">
      <formula>NOT(ISERROR(SEARCH("欠",R237)))</formula>
    </cfRule>
    <cfRule type="cellIs" dxfId="0" priority="6" operator="equal">
      <formula>"欠"</formula>
    </cfRule>
  </conditionalFormatting>
  <conditionalFormatting sqref="S237">
    <cfRule type="cellIs" dxfId="0" priority="3" operator="equal">
      <formula>"欠"</formula>
    </cfRule>
    <cfRule type="containsText" dxfId="1" priority="4" operator="between" text="欠">
      <formula>NOT(ISERROR(SEARCH("欠",S237)))</formula>
    </cfRule>
  </conditionalFormatting>
  <conditionalFormatting sqref="T237">
    <cfRule type="cellIs" dxfId="0" priority="1" operator="equal">
      <formula>"欠"</formula>
    </cfRule>
    <cfRule type="containsText" dxfId="1" priority="2" operator="between" text="欠">
      <formula>NOT(ISERROR(SEARCH("欠",T237)))</formula>
    </cfRule>
  </conditionalFormatting>
  <conditionalFormatting sqref="U237:W237">
    <cfRule type="cellIs" dxfId="0" priority="7" operator="equal">
      <formula>"欠"</formula>
    </cfRule>
  </conditionalFormatting>
  <conditionalFormatting sqref="S245">
    <cfRule type="cellIs" dxfId="0" priority="503" operator="equal">
      <formula>"欠"</formula>
    </cfRule>
  </conditionalFormatting>
  <conditionalFormatting sqref="T245:W245">
    <cfRule type="cellIs" dxfId="0" priority="502" operator="equal">
      <formula>"欠"</formula>
    </cfRule>
  </conditionalFormatting>
  <conditionalFormatting sqref="R246">
    <cfRule type="cellIs" dxfId="0" priority="501" operator="equal">
      <formula>"欠"</formula>
    </cfRule>
  </conditionalFormatting>
  <conditionalFormatting sqref="S246">
    <cfRule type="containsText" dxfId="1" priority="500" operator="between" text="欠">
      <formula>NOT(ISERROR(SEARCH("欠",S246)))</formula>
    </cfRule>
  </conditionalFormatting>
  <conditionalFormatting sqref="T246:W246">
    <cfRule type="containsText" dxfId="1" priority="499" operator="between" text="欠">
      <formula>NOT(ISERROR(SEARCH("欠",T246)))</formula>
    </cfRule>
  </conditionalFormatting>
  <conditionalFormatting sqref="R11:R13">
    <cfRule type="cellIs" dxfId="0" priority="488" operator="equal">
      <formula>"欠"</formula>
    </cfRule>
    <cfRule type="containsText" dxfId="1" priority="487" operator="between" text="欠">
      <formula>NOT(ISERROR(SEARCH("欠",R11)))</formula>
    </cfRule>
  </conditionalFormatting>
  <conditionalFormatting sqref="R27:R31">
    <cfRule type="cellIs" dxfId="0" priority="469" operator="equal">
      <formula>"欠"</formula>
    </cfRule>
    <cfRule type="containsText" dxfId="1" priority="468" operator="between" text="欠">
      <formula>NOT(ISERROR(SEARCH("欠",R27)))</formula>
    </cfRule>
  </conditionalFormatting>
  <conditionalFormatting sqref="R64:R72">
    <cfRule type="cellIs" dxfId="0" priority="408" operator="equal">
      <formula>"欠"</formula>
    </cfRule>
    <cfRule type="containsText" dxfId="1" priority="407" operator="between" text="欠">
      <formula>NOT(ISERROR(SEARCH("欠",R64)))</formula>
    </cfRule>
  </conditionalFormatting>
  <conditionalFormatting sqref="R79:R80">
    <cfRule type="cellIs" dxfId="0" priority="390" operator="equal">
      <formula>"欠"</formula>
    </cfRule>
    <cfRule type="containsText" dxfId="1" priority="389" operator="between" text="欠">
      <formula>NOT(ISERROR(SEARCH("欠",R79)))</formula>
    </cfRule>
  </conditionalFormatting>
  <conditionalFormatting sqref="R83:R84">
    <cfRule type="cellIs" dxfId="0" priority="356" operator="equal">
      <formula>"欠"</formula>
    </cfRule>
    <cfRule type="containsText" dxfId="1" priority="355" operator="between" text="欠">
      <formula>NOT(ISERROR(SEARCH("欠",R83)))</formula>
    </cfRule>
  </conditionalFormatting>
  <conditionalFormatting sqref="R104:R108">
    <cfRule type="cellIs" dxfId="0" priority="312" operator="equal">
      <formula>"欠"</formula>
    </cfRule>
  </conditionalFormatting>
  <conditionalFormatting sqref="R113:R116">
    <cfRule type="cellIs" dxfId="0" priority="272" operator="equal">
      <formula>"欠"</formula>
    </cfRule>
  </conditionalFormatting>
  <conditionalFormatting sqref="R130:R132">
    <cfRule type="cellIs" dxfId="0" priority="265" operator="equal">
      <formula>"欠"</formula>
    </cfRule>
    <cfRule type="containsText" dxfId="1" priority="264" operator="between" text="欠">
      <formula>NOT(ISERROR(SEARCH("欠",R130)))</formula>
    </cfRule>
  </conditionalFormatting>
  <conditionalFormatting sqref="R173:R174">
    <cfRule type="cellIs" dxfId="0" priority="192" operator="equal">
      <formula>"欠"</formula>
    </cfRule>
    <cfRule type="containsText" dxfId="1" priority="191" operator="between" text="欠">
      <formula>NOT(ISERROR(SEARCH("欠",R173)))</formula>
    </cfRule>
    <cfRule type="containsText" dxfId="1" priority="190" operator="between" text="欠">
      <formula>NOT(ISERROR(SEARCH("欠",R173)))</formula>
    </cfRule>
  </conditionalFormatting>
  <conditionalFormatting sqref="R183:R184">
    <cfRule type="cellIs" dxfId="0" priority="115" operator="equal">
      <formula>"欠"</formula>
    </cfRule>
    <cfRule type="containsText" dxfId="1" priority="114" operator="between" text="欠">
      <formula>NOT(ISERROR(SEARCH("欠",R183)))</formula>
    </cfRule>
  </conditionalFormatting>
  <conditionalFormatting sqref="R189:R190">
    <cfRule type="containsText" dxfId="1" priority="132" operator="between" text="欠">
      <formula>NOT(ISERROR(SEARCH("欠",R189)))</formula>
    </cfRule>
    <cfRule type="containsText" dxfId="1" priority="133" operator="between" text="欠">
      <formula>NOT(ISERROR(SEARCH("欠",R189)))</formula>
    </cfRule>
    <cfRule type="cellIs" dxfId="0" priority="134" operator="equal">
      <formula>"欠"</formula>
    </cfRule>
  </conditionalFormatting>
  <conditionalFormatting sqref="R195:R196">
    <cfRule type="containsText" dxfId="1" priority="74" operator="between" text="欠">
      <formula>NOT(ISERROR(SEARCH("欠",R195)))</formula>
    </cfRule>
    <cfRule type="cellIs" dxfId="0" priority="75" operator="equal">
      <formula>"欠"</formula>
    </cfRule>
  </conditionalFormatting>
  <conditionalFormatting sqref="R199:R200">
    <cfRule type="containsText" dxfId="1" priority="97" operator="between" text="欠">
      <formula>NOT(ISERROR(SEARCH("欠",R199)))</formula>
    </cfRule>
    <cfRule type="cellIs" dxfId="0" priority="98" operator="equal">
      <formula>"欠"</formula>
    </cfRule>
  </conditionalFormatting>
  <conditionalFormatting sqref="R207:R210">
    <cfRule type="containsText" dxfId="1" priority="68" operator="between" text="欠">
      <formula>NOT(ISERROR(SEARCH("欠",R207)))</formula>
    </cfRule>
    <cfRule type="cellIs" dxfId="0" priority="69" operator="equal">
      <formula>"欠"</formula>
    </cfRule>
  </conditionalFormatting>
  <conditionalFormatting sqref="R212:R216">
    <cfRule type="containsText" dxfId="1" priority="89" operator="between" text="欠">
      <formula>NOT(ISERROR(SEARCH("欠",R212)))</formula>
    </cfRule>
    <cfRule type="containsText" dxfId="1" priority="90" operator="between" text="欠">
      <formula>NOT(ISERROR(SEARCH("欠",R212)))</formula>
    </cfRule>
    <cfRule type="cellIs" dxfId="0" priority="91" operator="equal">
      <formula>"欠"</formula>
    </cfRule>
  </conditionalFormatting>
  <conditionalFormatting sqref="R238:R240">
    <cfRule type="containsText" dxfId="1" priority="208" operator="between" text="欠">
      <formula>NOT(ISERROR(SEARCH("欠",R238)))</formula>
    </cfRule>
    <cfRule type="cellIs" dxfId="0" priority="209" operator="equal">
      <formula>"欠"</formula>
    </cfRule>
  </conditionalFormatting>
  <conditionalFormatting sqref="R241:R244">
    <cfRule type="containsText" dxfId="1" priority="31" operator="between" text="欠">
      <formula>NOT(ISERROR(SEARCH("欠",R241)))</formula>
    </cfRule>
    <cfRule type="cellIs" dxfId="0" priority="32" operator="equal">
      <formula>"欠"</formula>
    </cfRule>
  </conditionalFormatting>
  <conditionalFormatting sqref="R247:R251">
    <cfRule type="cellIs" dxfId="0" priority="498" operator="equal">
      <formula>"欠"</formula>
    </cfRule>
  </conditionalFormatting>
  <conditionalFormatting sqref="S59:S60">
    <cfRule type="containsText" dxfId="1" priority="414" operator="between" text="欠">
      <formula>NOT(ISERROR(SEARCH("欠",S59)))</formula>
    </cfRule>
    <cfRule type="cellIs" dxfId="0" priority="413" operator="equal">
      <formula>"欠"</formula>
    </cfRule>
  </conditionalFormatting>
  <conditionalFormatting sqref="S105:S107">
    <cfRule type="cellIs" dxfId="0" priority="311" operator="equal">
      <formula>"欠"</formula>
    </cfRule>
    <cfRule type="containsText" dxfId="1" priority="310" operator="between" text="欠">
      <formula>NOT(ISERROR(SEARCH("欠",S105)))</formula>
    </cfRule>
  </conditionalFormatting>
  <conditionalFormatting sqref="S124:S128">
    <cfRule type="cellIs" dxfId="0" priority="248" operator="equal">
      <formula>"欠"</formula>
    </cfRule>
    <cfRule type="containsText" dxfId="1" priority="247" operator="between" text="欠">
      <formula>NOT(ISERROR(SEARCH("欠",S124)))</formula>
    </cfRule>
  </conditionalFormatting>
  <conditionalFormatting sqref="S189:S190">
    <cfRule type="containsText" dxfId="1" priority="135" operator="between" text="欠">
      <formula>NOT(ISERROR(SEARCH("欠",S189)))</formula>
    </cfRule>
    <cfRule type="cellIs" dxfId="0" priority="136" operator="equal">
      <formula>"欠"</formula>
    </cfRule>
    <cfRule type="containsText" dxfId="1" priority="137" operator="between" text="欠">
      <formula>NOT(ISERROR(SEARCH("欠",S189)))</formula>
    </cfRule>
  </conditionalFormatting>
  <conditionalFormatting sqref="S199:S200">
    <cfRule type="cellIs" dxfId="0" priority="95" operator="equal">
      <formula>"欠"</formula>
    </cfRule>
    <cfRule type="containsText" dxfId="1" priority="96" operator="between" text="欠">
      <formula>NOT(ISERROR(SEARCH("欠",S199)))</formula>
    </cfRule>
  </conditionalFormatting>
  <conditionalFormatting sqref="S212:S214">
    <cfRule type="containsText" dxfId="1" priority="92" operator="between" text="欠">
      <formula>NOT(ISERROR(SEARCH("欠",S212)))</formula>
    </cfRule>
    <cfRule type="cellIs" dxfId="0" priority="93" operator="equal">
      <formula>"欠"</formula>
    </cfRule>
    <cfRule type="containsText" dxfId="1" priority="94" operator="between" text="欠">
      <formula>NOT(ISERROR(SEARCH("欠",S212)))</formula>
    </cfRule>
  </conditionalFormatting>
  <conditionalFormatting sqref="S241:S244">
    <cfRule type="cellIs" dxfId="0" priority="29" operator="equal">
      <formula>"欠"</formula>
    </cfRule>
    <cfRule type="containsText" dxfId="1" priority="30" operator="between" text="欠">
      <formula>NOT(ISERROR(SEARCH("欠",S241)))</formula>
    </cfRule>
  </conditionalFormatting>
  <conditionalFormatting sqref="S247:S251">
    <cfRule type="cellIs" dxfId="0" priority="496" operator="equal">
      <formula>"欠"</formula>
    </cfRule>
    <cfRule type="containsText" dxfId="1" priority="497" operator="between" text="欠">
      <formula>NOT(ISERROR(SEARCH("欠",S247)))</formula>
    </cfRule>
  </conditionalFormatting>
  <conditionalFormatting sqref="T52:T54">
    <cfRule type="containsText" dxfId="1" priority="336" operator="between" text="欠">
      <formula>NOT(ISERROR(SEARCH("欠",T52)))</formula>
    </cfRule>
    <cfRule type="cellIs" dxfId="0" priority="335" operator="equal">
      <formula>"欠"</formula>
    </cfRule>
  </conditionalFormatting>
  <conditionalFormatting sqref="T59:T60">
    <cfRule type="containsText" dxfId="1" priority="410" operator="between" text="欠">
      <formula>NOT(ISERROR(SEARCH("欠",T59)))</formula>
    </cfRule>
    <cfRule type="cellIs" dxfId="0" priority="409" operator="equal">
      <formula>"欠"</formula>
    </cfRule>
  </conditionalFormatting>
  <conditionalFormatting sqref="T83:T84">
    <cfRule type="containsText" dxfId="1" priority="357" operator="between" text="欠">
      <formula>NOT(ISERROR(SEARCH("欠",T83)))</formula>
    </cfRule>
  </conditionalFormatting>
  <conditionalFormatting sqref="T105:T107">
    <cfRule type="cellIs" dxfId="0" priority="309" operator="equal">
      <formula>"欠"</formula>
    </cfRule>
    <cfRule type="containsText" dxfId="1" priority="308" operator="between" text="欠">
      <formula>NOT(ISERROR(SEARCH("欠",T105)))</formula>
    </cfRule>
  </conditionalFormatting>
  <conditionalFormatting sqref="T124:T128">
    <cfRule type="cellIs" dxfId="0" priority="246" operator="equal">
      <formula>"欠"</formula>
    </cfRule>
    <cfRule type="containsText" dxfId="1" priority="245" operator="between" text="欠">
      <formula>NOT(ISERROR(SEARCH("欠",T124)))</formula>
    </cfRule>
  </conditionalFormatting>
  <conditionalFormatting sqref="T143:T144">
    <cfRule type="cellIs" dxfId="0" priority="140" operator="equal">
      <formula>"欠"</formula>
    </cfRule>
    <cfRule type="containsText" dxfId="1" priority="139" operator="between" text="欠">
      <formula>NOT(ISERROR(SEARCH("欠",T143)))</formula>
    </cfRule>
  </conditionalFormatting>
  <conditionalFormatting sqref="T183:T184">
    <cfRule type="cellIs" dxfId="0" priority="119" operator="equal">
      <formula>"欠"</formula>
    </cfRule>
    <cfRule type="containsText" dxfId="1" priority="118" operator="between" text="欠">
      <formula>NOT(ISERROR(SEARCH("欠",T183)))</formula>
    </cfRule>
  </conditionalFormatting>
  <conditionalFormatting sqref="T188:T190">
    <cfRule type="containsText" dxfId="1" priority="175" operator="between" text="欠">
      <formula>NOT(ISERROR(SEARCH("欠",T188)))</formula>
    </cfRule>
    <cfRule type="cellIs" dxfId="0" priority="176" operator="equal">
      <formula>"欠"</formula>
    </cfRule>
  </conditionalFormatting>
  <conditionalFormatting sqref="T191:T192">
    <cfRule type="containsText" dxfId="1" priority="221" operator="between" text="欠">
      <formula>NOT(ISERROR(SEARCH("欠",T191)))</formula>
    </cfRule>
    <cfRule type="cellIs" dxfId="0" priority="222" operator="equal">
      <formula>"欠"</formula>
    </cfRule>
  </conditionalFormatting>
  <conditionalFormatting sqref="T199:T200">
    <cfRule type="containsText" dxfId="1" priority="99" operator="between" text="欠">
      <formula>NOT(ISERROR(SEARCH("欠",T199)))</formula>
    </cfRule>
    <cfRule type="cellIs" dxfId="0" priority="100" operator="equal">
      <formula>"欠"</formula>
    </cfRule>
  </conditionalFormatting>
  <conditionalFormatting sqref="T212:T216">
    <cfRule type="containsText" dxfId="1" priority="86" operator="between" text="欠">
      <formula>NOT(ISERROR(SEARCH("欠",T212)))</formula>
    </cfRule>
    <cfRule type="cellIs" dxfId="0" priority="87" operator="equal">
      <formula>"欠"</formula>
    </cfRule>
    <cfRule type="containsText" dxfId="1" priority="88" operator="between" text="欠">
      <formula>NOT(ISERROR(SEARCH("欠",T212)))</formula>
    </cfRule>
  </conditionalFormatting>
  <conditionalFormatting sqref="T238:T240">
    <cfRule type="containsText" dxfId="1" priority="214" operator="between" text="欠">
      <formula>NOT(ISERROR(SEARCH("欠",T238)))</formula>
    </cfRule>
    <cfRule type="cellIs" dxfId="0" priority="215" operator="equal">
      <formula>"欠"</formula>
    </cfRule>
  </conditionalFormatting>
  <conditionalFormatting sqref="T241:T244">
    <cfRule type="cellIs" dxfId="0" priority="33" operator="equal">
      <formula>"欠"</formula>
    </cfRule>
    <cfRule type="containsText" dxfId="1" priority="34" operator="between" text="欠">
      <formula>NOT(ISERROR(SEARCH("欠",T241)))</formula>
    </cfRule>
  </conditionalFormatting>
  <conditionalFormatting sqref="U27:U31">
    <cfRule type="cellIs" dxfId="0" priority="470" operator="equal">
      <formula>"欠"</formula>
    </cfRule>
  </conditionalFormatting>
  <conditionalFormatting sqref="U214:U216">
    <cfRule type="cellIs" dxfId="0" priority="64" operator="equal">
      <formula>"欠"</formula>
    </cfRule>
  </conditionalFormatting>
  <conditionalFormatting sqref="U238:U244">
    <cfRule type="cellIs" dxfId="0" priority="217" operator="equal">
      <formula>"欠"</formula>
    </cfRule>
  </conditionalFormatting>
  <conditionalFormatting sqref="V189:V190">
    <cfRule type="cellIs" dxfId="0" priority="160" operator="equal">
      <formula>"欠"</formula>
    </cfRule>
  </conditionalFormatting>
  <conditionalFormatting sqref="R1:W2 R253:W65544">
    <cfRule type="cellIs" dxfId="0" priority="508" operator="equal">
      <formula>"欠"</formula>
    </cfRule>
  </conditionalFormatting>
  <conditionalFormatting sqref="R3:T10 R14:T16 R19:T26 R33:T33 S18:T18 R36:T37 S34:T34 S46 S99:S101 R88:T88 S139 S161 S143:S145 S173:S174 S164 S183:S184 S192 R245:T251">
    <cfRule type="containsText" dxfId="1" priority="490" operator="between" text="欠">
      <formula>NOT(ISERROR(SEARCH("欠",R3)))</formula>
    </cfRule>
  </conditionalFormatting>
  <conditionalFormatting sqref="R4:W4 R5:T10 R14:T16 R19:T24 S18:T18 R25:S26 R33:S33 R36:T37 S34:T34 S46 S99:S101 R88:T88 S161 S173:S174 S143:S145 S164 S139 S183:S184 S192">
    <cfRule type="cellIs" dxfId="0" priority="505" operator="equal">
      <formula>"欠"</formula>
    </cfRule>
  </conditionalFormatting>
  <conditionalFormatting sqref="U7:W10 V12:W13 U14:W16 U19:W24 U18 U34 V35:W35 U36:W37 V38:W40 V42:W42 V64:V72 V57 V47:V48 V43:V45 V60:W60 V52:W54 V74:W78 U88:W88 U140:W140 U137 V151:W157 U143:W144 V138:W139 U136:W136 V129:W129 U150:W150 V145:W145 U162:W163 U120:W120 V170:W171 V118:W119 U167 W167 U186:U187 U169:W169 U147:W147 V185:W185 U133:W133 U123:W128 U172:W172 V222:W222 R252:W252 R245">
    <cfRule type="cellIs" dxfId="0" priority="507" operator="equal">
      <formula>"欠"</formula>
    </cfRule>
  </conditionalFormatting>
  <conditionalFormatting sqref="S11:T13">
    <cfRule type="cellIs" dxfId="0" priority="477" operator="equal">
      <formula>"欠"</formula>
    </cfRule>
    <cfRule type="containsText" dxfId="1" priority="476" operator="between" text="欠">
      <formula>NOT(ISERROR(SEARCH("欠",S11)))</formula>
    </cfRule>
  </conditionalFormatting>
  <conditionalFormatting sqref="U11:W11 U12:U13">
    <cfRule type="cellIs" dxfId="0" priority="489" operator="equal">
      <formula>"欠"</formula>
    </cfRule>
  </conditionalFormatting>
  <conditionalFormatting sqref="V17:W18">
    <cfRule type="cellIs" dxfId="0" priority="486" operator="equal">
      <formula>"欠"</formula>
    </cfRule>
  </conditionalFormatting>
  <conditionalFormatting sqref="R18 R34">
    <cfRule type="cellIs" dxfId="0" priority="485" operator="equal">
      <formula>"欠"</formula>
    </cfRule>
    <cfRule type="containsText" dxfId="1" priority="484" operator="between" text="欠">
      <formula>NOT(ISERROR(SEARCH("欠",R18)))</formula>
    </cfRule>
  </conditionalFormatting>
  <conditionalFormatting sqref="T25:T26 T33">
    <cfRule type="cellIs" dxfId="0" priority="491" operator="equal">
      <formula>"欠"</formula>
    </cfRule>
  </conditionalFormatting>
  <conditionalFormatting sqref="U25:W26 V34:W34 U33:W33 V27:W31">
    <cfRule type="cellIs" dxfId="0" priority="492" operator="equal">
      <formula>"欠"</formula>
    </cfRule>
  </conditionalFormatting>
  <conditionalFormatting sqref="S27:T31">
    <cfRule type="cellIs" dxfId="0" priority="467" operator="equal">
      <formula>"欠"</formula>
    </cfRule>
    <cfRule type="containsText" dxfId="1" priority="466" operator="between" text="欠">
      <formula>NOT(ISERROR(SEARCH("欠",S27)))</formula>
    </cfRule>
  </conditionalFormatting>
  <conditionalFormatting sqref="R32:S32 S74 S81:S82 S98 S129 S159:S160 S202">
    <cfRule type="cellIs" dxfId="0" priority="426" operator="equal">
      <formula>"欠"</formula>
    </cfRule>
  </conditionalFormatting>
  <conditionalFormatting sqref="R32:T32 S74:T74 S81:T82 T78 S98:T98 T90:T91 T97 T85:T87 S159:T160 T170:T171 S129:T129 T185 T222 S202:T202">
    <cfRule type="containsText" dxfId="1" priority="423" operator="between" text="欠">
      <formula>NOT(ISERROR(SEARCH("欠",R32)))</formula>
    </cfRule>
  </conditionalFormatting>
  <conditionalFormatting sqref="T32 T74 T81:T82 T78 T97:T98 T90:T91 T85:T87 T170:T171 T159:T160 T129 T185 T222 T202">
    <cfRule type="cellIs" dxfId="0" priority="424" operator="equal">
      <formula>"欠"</formula>
    </cfRule>
  </conditionalFormatting>
  <conditionalFormatting sqref="R35 R47:R48 R58 R150 R162:R163 R186:R187 R167 R169">
    <cfRule type="containsText" dxfId="1" priority="453" operator="between" text="欠">
      <formula>NOT(ISERROR(SEARCH("欠",R35)))</formula>
    </cfRule>
    <cfRule type="cellIs" dxfId="0" priority="454" operator="equal">
      <formula>"欠"</formula>
    </cfRule>
  </conditionalFormatting>
  <conditionalFormatting sqref="S35 S47 S58">
    <cfRule type="cellIs" dxfId="0" priority="442" operator="equal">
      <formula>"欠"</formula>
    </cfRule>
    <cfRule type="containsText" dxfId="1" priority="441" operator="between" text="欠">
      <formula>NOT(ISERROR(SEARCH("欠",S35)))</formula>
    </cfRule>
  </conditionalFormatting>
  <conditionalFormatting sqref="T35 T47 T58">
    <cfRule type="cellIs" dxfId="0" priority="444" operator="equal">
      <formula>"欠"</formula>
    </cfRule>
    <cfRule type="containsText" dxfId="1" priority="443" operator="between" text="欠">
      <formula>NOT(ISERROR(SEARCH("欠",T35)))</formula>
    </cfRule>
  </conditionalFormatting>
  <conditionalFormatting sqref="U38:U40 U35 U42:U45 U90:U98 U62:U72 U51:U54 U60 U57 U47:U48 U74:U78 U81:U87 U103 U170:U171 U138:U139 U145 U117:U119 U148 U159:U161 U141 U164 U129 U151:U157 U178:U182 U185 U203:U205 U222 U226:U236 U194:U196 U217:U219">
    <cfRule type="cellIs" dxfId="0" priority="465" operator="equal">
      <formula>"欠"</formula>
    </cfRule>
  </conditionalFormatting>
  <conditionalFormatting sqref="R38 R62:R63 R43:R45 R51 R76:R77 R92:R96 R103 R141 R117:R119 R151:R157 R178:R182 R194 R226:R236 R217:R219 R203:R205">
    <cfRule type="containsText" dxfId="1" priority="463" operator="between" text="欠">
      <formula>NOT(ISERROR(SEARCH("欠",R38)))</formula>
    </cfRule>
    <cfRule type="cellIs" dxfId="0" priority="464" operator="equal">
      <formula>"欠"</formula>
    </cfRule>
  </conditionalFormatting>
  <conditionalFormatting sqref="S38:T38 T39 T42 S51:T51 T64:T72 S43:T45 S62:S63 S76 S103 S92:S96 S141 S117:S119 S151:S157 S178:S182 S194 S226:S236 S217:S218 S203:S205">
    <cfRule type="containsText" dxfId="1" priority="461" operator="between" text="欠">
      <formula>NOT(ISERROR(SEARCH("欠",S38)))</formula>
    </cfRule>
    <cfRule type="cellIs" dxfId="0" priority="462" operator="equal">
      <formula>"欠"</formula>
    </cfRule>
  </conditionalFormatting>
  <conditionalFormatting sqref="R39:R40 R42 R52:R54">
    <cfRule type="cellIs" dxfId="0" priority="440" operator="equal">
      <formula>"欠"</formula>
    </cfRule>
    <cfRule type="containsText" dxfId="1" priority="439" operator="between" text="欠">
      <formula>NOT(ISERROR(SEARCH("欠",R39)))</formula>
    </cfRule>
  </conditionalFormatting>
  <conditionalFormatting sqref="S39:S40 S42 S64:S72 S52:S54">
    <cfRule type="containsText" dxfId="1" priority="438" operator="between" text="欠">
      <formula>NOT(ISERROR(SEARCH("欠",S39)))</formula>
    </cfRule>
    <cfRule type="cellIs" dxfId="0" priority="437" operator="equal">
      <formula>"欠"</formula>
    </cfRule>
  </conditionalFormatting>
  <conditionalFormatting sqref="W64:W72 W47:W48 W43:W45 W57">
    <cfRule type="cellIs" dxfId="0" priority="406" operator="equal">
      <formula>"欠"</formula>
    </cfRule>
  </conditionalFormatting>
  <conditionalFormatting sqref="U46 U49">
    <cfRule type="cellIs" dxfId="0" priority="402" operator="equal">
      <formula>"欠"</formula>
    </cfRule>
  </conditionalFormatting>
  <conditionalFormatting sqref="V46 V49">
    <cfRule type="cellIs" dxfId="0" priority="403" operator="equal">
      <formula>"欠"</formula>
    </cfRule>
  </conditionalFormatting>
  <conditionalFormatting sqref="W46 W49">
    <cfRule type="cellIs" dxfId="0" priority="397" operator="equal">
      <formula>"欠"</formula>
    </cfRule>
  </conditionalFormatting>
  <conditionalFormatting sqref="S48 S109:S110 S113:S116">
    <cfRule type="cellIs" dxfId="0" priority="371" operator="equal">
      <formula>"欠"</formula>
    </cfRule>
    <cfRule type="containsText" dxfId="1" priority="370" operator="between" text="欠">
      <formula>NOT(ISERROR(SEARCH("欠",S48)))</formula>
    </cfRule>
  </conditionalFormatting>
  <conditionalFormatting sqref="S50 S73 S79:S80">
    <cfRule type="containsText" dxfId="1" priority="430" operator="between" text="欠">
      <formula>NOT(ISERROR(SEARCH("欠",S50)))</formula>
    </cfRule>
    <cfRule type="cellIs" dxfId="0" priority="429" operator="equal">
      <formula>"欠"</formula>
    </cfRule>
  </conditionalFormatting>
  <conditionalFormatting sqref="T50 T79:T80">
    <cfRule type="cellIs" dxfId="0" priority="434" operator="equal">
      <formula>"欠"</formula>
    </cfRule>
    <cfRule type="containsText" dxfId="1" priority="433" operator="between" text="欠">
      <formula>NOT(ISERROR(SEARCH("欠",T50)))</formula>
    </cfRule>
  </conditionalFormatting>
  <conditionalFormatting sqref="U50 U73 U79:U80">
    <cfRule type="cellIs" dxfId="0" priority="435" operator="equal">
      <formula>"欠"</formula>
    </cfRule>
  </conditionalFormatting>
  <conditionalFormatting sqref="V50:W50 W79:W87 W90:W97">
    <cfRule type="cellIs" dxfId="0" priority="436" operator="equal">
      <formula>"欠"</formula>
    </cfRule>
  </conditionalFormatting>
  <conditionalFormatting sqref="V51:W51 V58:W58">
    <cfRule type="cellIs" dxfId="0" priority="405" operator="equal">
      <formula>"欠"</formula>
    </cfRule>
  </conditionalFormatting>
  <conditionalFormatting sqref="R55 R61">
    <cfRule type="cellIs" dxfId="0" priority="373" operator="equal">
      <formula>"欠"</formula>
    </cfRule>
    <cfRule type="containsText" dxfId="1" priority="372" operator="between" text="欠">
      <formula>NOT(ISERROR(SEARCH("欠",R55)))</formula>
    </cfRule>
  </conditionalFormatting>
  <conditionalFormatting sqref="S55 S61">
    <cfRule type="containsText" dxfId="1" priority="384" operator="between" text="欠">
      <formula>NOT(ISERROR(SEARCH("欠",S55)))</formula>
    </cfRule>
    <cfRule type="cellIs" dxfId="0" priority="383" operator="equal">
      <formula>"欠"</formula>
    </cfRule>
  </conditionalFormatting>
  <conditionalFormatting sqref="T55 T61 T186:T187">
    <cfRule type="cellIs" dxfId="0" priority="381" operator="equal">
      <formula>"欠"</formula>
    </cfRule>
    <cfRule type="containsText" dxfId="1" priority="382" operator="between" text="欠">
      <formula>NOT(ISERROR(SEARCH("欠",T55)))</formula>
    </cfRule>
  </conditionalFormatting>
  <conditionalFormatting sqref="U55 U61">
    <cfRule type="cellIs" dxfId="0" priority="385" operator="equal">
      <formula>"欠"</formula>
    </cfRule>
  </conditionalFormatting>
  <conditionalFormatting sqref="V55:W55 W61 W186:W187">
    <cfRule type="cellIs" dxfId="0" priority="386" operator="equal">
      <formula>"欠"</formula>
    </cfRule>
  </conditionalFormatting>
  <conditionalFormatting sqref="R73 R56">
    <cfRule type="cellIs" dxfId="0" priority="380" operator="equal">
      <formula>"欠"</formula>
    </cfRule>
    <cfRule type="containsText" dxfId="1" priority="379" operator="between" text="欠">
      <formula>NOT(ISERROR(SEARCH("欠",R56)))</formula>
    </cfRule>
  </conditionalFormatting>
  <conditionalFormatting sqref="S56 S78 S97">
    <cfRule type="containsText" dxfId="1" priority="378" operator="between" text="欠">
      <formula>NOT(ISERROR(SEARCH("欠",S56)))</formula>
    </cfRule>
    <cfRule type="cellIs" dxfId="0" priority="377" operator="equal">
      <formula>"欠"</formula>
    </cfRule>
  </conditionalFormatting>
  <conditionalFormatting sqref="T56 T62:T63 T73 T76:T77 T103 T92:T96 T141 T117:T119 T151:T157 T178:T182 T194 T226:T236 T217:T219 T203:T205">
    <cfRule type="cellIs" dxfId="0" priority="375" operator="equal">
      <formula>"欠"</formula>
    </cfRule>
    <cfRule type="containsText" dxfId="1" priority="376" operator="between" text="欠">
      <formula>NOT(ISERROR(SEARCH("欠",T56)))</formula>
    </cfRule>
  </conditionalFormatting>
  <conditionalFormatting sqref="V73:W73 V62:W63 V56:W56">
    <cfRule type="cellIs" dxfId="0" priority="388" operator="equal">
      <formula>"欠"</formula>
    </cfRule>
  </conditionalFormatting>
  <conditionalFormatting sqref="R59:R60 R74:R75 R81:R82 R78 R85:R87 R90:R91 R97:R98 R159:R161 R129 R139:R140 R143:R144 R202">
    <cfRule type="containsText" dxfId="1" priority="411" operator="between" text="欠">
      <formula>NOT(ISERROR(SEARCH("欠",R59)))</formula>
    </cfRule>
    <cfRule type="cellIs" dxfId="0" priority="412" operator="equal">
      <formula>"欠"</formula>
    </cfRule>
  </conditionalFormatting>
  <conditionalFormatting sqref="S75 S85:S86 S140">
    <cfRule type="cellIs" dxfId="0" priority="361" operator="equal">
      <formula>"欠"</formula>
    </cfRule>
    <cfRule type="containsText" dxfId="1" priority="360" operator="between" text="欠">
      <formula>NOT(ISERROR(SEARCH("欠",S75)))</formula>
    </cfRule>
  </conditionalFormatting>
  <conditionalFormatting sqref="V79:V87 V90:V97">
    <cfRule type="cellIs" dxfId="0" priority="391" operator="equal">
      <formula>"欠"</formula>
    </cfRule>
  </conditionalFormatting>
  <conditionalFormatting sqref="S83:S84 S90:S91">
    <cfRule type="containsText" dxfId="1" priority="354" operator="between" text="欠">
      <formula>NOT(ISERROR(SEARCH("欠",S83)))</formula>
    </cfRule>
  </conditionalFormatting>
  <conditionalFormatting sqref="R89 R109 R101 R168">
    <cfRule type="cellIs" dxfId="0" priority="446" operator="equal">
      <formula>"欠"</formula>
    </cfRule>
    <cfRule type="containsText" dxfId="1" priority="445" operator="between" text="欠">
      <formula>NOT(ISERROR(SEARCH("欠",R89)))</formula>
    </cfRule>
  </conditionalFormatting>
  <conditionalFormatting sqref="T89 T109 T101 T113:T116 T168">
    <cfRule type="cellIs" dxfId="0" priority="458" operator="equal">
      <formula>"欠"</formula>
    </cfRule>
    <cfRule type="containsText" dxfId="1" priority="457" operator="between" text="欠">
      <formula>NOT(ISERROR(SEARCH("欠",T89)))</formula>
    </cfRule>
  </conditionalFormatting>
  <conditionalFormatting sqref="U101:U102 U105:U109 U111:U116 U89 U122">
    <cfRule type="cellIs" dxfId="0" priority="459" operator="equal">
      <formula>"欠"</formula>
    </cfRule>
  </conditionalFormatting>
  <conditionalFormatting sqref="V98:W98 V89:W89 V105:W109 V111:W116 V101:W103 V149:W149 V121:W122 V168:W168">
    <cfRule type="cellIs" dxfId="0" priority="460" operator="equal">
      <formula>"欠"</formula>
    </cfRule>
  </conditionalFormatting>
  <conditionalFormatting sqref="T100 T139 T145">
    <cfRule type="cellIs" dxfId="0" priority="322" operator="equal">
      <formula>"欠"</formula>
    </cfRule>
    <cfRule type="containsText" dxfId="1" priority="321" operator="between" text="欠">
      <formula>NOT(ISERROR(SEARCH("欠",T100)))</formula>
    </cfRule>
  </conditionalFormatting>
  <conditionalFormatting sqref="S104 S108">
    <cfRule type="cellIs" dxfId="0" priority="316" operator="equal">
      <formula>"欠"</formula>
    </cfRule>
    <cfRule type="containsText" dxfId="1" priority="315" operator="between" text="欠">
      <formula>NOT(ISERROR(SEARCH("欠",S104)))</formula>
    </cfRule>
  </conditionalFormatting>
  <conditionalFormatting sqref="T104 T108">
    <cfRule type="cellIs" dxfId="0" priority="314" operator="equal">
      <formula>"欠"</formula>
    </cfRule>
    <cfRule type="containsText" dxfId="1" priority="313" operator="between" text="欠">
      <formula>NOT(ISERROR(SEARCH("欠",T104)))</formula>
    </cfRule>
  </conditionalFormatting>
  <conditionalFormatting sqref="R111:R112 R122">
    <cfRule type="cellIs" dxfId="0" priority="283" operator="equal">
      <formula>"欠"</formula>
    </cfRule>
    <cfRule type="containsText" dxfId="1" priority="282" operator="between" text="欠">
      <formula>NOT(ISERROR(SEARCH("欠",R111)))</formula>
    </cfRule>
  </conditionalFormatting>
  <conditionalFormatting sqref="T111:T112 T121 T149">
    <cfRule type="containsText" dxfId="1" priority="284" operator="between" text="欠">
      <formula>NOT(ISERROR(SEARCH("欠",T111)))</formula>
    </cfRule>
  </conditionalFormatting>
  <conditionalFormatting sqref="S112 S121:S122 S149">
    <cfRule type="containsText" dxfId="1" priority="281" operator="between" text="欠">
      <formula>NOT(ISERROR(SEARCH("欠",S112)))</formula>
    </cfRule>
  </conditionalFormatting>
  <conditionalFormatting sqref="V117:W117 V137:W137">
    <cfRule type="cellIs" dxfId="0" priority="337" operator="equal">
      <formula>"欠"</formula>
    </cfRule>
  </conditionalFormatting>
  <conditionalFormatting sqref="R120 R170:R171 R136:R137 R124:R128 R133 R222">
    <cfRule type="containsText" dxfId="1" priority="482" operator="between" text="欠">
      <formula>NOT(ISERROR(SEARCH("欠",R120)))</formula>
    </cfRule>
    <cfRule type="cellIs" dxfId="0" priority="483" operator="equal">
      <formula>"欠"</formula>
    </cfRule>
  </conditionalFormatting>
  <conditionalFormatting sqref="S120 S166 S130:S133 S136:S137 S222">
    <cfRule type="cellIs" dxfId="0" priority="480" operator="equal">
      <formula>"欠"</formula>
    </cfRule>
    <cfRule type="containsText" dxfId="1" priority="481" operator="between" text="欠">
      <formula>NOT(ISERROR(SEARCH("欠",S120)))</formula>
    </cfRule>
  </conditionalFormatting>
  <conditionalFormatting sqref="T120 T136:T137 T133 T140">
    <cfRule type="containsText" dxfId="1" priority="479" operator="between" text="欠">
      <formula>NOT(ISERROR(SEARCH("欠",T120)))</formula>
    </cfRule>
    <cfRule type="cellIs" dxfId="0" priority="478" operator="equal">
      <formula>"欠"</formula>
    </cfRule>
  </conditionalFormatting>
  <conditionalFormatting sqref="R121 R149">
    <cfRule type="cellIs" dxfId="0" priority="224" operator="equal">
      <formula>"欠"</formula>
    </cfRule>
  </conditionalFormatting>
  <conditionalFormatting sqref="T130:T132 T166">
    <cfRule type="cellIs" dxfId="0" priority="303" operator="equal">
      <formula>"欠"</formula>
    </cfRule>
    <cfRule type="containsText" dxfId="1" priority="302" operator="between" text="欠">
      <formula>NOT(ISERROR(SEARCH("欠",T130)))</formula>
    </cfRule>
  </conditionalFormatting>
  <conditionalFormatting sqref="U132 U166">
    <cfRule type="cellIs" dxfId="0" priority="292" operator="equal">
      <formula>"欠"</formula>
    </cfRule>
  </conditionalFormatting>
  <conditionalFormatting sqref="V132:W132 V141:W141 V166:W166">
    <cfRule type="cellIs" dxfId="0" priority="293" operator="equal">
      <formula>"欠"</formula>
    </cfRule>
  </conditionalFormatting>
  <conditionalFormatting sqref="R135 R138 R142">
    <cfRule type="cellIs" dxfId="0" priority="299" operator="equal">
      <formula>"欠"</formula>
    </cfRule>
    <cfRule type="containsText" dxfId="1" priority="298" operator="between" text="欠">
      <formula>NOT(ISERROR(SEARCH("欠",R135)))</formula>
    </cfRule>
  </conditionalFormatting>
  <conditionalFormatting sqref="T135 T142">
    <cfRule type="containsText" dxfId="1" priority="261" operator="between" text="欠">
      <formula>NOT(ISERROR(SEARCH("欠",T135)))</formula>
    </cfRule>
    <cfRule type="cellIs" dxfId="0" priority="260" operator="equal">
      <formula>"欠"</formula>
    </cfRule>
  </conditionalFormatting>
  <conditionalFormatting sqref="U135 U142">
    <cfRule type="cellIs" dxfId="0" priority="300" operator="equal">
      <formula>"欠"</formula>
    </cfRule>
  </conditionalFormatting>
  <conditionalFormatting sqref="V135:W135 V142:W142">
    <cfRule type="cellIs" dxfId="0" priority="301" operator="equal">
      <formula>"欠"</formula>
    </cfRule>
  </conditionalFormatting>
  <conditionalFormatting sqref="S148 S206">
    <cfRule type="cellIs" dxfId="0" priority="210" operator="equal">
      <formula>"欠"</formula>
    </cfRule>
    <cfRule type="containsText" dxfId="1" priority="211" operator="between" text="欠">
      <formula>NOT(ISERROR(SEARCH("欠",S148)))</formula>
    </cfRule>
  </conditionalFormatting>
  <conditionalFormatting sqref="T161 T164 T148 T206">
    <cfRule type="containsText" dxfId="1" priority="256" operator="between" text="欠">
      <formula>NOT(ISERROR(SEARCH("欠",T148)))</formula>
    </cfRule>
    <cfRule type="cellIs" dxfId="0" priority="257" operator="equal">
      <formula>"欠"</formula>
    </cfRule>
  </conditionalFormatting>
  <conditionalFormatting sqref="V158:W161 V148:W148 V164:W164">
    <cfRule type="cellIs" dxfId="0" priority="456" operator="equal">
      <formula>"欠"</formula>
    </cfRule>
  </conditionalFormatting>
  <conditionalFormatting sqref="S186:S187 S167 S150 S162:S163">
    <cfRule type="cellIs" dxfId="0" priority="352" operator="equal">
      <formula>"欠"</formula>
    </cfRule>
    <cfRule type="containsText" dxfId="1" priority="353" operator="between" text="欠">
      <formula>NOT(ISERROR(SEARCH("欠",S150)))</formula>
    </cfRule>
  </conditionalFormatting>
  <conditionalFormatting sqref="T150 T162:T163 T167">
    <cfRule type="containsText" dxfId="1" priority="351" operator="between" text="欠">
      <formula>NOT(ISERROR(SEARCH("欠",T150)))</formula>
    </cfRule>
    <cfRule type="cellIs" dxfId="0" priority="350" operator="equal">
      <formula>"欠"</formula>
    </cfRule>
  </conditionalFormatting>
  <conditionalFormatting sqref="S158 S238:S240">
    <cfRule type="cellIs" dxfId="0" priority="451" operator="equal">
      <formula>"欠"</formula>
    </cfRule>
    <cfRule type="containsText" dxfId="1" priority="452" operator="between" text="欠">
      <formula>NOT(ISERROR(SEARCH("欠",S158)))</formula>
    </cfRule>
  </conditionalFormatting>
  <conditionalFormatting sqref="U175:W175 U165:W165">
    <cfRule type="cellIs" dxfId="0" priority="220" operator="equal">
      <formula>"欠"</formula>
    </cfRule>
  </conditionalFormatting>
  <conditionalFormatting sqref="V186:V187 V167">
    <cfRule type="cellIs" dxfId="0" priority="255" operator="equal">
      <formula>"欠"</formula>
    </cfRule>
  </conditionalFormatting>
  <conditionalFormatting sqref="S175 S169:S172">
    <cfRule type="containsText" dxfId="1" priority="276" operator="between" text="欠">
      <formula>NOT(ISERROR(SEARCH("欠",S169)))</formula>
    </cfRule>
    <cfRule type="cellIs" dxfId="0" priority="275" operator="equal">
      <formula>"欠"</formula>
    </cfRule>
  </conditionalFormatting>
  <conditionalFormatting sqref="T172 T169">
    <cfRule type="containsText" dxfId="1" priority="274" operator="between" text="欠">
      <formula>NOT(ISERROR(SEARCH("欠",T169)))</formula>
    </cfRule>
    <cfRule type="cellIs" dxfId="0" priority="273" operator="equal">
      <formula>"欠"</formula>
    </cfRule>
  </conditionalFormatting>
  <conditionalFormatting sqref="U173 W173">
    <cfRule type="cellIs" dxfId="0" priority="189" operator="equal">
      <formula>"欠"</formula>
    </cfRule>
  </conditionalFormatting>
  <conditionalFormatting sqref="U174 W174">
    <cfRule type="cellIs" dxfId="0" priority="185" operator="equal">
      <formula>"欠"</formula>
    </cfRule>
  </conditionalFormatting>
  <conditionalFormatting sqref="R176 R191:R192">
    <cfRule type="containsText" dxfId="1" priority="231" operator="between" text="欠">
      <formula>NOT(ISERROR(SEARCH("欠",R176)))</formula>
    </cfRule>
    <cfRule type="containsText" dxfId="1" priority="232" operator="between" text="欠">
      <formula>NOT(ISERROR(SEARCH("欠",R176)))</formula>
    </cfRule>
    <cfRule type="cellIs" dxfId="0" priority="233" operator="equal">
      <formula>"欠"</formula>
    </cfRule>
  </conditionalFormatting>
  <conditionalFormatting sqref="S176:S177 S188 S191">
    <cfRule type="containsText" dxfId="1" priority="234" operator="between" text="欠">
      <formula>NOT(ISERROR(SEARCH("欠",S176)))</formula>
    </cfRule>
    <cfRule type="cellIs" dxfId="0" priority="235" operator="equal">
      <formula>"欠"</formula>
    </cfRule>
    <cfRule type="containsText" dxfId="1" priority="236" operator="between" text="欠">
      <formula>NOT(ISERROR(SEARCH("欠",S176)))</formula>
    </cfRule>
  </conditionalFormatting>
  <conditionalFormatting sqref="U176:W176 V178:W182">
    <cfRule type="cellIs" dxfId="0" priority="254" operator="equal">
      <formula>"欠"</formula>
    </cfRule>
  </conditionalFormatting>
  <conditionalFormatting sqref="U188 W188">
    <cfRule type="cellIs" dxfId="0" priority="177" operator="equal">
      <formula>"欠"</formula>
    </cfRule>
  </conditionalFormatting>
  <conditionalFormatting sqref="U189:U190 W189:W190">
    <cfRule type="cellIs" dxfId="0" priority="161" operator="equal">
      <formula>"欠"</formula>
    </cfRule>
  </conditionalFormatting>
  <conditionalFormatting sqref="W194:W196 U191:U192 W191:W192">
    <cfRule type="cellIs" dxfId="0" priority="223" operator="equal">
      <formula>"欠"</formula>
    </cfRule>
  </conditionalFormatting>
  <conditionalFormatting sqref="V194:V196 V191:V192">
    <cfRule type="cellIs" dxfId="0" priority="204" operator="equal">
      <formula>"欠"</formula>
    </cfRule>
  </conditionalFormatting>
  <conditionalFormatting sqref="U193 W193">
    <cfRule type="cellIs" dxfId="0" priority="156" operator="equal">
      <formula>"欠"</formula>
    </cfRule>
  </conditionalFormatting>
  <conditionalFormatting sqref="S196 S207:S211">
    <cfRule type="containsText" dxfId="1" priority="72" operator="between" text="欠">
      <formula>NOT(ISERROR(SEARCH("欠",S196)))</formula>
    </cfRule>
    <cfRule type="cellIs" dxfId="0" priority="73" operator="equal">
      <formula>"欠"</formula>
    </cfRule>
  </conditionalFormatting>
  <conditionalFormatting sqref="T196 T207:T211">
    <cfRule type="containsText" dxfId="1" priority="70" operator="between" text="欠">
      <formula>NOT(ISERROR(SEARCH("欠",T196)))</formula>
    </cfRule>
    <cfRule type="cellIs" dxfId="0" priority="71" operator="equal">
      <formula>"欠"</formula>
    </cfRule>
  </conditionalFormatting>
  <conditionalFormatting sqref="U197 W197">
    <cfRule type="cellIs" dxfId="0" priority="163" operator="equal">
      <formula>"欠"</formula>
    </cfRule>
  </conditionalFormatting>
  <conditionalFormatting sqref="U199 W199">
    <cfRule type="cellIs" dxfId="0" priority="111" operator="equal">
      <formula>"欠"</formula>
    </cfRule>
  </conditionalFormatting>
  <conditionalFormatting sqref="U200 W200">
    <cfRule type="cellIs" dxfId="0" priority="107" operator="equal">
      <formula>"欠"</formula>
    </cfRule>
  </conditionalFormatting>
  <conditionalFormatting sqref="U202 W202">
    <cfRule type="cellIs" dxfId="0" priority="194" operator="equal">
      <formula>"欠"</formula>
    </cfRule>
  </conditionalFormatting>
  <conditionalFormatting sqref="U206:U211 W217:W219 W205:W211">
    <cfRule type="cellIs" dxfId="0" priority="168" operator="equal">
      <formula>"欠"</formula>
    </cfRule>
  </conditionalFormatting>
  <conditionalFormatting sqref="V205:V211 V217:V219">
    <cfRule type="cellIs" dxfId="0" priority="165" operator="equal">
      <formula>"欠"</formula>
    </cfRule>
  </conditionalFormatting>
  <conditionalFormatting sqref="R206 R211">
    <cfRule type="containsText" dxfId="1" priority="171" operator="between" text="欠">
      <formula>NOT(ISERROR(SEARCH("欠",R206)))</formula>
    </cfRule>
    <cfRule type="containsText" dxfId="1" priority="172" operator="between" text="欠">
      <formula>NOT(ISERROR(SEARCH("欠",R206)))</formula>
    </cfRule>
    <cfRule type="cellIs" dxfId="0" priority="173" operator="equal">
      <formula>"欠"</formula>
    </cfRule>
  </conditionalFormatting>
  <conditionalFormatting sqref="U212 W212">
    <cfRule type="cellIs" dxfId="0" priority="113" operator="equal">
      <formula>"欠"</formula>
    </cfRule>
  </conditionalFormatting>
  <conditionalFormatting sqref="U213 W213">
    <cfRule type="cellIs" dxfId="0" priority="109" operator="equal">
      <formula>"欠"</formula>
    </cfRule>
  </conditionalFormatting>
  <conditionalFormatting sqref="V214:W216">
    <cfRule type="cellIs" dxfId="0" priority="63" operator="equal">
      <formula>"欠"</formula>
    </cfRule>
  </conditionalFormatting>
  <conditionalFormatting sqref="S220 S215:S216">
    <cfRule type="containsText" dxfId="1" priority="37" operator="between" text="欠">
      <formula>NOT(ISERROR(SEARCH("欠",S215)))</formula>
    </cfRule>
  </conditionalFormatting>
  <conditionalFormatting sqref="V220 V226:V236">
    <cfRule type="cellIs" dxfId="0" priority="53" operator="equal">
      <formula>"欠"</formula>
    </cfRule>
  </conditionalFormatting>
  <conditionalFormatting sqref="W220 W226:W236">
    <cfRule type="cellIs" dxfId="0" priority="54" operator="equal">
      <formula>"欠"</formula>
    </cfRule>
  </conditionalFormatting>
  <conditionalFormatting sqref="R223 R225">
    <cfRule type="containsText" dxfId="1" priority="26" operator="between" text="欠">
      <formula>NOT(ISERROR(SEARCH("欠",R223)))</formula>
    </cfRule>
    <cfRule type="cellIs" dxfId="0" priority="27" operator="equal">
      <formula>"欠"</formula>
    </cfRule>
  </conditionalFormatting>
  <conditionalFormatting sqref="S223 S225">
    <cfRule type="containsText" dxfId="1" priority="28" operator="between" text="欠">
      <formula>NOT(ISERROR(SEARCH("欠",S223)))</formula>
    </cfRule>
  </conditionalFormatting>
  <conditionalFormatting sqref="T223 T225">
    <cfRule type="containsText" dxfId="1" priority="24" operator="between" text="欠">
      <formula>NOT(ISERROR(SEARCH("欠",T223)))</formula>
    </cfRule>
    <cfRule type="cellIs" dxfId="0" priority="25" operator="equal">
      <formula>"欠"</formula>
    </cfRule>
  </conditionalFormatting>
  <conditionalFormatting sqref="V238:W244">
    <cfRule type="cellIs" dxfId="0" priority="216" operator="equal">
      <formula>"欠"</formula>
    </cfRule>
  </conditionalFormatting>
  <conditionalFormatting sqref="T247:W251">
    <cfRule type="cellIs" dxfId="0" priority="494" operator="equal">
      <formula>"欠"</formula>
    </cfRule>
    <cfRule type="containsText" dxfId="1" priority="495" operator="between" text="欠">
      <formula>NOT(ISERROR(SEARCH("欠",T247)))</formula>
    </cfRule>
  </conditionalFormatting>
  <dataValidations count="1">
    <dataValidation type="list" allowBlank="1" showInputMessage="1" showErrorMessage="1" sqref="S165 S221 S223:S225">
      <formula1>"有,无"</formula1>
    </dataValidation>
  </dataValidations>
  <pageMargins left="0" right="0.0791666666666667" top="0.388888888888889" bottom="0.509027777777778" header="0.5" footer="0.5"/>
  <pageSetup paperSize="9" scale="10" orientation="portrait" horizontalDpi="600"/>
  <headerFooter alignWithMargins="0" scaleWithDoc="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FF00"/>
    <pageSetUpPr fitToPage="1"/>
  </sheetPr>
  <dimension ref="A1:BR65028"/>
  <sheetViews>
    <sheetView tabSelected="1" zoomScale="85" zoomScaleNormal="85" workbookViewId="0">
      <pane xSplit="14" ySplit="2" topLeftCell="R63" activePane="bottomRight" state="frozen"/>
      <selection/>
      <selection pane="topRight"/>
      <selection pane="bottomLeft"/>
      <selection pane="bottomRight" activeCell="A137" sqref="$A137:$XFD137"/>
    </sheetView>
  </sheetViews>
  <sheetFormatPr defaultColWidth="9" defaultRowHeight="15"/>
  <cols>
    <col min="1" max="1" width="10.275" style="404" customWidth="1"/>
    <col min="2" max="2" width="12.2416666666667" style="1" customWidth="1"/>
    <col min="3" max="3" width="10.7416666666667" style="1" customWidth="1"/>
    <col min="4" max="4" width="14.025" style="3" customWidth="1"/>
    <col min="5" max="5" width="10.8166666666667" style="1" customWidth="1"/>
    <col min="6" max="6" width="14.4666666666667" style="1" customWidth="1"/>
    <col min="7" max="7" width="16.0666666666667" style="3" customWidth="1"/>
    <col min="8" max="8" width="18.6666666666667" style="1" customWidth="1"/>
    <col min="9" max="9" width="11.7083333333333" style="3" customWidth="1"/>
    <col min="10" max="10" width="7" style="3" customWidth="1"/>
    <col min="11" max="11" width="6.875" style="3" customWidth="1"/>
    <col min="12" max="12" width="9.20833333333333" style="3" customWidth="1"/>
    <col min="13" max="13" width="13.1333333333333" style="3" customWidth="1"/>
    <col min="14" max="14" width="13.2416666666667" style="3" customWidth="1"/>
    <col min="15" max="15" width="11.4333333333333" style="405" customWidth="1"/>
    <col min="16" max="16" width="9.475" style="1" customWidth="1"/>
    <col min="17" max="17" width="12.5" style="1" customWidth="1"/>
    <col min="18" max="18" width="10" style="3" customWidth="1"/>
    <col min="19" max="19" width="6.34166666666667" style="3" customWidth="1"/>
    <col min="20" max="20" width="11.0916666666667" style="405" customWidth="1"/>
    <col min="21" max="23" width="9.10833333333333" style="405" customWidth="1"/>
    <col min="24" max="24" width="30.2083333333333" style="406" customWidth="1"/>
    <col min="25" max="25" width="10.7166666666667" style="3" customWidth="1"/>
    <col min="26" max="26" width="8.75" style="3" customWidth="1"/>
    <col min="27" max="27" width="14.5083333333333" style="407" customWidth="1"/>
    <col min="28" max="28" width="11.75" style="408" customWidth="1"/>
    <col min="29" max="29" width="16.425" style="408" customWidth="1"/>
    <col min="30" max="31" width="12.2" style="408" customWidth="1"/>
    <col min="32" max="32" width="12.2" style="409" customWidth="1"/>
    <col min="33" max="33" width="9.81666666666667" style="409" customWidth="1"/>
    <col min="34" max="34" width="7.85" style="408" customWidth="1"/>
    <col min="35" max="35" width="8.49166666666667" style="408" customWidth="1"/>
    <col min="36" max="37" width="10.35" style="408" customWidth="1"/>
    <col min="38" max="38" width="9.25" style="1" customWidth="1"/>
    <col min="39" max="39" width="7.75" style="410" customWidth="1"/>
    <col min="40" max="41" width="7.75" style="1" customWidth="1"/>
    <col min="42" max="49" width="9" style="1" customWidth="1"/>
    <col min="50" max="60" width="9.375" style="411" customWidth="1"/>
    <col min="61" max="64" width="9.83333333333333" style="411" customWidth="1"/>
    <col min="65" max="66" width="9.375" style="411" customWidth="1"/>
    <col min="67" max="68" width="9" style="3"/>
    <col min="69" max="69" width="10.275" style="3" customWidth="1"/>
    <col min="70" max="16384" width="9" style="3"/>
  </cols>
  <sheetData>
    <row r="1" s="399" customFormat="1" ht="43" customHeight="1" spans="1:66">
      <c r="A1" s="412" t="s">
        <v>4918</v>
      </c>
      <c r="B1" s="413"/>
      <c r="C1" s="414"/>
      <c r="D1" s="415"/>
      <c r="E1" s="416"/>
      <c r="F1" s="417"/>
      <c r="G1" s="418"/>
      <c r="H1" s="419" t="s">
        <v>4919</v>
      </c>
      <c r="J1" s="433"/>
      <c r="K1" s="433"/>
      <c r="M1" s="433"/>
      <c r="N1" s="434"/>
      <c r="O1" s="435"/>
      <c r="P1" s="414"/>
      <c r="Q1" s="414"/>
      <c r="R1" s="433"/>
      <c r="S1" s="433"/>
      <c r="T1" s="443"/>
      <c r="U1" s="443"/>
      <c r="V1" s="443"/>
      <c r="W1" s="443"/>
      <c r="X1" s="444"/>
      <c r="Y1" s="461"/>
      <c r="Z1" s="433"/>
      <c r="AA1" s="462"/>
      <c r="AB1" s="463"/>
      <c r="AC1" s="463"/>
      <c r="AD1" s="463"/>
      <c r="AE1" s="463"/>
      <c r="AF1" s="464"/>
      <c r="AG1" s="464"/>
      <c r="AH1" s="463"/>
      <c r="AI1" s="463"/>
      <c r="AJ1" s="463"/>
      <c r="AK1" s="463"/>
      <c r="AL1" s="480" t="s">
        <v>3</v>
      </c>
      <c r="AM1" s="480"/>
      <c r="AN1" s="480"/>
      <c r="AO1" s="495"/>
      <c r="AP1" s="495" t="s">
        <v>4</v>
      </c>
      <c r="AQ1" s="496"/>
      <c r="AR1" s="495" t="s">
        <v>4920</v>
      </c>
      <c r="AS1" s="497"/>
      <c r="AT1" s="497" t="s">
        <v>4921</v>
      </c>
      <c r="AU1" s="497"/>
      <c r="AV1" s="497"/>
      <c r="AW1" s="497"/>
      <c r="AX1" s="507" t="s">
        <v>3404</v>
      </c>
      <c r="AY1" s="508"/>
      <c r="AZ1" s="509"/>
      <c r="BA1" s="510" t="s">
        <v>4922</v>
      </c>
      <c r="BB1" s="510"/>
      <c r="BC1" s="510" t="s">
        <v>4923</v>
      </c>
      <c r="BD1" s="510" t="s">
        <v>4924</v>
      </c>
      <c r="BE1" s="515" t="s">
        <v>4925</v>
      </c>
      <c r="BF1" s="515"/>
      <c r="BG1" s="515"/>
      <c r="BH1" s="515"/>
      <c r="BI1" s="515"/>
      <c r="BJ1" s="515"/>
      <c r="BK1" s="515"/>
      <c r="BL1" s="515"/>
      <c r="BM1" s="510" t="s">
        <v>4926</v>
      </c>
      <c r="BN1" s="510"/>
    </row>
    <row r="2" s="1" customFormat="1" ht="60" customHeight="1" spans="1:67">
      <c r="A2" s="7" t="s">
        <v>6</v>
      </c>
      <c r="B2" s="8" t="s">
        <v>7</v>
      </c>
      <c r="C2" s="8" t="s">
        <v>8</v>
      </c>
      <c r="D2" s="8" t="s">
        <v>9</v>
      </c>
      <c r="E2" s="9" t="s">
        <v>10</v>
      </c>
      <c r="F2" s="8" t="s">
        <v>11</v>
      </c>
      <c r="G2" s="8" t="s">
        <v>12</v>
      </c>
      <c r="H2" s="10" t="s">
        <v>13</v>
      </c>
      <c r="I2" s="10" t="s">
        <v>14</v>
      </c>
      <c r="J2" s="10" t="s">
        <v>15</v>
      </c>
      <c r="K2" s="8" t="s">
        <v>16</v>
      </c>
      <c r="L2" s="8" t="s">
        <v>17</v>
      </c>
      <c r="M2" s="82" t="s">
        <v>5880</v>
      </c>
      <c r="N2" s="82" t="s">
        <v>19</v>
      </c>
      <c r="O2" s="83" t="s">
        <v>20</v>
      </c>
      <c r="P2" s="8" t="s">
        <v>21</v>
      </c>
      <c r="Q2" s="8" t="s">
        <v>22</v>
      </c>
      <c r="R2" s="8" t="s">
        <v>23</v>
      </c>
      <c r="S2" s="9" t="s">
        <v>24</v>
      </c>
      <c r="T2" s="83" t="s">
        <v>25</v>
      </c>
      <c r="U2" s="445" t="s">
        <v>4927</v>
      </c>
      <c r="V2" s="445" t="s">
        <v>4928</v>
      </c>
      <c r="W2" s="445" t="s">
        <v>4929</v>
      </c>
      <c r="X2" s="107" t="s">
        <v>26</v>
      </c>
      <c r="Y2" s="8" t="s">
        <v>27</v>
      </c>
      <c r="Z2" s="8" t="s">
        <v>28</v>
      </c>
      <c r="AA2" s="108" t="s">
        <v>29</v>
      </c>
      <c r="AB2" s="148" t="s">
        <v>30</v>
      </c>
      <c r="AC2" s="465" t="s">
        <v>31</v>
      </c>
      <c r="AD2" s="466" t="s">
        <v>32</v>
      </c>
      <c r="AE2" s="466" t="s">
        <v>4930</v>
      </c>
      <c r="AF2" s="466" t="s">
        <v>4931</v>
      </c>
      <c r="AG2" s="466" t="s">
        <v>34</v>
      </c>
      <c r="AH2" s="466" t="s">
        <v>35</v>
      </c>
      <c r="AI2" s="465" t="s">
        <v>4932</v>
      </c>
      <c r="AJ2" s="481" t="s">
        <v>37</v>
      </c>
      <c r="AK2" s="481" t="s">
        <v>4933</v>
      </c>
      <c r="AL2" s="8" t="s">
        <v>4934</v>
      </c>
      <c r="AM2" s="168" t="s">
        <v>4935</v>
      </c>
      <c r="AN2" s="482" t="s">
        <v>4936</v>
      </c>
      <c r="AO2" s="498" t="s">
        <v>4937</v>
      </c>
      <c r="AP2" s="8" t="s">
        <v>4938</v>
      </c>
      <c r="AQ2" s="9" t="s">
        <v>4939</v>
      </c>
      <c r="AR2" s="8" t="s">
        <v>4940</v>
      </c>
      <c r="AS2" s="499" t="s">
        <v>4941</v>
      </c>
      <c r="AT2" s="500" t="s">
        <v>4942</v>
      </c>
      <c r="AU2" s="501" t="s">
        <v>4943</v>
      </c>
      <c r="AV2" s="502" t="s">
        <v>4944</v>
      </c>
      <c r="AW2" s="502" t="s">
        <v>4945</v>
      </c>
      <c r="AX2" s="170" t="s">
        <v>4946</v>
      </c>
      <c r="AY2" s="100" t="s">
        <v>4947</v>
      </c>
      <c r="AZ2" s="124" t="s">
        <v>4948</v>
      </c>
      <c r="BA2" s="170" t="s">
        <v>4949</v>
      </c>
      <c r="BB2" s="100" t="s">
        <v>4950</v>
      </c>
      <c r="BC2" s="511" t="s">
        <v>4951</v>
      </c>
      <c r="BD2" s="511" t="s">
        <v>4952</v>
      </c>
      <c r="BE2" s="189" t="s">
        <v>4953</v>
      </c>
      <c r="BF2" s="170" t="s">
        <v>4954</v>
      </c>
      <c r="BG2" s="16" t="s">
        <v>4955</v>
      </c>
      <c r="BH2" s="100" t="s">
        <v>4956</v>
      </c>
      <c r="BI2" s="188" t="s">
        <v>4957</v>
      </c>
      <c r="BJ2" s="188" t="s">
        <v>4958</v>
      </c>
      <c r="BK2" s="16" t="s">
        <v>4959</v>
      </c>
      <c r="BL2" s="16" t="s">
        <v>4960</v>
      </c>
      <c r="BM2" s="189" t="s">
        <v>67</v>
      </c>
      <c r="BN2" s="189" t="s">
        <v>4961</v>
      </c>
      <c r="BO2" s="190"/>
    </row>
    <row r="3" s="3" customFormat="1" ht="36" hidden="1" customHeight="1" spans="1:69">
      <c r="A3" s="74"/>
      <c r="B3" s="75"/>
      <c r="C3" s="76" t="s">
        <v>4962</v>
      </c>
      <c r="D3" s="77"/>
      <c r="E3" s="114"/>
      <c r="F3" s="77"/>
      <c r="G3" s="23" t="s">
        <v>4963</v>
      </c>
      <c r="H3" s="24" t="s">
        <v>4964</v>
      </c>
      <c r="I3" s="88">
        <v>500</v>
      </c>
      <c r="J3" s="89">
        <v>0</v>
      </c>
      <c r="K3" s="23">
        <v>24</v>
      </c>
      <c r="L3" s="436">
        <f t="shared" ref="L3:L16" si="0">I3/K3</f>
        <v>20.8333333333333</v>
      </c>
      <c r="M3" s="90"/>
      <c r="N3" s="90"/>
      <c r="O3" s="91"/>
      <c r="P3" s="91" t="s">
        <v>75</v>
      </c>
      <c r="Q3" s="91"/>
      <c r="R3" s="91"/>
      <c r="S3" s="91"/>
      <c r="T3" s="91"/>
      <c r="U3" s="91"/>
      <c r="V3" s="91"/>
      <c r="W3" s="91"/>
      <c r="X3" s="114"/>
      <c r="Y3" s="139"/>
      <c r="Z3" s="116"/>
      <c r="AA3" s="117"/>
      <c r="AB3" s="88"/>
      <c r="AC3" s="153"/>
      <c r="AD3" s="467"/>
      <c r="AE3" s="467"/>
      <c r="AF3" s="468"/>
      <c r="AG3" s="468"/>
      <c r="AH3" s="467"/>
      <c r="AI3" s="153"/>
      <c r="AJ3" s="155"/>
      <c r="AK3" s="155"/>
      <c r="AL3" s="175"/>
      <c r="AM3" s="88"/>
      <c r="AN3" s="88"/>
      <c r="AO3" s="88"/>
      <c r="AP3" s="175"/>
      <c r="AQ3" s="175"/>
      <c r="AR3" s="175"/>
      <c r="AS3" s="175"/>
      <c r="AT3" s="175"/>
      <c r="AU3" s="175"/>
      <c r="AV3" s="175"/>
      <c r="AW3" s="175"/>
      <c r="AX3" s="181"/>
      <c r="AY3" s="181"/>
      <c r="AZ3" s="181"/>
      <c r="BA3" s="181"/>
      <c r="BB3" s="181"/>
      <c r="BC3" s="181"/>
      <c r="BD3" s="181"/>
      <c r="BE3" s="181"/>
      <c r="BF3" s="181"/>
      <c r="BG3" s="181"/>
      <c r="BH3" s="181"/>
      <c r="BI3" s="181"/>
      <c r="BJ3" s="181"/>
      <c r="BK3" s="181"/>
      <c r="BL3" s="181"/>
      <c r="BM3" s="181"/>
      <c r="BN3" s="181"/>
      <c r="BQ3" s="3">
        <f>AJ156</f>
        <v>485010</v>
      </c>
    </row>
    <row r="4" s="3" customFormat="1" ht="36" hidden="1" customHeight="1" spans="1:69">
      <c r="A4" s="74">
        <v>45945</v>
      </c>
      <c r="B4" s="75"/>
      <c r="C4" s="76"/>
      <c r="D4" s="77" t="s">
        <v>5184</v>
      </c>
      <c r="E4" s="114"/>
      <c r="F4" s="77"/>
      <c r="G4" s="23" t="s">
        <v>4974</v>
      </c>
      <c r="H4" s="24" t="s">
        <v>5185</v>
      </c>
      <c r="I4" s="88">
        <v>5</v>
      </c>
      <c r="J4" s="89">
        <v>0</v>
      </c>
      <c r="K4" s="23">
        <v>5</v>
      </c>
      <c r="L4" s="88">
        <f t="shared" si="0"/>
        <v>1</v>
      </c>
      <c r="M4" s="90">
        <v>45970</v>
      </c>
      <c r="N4" s="90">
        <v>45969</v>
      </c>
      <c r="O4" s="87"/>
      <c r="P4" s="91" t="s">
        <v>5137</v>
      </c>
      <c r="Q4" s="91"/>
      <c r="R4" s="446" t="s">
        <v>77</v>
      </c>
      <c r="S4" s="446" t="s">
        <v>77</v>
      </c>
      <c r="T4" s="447" t="s">
        <v>77</v>
      </c>
      <c r="U4" s="91"/>
      <c r="V4" s="91"/>
      <c r="W4" s="91"/>
      <c r="X4" s="114" t="s">
        <v>5186</v>
      </c>
      <c r="Y4" s="139" t="s">
        <v>2968</v>
      </c>
      <c r="Z4" s="116"/>
      <c r="AA4" s="117"/>
      <c r="AB4" s="469"/>
      <c r="AC4" s="470" t="s">
        <v>5187</v>
      </c>
      <c r="AD4" s="467" t="s">
        <v>128</v>
      </c>
      <c r="AE4" s="471"/>
      <c r="AF4" s="472">
        <v>5</v>
      </c>
      <c r="AG4" s="483">
        <f t="shared" ref="AG4:AG27" si="1">AF4-I4</f>
        <v>0</v>
      </c>
      <c r="AH4" s="23"/>
      <c r="AI4" s="470"/>
      <c r="AJ4" s="155"/>
      <c r="AK4" s="484"/>
      <c r="AL4" s="485"/>
      <c r="AM4" s="486"/>
      <c r="AN4" s="88"/>
      <c r="AO4" s="88"/>
      <c r="AP4" s="175"/>
      <c r="AQ4" s="175"/>
      <c r="AR4" s="175"/>
      <c r="AS4" s="175"/>
      <c r="AT4" s="175"/>
      <c r="AU4" s="175"/>
      <c r="AV4" s="175"/>
      <c r="AW4" s="175"/>
      <c r="AX4" s="181"/>
      <c r="AY4" s="181"/>
      <c r="AZ4" s="181"/>
      <c r="BA4" s="181"/>
      <c r="BB4" s="181"/>
      <c r="BC4" s="181"/>
      <c r="BD4" s="181"/>
      <c r="BE4" s="181"/>
      <c r="BF4" s="181"/>
      <c r="BG4" s="181"/>
      <c r="BH4" s="181"/>
      <c r="BI4" s="181"/>
      <c r="BJ4" s="181"/>
      <c r="BK4" s="181"/>
      <c r="BL4" s="181"/>
      <c r="BM4" s="181"/>
      <c r="BN4" s="181"/>
      <c r="BQ4" s="3">
        <f>AJ4+AJ156</f>
        <v>485010</v>
      </c>
    </row>
    <row r="5" s="400" customFormat="1" ht="36" hidden="1" customHeight="1" spans="1:69">
      <c r="A5" s="420">
        <v>45961</v>
      </c>
      <c r="B5" s="421" t="s">
        <v>4976</v>
      </c>
      <c r="C5" s="422" t="s">
        <v>117</v>
      </c>
      <c r="D5" s="423">
        <v>4500183840</v>
      </c>
      <c r="E5" s="1692" t="s">
        <v>5449</v>
      </c>
      <c r="F5" s="423" t="s">
        <v>5450</v>
      </c>
      <c r="G5" s="425" t="s">
        <v>4979</v>
      </c>
      <c r="H5" s="426" t="s">
        <v>4980</v>
      </c>
      <c r="I5" s="437">
        <v>960</v>
      </c>
      <c r="J5" s="438">
        <v>0</v>
      </c>
      <c r="K5" s="425">
        <v>16</v>
      </c>
      <c r="L5" s="439">
        <f t="shared" si="0"/>
        <v>60</v>
      </c>
      <c r="M5" s="440">
        <v>46007</v>
      </c>
      <c r="N5" s="440">
        <v>46003</v>
      </c>
      <c r="O5" s="441" t="s">
        <v>5451</v>
      </c>
      <c r="P5" s="441" t="s">
        <v>92</v>
      </c>
      <c r="Q5" s="441" t="s">
        <v>5452</v>
      </c>
      <c r="R5" s="441" t="s">
        <v>1102</v>
      </c>
      <c r="S5" s="441" t="s">
        <v>123</v>
      </c>
      <c r="T5" s="448" t="s">
        <v>5353</v>
      </c>
      <c r="U5" s="441" t="s">
        <v>4983</v>
      </c>
      <c r="V5" s="441"/>
      <c r="W5" s="441"/>
      <c r="X5" s="424" t="s">
        <v>5005</v>
      </c>
      <c r="Y5" s="473" t="s">
        <v>634</v>
      </c>
      <c r="Z5" s="474">
        <v>0.96</v>
      </c>
      <c r="AA5" s="475">
        <f>Z5*I5</f>
        <v>921.6</v>
      </c>
      <c r="AB5" s="476"/>
      <c r="AC5" s="425" t="s">
        <v>4979</v>
      </c>
      <c r="AD5" s="477" t="s">
        <v>128</v>
      </c>
      <c r="AE5" s="477" t="s">
        <v>4930</v>
      </c>
      <c r="AF5" s="425">
        <v>960</v>
      </c>
      <c r="AG5" s="425">
        <f t="shared" si="1"/>
        <v>0</v>
      </c>
      <c r="AH5" s="425" t="s">
        <v>4335</v>
      </c>
      <c r="AI5" s="487"/>
      <c r="AJ5" s="488">
        <f>I5</f>
        <v>960</v>
      </c>
      <c r="AK5" s="488"/>
      <c r="AL5" s="489">
        <f>I5</f>
        <v>960</v>
      </c>
      <c r="AM5" s="490"/>
      <c r="AN5" s="437"/>
      <c r="AO5" s="437"/>
      <c r="AP5" s="503">
        <f>I5</f>
        <v>960</v>
      </c>
      <c r="AQ5" s="503"/>
      <c r="AR5" s="489"/>
      <c r="AS5" s="503">
        <f>AP5-AT5</f>
        <v>866</v>
      </c>
      <c r="AT5" s="504">
        <f>I5*(1-(1/48))/10</f>
        <v>94</v>
      </c>
      <c r="AU5" s="489"/>
      <c r="AV5" s="489"/>
      <c r="AW5" s="489"/>
      <c r="AX5" s="512"/>
      <c r="AY5" s="512"/>
      <c r="AZ5" s="512"/>
      <c r="BA5" s="512"/>
      <c r="BB5" s="512"/>
      <c r="BC5" s="512">
        <f>I5/16</f>
        <v>60</v>
      </c>
      <c r="BD5" s="512"/>
      <c r="BE5" s="512"/>
      <c r="BF5" s="512"/>
      <c r="BG5" s="512"/>
      <c r="BH5" s="512"/>
      <c r="BI5" s="512"/>
      <c r="BJ5" s="512"/>
      <c r="BK5" s="512"/>
      <c r="BL5" s="512"/>
      <c r="BM5" s="512"/>
      <c r="BN5" s="512"/>
      <c r="BQ5" s="3">
        <f>AJ5+BQ4</f>
        <v>485970</v>
      </c>
    </row>
    <row r="6" s="400" customFormat="1" ht="36" hidden="1" customHeight="1" spans="1:69">
      <c r="A6" s="420">
        <v>45904</v>
      </c>
      <c r="B6" s="421" t="s">
        <v>3741</v>
      </c>
      <c r="C6" s="422" t="s">
        <v>3742</v>
      </c>
      <c r="D6" s="423">
        <v>4500178856</v>
      </c>
      <c r="E6" s="424"/>
      <c r="F6" s="423" t="s">
        <v>5453</v>
      </c>
      <c r="G6" s="425" t="s">
        <v>4974</v>
      </c>
      <c r="H6" s="426" t="s">
        <v>5205</v>
      </c>
      <c r="I6" s="437">
        <v>1000</v>
      </c>
      <c r="J6" s="438">
        <v>0</v>
      </c>
      <c r="K6" s="425">
        <v>50</v>
      </c>
      <c r="L6" s="439">
        <f t="shared" si="0"/>
        <v>20</v>
      </c>
      <c r="M6" s="440">
        <v>46008</v>
      </c>
      <c r="N6" s="440">
        <v>46004</v>
      </c>
      <c r="O6" s="441"/>
      <c r="P6" s="441" t="s">
        <v>1262</v>
      </c>
      <c r="Q6" s="441" t="s">
        <v>3477</v>
      </c>
      <c r="R6" s="449">
        <v>45972</v>
      </c>
      <c r="S6" s="448" t="s">
        <v>77</v>
      </c>
      <c r="T6" s="450" t="s">
        <v>5454</v>
      </c>
      <c r="U6" s="441"/>
      <c r="V6" s="441"/>
      <c r="W6" s="441"/>
      <c r="X6" s="424" t="s">
        <v>5455</v>
      </c>
      <c r="Y6" s="473" t="s">
        <v>5456</v>
      </c>
      <c r="Z6" s="474">
        <v>1.55</v>
      </c>
      <c r="AA6" s="475">
        <f>Z6*I6</f>
        <v>1550</v>
      </c>
      <c r="AB6" s="476"/>
      <c r="AC6" s="425" t="s">
        <v>5391</v>
      </c>
      <c r="AD6" s="477" t="s">
        <v>128</v>
      </c>
      <c r="AE6" s="477" t="s">
        <v>4930</v>
      </c>
      <c r="AF6" s="425">
        <v>1000</v>
      </c>
      <c r="AG6" s="425">
        <f t="shared" si="1"/>
        <v>0</v>
      </c>
      <c r="AH6" s="425" t="s">
        <v>4335</v>
      </c>
      <c r="AI6" s="487"/>
      <c r="AJ6" s="488">
        <f>I6</f>
        <v>1000</v>
      </c>
      <c r="AK6" s="488"/>
      <c r="AL6" s="489"/>
      <c r="AM6" s="437">
        <f>I6</f>
        <v>1000</v>
      </c>
      <c r="AN6" s="437"/>
      <c r="AO6" s="437"/>
      <c r="AP6" s="503">
        <f>I6</f>
        <v>1000</v>
      </c>
      <c r="AQ6" s="503"/>
      <c r="AR6" s="437"/>
      <c r="AS6" s="503">
        <f>AP6-AT6</f>
        <v>902.083333333333</v>
      </c>
      <c r="AT6" s="504">
        <f>I6*(1-(1/48))/10</f>
        <v>97.9166666666667</v>
      </c>
      <c r="AU6" s="439">
        <f>AS6</f>
        <v>902.083333333333</v>
      </c>
      <c r="AV6" s="489"/>
      <c r="AW6" s="489"/>
      <c r="AX6" s="512"/>
      <c r="AY6" s="512"/>
      <c r="AZ6" s="512"/>
      <c r="BA6" s="512"/>
      <c r="BB6" s="512">
        <f>I6/25</f>
        <v>40</v>
      </c>
      <c r="BC6" s="512"/>
      <c r="BD6" s="512"/>
      <c r="BE6" s="512"/>
      <c r="BF6" s="512"/>
      <c r="BG6" s="512"/>
      <c r="BH6" s="512"/>
      <c r="BI6" s="512"/>
      <c r="BJ6" s="512"/>
      <c r="BK6" s="512"/>
      <c r="BL6" s="512"/>
      <c r="BM6" s="512"/>
      <c r="BN6" s="512"/>
      <c r="BQ6" s="3">
        <f>AJ6+BQ5</f>
        <v>486970</v>
      </c>
    </row>
    <row r="7" s="3" customFormat="1" ht="36" hidden="1" customHeight="1" spans="1:69">
      <c r="A7" s="74">
        <v>45992</v>
      </c>
      <c r="B7" s="75"/>
      <c r="C7" s="76"/>
      <c r="D7" s="77" t="s">
        <v>5464</v>
      </c>
      <c r="E7" s="77"/>
      <c r="F7" s="77" t="s">
        <v>5465</v>
      </c>
      <c r="G7" s="23" t="s">
        <v>4963</v>
      </c>
      <c r="H7" s="88" t="s">
        <v>5466</v>
      </c>
      <c r="I7" s="88">
        <v>50</v>
      </c>
      <c r="J7" s="89">
        <v>0</v>
      </c>
      <c r="K7" s="23">
        <v>50</v>
      </c>
      <c r="L7" s="88">
        <f t="shared" si="0"/>
        <v>1</v>
      </c>
      <c r="M7" s="90">
        <v>46003</v>
      </c>
      <c r="N7" s="90">
        <v>46006</v>
      </c>
      <c r="O7" s="91"/>
      <c r="P7" s="91" t="s">
        <v>5137</v>
      </c>
      <c r="Q7" s="91"/>
      <c r="R7" s="451" t="s">
        <v>3580</v>
      </c>
      <c r="S7" s="452" t="s">
        <v>77</v>
      </c>
      <c r="T7" s="452" t="s">
        <v>77</v>
      </c>
      <c r="U7" s="91"/>
      <c r="V7" s="91"/>
      <c r="W7" s="91"/>
      <c r="X7" s="114" t="s">
        <v>5467</v>
      </c>
      <c r="Y7" s="139"/>
      <c r="Z7" s="116"/>
      <c r="AA7" s="117"/>
      <c r="AB7" s="469"/>
      <c r="AC7" s="23" t="s">
        <v>5203</v>
      </c>
      <c r="AD7" s="467" t="s">
        <v>128</v>
      </c>
      <c r="AE7" s="467" t="s">
        <v>4930</v>
      </c>
      <c r="AF7" s="23">
        <v>50</v>
      </c>
      <c r="AG7" s="425">
        <f t="shared" si="1"/>
        <v>0</v>
      </c>
      <c r="AH7" s="467" t="s">
        <v>77</v>
      </c>
      <c r="AI7" s="155">
        <f>I7</f>
        <v>50</v>
      </c>
      <c r="AL7" s="485"/>
      <c r="AM7" s="486"/>
      <c r="AN7" s="88"/>
      <c r="AO7" s="88"/>
      <c r="AP7" s="175"/>
      <c r="AQ7" s="175"/>
      <c r="AR7" s="175"/>
      <c r="AS7" s="175"/>
      <c r="AT7" s="505"/>
      <c r="AU7" s="175"/>
      <c r="AV7" s="175"/>
      <c r="AW7" s="175"/>
      <c r="AX7" s="181"/>
      <c r="AY7" s="181"/>
      <c r="AZ7" s="181"/>
      <c r="BA7" s="181"/>
      <c r="BB7" s="181"/>
      <c r="BC7" s="181"/>
      <c r="BD7" s="181"/>
      <c r="BE7" s="181"/>
      <c r="BF7" s="181"/>
      <c r="BG7" s="181"/>
      <c r="BH7" s="181"/>
      <c r="BI7" s="181"/>
      <c r="BJ7" s="181"/>
      <c r="BK7" s="181"/>
      <c r="BL7" s="181"/>
      <c r="BM7" s="181"/>
      <c r="BN7" s="181"/>
      <c r="BQ7" s="3">
        <f t="shared" ref="BQ7:BQ52" si="2">AJ7+BQ6</f>
        <v>486970</v>
      </c>
    </row>
    <row r="8" s="3" customFormat="1" ht="36" hidden="1" customHeight="1" spans="1:69">
      <c r="A8" s="74">
        <v>45995</v>
      </c>
      <c r="B8" s="75"/>
      <c r="C8" s="76"/>
      <c r="D8" s="77" t="s">
        <v>5468</v>
      </c>
      <c r="E8" s="114"/>
      <c r="F8" s="77" t="s">
        <v>5469</v>
      </c>
      <c r="G8" s="23" t="s">
        <v>4963</v>
      </c>
      <c r="H8" s="88" t="s">
        <v>5470</v>
      </c>
      <c r="I8" s="3">
        <v>20</v>
      </c>
      <c r="J8" s="89">
        <v>0</v>
      </c>
      <c r="K8" s="23">
        <v>20</v>
      </c>
      <c r="L8" s="436">
        <f t="shared" si="0"/>
        <v>1</v>
      </c>
      <c r="M8" s="90">
        <v>46013</v>
      </c>
      <c r="N8" s="90">
        <v>46009</v>
      </c>
      <c r="O8" s="91"/>
      <c r="P8" s="91" t="s">
        <v>5137</v>
      </c>
      <c r="Q8" s="91"/>
      <c r="R8" s="452" t="s">
        <v>3580</v>
      </c>
      <c r="S8" s="91" t="s">
        <v>77</v>
      </c>
      <c r="T8" s="91" t="s">
        <v>77</v>
      </c>
      <c r="U8" s="91"/>
      <c r="V8" s="91"/>
      <c r="W8" s="91"/>
      <c r="X8" s="114" t="s">
        <v>5471</v>
      </c>
      <c r="Y8" s="139"/>
      <c r="Z8" s="116"/>
      <c r="AA8" s="117"/>
      <c r="AB8" s="469"/>
      <c r="AC8" s="23" t="s">
        <v>5203</v>
      </c>
      <c r="AD8" s="467" t="s">
        <v>128</v>
      </c>
      <c r="AE8" s="467" t="s">
        <v>4930</v>
      </c>
      <c r="AF8" s="23">
        <v>20</v>
      </c>
      <c r="AG8" s="483">
        <f t="shared" si="1"/>
        <v>0</v>
      </c>
      <c r="AH8" s="467" t="s">
        <v>77</v>
      </c>
      <c r="AI8" s="155">
        <f>I8</f>
        <v>20</v>
      </c>
      <c r="AL8" s="175"/>
      <c r="AM8" s="486"/>
      <c r="AN8" s="88"/>
      <c r="AO8" s="88"/>
      <c r="AP8" s="175"/>
      <c r="AQ8" s="175"/>
      <c r="AR8" s="175"/>
      <c r="AS8" s="175"/>
      <c r="AT8" s="505"/>
      <c r="AU8" s="175"/>
      <c r="AV8" s="175"/>
      <c r="AW8" s="175"/>
      <c r="AX8" s="181"/>
      <c r="AY8" s="181"/>
      <c r="AZ8" s="181"/>
      <c r="BA8" s="181"/>
      <c r="BB8" s="181"/>
      <c r="BC8" s="181"/>
      <c r="BD8" s="181"/>
      <c r="BE8" s="181"/>
      <c r="BF8" s="181"/>
      <c r="BG8" s="181"/>
      <c r="BH8" s="181"/>
      <c r="BI8" s="181"/>
      <c r="BJ8" s="181"/>
      <c r="BK8" s="181"/>
      <c r="BL8" s="181"/>
      <c r="BM8" s="181"/>
      <c r="BN8" s="181"/>
      <c r="BQ8" s="3">
        <f t="shared" si="2"/>
        <v>486970</v>
      </c>
    </row>
    <row r="9" s="400" customFormat="1" ht="36" hidden="1" customHeight="1" spans="1:69">
      <c r="A9" s="420">
        <v>45968</v>
      </c>
      <c r="B9" s="421" t="s">
        <v>5501</v>
      </c>
      <c r="C9" s="422" t="s">
        <v>117</v>
      </c>
      <c r="D9" s="423" t="s">
        <v>5502</v>
      </c>
      <c r="E9" s="424" t="s">
        <v>5503</v>
      </c>
      <c r="F9" s="423" t="s">
        <v>5504</v>
      </c>
      <c r="G9" s="425" t="s">
        <v>5505</v>
      </c>
      <c r="H9" s="426" t="s">
        <v>5506</v>
      </c>
      <c r="I9" s="437">
        <v>7008</v>
      </c>
      <c r="J9" s="438">
        <v>0</v>
      </c>
      <c r="K9" s="425">
        <v>24</v>
      </c>
      <c r="L9" s="437">
        <f t="shared" si="0"/>
        <v>292</v>
      </c>
      <c r="M9" s="440">
        <v>46007</v>
      </c>
      <c r="N9" s="440">
        <v>46006</v>
      </c>
      <c r="O9" s="441"/>
      <c r="P9" s="400" t="s">
        <v>92</v>
      </c>
      <c r="Q9" s="441" t="s">
        <v>5507</v>
      </c>
      <c r="R9" s="449" t="s">
        <v>5508</v>
      </c>
      <c r="S9" s="448" t="s">
        <v>77</v>
      </c>
      <c r="T9" s="450" t="s">
        <v>5509</v>
      </c>
      <c r="U9" s="441"/>
      <c r="V9" s="441"/>
      <c r="W9" s="441" t="s">
        <v>5510</v>
      </c>
      <c r="X9" s="424" t="s">
        <v>5511</v>
      </c>
      <c r="Y9" s="473" t="s">
        <v>903</v>
      </c>
      <c r="Z9" s="474">
        <v>1.31</v>
      </c>
      <c r="AA9" s="475">
        <f>Z9*I9</f>
        <v>9180.48</v>
      </c>
      <c r="AB9" s="476"/>
      <c r="AC9" s="425" t="s">
        <v>5505</v>
      </c>
      <c r="AD9" s="477" t="s">
        <v>128</v>
      </c>
      <c r="AE9" s="477" t="s">
        <v>4930</v>
      </c>
      <c r="AF9" s="425">
        <f>2640+2850+1488+30</f>
        <v>7008</v>
      </c>
      <c r="AG9" s="425">
        <f t="shared" si="1"/>
        <v>0</v>
      </c>
      <c r="AH9" s="425" t="s">
        <v>75</v>
      </c>
      <c r="AI9" s="487"/>
      <c r="AJ9" s="488">
        <f t="shared" ref="AJ9:AJ16" si="3">I9</f>
        <v>7008</v>
      </c>
      <c r="AK9" s="488"/>
      <c r="AL9" s="489">
        <f>I9</f>
        <v>7008</v>
      </c>
      <c r="AM9" s="489"/>
      <c r="AN9" s="489"/>
      <c r="AO9" s="489"/>
      <c r="AP9" s="503">
        <f t="shared" ref="AP9:AP16" si="4">I9</f>
        <v>7008</v>
      </c>
      <c r="AQ9" s="503"/>
      <c r="AR9" s="437"/>
      <c r="AS9" s="503">
        <f t="shared" ref="AS9:AS27" si="5">AP9-AT9</f>
        <v>6321.8</v>
      </c>
      <c r="AT9" s="504">
        <f t="shared" ref="AT9:AT23" si="6">I9*(1-(1/48))/10</f>
        <v>686.2</v>
      </c>
      <c r="AU9" s="489"/>
      <c r="AV9" s="489"/>
      <c r="AW9" s="489"/>
      <c r="AX9" s="512"/>
      <c r="AY9" s="512"/>
      <c r="AZ9" s="512"/>
      <c r="BA9" s="512"/>
      <c r="BB9" s="512"/>
      <c r="BC9" s="512"/>
      <c r="BD9" s="512"/>
      <c r="BE9" s="512"/>
      <c r="BF9" s="512"/>
      <c r="BG9" s="512"/>
      <c r="BH9" s="512"/>
      <c r="BI9" s="512"/>
      <c r="BJ9" s="512"/>
      <c r="BK9" s="512"/>
      <c r="BL9" s="512"/>
      <c r="BM9" s="512"/>
      <c r="BN9" s="512"/>
      <c r="BQ9" s="3">
        <f t="shared" si="2"/>
        <v>493978</v>
      </c>
    </row>
    <row r="10" s="400" customFormat="1" ht="36" hidden="1" customHeight="1" spans="1:69">
      <c r="A10" s="420">
        <v>45897</v>
      </c>
      <c r="B10" s="421" t="s">
        <v>5521</v>
      </c>
      <c r="C10" s="422" t="s">
        <v>286</v>
      </c>
      <c r="D10" s="423">
        <v>4500177857</v>
      </c>
      <c r="E10" s="424">
        <v>62007522</v>
      </c>
      <c r="F10" s="423" t="s">
        <v>5522</v>
      </c>
      <c r="G10" s="425" t="s">
        <v>4974</v>
      </c>
      <c r="H10" s="426" t="s">
        <v>5205</v>
      </c>
      <c r="I10" s="437">
        <v>3000</v>
      </c>
      <c r="J10" s="438">
        <v>0</v>
      </c>
      <c r="K10" s="425">
        <v>50</v>
      </c>
      <c r="L10" s="439">
        <f t="shared" si="0"/>
        <v>60</v>
      </c>
      <c r="M10" s="440">
        <v>46006</v>
      </c>
      <c r="N10" s="440">
        <v>46006</v>
      </c>
      <c r="O10" s="441" t="s">
        <v>3374</v>
      </c>
      <c r="P10" s="441" t="s">
        <v>92</v>
      </c>
      <c r="Q10" s="441" t="s">
        <v>5523</v>
      </c>
      <c r="R10" s="449">
        <v>45951</v>
      </c>
      <c r="S10" s="448" t="s">
        <v>77</v>
      </c>
      <c r="T10" s="450" t="s">
        <v>5524</v>
      </c>
      <c r="U10" s="441" t="s">
        <v>5525</v>
      </c>
      <c r="V10" s="441"/>
      <c r="W10" s="441"/>
      <c r="X10" s="424" t="s">
        <v>5526</v>
      </c>
      <c r="Y10" s="473" t="s">
        <v>618</v>
      </c>
      <c r="Z10" s="474">
        <v>1.55</v>
      </c>
      <c r="AA10" s="475">
        <f>Z10*I10</f>
        <v>4650</v>
      </c>
      <c r="AB10" s="476"/>
      <c r="AC10" s="425" t="s">
        <v>5391</v>
      </c>
      <c r="AD10" s="477" t="s">
        <v>128</v>
      </c>
      <c r="AE10" s="477" t="s">
        <v>4930</v>
      </c>
      <c r="AF10" s="425">
        <v>3000</v>
      </c>
      <c r="AG10" s="425">
        <f t="shared" si="1"/>
        <v>0</v>
      </c>
      <c r="AH10" s="425" t="s">
        <v>4335</v>
      </c>
      <c r="AI10" s="487"/>
      <c r="AJ10" s="488">
        <f t="shared" si="3"/>
        <v>3000</v>
      </c>
      <c r="AK10" s="488"/>
      <c r="AL10" s="489"/>
      <c r="AM10" s="437">
        <f>I10</f>
        <v>3000</v>
      </c>
      <c r="AN10" s="437"/>
      <c r="AO10" s="437"/>
      <c r="AP10" s="503">
        <f t="shared" si="4"/>
        <v>3000</v>
      </c>
      <c r="AQ10" s="503"/>
      <c r="AR10" s="437"/>
      <c r="AS10" s="503">
        <f t="shared" si="5"/>
        <v>2706.25</v>
      </c>
      <c r="AT10" s="504">
        <f t="shared" si="6"/>
        <v>293.75</v>
      </c>
      <c r="AU10" s="489"/>
      <c r="AV10" s="489"/>
      <c r="AW10" s="489">
        <f>I10</f>
        <v>3000</v>
      </c>
      <c r="AX10" s="512"/>
      <c r="AY10" s="512"/>
      <c r="AZ10" s="512"/>
      <c r="BA10" s="512"/>
      <c r="BB10" s="512">
        <f>I10/25</f>
        <v>120</v>
      </c>
      <c r="BC10" s="512"/>
      <c r="BD10" s="512"/>
      <c r="BE10" s="512"/>
      <c r="BF10" s="512"/>
      <c r="BG10" s="512"/>
      <c r="BH10" s="512"/>
      <c r="BI10" s="512"/>
      <c r="BJ10" s="512"/>
      <c r="BK10" s="512"/>
      <c r="BL10" s="512"/>
      <c r="BM10" s="512"/>
      <c r="BN10" s="512"/>
      <c r="BQ10" s="3">
        <f t="shared" si="2"/>
        <v>496978</v>
      </c>
    </row>
    <row r="11" s="400" customFormat="1" ht="36" hidden="1" customHeight="1" spans="1:69">
      <c r="A11" s="420">
        <v>45952</v>
      </c>
      <c r="B11" s="421" t="s">
        <v>5521</v>
      </c>
      <c r="C11" s="422" t="s">
        <v>286</v>
      </c>
      <c r="D11" s="423">
        <v>4500182578</v>
      </c>
      <c r="E11" s="424" t="s">
        <v>5527</v>
      </c>
      <c r="F11" s="423" t="s">
        <v>5528</v>
      </c>
      <c r="G11" s="425" t="s">
        <v>4974</v>
      </c>
      <c r="H11" s="426" t="s">
        <v>5205</v>
      </c>
      <c r="I11" s="437">
        <v>500</v>
      </c>
      <c r="J11" s="438">
        <v>0</v>
      </c>
      <c r="K11" s="425">
        <v>50</v>
      </c>
      <c r="L11" s="439">
        <f t="shared" si="0"/>
        <v>10</v>
      </c>
      <c r="M11" s="440">
        <v>46006</v>
      </c>
      <c r="N11" s="440">
        <v>46006</v>
      </c>
      <c r="O11" s="441" t="s">
        <v>3374</v>
      </c>
      <c r="P11" s="441" t="s">
        <v>92</v>
      </c>
      <c r="Q11" s="441" t="s">
        <v>5881</v>
      </c>
      <c r="R11" s="449">
        <v>45971</v>
      </c>
      <c r="S11" s="448" t="s">
        <v>77</v>
      </c>
      <c r="T11" s="450" t="s">
        <v>5524</v>
      </c>
      <c r="U11" s="441" t="s">
        <v>5525</v>
      </c>
      <c r="V11" s="441"/>
      <c r="W11" s="441"/>
      <c r="X11" s="424" t="s">
        <v>5529</v>
      </c>
      <c r="Y11" s="473" t="s">
        <v>618</v>
      </c>
      <c r="Z11" s="474">
        <v>1.55</v>
      </c>
      <c r="AA11" s="475">
        <f>Z11*I11</f>
        <v>775</v>
      </c>
      <c r="AB11" s="476"/>
      <c r="AC11" s="425" t="s">
        <v>5391</v>
      </c>
      <c r="AD11" s="477" t="s">
        <v>128</v>
      </c>
      <c r="AE11" s="477" t="s">
        <v>4930</v>
      </c>
      <c r="AF11" s="425">
        <f>450+50</f>
        <v>500</v>
      </c>
      <c r="AG11" s="425">
        <f t="shared" si="1"/>
        <v>0</v>
      </c>
      <c r="AH11" s="425" t="s">
        <v>4335</v>
      </c>
      <c r="AI11" s="478"/>
      <c r="AJ11" s="488">
        <f t="shared" si="3"/>
        <v>500</v>
      </c>
      <c r="AK11" s="488"/>
      <c r="AL11" s="489"/>
      <c r="AM11" s="437">
        <f>I11</f>
        <v>500</v>
      </c>
      <c r="AN11" s="437"/>
      <c r="AO11" s="437"/>
      <c r="AP11" s="503">
        <f t="shared" si="4"/>
        <v>500</v>
      </c>
      <c r="AQ11" s="503"/>
      <c r="AR11" s="437"/>
      <c r="AS11" s="503">
        <f t="shared" si="5"/>
        <v>451.041666666667</v>
      </c>
      <c r="AT11" s="504">
        <f t="shared" si="6"/>
        <v>48.9583333333333</v>
      </c>
      <c r="AU11" s="489"/>
      <c r="AV11" s="489"/>
      <c r="AW11" s="489">
        <f>I11</f>
        <v>500</v>
      </c>
      <c r="AX11" s="512"/>
      <c r="AY11" s="512"/>
      <c r="AZ11" s="512"/>
      <c r="BA11" s="512"/>
      <c r="BB11" s="512">
        <f>I11/25</f>
        <v>20</v>
      </c>
      <c r="BC11" s="512"/>
      <c r="BD11" s="512"/>
      <c r="BE11" s="512"/>
      <c r="BF11" s="512"/>
      <c r="BG11" s="512"/>
      <c r="BH11" s="512"/>
      <c r="BI11" s="512"/>
      <c r="BJ11" s="512"/>
      <c r="BK11" s="512"/>
      <c r="BL11" s="512"/>
      <c r="BM11" s="512"/>
      <c r="BN11" s="512"/>
      <c r="BQ11" s="3">
        <f t="shared" si="2"/>
        <v>497478</v>
      </c>
    </row>
    <row r="12" s="400" customFormat="1" ht="36" hidden="1" customHeight="1" spans="1:69">
      <c r="A12" s="420">
        <v>45974</v>
      </c>
      <c r="B12" s="421" t="s">
        <v>4976</v>
      </c>
      <c r="C12" s="422" t="s">
        <v>117</v>
      </c>
      <c r="D12" s="423">
        <v>4500185600</v>
      </c>
      <c r="E12" s="1692" t="s">
        <v>5541</v>
      </c>
      <c r="F12" s="423" t="s">
        <v>5542</v>
      </c>
      <c r="G12" s="425" t="s">
        <v>4979</v>
      </c>
      <c r="H12" s="426" t="s">
        <v>4980</v>
      </c>
      <c r="I12" s="437">
        <v>960</v>
      </c>
      <c r="J12" s="438">
        <v>0</v>
      </c>
      <c r="K12" s="425">
        <v>16</v>
      </c>
      <c r="L12" s="439">
        <f t="shared" si="0"/>
        <v>60</v>
      </c>
      <c r="M12" s="440">
        <v>46010</v>
      </c>
      <c r="N12" s="440">
        <v>46013</v>
      </c>
      <c r="O12" s="441" t="s">
        <v>5543</v>
      </c>
      <c r="P12" s="441" t="s">
        <v>1262</v>
      </c>
      <c r="Q12" s="441" t="s">
        <v>5544</v>
      </c>
      <c r="R12" s="441" t="s">
        <v>1102</v>
      </c>
      <c r="S12" s="441" t="s">
        <v>123</v>
      </c>
      <c r="T12" s="448" t="s">
        <v>5444</v>
      </c>
      <c r="U12" s="441" t="s">
        <v>4983</v>
      </c>
      <c r="V12" s="441"/>
      <c r="W12" s="441"/>
      <c r="X12" s="424" t="s">
        <v>5160</v>
      </c>
      <c r="Y12" s="473" t="s">
        <v>634</v>
      </c>
      <c r="Z12" s="474">
        <v>0.96</v>
      </c>
      <c r="AA12" s="475">
        <f>Z12*I12</f>
        <v>921.6</v>
      </c>
      <c r="AB12" s="476"/>
      <c r="AC12" s="425" t="s">
        <v>4979</v>
      </c>
      <c r="AD12" s="477" t="s">
        <v>128</v>
      </c>
      <c r="AE12" s="477" t="s">
        <v>4930</v>
      </c>
      <c r="AF12" s="425">
        <v>960</v>
      </c>
      <c r="AG12" s="425">
        <f t="shared" si="1"/>
        <v>0</v>
      </c>
      <c r="AH12" s="425" t="s">
        <v>4335</v>
      </c>
      <c r="AI12" s="487"/>
      <c r="AJ12" s="488">
        <f t="shared" si="3"/>
        <v>960</v>
      </c>
      <c r="AK12" s="488"/>
      <c r="AL12" s="489">
        <f>I12</f>
        <v>960</v>
      </c>
      <c r="AM12" s="490"/>
      <c r="AN12" s="437"/>
      <c r="AO12" s="437"/>
      <c r="AP12" s="439">
        <f t="shared" si="4"/>
        <v>960</v>
      </c>
      <c r="AQ12" s="439"/>
      <c r="AR12" s="489"/>
      <c r="AS12" s="439">
        <f t="shared" si="5"/>
        <v>866</v>
      </c>
      <c r="AT12" s="504">
        <f t="shared" si="6"/>
        <v>94</v>
      </c>
      <c r="AU12" s="489"/>
      <c r="AV12" s="489"/>
      <c r="AW12" s="489"/>
      <c r="AX12" s="512"/>
      <c r="AY12" s="512"/>
      <c r="AZ12" s="512"/>
      <c r="BA12" s="512"/>
      <c r="BB12" s="512"/>
      <c r="BC12" s="512">
        <f>I12/16</f>
        <v>60</v>
      </c>
      <c r="BD12" s="512"/>
      <c r="BE12" s="512"/>
      <c r="BF12" s="512"/>
      <c r="BG12" s="512"/>
      <c r="BH12" s="512"/>
      <c r="BI12" s="512"/>
      <c r="BJ12" s="512"/>
      <c r="BK12" s="512"/>
      <c r="BL12" s="512"/>
      <c r="BM12" s="512"/>
      <c r="BN12" s="512"/>
      <c r="BQ12" s="3">
        <f t="shared" si="2"/>
        <v>498438</v>
      </c>
    </row>
    <row r="13" s="400" customFormat="1" ht="36" hidden="1" customHeight="1" spans="1:69">
      <c r="A13" s="420">
        <v>45995</v>
      </c>
      <c r="B13" s="421"/>
      <c r="C13" s="422"/>
      <c r="D13" s="423" t="s">
        <v>5468</v>
      </c>
      <c r="E13" s="424"/>
      <c r="F13" s="423" t="s">
        <v>5552</v>
      </c>
      <c r="G13" s="425" t="s">
        <v>4970</v>
      </c>
      <c r="H13" s="426" t="s">
        <v>5144</v>
      </c>
      <c r="I13" s="437">
        <v>390</v>
      </c>
      <c r="J13" s="438">
        <v>0</v>
      </c>
      <c r="K13" s="425">
        <v>52</v>
      </c>
      <c r="L13" s="439">
        <f t="shared" si="0"/>
        <v>7.5</v>
      </c>
      <c r="M13" s="440">
        <v>46013</v>
      </c>
      <c r="N13" s="440">
        <v>46013</v>
      </c>
      <c r="O13" s="441"/>
      <c r="P13" s="441" t="s">
        <v>1262</v>
      </c>
      <c r="Q13" s="441"/>
      <c r="R13" s="449" t="s">
        <v>3580</v>
      </c>
      <c r="S13" s="441" t="s">
        <v>77</v>
      </c>
      <c r="T13" s="441" t="s">
        <v>77</v>
      </c>
      <c r="U13" s="441"/>
      <c r="V13" s="441"/>
      <c r="W13" s="441"/>
      <c r="X13" s="424" t="s">
        <v>5553</v>
      </c>
      <c r="Y13" s="473"/>
      <c r="Z13" s="474"/>
      <c r="AA13" s="475"/>
      <c r="AB13" s="437"/>
      <c r="AC13" s="425" t="s">
        <v>4970</v>
      </c>
      <c r="AD13" s="477" t="s">
        <v>128</v>
      </c>
      <c r="AE13" s="477" t="s">
        <v>4930</v>
      </c>
      <c r="AF13" s="425">
        <v>390</v>
      </c>
      <c r="AG13" s="425">
        <f t="shared" si="1"/>
        <v>0</v>
      </c>
      <c r="AH13" s="477" t="s">
        <v>77</v>
      </c>
      <c r="AI13" s="487"/>
      <c r="AJ13" s="488">
        <f t="shared" si="3"/>
        <v>390</v>
      </c>
      <c r="AK13" s="488"/>
      <c r="AL13" s="489">
        <f>I13</f>
        <v>390</v>
      </c>
      <c r="AM13" s="490"/>
      <c r="AN13" s="437"/>
      <c r="AO13" s="437"/>
      <c r="AP13" s="439">
        <f t="shared" si="4"/>
        <v>390</v>
      </c>
      <c r="AQ13" s="439"/>
      <c r="AR13" s="489"/>
      <c r="AS13" s="439">
        <f t="shared" si="5"/>
        <v>351.8125</v>
      </c>
      <c r="AT13" s="504">
        <f t="shared" si="6"/>
        <v>38.1875</v>
      </c>
      <c r="AU13" s="489"/>
      <c r="AV13" s="489"/>
      <c r="AW13" s="489"/>
      <c r="AX13" s="512">
        <f>I13/13</f>
        <v>30</v>
      </c>
      <c r="AY13" s="512"/>
      <c r="AZ13" s="512"/>
      <c r="BA13" s="512"/>
      <c r="BB13" s="512"/>
      <c r="BC13" s="512"/>
      <c r="BD13" s="512"/>
      <c r="BE13" s="512"/>
      <c r="BF13" s="512"/>
      <c r="BG13" s="512"/>
      <c r="BH13" s="512"/>
      <c r="BI13" s="512"/>
      <c r="BJ13" s="512"/>
      <c r="BK13" s="512"/>
      <c r="BL13" s="512"/>
      <c r="BM13" s="512"/>
      <c r="BN13" s="512"/>
      <c r="BQ13" s="3">
        <f t="shared" si="2"/>
        <v>498828</v>
      </c>
    </row>
    <row r="14" s="400" customFormat="1" ht="36" hidden="1" customHeight="1" spans="1:69">
      <c r="A14" s="420">
        <v>45995</v>
      </c>
      <c r="B14" s="421"/>
      <c r="C14" s="422"/>
      <c r="D14" s="423" t="s">
        <v>5468</v>
      </c>
      <c r="E14" s="424"/>
      <c r="F14" s="423" t="s">
        <v>5554</v>
      </c>
      <c r="G14" s="425" t="s">
        <v>4974</v>
      </c>
      <c r="H14" s="426" t="s">
        <v>5205</v>
      </c>
      <c r="I14" s="437">
        <v>1250</v>
      </c>
      <c r="J14" s="438">
        <v>0</v>
      </c>
      <c r="K14" s="425">
        <v>50</v>
      </c>
      <c r="L14" s="439">
        <f t="shared" si="0"/>
        <v>25</v>
      </c>
      <c r="M14" s="440">
        <v>46013</v>
      </c>
      <c r="N14" s="440">
        <v>46013</v>
      </c>
      <c r="O14" s="441"/>
      <c r="P14" s="441" t="s">
        <v>1262</v>
      </c>
      <c r="Q14" s="441"/>
      <c r="R14" s="449" t="s">
        <v>3580</v>
      </c>
      <c r="S14" s="441" t="s">
        <v>77</v>
      </c>
      <c r="T14" s="441" t="s">
        <v>77</v>
      </c>
      <c r="U14" s="441"/>
      <c r="V14" s="441"/>
      <c r="W14" s="441"/>
      <c r="X14" s="424" t="s">
        <v>5553</v>
      </c>
      <c r="Y14" s="473"/>
      <c r="Z14" s="474"/>
      <c r="AA14" s="475"/>
      <c r="AB14" s="437"/>
      <c r="AC14" s="425" t="s">
        <v>4974</v>
      </c>
      <c r="AD14" s="477" t="s">
        <v>128</v>
      </c>
      <c r="AE14" s="477" t="s">
        <v>4930</v>
      </c>
      <c r="AF14" s="425">
        <v>1250</v>
      </c>
      <c r="AG14" s="425">
        <f t="shared" si="1"/>
        <v>0</v>
      </c>
      <c r="AH14" s="477" t="s">
        <v>77</v>
      </c>
      <c r="AI14" s="487"/>
      <c r="AJ14" s="488">
        <f t="shared" si="3"/>
        <v>1250</v>
      </c>
      <c r="AK14" s="488"/>
      <c r="AL14" s="489">
        <f>I14</f>
        <v>1250</v>
      </c>
      <c r="AM14" s="490"/>
      <c r="AN14" s="437"/>
      <c r="AO14" s="437"/>
      <c r="AP14" s="439">
        <f t="shared" si="4"/>
        <v>1250</v>
      </c>
      <c r="AQ14" s="439"/>
      <c r="AR14" s="437"/>
      <c r="AS14" s="439">
        <f t="shared" si="5"/>
        <v>1127.60416666667</v>
      </c>
      <c r="AT14" s="504">
        <f t="shared" si="6"/>
        <v>122.395833333333</v>
      </c>
      <c r="AU14" s="489"/>
      <c r="AV14" s="489"/>
      <c r="AW14" s="489"/>
      <c r="AX14" s="512"/>
      <c r="AY14" s="512"/>
      <c r="AZ14" s="512"/>
      <c r="BA14" s="512">
        <f>I14/25</f>
        <v>50</v>
      </c>
      <c r="BB14" s="512"/>
      <c r="BC14" s="512"/>
      <c r="BD14" s="512"/>
      <c r="BE14" s="512"/>
      <c r="BF14" s="512"/>
      <c r="BG14" s="512"/>
      <c r="BH14" s="512"/>
      <c r="BI14" s="512"/>
      <c r="BJ14" s="512"/>
      <c r="BK14" s="512"/>
      <c r="BL14" s="512"/>
      <c r="BM14" s="512"/>
      <c r="BN14" s="512"/>
      <c r="BQ14" s="3">
        <f t="shared" si="2"/>
        <v>500078</v>
      </c>
    </row>
    <row r="15" s="400" customFormat="1" ht="36" hidden="1" customHeight="1" spans="1:69">
      <c r="A15" s="420">
        <v>45968</v>
      </c>
      <c r="B15" s="421" t="s">
        <v>5501</v>
      </c>
      <c r="C15" s="422" t="s">
        <v>117</v>
      </c>
      <c r="D15" s="423" t="s">
        <v>5502</v>
      </c>
      <c r="E15" s="424"/>
      <c r="F15" s="423" t="s">
        <v>5566</v>
      </c>
      <c r="G15" s="425" t="s">
        <v>5505</v>
      </c>
      <c r="H15" s="426" t="s">
        <v>5506</v>
      </c>
      <c r="I15" s="437">
        <v>25032</v>
      </c>
      <c r="J15" s="438">
        <v>0</v>
      </c>
      <c r="K15" s="425">
        <v>6</v>
      </c>
      <c r="L15" s="437">
        <f t="shared" si="0"/>
        <v>4172</v>
      </c>
      <c r="M15" s="440">
        <v>46017</v>
      </c>
      <c r="N15" s="440">
        <v>46013</v>
      </c>
      <c r="O15" s="441" t="s">
        <v>5567</v>
      </c>
      <c r="P15" s="400" t="s">
        <v>92</v>
      </c>
      <c r="Q15" s="441" t="s">
        <v>5568</v>
      </c>
      <c r="R15" s="449" t="s">
        <v>5508</v>
      </c>
      <c r="S15" s="448" t="s">
        <v>77</v>
      </c>
      <c r="T15" s="450" t="s">
        <v>5509</v>
      </c>
      <c r="U15" s="441"/>
      <c r="V15" s="441"/>
      <c r="W15" s="441" t="s">
        <v>5510</v>
      </c>
      <c r="X15" s="424" t="s">
        <v>5511</v>
      </c>
      <c r="Y15" s="473" t="s">
        <v>903</v>
      </c>
      <c r="Z15" s="474">
        <v>1.31</v>
      </c>
      <c r="AA15" s="475">
        <f>Z15*I15</f>
        <v>32791.92</v>
      </c>
      <c r="AB15" s="476"/>
      <c r="AC15" s="425" t="s">
        <v>5505</v>
      </c>
      <c r="AD15" s="477" t="s">
        <v>128</v>
      </c>
      <c r="AE15" s="477" t="s">
        <v>4930</v>
      </c>
      <c r="AF15" s="425">
        <f>22008+3024</f>
        <v>25032</v>
      </c>
      <c r="AG15" s="425">
        <f t="shared" si="1"/>
        <v>0</v>
      </c>
      <c r="AH15" s="425" t="s">
        <v>4335</v>
      </c>
      <c r="AI15" s="487"/>
      <c r="AJ15" s="488">
        <f t="shared" si="3"/>
        <v>25032</v>
      </c>
      <c r="AK15" s="488"/>
      <c r="AL15" s="489">
        <f>I15</f>
        <v>25032</v>
      </c>
      <c r="AM15" s="489"/>
      <c r="AN15" s="489"/>
      <c r="AO15" s="489"/>
      <c r="AP15" s="439">
        <f t="shared" si="4"/>
        <v>25032</v>
      </c>
      <c r="AQ15" s="439"/>
      <c r="AR15" s="437"/>
      <c r="AS15" s="439">
        <f t="shared" si="5"/>
        <v>22580.95</v>
      </c>
      <c r="AT15" s="504">
        <f t="shared" si="6"/>
        <v>2451.05</v>
      </c>
      <c r="AU15" s="489"/>
      <c r="AV15" s="489"/>
      <c r="AW15" s="489"/>
      <c r="AX15" s="512"/>
      <c r="AY15" s="512"/>
      <c r="AZ15" s="512"/>
      <c r="BA15" s="512"/>
      <c r="BB15" s="512"/>
      <c r="BC15" s="512"/>
      <c r="BD15" s="512"/>
      <c r="BE15" s="512"/>
      <c r="BF15" s="512"/>
      <c r="BG15" s="512"/>
      <c r="BH15" s="512"/>
      <c r="BI15" s="512"/>
      <c r="BJ15" s="512"/>
      <c r="BK15" s="512"/>
      <c r="BL15" s="512"/>
      <c r="BM15" s="512"/>
      <c r="BN15" s="512"/>
      <c r="BQ15" s="3">
        <f t="shared" si="2"/>
        <v>525110</v>
      </c>
    </row>
    <row r="16" s="400" customFormat="1" ht="36" hidden="1" customHeight="1" spans="1:69">
      <c r="A16" s="420">
        <v>45978</v>
      </c>
      <c r="B16" s="421" t="s">
        <v>1181</v>
      </c>
      <c r="C16" s="422" t="s">
        <v>117</v>
      </c>
      <c r="D16" s="423" t="s">
        <v>5569</v>
      </c>
      <c r="E16" s="424">
        <v>4500185808</v>
      </c>
      <c r="F16" s="423"/>
      <c r="G16" s="425" t="s">
        <v>4963</v>
      </c>
      <c r="H16" s="426" t="s">
        <v>5570</v>
      </c>
      <c r="I16" s="437">
        <v>300</v>
      </c>
      <c r="J16" s="438">
        <v>0</v>
      </c>
      <c r="K16" s="425">
        <v>24</v>
      </c>
      <c r="L16" s="439">
        <f t="shared" si="0"/>
        <v>12.5</v>
      </c>
      <c r="M16" s="440">
        <v>46017</v>
      </c>
      <c r="N16" s="440">
        <v>46013</v>
      </c>
      <c r="O16" s="441"/>
      <c r="P16" s="441" t="s">
        <v>1262</v>
      </c>
      <c r="Q16" s="441" t="s">
        <v>5571</v>
      </c>
      <c r="R16" s="449" t="s">
        <v>5572</v>
      </c>
      <c r="S16" s="448" t="s">
        <v>77</v>
      </c>
      <c r="T16" s="441" t="s">
        <v>77</v>
      </c>
      <c r="U16" s="441"/>
      <c r="V16" s="441"/>
      <c r="W16" s="441" t="s">
        <v>5573</v>
      </c>
      <c r="X16" s="424" t="s">
        <v>5574</v>
      </c>
      <c r="Y16" s="473" t="s">
        <v>5575</v>
      </c>
      <c r="Z16" s="474">
        <v>0.786</v>
      </c>
      <c r="AA16" s="475">
        <f>Z16*I16</f>
        <v>235.8</v>
      </c>
      <c r="AB16" s="476"/>
      <c r="AC16" s="425" t="s">
        <v>5505</v>
      </c>
      <c r="AD16" s="477" t="s">
        <v>128</v>
      </c>
      <c r="AE16" s="477" t="s">
        <v>4930</v>
      </c>
      <c r="AF16" s="425">
        <v>300</v>
      </c>
      <c r="AG16" s="425">
        <f t="shared" si="1"/>
        <v>0</v>
      </c>
      <c r="AH16" s="477" t="s">
        <v>77</v>
      </c>
      <c r="AI16" s="478"/>
      <c r="AJ16" s="488">
        <f t="shared" si="3"/>
        <v>300</v>
      </c>
      <c r="AK16" s="488"/>
      <c r="AL16" s="489">
        <f>I16</f>
        <v>300</v>
      </c>
      <c r="AM16" s="437"/>
      <c r="AN16" s="437"/>
      <c r="AO16" s="437"/>
      <c r="AP16" s="439">
        <f t="shared" si="4"/>
        <v>300</v>
      </c>
      <c r="AQ16" s="439"/>
      <c r="AR16" s="437"/>
      <c r="AS16" s="439">
        <f t="shared" si="5"/>
        <v>270.625</v>
      </c>
      <c r="AT16" s="504">
        <f t="shared" si="6"/>
        <v>29.375</v>
      </c>
      <c r="AU16" s="489"/>
      <c r="AV16" s="489"/>
      <c r="AW16" s="489"/>
      <c r="AX16" s="512"/>
      <c r="AY16" s="512"/>
      <c r="AZ16" s="512"/>
      <c r="BA16" s="512"/>
      <c r="BB16" s="512"/>
      <c r="BC16" s="512"/>
      <c r="BD16" s="512"/>
      <c r="BE16" s="512"/>
      <c r="BF16" s="512"/>
      <c r="BG16" s="512"/>
      <c r="BH16" s="512"/>
      <c r="BI16" s="512"/>
      <c r="BJ16" s="512"/>
      <c r="BK16" s="512"/>
      <c r="BL16" s="512"/>
      <c r="BM16" s="512"/>
      <c r="BN16" s="512"/>
      <c r="BQ16" s="3">
        <f t="shared" si="2"/>
        <v>525410</v>
      </c>
    </row>
    <row r="17" s="400" customFormat="1" ht="36" hidden="1" customHeight="1" spans="1:69">
      <c r="A17" s="427">
        <v>45974</v>
      </c>
      <c r="B17" s="421" t="s">
        <v>4976</v>
      </c>
      <c r="C17" s="422" t="s">
        <v>117</v>
      </c>
      <c r="D17" s="428">
        <v>4500185601</v>
      </c>
      <c r="E17" s="1692" t="s">
        <v>5582</v>
      </c>
      <c r="F17" s="428" t="s">
        <v>5583</v>
      </c>
      <c r="G17" s="425" t="s">
        <v>4979</v>
      </c>
      <c r="H17" s="426" t="s">
        <v>4980</v>
      </c>
      <c r="I17" s="437">
        <v>960</v>
      </c>
      <c r="J17" s="438">
        <v>0</v>
      </c>
      <c r="K17" s="425">
        <v>16</v>
      </c>
      <c r="L17" s="439">
        <f t="shared" ref="L17:L27" si="7">I17/K17</f>
        <v>60</v>
      </c>
      <c r="M17" s="440">
        <v>46020</v>
      </c>
      <c r="N17" s="440">
        <v>46016</v>
      </c>
      <c r="O17" s="441" t="s">
        <v>5543</v>
      </c>
      <c r="P17" s="441" t="s">
        <v>92</v>
      </c>
      <c r="Q17" s="441" t="s">
        <v>5882</v>
      </c>
      <c r="R17" s="441" t="s">
        <v>1102</v>
      </c>
      <c r="S17" s="441" t="s">
        <v>123</v>
      </c>
      <c r="T17" s="448" t="s">
        <v>5444</v>
      </c>
      <c r="U17" s="441" t="s">
        <v>4983</v>
      </c>
      <c r="V17" s="441"/>
      <c r="W17" s="441"/>
      <c r="X17" s="424" t="s">
        <v>5160</v>
      </c>
      <c r="Y17" s="441" t="s">
        <v>634</v>
      </c>
      <c r="Z17" s="474">
        <v>0.96</v>
      </c>
      <c r="AA17" s="475">
        <f t="shared" ref="AA17:AA30" si="8">Z17*I17</f>
        <v>921.6</v>
      </c>
      <c r="AB17" s="476"/>
      <c r="AC17" s="425" t="s">
        <v>4979</v>
      </c>
      <c r="AD17" s="477" t="s">
        <v>128</v>
      </c>
      <c r="AE17" s="477" t="s">
        <v>4930</v>
      </c>
      <c r="AF17" s="425">
        <v>960</v>
      </c>
      <c r="AG17" s="425">
        <f t="shared" si="1"/>
        <v>0</v>
      </c>
      <c r="AH17" s="425" t="s">
        <v>4335</v>
      </c>
      <c r="AI17" s="478"/>
      <c r="AJ17" s="488">
        <f t="shared" ref="AJ17:AJ24" si="9">I17</f>
        <v>960</v>
      </c>
      <c r="AK17" s="488"/>
      <c r="AL17" s="489">
        <f t="shared" ref="AL17:AL23" si="10">I17</f>
        <v>960</v>
      </c>
      <c r="AM17" s="490"/>
      <c r="AN17" s="437"/>
      <c r="AO17" s="437"/>
      <c r="AP17" s="439">
        <f t="shared" ref="AP17:AP24" si="11">I17</f>
        <v>960</v>
      </c>
      <c r="AQ17" s="439"/>
      <c r="AR17" s="489"/>
      <c r="AS17" s="439">
        <f t="shared" si="5"/>
        <v>866</v>
      </c>
      <c r="AT17" s="504">
        <f t="shared" si="6"/>
        <v>94</v>
      </c>
      <c r="AU17" s="437"/>
      <c r="AV17" s="490"/>
      <c r="AW17" s="490"/>
      <c r="AX17" s="513"/>
      <c r="AY17" s="512"/>
      <c r="AZ17" s="512"/>
      <c r="BA17" s="512"/>
      <c r="BB17" s="512"/>
      <c r="BC17" s="512">
        <f t="shared" ref="BC17:BC23" si="12">I17/16</f>
        <v>60</v>
      </c>
      <c r="BD17" s="512"/>
      <c r="BE17" s="512"/>
      <c r="BF17" s="512"/>
      <c r="BG17" s="512"/>
      <c r="BH17" s="512"/>
      <c r="BI17" s="512"/>
      <c r="BJ17" s="512"/>
      <c r="BK17" s="512"/>
      <c r="BL17" s="512"/>
      <c r="BM17" s="512"/>
      <c r="BN17" s="512"/>
      <c r="BQ17" s="3">
        <f t="shared" si="2"/>
        <v>526370</v>
      </c>
    </row>
    <row r="18" s="400" customFormat="1" ht="36" hidden="1" customHeight="1" spans="1:69">
      <c r="A18" s="427">
        <v>45974</v>
      </c>
      <c r="B18" s="421" t="s">
        <v>4976</v>
      </c>
      <c r="C18" s="422" t="s">
        <v>117</v>
      </c>
      <c r="D18" s="428">
        <v>4500185601</v>
      </c>
      <c r="E18" s="1692" t="s">
        <v>5584</v>
      </c>
      <c r="F18" s="428" t="s">
        <v>5585</v>
      </c>
      <c r="G18" s="425" t="s">
        <v>4979</v>
      </c>
      <c r="H18" s="426" t="s">
        <v>4980</v>
      </c>
      <c r="I18" s="437">
        <v>960</v>
      </c>
      <c r="J18" s="438">
        <v>0</v>
      </c>
      <c r="K18" s="425">
        <v>16</v>
      </c>
      <c r="L18" s="439">
        <f t="shared" si="7"/>
        <v>60</v>
      </c>
      <c r="M18" s="440">
        <v>46020</v>
      </c>
      <c r="N18" s="440">
        <v>46016</v>
      </c>
      <c r="O18" s="441" t="s">
        <v>5586</v>
      </c>
      <c r="P18" s="441" t="s">
        <v>92</v>
      </c>
      <c r="Q18" s="441" t="s">
        <v>3477</v>
      </c>
      <c r="R18" s="441" t="s">
        <v>1102</v>
      </c>
      <c r="S18" s="441" t="s">
        <v>123</v>
      </c>
      <c r="T18" s="448" t="s">
        <v>5444</v>
      </c>
      <c r="U18" s="441" t="s">
        <v>4983</v>
      </c>
      <c r="V18" s="441"/>
      <c r="W18" s="441"/>
      <c r="X18" s="424" t="s">
        <v>5160</v>
      </c>
      <c r="Y18" s="441" t="s">
        <v>634</v>
      </c>
      <c r="Z18" s="474">
        <v>0.96</v>
      </c>
      <c r="AA18" s="475">
        <f t="shared" si="8"/>
        <v>921.6</v>
      </c>
      <c r="AB18" s="476"/>
      <c r="AC18" s="425" t="s">
        <v>4979</v>
      </c>
      <c r="AD18" s="477" t="s">
        <v>128</v>
      </c>
      <c r="AE18" s="477" t="s">
        <v>4930</v>
      </c>
      <c r="AF18" s="425">
        <v>960</v>
      </c>
      <c r="AG18" s="425">
        <f t="shared" si="1"/>
        <v>0</v>
      </c>
      <c r="AH18" s="425" t="s">
        <v>4335</v>
      </c>
      <c r="AI18" s="478"/>
      <c r="AJ18" s="488">
        <f t="shared" si="9"/>
        <v>960</v>
      </c>
      <c r="AK18" s="488"/>
      <c r="AL18" s="489">
        <f t="shared" si="10"/>
        <v>960</v>
      </c>
      <c r="AM18" s="490"/>
      <c r="AN18" s="437"/>
      <c r="AO18" s="437"/>
      <c r="AP18" s="439">
        <f t="shared" si="11"/>
        <v>960</v>
      </c>
      <c r="AQ18" s="439"/>
      <c r="AR18" s="489"/>
      <c r="AS18" s="439">
        <f t="shared" si="5"/>
        <v>866</v>
      </c>
      <c r="AT18" s="504">
        <f t="shared" si="6"/>
        <v>94</v>
      </c>
      <c r="AU18" s="437"/>
      <c r="AV18" s="490"/>
      <c r="AW18" s="490"/>
      <c r="AX18" s="513"/>
      <c r="AY18" s="512"/>
      <c r="AZ18" s="512"/>
      <c r="BA18" s="512"/>
      <c r="BB18" s="512"/>
      <c r="BC18" s="512">
        <f t="shared" si="12"/>
        <v>60</v>
      </c>
      <c r="BD18" s="512"/>
      <c r="BE18" s="512"/>
      <c r="BF18" s="512"/>
      <c r="BG18" s="512"/>
      <c r="BH18" s="512"/>
      <c r="BI18" s="512"/>
      <c r="BJ18" s="512"/>
      <c r="BK18" s="512"/>
      <c r="BL18" s="512"/>
      <c r="BM18" s="512"/>
      <c r="BN18" s="512"/>
      <c r="BQ18" s="3">
        <f t="shared" si="2"/>
        <v>527330</v>
      </c>
    </row>
    <row r="19" s="400" customFormat="1" ht="36" hidden="1" customHeight="1" spans="1:69">
      <c r="A19" s="427">
        <v>45974</v>
      </c>
      <c r="B19" s="421" t="s">
        <v>4976</v>
      </c>
      <c r="C19" s="422" t="s">
        <v>117</v>
      </c>
      <c r="D19" s="428">
        <v>4500185601</v>
      </c>
      <c r="E19" s="1692" t="s">
        <v>5587</v>
      </c>
      <c r="F19" s="428" t="s">
        <v>5588</v>
      </c>
      <c r="G19" s="425" t="s">
        <v>4979</v>
      </c>
      <c r="H19" s="426" t="s">
        <v>4980</v>
      </c>
      <c r="I19" s="437">
        <v>960</v>
      </c>
      <c r="J19" s="438">
        <v>0</v>
      </c>
      <c r="K19" s="425">
        <v>16</v>
      </c>
      <c r="L19" s="439">
        <f t="shared" si="7"/>
        <v>60</v>
      </c>
      <c r="M19" s="440">
        <v>46020</v>
      </c>
      <c r="N19" s="440">
        <v>46016</v>
      </c>
      <c r="O19" s="441" t="s">
        <v>5543</v>
      </c>
      <c r="P19" s="441" t="s">
        <v>92</v>
      </c>
      <c r="Q19" s="441" t="s">
        <v>5883</v>
      </c>
      <c r="R19" s="441" t="s">
        <v>1102</v>
      </c>
      <c r="S19" s="441" t="s">
        <v>123</v>
      </c>
      <c r="T19" s="448" t="s">
        <v>5444</v>
      </c>
      <c r="U19" s="441" t="s">
        <v>4983</v>
      </c>
      <c r="V19" s="441"/>
      <c r="W19" s="441"/>
      <c r="X19" s="424" t="s">
        <v>5160</v>
      </c>
      <c r="Y19" s="441" t="s">
        <v>634</v>
      </c>
      <c r="Z19" s="474">
        <v>0.96</v>
      </c>
      <c r="AA19" s="475">
        <f t="shared" si="8"/>
        <v>921.6</v>
      </c>
      <c r="AB19" s="476"/>
      <c r="AC19" s="425" t="s">
        <v>4979</v>
      </c>
      <c r="AD19" s="477" t="s">
        <v>128</v>
      </c>
      <c r="AE19" s="477" t="s">
        <v>4930</v>
      </c>
      <c r="AF19" s="425">
        <v>960</v>
      </c>
      <c r="AG19" s="425">
        <f t="shared" si="1"/>
        <v>0</v>
      </c>
      <c r="AH19" s="425" t="s">
        <v>4335</v>
      </c>
      <c r="AI19" s="478"/>
      <c r="AJ19" s="488">
        <f t="shared" si="9"/>
        <v>960</v>
      </c>
      <c r="AK19" s="488"/>
      <c r="AL19" s="489">
        <f t="shared" si="10"/>
        <v>960</v>
      </c>
      <c r="AM19" s="490"/>
      <c r="AN19" s="437"/>
      <c r="AO19" s="437"/>
      <c r="AP19" s="439">
        <f t="shared" si="11"/>
        <v>960</v>
      </c>
      <c r="AQ19" s="439"/>
      <c r="AR19" s="489"/>
      <c r="AS19" s="439">
        <f t="shared" si="5"/>
        <v>866</v>
      </c>
      <c r="AT19" s="504">
        <f t="shared" si="6"/>
        <v>94</v>
      </c>
      <c r="AU19" s="437"/>
      <c r="AV19" s="490"/>
      <c r="AW19" s="490"/>
      <c r="AX19" s="513"/>
      <c r="AY19" s="512"/>
      <c r="AZ19" s="512"/>
      <c r="BA19" s="512"/>
      <c r="BB19" s="512"/>
      <c r="BC19" s="512">
        <f t="shared" si="12"/>
        <v>60</v>
      </c>
      <c r="BD19" s="512"/>
      <c r="BE19" s="512"/>
      <c r="BF19" s="512"/>
      <c r="BG19" s="512"/>
      <c r="BH19" s="512"/>
      <c r="BI19" s="512"/>
      <c r="BJ19" s="512"/>
      <c r="BK19" s="512"/>
      <c r="BL19" s="512"/>
      <c r="BM19" s="512"/>
      <c r="BN19" s="512"/>
      <c r="BQ19" s="3">
        <f t="shared" si="2"/>
        <v>528290</v>
      </c>
    </row>
    <row r="20" s="400" customFormat="1" ht="36" hidden="1" customHeight="1" spans="1:69">
      <c r="A20" s="427">
        <v>45974</v>
      </c>
      <c r="B20" s="421" t="s">
        <v>4976</v>
      </c>
      <c r="C20" s="422" t="s">
        <v>117</v>
      </c>
      <c r="D20" s="428">
        <v>4500185602</v>
      </c>
      <c r="E20" s="1692" t="s">
        <v>5589</v>
      </c>
      <c r="F20" s="428" t="s">
        <v>5590</v>
      </c>
      <c r="G20" s="425" t="s">
        <v>4979</v>
      </c>
      <c r="H20" s="426" t="s">
        <v>4980</v>
      </c>
      <c r="I20" s="437">
        <v>960</v>
      </c>
      <c r="J20" s="438">
        <v>0</v>
      </c>
      <c r="K20" s="425">
        <v>16</v>
      </c>
      <c r="L20" s="439">
        <f t="shared" si="7"/>
        <v>60</v>
      </c>
      <c r="M20" s="440">
        <v>46021</v>
      </c>
      <c r="N20" s="440">
        <v>46017</v>
      </c>
      <c r="O20" s="441" t="s">
        <v>5543</v>
      </c>
      <c r="P20" s="441" t="s">
        <v>92</v>
      </c>
      <c r="Q20" s="441" t="s">
        <v>5881</v>
      </c>
      <c r="R20" s="441" t="s">
        <v>1102</v>
      </c>
      <c r="S20" s="441" t="s">
        <v>123</v>
      </c>
      <c r="T20" s="448" t="s">
        <v>5444</v>
      </c>
      <c r="U20" s="441" t="s">
        <v>4983</v>
      </c>
      <c r="V20" s="441"/>
      <c r="W20" s="441"/>
      <c r="X20" s="424" t="s">
        <v>5160</v>
      </c>
      <c r="Y20" s="441" t="s">
        <v>634</v>
      </c>
      <c r="Z20" s="474">
        <v>0.96</v>
      </c>
      <c r="AA20" s="475">
        <f t="shared" si="8"/>
        <v>921.6</v>
      </c>
      <c r="AB20" s="476"/>
      <c r="AC20" s="425" t="s">
        <v>4979</v>
      </c>
      <c r="AD20" s="477" t="s">
        <v>128</v>
      </c>
      <c r="AE20" s="477" t="s">
        <v>4930</v>
      </c>
      <c r="AF20" s="425">
        <v>960</v>
      </c>
      <c r="AG20" s="425">
        <f t="shared" si="1"/>
        <v>0</v>
      </c>
      <c r="AH20" s="425" t="s">
        <v>4335</v>
      </c>
      <c r="AI20" s="478"/>
      <c r="AJ20" s="488">
        <f t="shared" si="9"/>
        <v>960</v>
      </c>
      <c r="AK20" s="488"/>
      <c r="AL20" s="489">
        <f t="shared" si="10"/>
        <v>960</v>
      </c>
      <c r="AM20" s="490"/>
      <c r="AN20" s="437"/>
      <c r="AO20" s="437"/>
      <c r="AP20" s="439">
        <f t="shared" si="11"/>
        <v>960</v>
      </c>
      <c r="AQ20" s="439"/>
      <c r="AR20" s="489"/>
      <c r="AS20" s="439">
        <f t="shared" si="5"/>
        <v>866</v>
      </c>
      <c r="AT20" s="504">
        <f t="shared" si="6"/>
        <v>94</v>
      </c>
      <c r="AU20" s="437"/>
      <c r="AV20" s="490"/>
      <c r="AW20" s="490"/>
      <c r="AX20" s="513"/>
      <c r="AY20" s="512"/>
      <c r="AZ20" s="512"/>
      <c r="BA20" s="512"/>
      <c r="BB20" s="512"/>
      <c r="BC20" s="512">
        <f t="shared" si="12"/>
        <v>60</v>
      </c>
      <c r="BD20" s="512"/>
      <c r="BE20" s="512"/>
      <c r="BF20" s="512"/>
      <c r="BG20" s="512"/>
      <c r="BH20" s="512"/>
      <c r="BI20" s="512"/>
      <c r="BJ20" s="512"/>
      <c r="BK20" s="512"/>
      <c r="BL20" s="512"/>
      <c r="BM20" s="512"/>
      <c r="BN20" s="512"/>
      <c r="BQ20" s="3">
        <f t="shared" si="2"/>
        <v>529250</v>
      </c>
    </row>
    <row r="21" s="400" customFormat="1" ht="36" hidden="1" customHeight="1" spans="1:69">
      <c r="A21" s="427">
        <v>45974</v>
      </c>
      <c r="B21" s="421" t="s">
        <v>4976</v>
      </c>
      <c r="C21" s="422" t="s">
        <v>117</v>
      </c>
      <c r="D21" s="428">
        <v>4500185602</v>
      </c>
      <c r="E21" s="1692" t="s">
        <v>5591</v>
      </c>
      <c r="F21" s="428" t="s">
        <v>5592</v>
      </c>
      <c r="G21" s="425" t="s">
        <v>4979</v>
      </c>
      <c r="H21" s="426" t="s">
        <v>4980</v>
      </c>
      <c r="I21" s="437">
        <v>960</v>
      </c>
      <c r="J21" s="438">
        <v>0</v>
      </c>
      <c r="K21" s="425">
        <v>16</v>
      </c>
      <c r="L21" s="439">
        <f t="shared" si="7"/>
        <v>60</v>
      </c>
      <c r="M21" s="440">
        <v>46021</v>
      </c>
      <c r="N21" s="440">
        <v>46017</v>
      </c>
      <c r="O21" s="441" t="s">
        <v>5586</v>
      </c>
      <c r="P21" s="441" t="s">
        <v>92</v>
      </c>
      <c r="Q21" s="441" t="s">
        <v>5884</v>
      </c>
      <c r="R21" s="441" t="s">
        <v>1102</v>
      </c>
      <c r="S21" s="441" t="s">
        <v>123</v>
      </c>
      <c r="T21" s="448" t="s">
        <v>5444</v>
      </c>
      <c r="U21" s="441" t="s">
        <v>4983</v>
      </c>
      <c r="V21" s="441"/>
      <c r="W21" s="441"/>
      <c r="X21" s="424" t="s">
        <v>5160</v>
      </c>
      <c r="Y21" s="441" t="s">
        <v>634</v>
      </c>
      <c r="Z21" s="474">
        <v>0.96</v>
      </c>
      <c r="AA21" s="475">
        <f t="shared" si="8"/>
        <v>921.6</v>
      </c>
      <c r="AB21" s="476"/>
      <c r="AC21" s="425" t="s">
        <v>4979</v>
      </c>
      <c r="AD21" s="477" t="s">
        <v>128</v>
      </c>
      <c r="AE21" s="477" t="s">
        <v>4930</v>
      </c>
      <c r="AF21" s="425">
        <v>960</v>
      </c>
      <c r="AG21" s="425">
        <f t="shared" si="1"/>
        <v>0</v>
      </c>
      <c r="AH21" s="425" t="s">
        <v>4335</v>
      </c>
      <c r="AI21" s="478"/>
      <c r="AJ21" s="488">
        <f t="shared" si="9"/>
        <v>960</v>
      </c>
      <c r="AK21" s="488"/>
      <c r="AL21" s="489">
        <f t="shared" si="10"/>
        <v>960</v>
      </c>
      <c r="AM21" s="490"/>
      <c r="AN21" s="437"/>
      <c r="AO21" s="437"/>
      <c r="AP21" s="439">
        <f t="shared" si="11"/>
        <v>960</v>
      </c>
      <c r="AQ21" s="439"/>
      <c r="AR21" s="489"/>
      <c r="AS21" s="439">
        <f t="shared" si="5"/>
        <v>866</v>
      </c>
      <c r="AT21" s="504">
        <f t="shared" si="6"/>
        <v>94</v>
      </c>
      <c r="AU21" s="437"/>
      <c r="AV21" s="490"/>
      <c r="AW21" s="490"/>
      <c r="AX21" s="513"/>
      <c r="AY21" s="512"/>
      <c r="AZ21" s="512"/>
      <c r="BA21" s="512"/>
      <c r="BB21" s="512"/>
      <c r="BC21" s="512">
        <f t="shared" si="12"/>
        <v>60</v>
      </c>
      <c r="BD21" s="512"/>
      <c r="BE21" s="512"/>
      <c r="BF21" s="512"/>
      <c r="BG21" s="512"/>
      <c r="BH21" s="512"/>
      <c r="BI21" s="512"/>
      <c r="BJ21" s="512"/>
      <c r="BK21" s="512"/>
      <c r="BL21" s="512"/>
      <c r="BM21" s="512"/>
      <c r="BN21" s="512"/>
      <c r="BQ21" s="3">
        <f t="shared" si="2"/>
        <v>530210</v>
      </c>
    </row>
    <row r="22" s="400" customFormat="1" ht="36" hidden="1" customHeight="1" spans="1:69">
      <c r="A22" s="427">
        <v>45974</v>
      </c>
      <c r="B22" s="421" t="s">
        <v>4976</v>
      </c>
      <c r="C22" s="422" t="s">
        <v>117</v>
      </c>
      <c r="D22" s="428">
        <v>4500185602</v>
      </c>
      <c r="E22" s="1692" t="s">
        <v>5593</v>
      </c>
      <c r="F22" s="428" t="s">
        <v>5594</v>
      </c>
      <c r="G22" s="425" t="s">
        <v>4979</v>
      </c>
      <c r="H22" s="426" t="s">
        <v>4980</v>
      </c>
      <c r="I22" s="437">
        <v>960</v>
      </c>
      <c r="J22" s="438">
        <v>0</v>
      </c>
      <c r="K22" s="425">
        <v>16</v>
      </c>
      <c r="L22" s="439">
        <f t="shared" si="7"/>
        <v>60</v>
      </c>
      <c r="M22" s="440">
        <v>46021</v>
      </c>
      <c r="N22" s="440">
        <v>46017</v>
      </c>
      <c r="O22" s="441" t="s">
        <v>5586</v>
      </c>
      <c r="P22" s="441" t="s">
        <v>92</v>
      </c>
      <c r="Q22" s="441" t="s">
        <v>5885</v>
      </c>
      <c r="R22" s="441" t="s">
        <v>1102</v>
      </c>
      <c r="S22" s="441" t="s">
        <v>123</v>
      </c>
      <c r="T22" s="448" t="s">
        <v>5444</v>
      </c>
      <c r="U22" s="441" t="s">
        <v>4983</v>
      </c>
      <c r="V22" s="441"/>
      <c r="W22" s="441"/>
      <c r="X22" s="424" t="s">
        <v>5160</v>
      </c>
      <c r="Y22" s="441" t="s">
        <v>634</v>
      </c>
      <c r="Z22" s="474">
        <v>0.96</v>
      </c>
      <c r="AA22" s="475">
        <f t="shared" si="8"/>
        <v>921.6</v>
      </c>
      <c r="AB22" s="476"/>
      <c r="AC22" s="425" t="s">
        <v>4979</v>
      </c>
      <c r="AD22" s="477" t="s">
        <v>128</v>
      </c>
      <c r="AE22" s="477" t="s">
        <v>4930</v>
      </c>
      <c r="AF22" s="425">
        <v>960</v>
      </c>
      <c r="AG22" s="425">
        <f t="shared" si="1"/>
        <v>0</v>
      </c>
      <c r="AH22" s="425" t="s">
        <v>4335</v>
      </c>
      <c r="AI22" s="478"/>
      <c r="AJ22" s="488">
        <f t="shared" si="9"/>
        <v>960</v>
      </c>
      <c r="AK22" s="488"/>
      <c r="AL22" s="489">
        <f t="shared" si="10"/>
        <v>960</v>
      </c>
      <c r="AM22" s="490"/>
      <c r="AN22" s="437"/>
      <c r="AO22" s="437"/>
      <c r="AP22" s="439">
        <f t="shared" si="11"/>
        <v>960</v>
      </c>
      <c r="AQ22" s="439"/>
      <c r="AR22" s="489"/>
      <c r="AS22" s="439">
        <f t="shared" si="5"/>
        <v>866</v>
      </c>
      <c r="AT22" s="504">
        <f t="shared" si="6"/>
        <v>94</v>
      </c>
      <c r="AU22" s="437"/>
      <c r="AV22" s="490"/>
      <c r="AW22" s="490"/>
      <c r="AX22" s="513"/>
      <c r="AY22" s="512"/>
      <c r="AZ22" s="512"/>
      <c r="BA22" s="512"/>
      <c r="BB22" s="512"/>
      <c r="BC22" s="512">
        <f t="shared" si="12"/>
        <v>60</v>
      </c>
      <c r="BD22" s="512"/>
      <c r="BE22" s="512"/>
      <c r="BF22" s="512"/>
      <c r="BG22" s="512"/>
      <c r="BH22" s="512"/>
      <c r="BI22" s="512"/>
      <c r="BJ22" s="512"/>
      <c r="BK22" s="512"/>
      <c r="BL22" s="512"/>
      <c r="BM22" s="512"/>
      <c r="BN22" s="512"/>
      <c r="BQ22" s="3">
        <f t="shared" si="2"/>
        <v>531170</v>
      </c>
    </row>
    <row r="23" s="400" customFormat="1" ht="36" hidden="1" customHeight="1" spans="1:69">
      <c r="A23" s="427">
        <v>45974</v>
      </c>
      <c r="B23" s="421" t="s">
        <v>4976</v>
      </c>
      <c r="C23" s="422" t="s">
        <v>117</v>
      </c>
      <c r="D23" s="428">
        <v>4500185602</v>
      </c>
      <c r="E23" s="1692" t="s">
        <v>5595</v>
      </c>
      <c r="F23" s="428" t="s">
        <v>5596</v>
      </c>
      <c r="G23" s="425" t="s">
        <v>4979</v>
      </c>
      <c r="H23" s="426" t="s">
        <v>4980</v>
      </c>
      <c r="I23" s="437">
        <v>960</v>
      </c>
      <c r="J23" s="438">
        <v>0</v>
      </c>
      <c r="K23" s="425">
        <v>16</v>
      </c>
      <c r="L23" s="439">
        <f t="shared" si="7"/>
        <v>60</v>
      </c>
      <c r="M23" s="440">
        <v>46021</v>
      </c>
      <c r="N23" s="440">
        <v>46017</v>
      </c>
      <c r="O23" s="441" t="s">
        <v>5586</v>
      </c>
      <c r="P23" s="441" t="s">
        <v>92</v>
      </c>
      <c r="Q23" s="441" t="s">
        <v>5886</v>
      </c>
      <c r="R23" s="441" t="s">
        <v>1102</v>
      </c>
      <c r="S23" s="441" t="s">
        <v>123</v>
      </c>
      <c r="T23" s="448" t="s">
        <v>5444</v>
      </c>
      <c r="U23" s="441" t="s">
        <v>4983</v>
      </c>
      <c r="V23" s="441"/>
      <c r="W23" s="441"/>
      <c r="X23" s="424" t="s">
        <v>5160</v>
      </c>
      <c r="Y23" s="441" t="s">
        <v>634</v>
      </c>
      <c r="Z23" s="474">
        <v>0.96</v>
      </c>
      <c r="AA23" s="475">
        <f t="shared" si="8"/>
        <v>921.6</v>
      </c>
      <c r="AB23" s="476"/>
      <c r="AC23" s="425" t="s">
        <v>4979</v>
      </c>
      <c r="AD23" s="477" t="s">
        <v>128</v>
      </c>
      <c r="AE23" s="477" t="s">
        <v>4930</v>
      </c>
      <c r="AF23" s="425">
        <v>960</v>
      </c>
      <c r="AG23" s="425">
        <f t="shared" si="1"/>
        <v>0</v>
      </c>
      <c r="AH23" s="425" t="s">
        <v>4335</v>
      </c>
      <c r="AI23" s="478"/>
      <c r="AJ23" s="488">
        <f t="shared" si="9"/>
        <v>960</v>
      </c>
      <c r="AK23" s="488"/>
      <c r="AL23" s="489">
        <f t="shared" si="10"/>
        <v>960</v>
      </c>
      <c r="AM23" s="490"/>
      <c r="AN23" s="437"/>
      <c r="AO23" s="437"/>
      <c r="AP23" s="439">
        <f t="shared" si="11"/>
        <v>960</v>
      </c>
      <c r="AQ23" s="439"/>
      <c r="AR23" s="489"/>
      <c r="AS23" s="439">
        <f t="shared" si="5"/>
        <v>866</v>
      </c>
      <c r="AT23" s="504">
        <f t="shared" si="6"/>
        <v>94</v>
      </c>
      <c r="AU23" s="437"/>
      <c r="AV23" s="490"/>
      <c r="AW23" s="490"/>
      <c r="AX23" s="513"/>
      <c r="AY23" s="512"/>
      <c r="AZ23" s="512"/>
      <c r="BA23" s="512"/>
      <c r="BB23" s="512"/>
      <c r="BC23" s="512">
        <f t="shared" si="12"/>
        <v>60</v>
      </c>
      <c r="BD23" s="512"/>
      <c r="BE23" s="512"/>
      <c r="BF23" s="512"/>
      <c r="BG23" s="512"/>
      <c r="BH23" s="512"/>
      <c r="BI23" s="512"/>
      <c r="BJ23" s="512"/>
      <c r="BK23" s="512"/>
      <c r="BL23" s="512"/>
      <c r="BM23" s="512"/>
      <c r="BN23" s="512"/>
      <c r="BQ23" s="3">
        <f t="shared" si="2"/>
        <v>532130</v>
      </c>
    </row>
    <row r="24" s="400" customFormat="1" ht="36" hidden="1" customHeight="1" spans="1:69">
      <c r="A24" s="420">
        <v>45932</v>
      </c>
      <c r="B24" s="421" t="s">
        <v>179</v>
      </c>
      <c r="C24" s="422" t="s">
        <v>180</v>
      </c>
      <c r="D24" s="423">
        <v>4500181168</v>
      </c>
      <c r="E24" s="424" t="s">
        <v>5600</v>
      </c>
      <c r="F24" s="423" t="s">
        <v>5601</v>
      </c>
      <c r="G24" s="425" t="s">
        <v>5092</v>
      </c>
      <c r="H24" s="426" t="s">
        <v>5093</v>
      </c>
      <c r="I24" s="437">
        <v>864</v>
      </c>
      <c r="J24" s="438">
        <v>0</v>
      </c>
      <c r="K24" s="425">
        <v>12</v>
      </c>
      <c r="L24" s="439">
        <f t="shared" si="7"/>
        <v>72</v>
      </c>
      <c r="M24" s="440">
        <v>46016</v>
      </c>
      <c r="N24" s="440">
        <v>46018</v>
      </c>
      <c r="O24" s="441"/>
      <c r="P24" s="441" t="s">
        <v>92</v>
      </c>
      <c r="Q24" s="441"/>
      <c r="R24" s="449" t="s">
        <v>5282</v>
      </c>
      <c r="S24" s="441" t="s">
        <v>123</v>
      </c>
      <c r="T24" s="441" t="s">
        <v>5602</v>
      </c>
      <c r="U24" s="441"/>
      <c r="V24" s="441"/>
      <c r="W24" s="441"/>
      <c r="X24" s="424" t="s">
        <v>5603</v>
      </c>
      <c r="Y24" s="473" t="s">
        <v>186</v>
      </c>
      <c r="Z24" s="474">
        <v>3.18</v>
      </c>
      <c r="AA24" s="475">
        <f t="shared" si="8"/>
        <v>2747.52</v>
      </c>
      <c r="AB24" s="476"/>
      <c r="AC24" s="478" t="s">
        <v>5098</v>
      </c>
      <c r="AD24" s="477" t="s">
        <v>128</v>
      </c>
      <c r="AE24" s="477" t="s">
        <v>4930</v>
      </c>
      <c r="AF24" s="425">
        <v>864</v>
      </c>
      <c r="AG24" s="425">
        <f t="shared" si="1"/>
        <v>0</v>
      </c>
      <c r="AH24" s="425" t="s">
        <v>4335</v>
      </c>
      <c r="AI24" s="478"/>
      <c r="AJ24" s="488">
        <f>I24*2</f>
        <v>1728</v>
      </c>
      <c r="AK24" s="488"/>
      <c r="AL24" s="489"/>
      <c r="AM24" s="437"/>
      <c r="AN24" s="437">
        <f>I24*2</f>
        <v>1728</v>
      </c>
      <c r="AO24" s="437"/>
      <c r="AP24" s="439">
        <f>I24*2</f>
        <v>1728</v>
      </c>
      <c r="AQ24" s="439"/>
      <c r="AR24" s="489"/>
      <c r="AS24" s="439">
        <f t="shared" si="5"/>
        <v>1558.8</v>
      </c>
      <c r="AT24" s="504">
        <f>I24*(1-(1/48))/10*2</f>
        <v>169.2</v>
      </c>
      <c r="AU24" s="439">
        <f>AS24</f>
        <v>1558.8</v>
      </c>
      <c r="AV24" s="489"/>
      <c r="AW24" s="489"/>
      <c r="AX24" s="512"/>
      <c r="AY24" s="512"/>
      <c r="AZ24" s="512"/>
      <c r="BA24" s="512"/>
      <c r="BB24" s="512"/>
      <c r="BC24" s="512"/>
      <c r="BD24" s="512"/>
      <c r="BE24" s="512"/>
      <c r="BF24" s="512"/>
      <c r="BG24" s="512"/>
      <c r="BH24" s="512"/>
      <c r="BI24" s="512"/>
      <c r="BJ24" s="512"/>
      <c r="BK24" s="512"/>
      <c r="BL24" s="512"/>
      <c r="BM24" s="512">
        <f>I24</f>
        <v>864</v>
      </c>
      <c r="BN24" s="512">
        <f>I24</f>
        <v>864</v>
      </c>
      <c r="BQ24" s="3">
        <f t="shared" si="2"/>
        <v>533858</v>
      </c>
    </row>
    <row r="25" s="400" customFormat="1" ht="36" hidden="1" customHeight="1" spans="1:69">
      <c r="A25" s="420">
        <v>45930</v>
      </c>
      <c r="B25" s="421" t="s">
        <v>4204</v>
      </c>
      <c r="C25" s="422" t="s">
        <v>373</v>
      </c>
      <c r="D25" s="423">
        <v>4500181126</v>
      </c>
      <c r="E25" s="424" t="s">
        <v>5604</v>
      </c>
      <c r="F25" s="423" t="s">
        <v>5605</v>
      </c>
      <c r="G25" s="425" t="s">
        <v>5092</v>
      </c>
      <c r="H25" s="426" t="s">
        <v>5093</v>
      </c>
      <c r="I25" s="437">
        <v>876</v>
      </c>
      <c r="J25" s="438">
        <v>0</v>
      </c>
      <c r="K25" s="425">
        <v>12</v>
      </c>
      <c r="L25" s="439">
        <f t="shared" si="7"/>
        <v>73</v>
      </c>
      <c r="M25" s="440">
        <v>46016</v>
      </c>
      <c r="N25" s="440">
        <v>46018</v>
      </c>
      <c r="O25" s="441"/>
      <c r="P25" s="441" t="s">
        <v>92</v>
      </c>
      <c r="Q25" s="441" t="s">
        <v>3144</v>
      </c>
      <c r="R25" s="449" t="s">
        <v>5282</v>
      </c>
      <c r="S25" s="441" t="s">
        <v>123</v>
      </c>
      <c r="T25" s="441" t="s">
        <v>5606</v>
      </c>
      <c r="U25" s="441"/>
      <c r="V25" s="441"/>
      <c r="W25" s="441"/>
      <c r="X25" s="424" t="s">
        <v>5607</v>
      </c>
      <c r="Y25" s="473" t="s">
        <v>2629</v>
      </c>
      <c r="Z25" s="474">
        <v>3.1175</v>
      </c>
      <c r="AA25" s="475">
        <f t="shared" si="8"/>
        <v>2730.93</v>
      </c>
      <c r="AB25" s="476"/>
      <c r="AC25" s="478" t="s">
        <v>5098</v>
      </c>
      <c r="AD25" s="477" t="s">
        <v>128</v>
      </c>
      <c r="AE25" s="477" t="s">
        <v>4930</v>
      </c>
      <c r="AF25" s="425">
        <v>876</v>
      </c>
      <c r="AG25" s="425">
        <f t="shared" si="1"/>
        <v>0</v>
      </c>
      <c r="AH25" s="425" t="s">
        <v>4335</v>
      </c>
      <c r="AI25" s="478"/>
      <c r="AJ25" s="488">
        <f>I25*2</f>
        <v>1752</v>
      </c>
      <c r="AK25" s="488"/>
      <c r="AL25" s="489"/>
      <c r="AM25" s="437"/>
      <c r="AN25" s="437">
        <f>I25*2</f>
        <v>1752</v>
      </c>
      <c r="AO25" s="437"/>
      <c r="AP25" s="439">
        <f>I25*2</f>
        <v>1752</v>
      </c>
      <c r="AQ25" s="439"/>
      <c r="AR25" s="489"/>
      <c r="AS25" s="439">
        <f t="shared" si="5"/>
        <v>1580.45</v>
      </c>
      <c r="AT25" s="504">
        <f>I25*(1-(1/48))/10*2</f>
        <v>171.55</v>
      </c>
      <c r="AU25" s="439">
        <f>AS25</f>
        <v>1580.45</v>
      </c>
      <c r="AV25" s="489"/>
      <c r="AW25" s="489"/>
      <c r="AX25" s="512"/>
      <c r="AY25" s="512"/>
      <c r="AZ25" s="512"/>
      <c r="BA25" s="512"/>
      <c r="BB25" s="512"/>
      <c r="BC25" s="512"/>
      <c r="BD25" s="512"/>
      <c r="BE25" s="512"/>
      <c r="BF25" s="512"/>
      <c r="BG25" s="512"/>
      <c r="BH25" s="512"/>
      <c r="BI25" s="512"/>
      <c r="BJ25" s="512"/>
      <c r="BK25" s="512"/>
      <c r="BL25" s="512"/>
      <c r="BM25" s="512">
        <f>I25</f>
        <v>876</v>
      </c>
      <c r="BN25" s="512">
        <f>I25</f>
        <v>876</v>
      </c>
      <c r="BQ25" s="3">
        <f t="shared" si="2"/>
        <v>535610</v>
      </c>
    </row>
    <row r="26" s="400" customFormat="1" ht="36" customHeight="1" spans="1:69">
      <c r="A26" s="427">
        <v>45964</v>
      </c>
      <c r="B26" s="421" t="s">
        <v>660</v>
      </c>
      <c r="C26" s="422" t="s">
        <v>373</v>
      </c>
      <c r="D26" s="428">
        <v>4500184256</v>
      </c>
      <c r="E26" s="424"/>
      <c r="F26" s="428" t="s">
        <v>5614</v>
      </c>
      <c r="G26" s="425" t="s">
        <v>4988</v>
      </c>
      <c r="H26" s="426" t="s">
        <v>4989</v>
      </c>
      <c r="I26" s="437">
        <v>1975</v>
      </c>
      <c r="J26" s="438">
        <v>0</v>
      </c>
      <c r="K26" s="425">
        <v>25</v>
      </c>
      <c r="L26" s="439">
        <f t="shared" si="7"/>
        <v>79</v>
      </c>
      <c r="M26" s="440">
        <v>46021</v>
      </c>
      <c r="N26" s="440">
        <v>46020</v>
      </c>
      <c r="O26" s="441"/>
      <c r="P26" s="441" t="s">
        <v>92</v>
      </c>
      <c r="Q26" s="441" t="s">
        <v>3446</v>
      </c>
      <c r="R26" s="449">
        <v>45978</v>
      </c>
      <c r="S26" s="448" t="s">
        <v>77</v>
      </c>
      <c r="T26" s="448" t="s">
        <v>5615</v>
      </c>
      <c r="U26" s="441"/>
      <c r="V26" s="441"/>
      <c r="W26" s="441"/>
      <c r="X26" s="424" t="s">
        <v>5616</v>
      </c>
      <c r="Y26" s="441" t="s">
        <v>5174</v>
      </c>
      <c r="Z26" s="474">
        <v>1.6</v>
      </c>
      <c r="AA26" s="475">
        <f t="shared" si="8"/>
        <v>3160</v>
      </c>
      <c r="AB26" s="476"/>
      <c r="AC26" s="478" t="s">
        <v>5042</v>
      </c>
      <c r="AD26" s="477" t="s">
        <v>128</v>
      </c>
      <c r="AE26" s="477" t="s">
        <v>4930</v>
      </c>
      <c r="AF26" s="425">
        <f>1950+25</f>
        <v>1975</v>
      </c>
      <c r="AG26" s="425">
        <f t="shared" si="1"/>
        <v>0</v>
      </c>
      <c r="AH26" s="425" t="s">
        <v>4335</v>
      </c>
      <c r="AI26" s="478"/>
      <c r="AJ26" s="488">
        <f>I26</f>
        <v>1975</v>
      </c>
      <c r="AK26" s="491"/>
      <c r="AL26" s="492"/>
      <c r="AM26" s="490">
        <f>I26</f>
        <v>1975</v>
      </c>
      <c r="AN26" s="437"/>
      <c r="AO26" s="437"/>
      <c r="AP26" s="439">
        <f>I26</f>
        <v>1975</v>
      </c>
      <c r="AQ26" s="439"/>
      <c r="AR26" s="489"/>
      <c r="AS26" s="439">
        <f t="shared" si="5"/>
        <v>1781.61458333333</v>
      </c>
      <c r="AT26" s="504">
        <f>I26*(1-(1/48))/10</f>
        <v>193.385416666667</v>
      </c>
      <c r="AU26" s="439">
        <f>AS26</f>
        <v>1781.61458333333</v>
      </c>
      <c r="AV26" s="490"/>
      <c r="AW26" s="490"/>
      <c r="AX26" s="513"/>
      <c r="AY26" s="512"/>
      <c r="AZ26" s="512"/>
      <c r="BA26" s="512"/>
      <c r="BB26" s="512">
        <f>I26/25</f>
        <v>79</v>
      </c>
      <c r="BC26" s="512"/>
      <c r="BD26" s="512"/>
      <c r="BE26" s="512"/>
      <c r="BF26" s="512"/>
      <c r="BG26" s="512"/>
      <c r="BH26" s="512"/>
      <c r="BI26" s="512"/>
      <c r="BJ26" s="512"/>
      <c r="BK26" s="512"/>
      <c r="BL26" s="512"/>
      <c r="BM26" s="512"/>
      <c r="BN26" s="512"/>
      <c r="BQ26" s="3">
        <f t="shared" si="2"/>
        <v>537585</v>
      </c>
    </row>
    <row r="27" s="400" customFormat="1" ht="36" hidden="1" customHeight="1" spans="1:69">
      <c r="A27" s="427">
        <v>45964</v>
      </c>
      <c r="B27" s="421" t="s">
        <v>660</v>
      </c>
      <c r="C27" s="422" t="s">
        <v>373</v>
      </c>
      <c r="D27" s="428">
        <v>4500184256</v>
      </c>
      <c r="E27" s="424"/>
      <c r="F27" s="428" t="s">
        <v>5617</v>
      </c>
      <c r="G27" s="425" t="s">
        <v>5171</v>
      </c>
      <c r="H27" s="426" t="s">
        <v>5055</v>
      </c>
      <c r="I27" s="437">
        <v>1290</v>
      </c>
      <c r="J27" s="438">
        <v>0</v>
      </c>
      <c r="K27" s="425">
        <v>30</v>
      </c>
      <c r="L27" s="439">
        <f t="shared" si="7"/>
        <v>43</v>
      </c>
      <c r="M27" s="440">
        <v>46021</v>
      </c>
      <c r="N27" s="440">
        <v>46020</v>
      </c>
      <c r="O27" s="441"/>
      <c r="P27" s="441" t="s">
        <v>1262</v>
      </c>
      <c r="Q27" s="441" t="s">
        <v>3446</v>
      </c>
      <c r="R27" s="449">
        <v>45978</v>
      </c>
      <c r="S27" s="448" t="s">
        <v>77</v>
      </c>
      <c r="T27" s="448" t="s">
        <v>5615</v>
      </c>
      <c r="U27" s="441"/>
      <c r="V27" s="441"/>
      <c r="W27" s="441"/>
      <c r="X27" s="424" t="s">
        <v>5618</v>
      </c>
      <c r="Y27" s="441" t="s">
        <v>5174</v>
      </c>
      <c r="Z27" s="474">
        <v>57.5868</v>
      </c>
      <c r="AA27" s="475">
        <f>Z27*L27</f>
        <v>2476.2324</v>
      </c>
      <c r="AB27" s="476"/>
      <c r="AC27" s="425" t="s">
        <v>5057</v>
      </c>
      <c r="AD27" s="477" t="s">
        <v>128</v>
      </c>
      <c r="AE27" s="477" t="s">
        <v>4930</v>
      </c>
      <c r="AF27" s="425">
        <v>1290</v>
      </c>
      <c r="AG27" s="425">
        <f t="shared" si="1"/>
        <v>0</v>
      </c>
      <c r="AH27" s="425" t="s">
        <v>4335</v>
      </c>
      <c r="AI27" s="478"/>
      <c r="AJ27" s="488">
        <f>I27</f>
        <v>1290</v>
      </c>
      <c r="AK27" s="491"/>
      <c r="AL27" s="492"/>
      <c r="AM27" s="490">
        <f>I27</f>
        <v>1290</v>
      </c>
      <c r="AN27" s="437"/>
      <c r="AO27" s="437"/>
      <c r="AP27" s="439">
        <f>I27</f>
        <v>1290</v>
      </c>
      <c r="AQ27" s="439"/>
      <c r="AR27" s="489"/>
      <c r="AS27" s="439">
        <f t="shared" si="5"/>
        <v>1163.6875</v>
      </c>
      <c r="AT27" s="504">
        <f>I27*(1-(1/48))/10</f>
        <v>126.3125</v>
      </c>
      <c r="AU27" s="439">
        <f>AS27</f>
        <v>1163.6875</v>
      </c>
      <c r="AV27" s="490"/>
      <c r="AW27" s="490"/>
      <c r="AX27" s="513"/>
      <c r="AY27" s="512"/>
      <c r="AZ27" s="512"/>
      <c r="BA27" s="512"/>
      <c r="BB27" s="512"/>
      <c r="BC27" s="512"/>
      <c r="BD27" s="512"/>
      <c r="BE27" s="512"/>
      <c r="BF27" s="512"/>
      <c r="BG27" s="512"/>
      <c r="BH27" s="512"/>
      <c r="BI27" s="512"/>
      <c r="BJ27" s="512"/>
      <c r="BK27" s="512">
        <f>BL27</f>
        <v>43</v>
      </c>
      <c r="BL27" s="512">
        <f>I27/30</f>
        <v>43</v>
      </c>
      <c r="BM27" s="512"/>
      <c r="BN27" s="512"/>
      <c r="BQ27" s="3">
        <f t="shared" si="2"/>
        <v>538875</v>
      </c>
    </row>
    <row r="28" s="3" customFormat="1" ht="36" hidden="1" customHeight="1" spans="1:69">
      <c r="A28" s="18">
        <v>46021</v>
      </c>
      <c r="B28" s="75"/>
      <c r="C28" s="76"/>
      <c r="D28" s="21" t="s">
        <v>5623</v>
      </c>
      <c r="E28" s="114"/>
      <c r="F28" s="21" t="s">
        <v>5624</v>
      </c>
      <c r="G28" s="23" t="s">
        <v>4963</v>
      </c>
      <c r="H28" s="24" t="s">
        <v>5625</v>
      </c>
      <c r="I28" s="88">
        <v>122</v>
      </c>
      <c r="J28" s="89">
        <v>0</v>
      </c>
      <c r="K28" s="23">
        <v>24</v>
      </c>
      <c r="L28" s="436">
        <f t="shared" ref="L28:L48" si="13">I28/K28</f>
        <v>5.08333333333333</v>
      </c>
      <c r="M28" s="90">
        <v>46030</v>
      </c>
      <c r="N28" s="90">
        <v>46027</v>
      </c>
      <c r="O28" s="91"/>
      <c r="P28" s="91"/>
      <c r="Q28" s="91"/>
      <c r="R28" s="452">
        <v>46386</v>
      </c>
      <c r="S28" s="453" t="s">
        <v>77</v>
      </c>
      <c r="T28" s="454" t="s">
        <v>77</v>
      </c>
      <c r="U28" s="91"/>
      <c r="V28" s="91"/>
      <c r="W28" s="91"/>
      <c r="X28" s="114" t="s">
        <v>5626</v>
      </c>
      <c r="Y28" s="91"/>
      <c r="Z28" s="116"/>
      <c r="AA28" s="117"/>
      <c r="AB28" s="469"/>
      <c r="AC28" s="23" t="s">
        <v>5887</v>
      </c>
      <c r="AD28" s="467" t="s">
        <v>5888</v>
      </c>
      <c r="AE28" s="467"/>
      <c r="AF28" s="23">
        <v>122</v>
      </c>
      <c r="AG28" s="23"/>
      <c r="AH28" s="23"/>
      <c r="AI28" s="470">
        <v>122</v>
      </c>
      <c r="AJ28" s="155"/>
      <c r="AK28" s="155"/>
      <c r="AL28" s="175">
        <f>AI28</f>
        <v>122</v>
      </c>
      <c r="AM28" s="88"/>
      <c r="AN28" s="88"/>
      <c r="AO28" s="88"/>
      <c r="AP28" s="436"/>
      <c r="AQ28" s="436"/>
      <c r="AR28" s="88"/>
      <c r="AS28" s="436"/>
      <c r="AT28" s="505"/>
      <c r="AU28" s="486"/>
      <c r="AV28" s="486"/>
      <c r="AW28" s="486"/>
      <c r="AX28" s="514"/>
      <c r="AY28" s="181"/>
      <c r="AZ28" s="181"/>
      <c r="BA28" s="181"/>
      <c r="BB28" s="181"/>
      <c r="BC28" s="181"/>
      <c r="BD28" s="181"/>
      <c r="BE28" s="181"/>
      <c r="BF28" s="181"/>
      <c r="BG28" s="181"/>
      <c r="BH28" s="181"/>
      <c r="BI28" s="181"/>
      <c r="BJ28" s="181"/>
      <c r="BK28" s="181"/>
      <c r="BL28" s="181"/>
      <c r="BM28" s="181"/>
      <c r="BN28" s="181"/>
      <c r="BQ28" s="3">
        <f t="shared" si="2"/>
        <v>538875</v>
      </c>
    </row>
    <row r="29" s="400" customFormat="1" ht="36" hidden="1" customHeight="1" spans="1:69">
      <c r="A29" s="420">
        <v>45971</v>
      </c>
      <c r="B29" s="421" t="s">
        <v>1287</v>
      </c>
      <c r="C29" s="422" t="s">
        <v>1288</v>
      </c>
      <c r="D29" s="423">
        <v>4500184934</v>
      </c>
      <c r="E29" s="424">
        <v>84715</v>
      </c>
      <c r="F29" s="423" t="s">
        <v>5627</v>
      </c>
      <c r="G29" s="425" t="s">
        <v>4974</v>
      </c>
      <c r="H29" s="426" t="s">
        <v>5205</v>
      </c>
      <c r="I29" s="437">
        <v>10000</v>
      </c>
      <c r="J29" s="438">
        <v>0</v>
      </c>
      <c r="K29" s="425">
        <v>50</v>
      </c>
      <c r="L29" s="439">
        <f t="shared" si="13"/>
        <v>200</v>
      </c>
      <c r="M29" s="440">
        <v>46010</v>
      </c>
      <c r="N29" s="440">
        <v>46027</v>
      </c>
      <c r="O29" s="441"/>
      <c r="P29" s="441" t="s">
        <v>92</v>
      </c>
      <c r="Q29" s="441" t="s">
        <v>5889</v>
      </c>
      <c r="R29" s="449">
        <v>45978</v>
      </c>
      <c r="S29" s="448" t="s">
        <v>77</v>
      </c>
      <c r="T29" s="455" t="s">
        <v>5628</v>
      </c>
      <c r="U29" s="441"/>
      <c r="V29" s="441" t="s">
        <v>863</v>
      </c>
      <c r="W29" s="441"/>
      <c r="X29" s="424" t="s">
        <v>5629</v>
      </c>
      <c r="Y29" s="473" t="s">
        <v>5456</v>
      </c>
      <c r="Z29" s="474">
        <v>1.4435</v>
      </c>
      <c r="AA29" s="475">
        <f t="shared" ref="AA29:AA41" si="14">Z29*I29</f>
        <v>14435</v>
      </c>
      <c r="AB29" s="476"/>
      <c r="AC29" s="425" t="s">
        <v>4974</v>
      </c>
      <c r="AD29" s="477" t="s">
        <v>128</v>
      </c>
      <c r="AE29" s="477" t="s">
        <v>4930</v>
      </c>
      <c r="AF29" s="425">
        <f>9700+300</f>
        <v>10000</v>
      </c>
      <c r="AG29" s="425">
        <f t="shared" ref="AG29:AG41" si="15">AF29-I29</f>
        <v>0</v>
      </c>
      <c r="AH29" s="425" t="s">
        <v>75</v>
      </c>
      <c r="AI29" s="487"/>
      <c r="AJ29" s="488">
        <f t="shared" ref="AJ29:AJ49" si="16">I29</f>
        <v>10000</v>
      </c>
      <c r="AK29" s="488"/>
      <c r="AL29" s="489">
        <f>I29</f>
        <v>10000</v>
      </c>
      <c r="AM29" s="490"/>
      <c r="AN29" s="437"/>
      <c r="AO29" s="437"/>
      <c r="AP29" s="439">
        <f t="shared" ref="AP29:AP41" si="17">I29</f>
        <v>10000</v>
      </c>
      <c r="AQ29" s="439"/>
      <c r="AR29" s="437"/>
      <c r="AS29" s="439">
        <f t="shared" ref="AS29:AS49" si="18">AP29-AT29</f>
        <v>9020.83333333333</v>
      </c>
      <c r="AT29" s="504">
        <f t="shared" ref="AT29:AT49" si="19">I29*(1-(1/48))/10</f>
        <v>979.166666666667</v>
      </c>
      <c r="AU29" s="489"/>
      <c r="AV29" s="489"/>
      <c r="AW29" s="489"/>
      <c r="AX29" s="512"/>
      <c r="AY29" s="512"/>
      <c r="AZ29" s="512"/>
      <c r="BA29" s="512">
        <f>I29/25</f>
        <v>400</v>
      </c>
      <c r="BB29" s="512"/>
      <c r="BC29" s="512"/>
      <c r="BD29" s="512"/>
      <c r="BE29" s="512"/>
      <c r="BF29" s="512"/>
      <c r="BG29" s="512"/>
      <c r="BH29" s="512"/>
      <c r="BI29" s="512"/>
      <c r="BJ29" s="512"/>
      <c r="BK29" s="512"/>
      <c r="BL29" s="512"/>
      <c r="BM29" s="512"/>
      <c r="BN29" s="512"/>
      <c r="BQ29" s="3">
        <f t="shared" si="2"/>
        <v>548875</v>
      </c>
    </row>
    <row r="30" s="400" customFormat="1" ht="36" hidden="1" customHeight="1" spans="1:69">
      <c r="A30" s="427">
        <v>45964</v>
      </c>
      <c r="B30" s="421" t="s">
        <v>660</v>
      </c>
      <c r="C30" s="422" t="s">
        <v>373</v>
      </c>
      <c r="D30" s="428">
        <v>4500184256</v>
      </c>
      <c r="E30" s="424"/>
      <c r="F30" s="428" t="s">
        <v>5630</v>
      </c>
      <c r="G30" s="425" t="s">
        <v>5066</v>
      </c>
      <c r="H30" s="426" t="s">
        <v>5048</v>
      </c>
      <c r="I30" s="437">
        <v>2496</v>
      </c>
      <c r="J30" s="438">
        <v>0</v>
      </c>
      <c r="K30" s="425">
        <v>13</v>
      </c>
      <c r="L30" s="439">
        <f t="shared" si="13"/>
        <v>192</v>
      </c>
      <c r="M30" s="440">
        <v>46021</v>
      </c>
      <c r="N30" s="440">
        <v>46027</v>
      </c>
      <c r="O30" s="441"/>
      <c r="P30" s="441" t="s">
        <v>92</v>
      </c>
      <c r="Q30" s="441" t="s">
        <v>3446</v>
      </c>
      <c r="R30" s="449">
        <v>45978</v>
      </c>
      <c r="S30" s="448" t="s">
        <v>77</v>
      </c>
      <c r="T30" s="448" t="s">
        <v>5615</v>
      </c>
      <c r="U30" s="441"/>
      <c r="V30" s="441" t="s">
        <v>863</v>
      </c>
      <c r="W30" s="441"/>
      <c r="X30" s="424" t="s">
        <v>5890</v>
      </c>
      <c r="Y30" s="441" t="s">
        <v>5174</v>
      </c>
      <c r="Z30" s="474">
        <v>1.43</v>
      </c>
      <c r="AA30" s="475">
        <f t="shared" si="14"/>
        <v>3569.28</v>
      </c>
      <c r="AB30" s="476"/>
      <c r="AC30" s="425" t="s">
        <v>5052</v>
      </c>
      <c r="AD30" s="477" t="s">
        <v>128</v>
      </c>
      <c r="AE30" s="477" t="s">
        <v>4930</v>
      </c>
      <c r="AF30" s="425">
        <v>2496</v>
      </c>
      <c r="AG30" s="425">
        <f t="shared" si="15"/>
        <v>0</v>
      </c>
      <c r="AH30" s="425" t="s">
        <v>4335</v>
      </c>
      <c r="AI30" s="478"/>
      <c r="AJ30" s="488">
        <f t="shared" si="16"/>
        <v>2496</v>
      </c>
      <c r="AK30" s="491"/>
      <c r="AL30" s="492"/>
      <c r="AM30" s="490">
        <f>I30</f>
        <v>2496</v>
      </c>
      <c r="AN30" s="492"/>
      <c r="AO30" s="492"/>
      <c r="AP30" s="439">
        <f t="shared" si="17"/>
        <v>2496</v>
      </c>
      <c r="AQ30" s="439"/>
      <c r="AR30" s="437"/>
      <c r="AS30" s="439">
        <f t="shared" si="18"/>
        <v>2251.6</v>
      </c>
      <c r="AT30" s="504">
        <f t="shared" si="19"/>
        <v>244.4</v>
      </c>
      <c r="AU30" s="439">
        <f>AS30</f>
        <v>2251.6</v>
      </c>
      <c r="AV30" s="490"/>
      <c r="AW30" s="490"/>
      <c r="AX30" s="513"/>
      <c r="AY30" s="512">
        <f>I30/13</f>
        <v>192</v>
      </c>
      <c r="AZ30" s="512"/>
      <c r="BA30" s="512"/>
      <c r="BB30" s="512"/>
      <c r="BC30" s="512"/>
      <c r="BD30" s="512"/>
      <c r="BE30" s="512"/>
      <c r="BF30" s="512"/>
      <c r="BG30" s="512"/>
      <c r="BH30" s="512"/>
      <c r="BI30" s="512"/>
      <c r="BJ30" s="512"/>
      <c r="BK30" s="512"/>
      <c r="BL30" s="512"/>
      <c r="BM30" s="512"/>
      <c r="BN30" s="512"/>
      <c r="BQ30" s="3">
        <f t="shared" si="2"/>
        <v>551371</v>
      </c>
    </row>
    <row r="31" s="400" customFormat="1" ht="36" customHeight="1" spans="1:69">
      <c r="A31" s="420">
        <v>45954</v>
      </c>
      <c r="B31" s="421" t="s">
        <v>2617</v>
      </c>
      <c r="C31" s="422" t="s">
        <v>286</v>
      </c>
      <c r="D31" s="423">
        <v>4500183087</v>
      </c>
      <c r="E31" s="424">
        <v>5251218850</v>
      </c>
      <c r="F31" s="423" t="s">
        <v>5633</v>
      </c>
      <c r="G31" s="425" t="s">
        <v>4988</v>
      </c>
      <c r="H31" s="426" t="s">
        <v>5634</v>
      </c>
      <c r="I31" s="437">
        <v>10000</v>
      </c>
      <c r="J31" s="438">
        <v>0</v>
      </c>
      <c r="K31" s="425">
        <v>25</v>
      </c>
      <c r="L31" s="439">
        <f t="shared" si="13"/>
        <v>400</v>
      </c>
      <c r="M31" s="440">
        <v>46006</v>
      </c>
      <c r="N31" s="440">
        <v>46027</v>
      </c>
      <c r="O31" s="441" t="s">
        <v>3024</v>
      </c>
      <c r="P31" s="441" t="s">
        <v>92</v>
      </c>
      <c r="Q31" s="441" t="s">
        <v>5452</v>
      </c>
      <c r="R31" s="449">
        <v>45960</v>
      </c>
      <c r="S31" s="441" t="s">
        <v>77</v>
      </c>
      <c r="T31" s="455" t="s">
        <v>5635</v>
      </c>
      <c r="U31" s="441" t="s">
        <v>5636</v>
      </c>
      <c r="V31" s="441"/>
      <c r="W31" s="441"/>
      <c r="X31" s="424" t="s">
        <v>5637</v>
      </c>
      <c r="Y31" s="473" t="s">
        <v>290</v>
      </c>
      <c r="Z31" s="474">
        <v>1.6</v>
      </c>
      <c r="AA31" s="475">
        <f t="shared" si="14"/>
        <v>16000</v>
      </c>
      <c r="AB31" s="476"/>
      <c r="AC31" s="478" t="s">
        <v>5042</v>
      </c>
      <c r="AD31" s="477" t="s">
        <v>128</v>
      </c>
      <c r="AE31" s="477" t="s">
        <v>4930</v>
      </c>
      <c r="AF31" s="425">
        <v>10000</v>
      </c>
      <c r="AG31" s="425">
        <f t="shared" si="15"/>
        <v>0</v>
      </c>
      <c r="AH31" s="425" t="s">
        <v>4335</v>
      </c>
      <c r="AI31" s="478"/>
      <c r="AJ31" s="488">
        <f t="shared" si="16"/>
        <v>10000</v>
      </c>
      <c r="AK31" s="488"/>
      <c r="AL31" s="489"/>
      <c r="AM31" s="490">
        <f>I31</f>
        <v>10000</v>
      </c>
      <c r="AN31" s="437"/>
      <c r="AO31" s="437"/>
      <c r="AP31" s="439">
        <f t="shared" si="17"/>
        <v>10000</v>
      </c>
      <c r="AQ31" s="439"/>
      <c r="AR31" s="437"/>
      <c r="AS31" s="439">
        <f t="shared" si="18"/>
        <v>9020.83333333333</v>
      </c>
      <c r="AT31" s="504">
        <f t="shared" si="19"/>
        <v>979.166666666667</v>
      </c>
      <c r="AU31" s="489"/>
      <c r="AV31" s="489"/>
      <c r="AW31" s="489">
        <f>I31</f>
        <v>10000</v>
      </c>
      <c r="AX31" s="512"/>
      <c r="AY31" s="512"/>
      <c r="AZ31" s="512"/>
      <c r="BA31" s="512"/>
      <c r="BB31" s="512">
        <f>I31/25</f>
        <v>400</v>
      </c>
      <c r="BC31" s="512"/>
      <c r="BD31" s="512"/>
      <c r="BE31" s="512"/>
      <c r="BF31" s="512"/>
      <c r="BG31" s="512"/>
      <c r="BH31" s="512"/>
      <c r="BI31" s="512"/>
      <c r="BJ31" s="512"/>
      <c r="BK31" s="512"/>
      <c r="BL31" s="512"/>
      <c r="BM31" s="512"/>
      <c r="BN31" s="512"/>
      <c r="BQ31" s="3">
        <f t="shared" si="2"/>
        <v>561371</v>
      </c>
    </row>
    <row r="32" s="400" customFormat="1" ht="36" hidden="1" customHeight="1" spans="1:69">
      <c r="A32" s="427">
        <v>45961</v>
      </c>
      <c r="B32" s="421" t="s">
        <v>5638</v>
      </c>
      <c r="C32" s="422" t="s">
        <v>5639</v>
      </c>
      <c r="D32" s="428">
        <v>4500183983</v>
      </c>
      <c r="E32" s="424"/>
      <c r="F32" s="428" t="s">
        <v>5640</v>
      </c>
      <c r="G32" s="425" t="s">
        <v>4974</v>
      </c>
      <c r="H32" s="426" t="s">
        <v>5205</v>
      </c>
      <c r="I32" s="437">
        <v>3600</v>
      </c>
      <c r="J32" s="438">
        <v>0</v>
      </c>
      <c r="K32" s="425">
        <v>50</v>
      </c>
      <c r="L32" s="439">
        <f t="shared" si="13"/>
        <v>72</v>
      </c>
      <c r="M32" s="440">
        <v>46021</v>
      </c>
      <c r="N32" s="440">
        <v>46027</v>
      </c>
      <c r="O32" s="441"/>
      <c r="P32" s="441" t="s">
        <v>92</v>
      </c>
      <c r="Q32" s="441" t="s">
        <v>5881</v>
      </c>
      <c r="R32" s="449">
        <v>45978</v>
      </c>
      <c r="S32" s="448" t="s">
        <v>77</v>
      </c>
      <c r="T32" s="448" t="s">
        <v>5641</v>
      </c>
      <c r="U32" s="441"/>
      <c r="V32" s="441"/>
      <c r="W32" s="441"/>
      <c r="X32" s="424" t="s">
        <v>5642</v>
      </c>
      <c r="Y32" s="441" t="s">
        <v>618</v>
      </c>
      <c r="Z32" s="474">
        <v>1.55</v>
      </c>
      <c r="AA32" s="475">
        <f t="shared" si="14"/>
        <v>5580</v>
      </c>
      <c r="AB32" s="476"/>
      <c r="AC32" s="425" t="s">
        <v>5391</v>
      </c>
      <c r="AD32" s="477" t="s">
        <v>128</v>
      </c>
      <c r="AE32" s="477" t="s">
        <v>4930</v>
      </c>
      <c r="AF32" s="425">
        <v>3600</v>
      </c>
      <c r="AG32" s="425">
        <f t="shared" si="15"/>
        <v>0</v>
      </c>
      <c r="AH32" s="425" t="s">
        <v>4335</v>
      </c>
      <c r="AI32" s="478"/>
      <c r="AJ32" s="488">
        <f t="shared" si="16"/>
        <v>3600</v>
      </c>
      <c r="AK32" s="488"/>
      <c r="AL32" s="489"/>
      <c r="AM32" s="437">
        <f>I32</f>
        <v>3600</v>
      </c>
      <c r="AN32" s="437"/>
      <c r="AO32" s="437"/>
      <c r="AP32" s="439">
        <f t="shared" si="17"/>
        <v>3600</v>
      </c>
      <c r="AQ32" s="439"/>
      <c r="AR32" s="437"/>
      <c r="AS32" s="439">
        <f t="shared" si="18"/>
        <v>3247.5</v>
      </c>
      <c r="AT32" s="504">
        <f t="shared" si="19"/>
        <v>352.5</v>
      </c>
      <c r="AU32" s="490"/>
      <c r="AV32" s="490"/>
      <c r="AW32" s="490"/>
      <c r="AX32" s="513"/>
      <c r="AY32" s="512"/>
      <c r="AZ32" s="512"/>
      <c r="BA32" s="512"/>
      <c r="BB32" s="512">
        <f>I32/25</f>
        <v>144</v>
      </c>
      <c r="BC32" s="512"/>
      <c r="BD32" s="512"/>
      <c r="BE32" s="512"/>
      <c r="BF32" s="512"/>
      <c r="BG32" s="512"/>
      <c r="BH32" s="512"/>
      <c r="BI32" s="512"/>
      <c r="BJ32" s="512"/>
      <c r="BK32" s="512"/>
      <c r="BL32" s="512"/>
      <c r="BM32" s="512"/>
      <c r="BN32" s="512"/>
      <c r="BQ32" s="3">
        <f t="shared" si="2"/>
        <v>564971</v>
      </c>
    </row>
    <row r="33" s="400" customFormat="1" ht="36" hidden="1" customHeight="1" spans="1:69">
      <c r="A33" s="427">
        <v>45993</v>
      </c>
      <c r="B33" s="421" t="s">
        <v>485</v>
      </c>
      <c r="C33" s="422" t="s">
        <v>233</v>
      </c>
      <c r="D33" s="428">
        <v>4500187690</v>
      </c>
      <c r="E33" s="424">
        <v>29394329</v>
      </c>
      <c r="F33" s="428" t="s">
        <v>5643</v>
      </c>
      <c r="G33" s="425" t="s">
        <v>4974</v>
      </c>
      <c r="H33" s="426" t="s">
        <v>5205</v>
      </c>
      <c r="I33" s="437">
        <v>5000</v>
      </c>
      <c r="J33" s="438">
        <v>0</v>
      </c>
      <c r="K33" s="425">
        <v>50</v>
      </c>
      <c r="L33" s="439">
        <f t="shared" si="13"/>
        <v>100</v>
      </c>
      <c r="M33" s="440">
        <v>46027</v>
      </c>
      <c r="N33" s="440">
        <v>46027</v>
      </c>
      <c r="O33" s="441"/>
      <c r="P33" s="441" t="s">
        <v>92</v>
      </c>
      <c r="Q33" s="441" t="s">
        <v>5644</v>
      </c>
      <c r="R33" s="449">
        <v>45994</v>
      </c>
      <c r="S33" s="448" t="s">
        <v>77</v>
      </c>
      <c r="T33" s="455" t="s">
        <v>5645</v>
      </c>
      <c r="U33" s="441"/>
      <c r="V33" s="441"/>
      <c r="W33" s="441"/>
      <c r="X33" s="424" t="s">
        <v>5646</v>
      </c>
      <c r="Y33" s="473" t="s">
        <v>5647</v>
      </c>
      <c r="Z33" s="474">
        <v>1.4485</v>
      </c>
      <c r="AA33" s="475">
        <f t="shared" si="14"/>
        <v>7242.5</v>
      </c>
      <c r="AB33" s="476"/>
      <c r="AC33" s="425" t="s">
        <v>4974</v>
      </c>
      <c r="AD33" s="477" t="s">
        <v>128</v>
      </c>
      <c r="AE33" s="477" t="s">
        <v>4930</v>
      </c>
      <c r="AF33" s="425">
        <v>5000</v>
      </c>
      <c r="AG33" s="425">
        <f t="shared" si="15"/>
        <v>0</v>
      </c>
      <c r="AH33" s="425" t="s">
        <v>4335</v>
      </c>
      <c r="AI33" s="487"/>
      <c r="AJ33" s="488">
        <f t="shared" si="16"/>
        <v>5000</v>
      </c>
      <c r="AK33" s="488"/>
      <c r="AL33" s="489">
        <f>I33</f>
        <v>5000</v>
      </c>
      <c r="AM33" s="437"/>
      <c r="AN33" s="489"/>
      <c r="AO33" s="489"/>
      <c r="AP33" s="439">
        <f t="shared" si="17"/>
        <v>5000</v>
      </c>
      <c r="AQ33" s="439"/>
      <c r="AR33" s="437"/>
      <c r="AS33" s="439">
        <f t="shared" si="18"/>
        <v>4510.41666666667</v>
      </c>
      <c r="AT33" s="504">
        <f t="shared" si="19"/>
        <v>489.583333333333</v>
      </c>
      <c r="AU33" s="489"/>
      <c r="AV33" s="492"/>
      <c r="AW33" s="492"/>
      <c r="AX33" s="513"/>
      <c r="AY33" s="512"/>
      <c r="AZ33" s="512"/>
      <c r="BA33" s="512">
        <f>I33/25</f>
        <v>200</v>
      </c>
      <c r="BB33" s="512"/>
      <c r="BC33" s="512"/>
      <c r="BD33" s="512"/>
      <c r="BE33" s="512"/>
      <c r="BF33" s="512"/>
      <c r="BG33" s="512"/>
      <c r="BH33" s="512"/>
      <c r="BI33" s="512"/>
      <c r="BJ33" s="512"/>
      <c r="BK33" s="512"/>
      <c r="BL33" s="512"/>
      <c r="BM33" s="512"/>
      <c r="BN33" s="512"/>
      <c r="BQ33" s="3">
        <f t="shared" si="2"/>
        <v>569971</v>
      </c>
    </row>
    <row r="34" s="400" customFormat="1" ht="36" hidden="1" customHeight="1" spans="1:69">
      <c r="A34" s="427">
        <v>45993</v>
      </c>
      <c r="B34" s="421" t="s">
        <v>485</v>
      </c>
      <c r="C34" s="422" t="s">
        <v>233</v>
      </c>
      <c r="D34" s="428">
        <v>4500187690</v>
      </c>
      <c r="E34" s="424">
        <v>29394398</v>
      </c>
      <c r="F34" s="428" t="s">
        <v>5648</v>
      </c>
      <c r="G34" s="425" t="s">
        <v>4974</v>
      </c>
      <c r="H34" s="426" t="s">
        <v>5205</v>
      </c>
      <c r="I34" s="437">
        <v>3000</v>
      </c>
      <c r="J34" s="438">
        <v>0</v>
      </c>
      <c r="K34" s="425">
        <v>50</v>
      </c>
      <c r="L34" s="439">
        <f t="shared" si="13"/>
        <v>60</v>
      </c>
      <c r="M34" s="440">
        <v>46027</v>
      </c>
      <c r="N34" s="440">
        <v>46027</v>
      </c>
      <c r="O34" s="441"/>
      <c r="P34" s="441" t="s">
        <v>92</v>
      </c>
      <c r="Q34" s="441" t="s">
        <v>5644</v>
      </c>
      <c r="R34" s="449">
        <v>45994</v>
      </c>
      <c r="S34" s="448" t="s">
        <v>77</v>
      </c>
      <c r="T34" s="455" t="s">
        <v>5645</v>
      </c>
      <c r="U34" s="441"/>
      <c r="V34" s="441"/>
      <c r="W34" s="441"/>
      <c r="X34" s="424" t="s">
        <v>5646</v>
      </c>
      <c r="Y34" s="473" t="s">
        <v>5647</v>
      </c>
      <c r="Z34" s="474">
        <v>1.4535</v>
      </c>
      <c r="AA34" s="475">
        <f t="shared" si="14"/>
        <v>4360.5</v>
      </c>
      <c r="AB34" s="476"/>
      <c r="AC34" s="425" t="s">
        <v>4974</v>
      </c>
      <c r="AD34" s="477" t="s">
        <v>128</v>
      </c>
      <c r="AE34" s="477" t="s">
        <v>4930</v>
      </c>
      <c r="AF34" s="425">
        <v>3000</v>
      </c>
      <c r="AG34" s="425">
        <f t="shared" si="15"/>
        <v>0</v>
      </c>
      <c r="AH34" s="425" t="s">
        <v>4335</v>
      </c>
      <c r="AI34" s="487"/>
      <c r="AJ34" s="488">
        <f t="shared" si="16"/>
        <v>3000</v>
      </c>
      <c r="AK34" s="488"/>
      <c r="AL34" s="489">
        <f>I34</f>
        <v>3000</v>
      </c>
      <c r="AM34" s="437"/>
      <c r="AN34" s="489"/>
      <c r="AO34" s="489"/>
      <c r="AP34" s="439">
        <f t="shared" si="17"/>
        <v>3000</v>
      </c>
      <c r="AQ34" s="439"/>
      <c r="AR34" s="437"/>
      <c r="AS34" s="439">
        <f t="shared" si="18"/>
        <v>2706.25</v>
      </c>
      <c r="AT34" s="504">
        <f t="shared" si="19"/>
        <v>293.75</v>
      </c>
      <c r="AU34" s="489"/>
      <c r="AV34" s="492"/>
      <c r="AW34" s="492"/>
      <c r="AX34" s="513"/>
      <c r="AY34" s="512"/>
      <c r="AZ34" s="512"/>
      <c r="BA34" s="512">
        <f>I34/25</f>
        <v>120</v>
      </c>
      <c r="BB34" s="512"/>
      <c r="BC34" s="512"/>
      <c r="BD34" s="512"/>
      <c r="BE34" s="512"/>
      <c r="BF34" s="512"/>
      <c r="BG34" s="512"/>
      <c r="BH34" s="512"/>
      <c r="BI34" s="512"/>
      <c r="BJ34" s="512"/>
      <c r="BK34" s="512"/>
      <c r="BL34" s="512"/>
      <c r="BM34" s="512"/>
      <c r="BN34" s="512"/>
      <c r="BQ34" s="3">
        <f t="shared" si="2"/>
        <v>572971</v>
      </c>
    </row>
    <row r="35" s="400" customFormat="1" ht="36" hidden="1" customHeight="1" spans="1:69">
      <c r="A35" s="427">
        <v>45986</v>
      </c>
      <c r="B35" s="421" t="s">
        <v>225</v>
      </c>
      <c r="C35" s="422" t="s">
        <v>213</v>
      </c>
      <c r="D35" s="428">
        <v>4500186899</v>
      </c>
      <c r="E35" s="424" t="s">
        <v>5657</v>
      </c>
      <c r="F35" s="428" t="s">
        <v>5658</v>
      </c>
      <c r="G35" s="425" t="s">
        <v>4970</v>
      </c>
      <c r="H35" s="426" t="s">
        <v>5144</v>
      </c>
      <c r="I35" s="437">
        <v>3016</v>
      </c>
      <c r="J35" s="438">
        <v>0</v>
      </c>
      <c r="K35" s="425">
        <v>52</v>
      </c>
      <c r="L35" s="439">
        <f t="shared" si="13"/>
        <v>58</v>
      </c>
      <c r="M35" s="440">
        <v>46028</v>
      </c>
      <c r="N35" s="440">
        <v>46027</v>
      </c>
      <c r="O35" s="441"/>
      <c r="P35" s="441" t="s">
        <v>92</v>
      </c>
      <c r="Q35" s="441" t="s">
        <v>3451</v>
      </c>
      <c r="R35" s="456">
        <v>45986</v>
      </c>
      <c r="S35" s="441" t="s">
        <v>77</v>
      </c>
      <c r="T35" s="457" t="s">
        <v>5659</v>
      </c>
      <c r="U35" s="441"/>
      <c r="V35" s="441"/>
      <c r="W35" s="441"/>
      <c r="X35" s="424" t="s">
        <v>5660</v>
      </c>
      <c r="Y35" s="441" t="s">
        <v>5386</v>
      </c>
      <c r="Z35" s="474">
        <v>1.4132</v>
      </c>
      <c r="AA35" s="475">
        <f t="shared" si="14"/>
        <v>4262.2112</v>
      </c>
      <c r="AB35" s="476"/>
      <c r="AC35" s="425" t="s">
        <v>5381</v>
      </c>
      <c r="AD35" s="477" t="s">
        <v>128</v>
      </c>
      <c r="AE35" s="477" t="s">
        <v>4930</v>
      </c>
      <c r="AF35" s="425">
        <f>2912+104</f>
        <v>3016</v>
      </c>
      <c r="AG35" s="425">
        <f t="shared" si="15"/>
        <v>0</v>
      </c>
      <c r="AH35" s="425" t="s">
        <v>4335</v>
      </c>
      <c r="AI35" s="478"/>
      <c r="AJ35" s="488">
        <f t="shared" si="16"/>
        <v>3016</v>
      </c>
      <c r="AK35" s="488"/>
      <c r="AL35" s="489"/>
      <c r="AM35" s="437">
        <f t="shared" ref="AM35:AM40" si="20">I35</f>
        <v>3016</v>
      </c>
      <c r="AN35" s="437"/>
      <c r="AO35" s="437"/>
      <c r="AP35" s="439">
        <f t="shared" si="17"/>
        <v>3016</v>
      </c>
      <c r="AQ35" s="439"/>
      <c r="AR35" s="489"/>
      <c r="AS35" s="439">
        <f t="shared" si="18"/>
        <v>2720.68333333333</v>
      </c>
      <c r="AT35" s="504">
        <f t="shared" si="19"/>
        <v>295.316666666667</v>
      </c>
      <c r="AU35" s="439">
        <f>AS35</f>
        <v>2720.68333333333</v>
      </c>
      <c r="AV35" s="490"/>
      <c r="AW35" s="490"/>
      <c r="AX35" s="513"/>
      <c r="AY35" s="512">
        <f>I35/13</f>
        <v>232</v>
      </c>
      <c r="AZ35" s="512"/>
      <c r="BA35" s="512"/>
      <c r="BB35" s="512"/>
      <c r="BC35" s="512"/>
      <c r="BD35" s="512"/>
      <c r="BE35" s="512"/>
      <c r="BF35" s="512"/>
      <c r="BG35" s="512"/>
      <c r="BH35" s="512"/>
      <c r="BI35" s="512"/>
      <c r="BJ35" s="512"/>
      <c r="BK35" s="512"/>
      <c r="BL35" s="512"/>
      <c r="BM35" s="512"/>
      <c r="BN35" s="512"/>
      <c r="BQ35" s="3">
        <f t="shared" si="2"/>
        <v>575987</v>
      </c>
    </row>
    <row r="36" s="400" customFormat="1" ht="36" hidden="1" customHeight="1" spans="1:69">
      <c r="A36" s="427">
        <v>45994</v>
      </c>
      <c r="B36" s="421" t="s">
        <v>379</v>
      </c>
      <c r="C36" s="422" t="s">
        <v>373</v>
      </c>
      <c r="D36" s="428">
        <v>4500187838</v>
      </c>
      <c r="E36" s="424"/>
      <c r="F36" s="428" t="s">
        <v>5669</v>
      </c>
      <c r="G36" s="425" t="s">
        <v>4974</v>
      </c>
      <c r="H36" s="426" t="s">
        <v>5205</v>
      </c>
      <c r="I36" s="437">
        <v>600</v>
      </c>
      <c r="J36" s="438">
        <v>0</v>
      </c>
      <c r="K36" s="425">
        <v>50</v>
      </c>
      <c r="L36" s="439">
        <f t="shared" si="13"/>
        <v>12</v>
      </c>
      <c r="M36" s="440">
        <v>46031</v>
      </c>
      <c r="N36" s="440">
        <v>46027</v>
      </c>
      <c r="O36" s="441"/>
      <c r="P36" s="441" t="s">
        <v>1262</v>
      </c>
      <c r="Q36" s="441" t="s">
        <v>3446</v>
      </c>
      <c r="R36" s="449">
        <v>45994</v>
      </c>
      <c r="S36" s="456" t="s">
        <v>77</v>
      </c>
      <c r="T36" s="455" t="s">
        <v>5670</v>
      </c>
      <c r="U36" s="441"/>
      <c r="V36" s="441"/>
      <c r="W36" s="441"/>
      <c r="X36" s="424" t="s">
        <v>5671</v>
      </c>
      <c r="Y36" s="473" t="s">
        <v>3560</v>
      </c>
      <c r="Z36" s="474">
        <v>1.4584</v>
      </c>
      <c r="AA36" s="475">
        <f t="shared" si="14"/>
        <v>875.04</v>
      </c>
      <c r="AB36" s="476"/>
      <c r="AC36" s="425" t="s">
        <v>5391</v>
      </c>
      <c r="AD36" s="477" t="s">
        <v>128</v>
      </c>
      <c r="AE36" s="477" t="s">
        <v>4930</v>
      </c>
      <c r="AF36" s="425">
        <f>550+50</f>
        <v>600</v>
      </c>
      <c r="AG36" s="425">
        <f t="shared" si="15"/>
        <v>0</v>
      </c>
      <c r="AH36" s="425" t="s">
        <v>4335</v>
      </c>
      <c r="AI36" s="487"/>
      <c r="AJ36" s="488">
        <f t="shared" si="16"/>
        <v>600</v>
      </c>
      <c r="AK36" s="488"/>
      <c r="AL36" s="489"/>
      <c r="AM36" s="437">
        <f t="shared" si="20"/>
        <v>600</v>
      </c>
      <c r="AN36" s="437"/>
      <c r="AO36" s="437"/>
      <c r="AP36" s="439">
        <f t="shared" si="17"/>
        <v>600</v>
      </c>
      <c r="AQ36" s="439"/>
      <c r="AR36" s="437"/>
      <c r="AS36" s="439">
        <f t="shared" si="18"/>
        <v>541.25</v>
      </c>
      <c r="AT36" s="504">
        <f t="shared" si="19"/>
        <v>58.75</v>
      </c>
      <c r="AU36" s="439">
        <f>AS36</f>
        <v>541.25</v>
      </c>
      <c r="AV36" s="492"/>
      <c r="AW36" s="492"/>
      <c r="AX36" s="513"/>
      <c r="AY36" s="512"/>
      <c r="AZ36" s="512"/>
      <c r="BA36" s="512"/>
      <c r="BB36" s="512">
        <f>I36/25</f>
        <v>24</v>
      </c>
      <c r="BC36" s="512"/>
      <c r="BD36" s="512"/>
      <c r="BE36" s="512"/>
      <c r="BF36" s="512"/>
      <c r="BG36" s="512"/>
      <c r="BH36" s="512"/>
      <c r="BI36" s="512"/>
      <c r="BJ36" s="512"/>
      <c r="BK36" s="512"/>
      <c r="BL36" s="512"/>
      <c r="BM36" s="512"/>
      <c r="BN36" s="512"/>
      <c r="BQ36" s="3">
        <f t="shared" si="2"/>
        <v>576587</v>
      </c>
    </row>
    <row r="37" s="400" customFormat="1" ht="36" hidden="1" customHeight="1" spans="1:69">
      <c r="A37" s="427">
        <v>45971</v>
      </c>
      <c r="B37" s="421" t="s">
        <v>5649</v>
      </c>
      <c r="C37" s="422" t="s">
        <v>435</v>
      </c>
      <c r="D37" s="428">
        <v>4500185039</v>
      </c>
      <c r="E37" s="424">
        <v>4500157038</v>
      </c>
      <c r="F37" s="428" t="s">
        <v>5650</v>
      </c>
      <c r="G37" s="425" t="s">
        <v>4974</v>
      </c>
      <c r="H37" s="426" t="s">
        <v>5205</v>
      </c>
      <c r="I37" s="437">
        <v>5150</v>
      </c>
      <c r="J37" s="438">
        <v>0</v>
      </c>
      <c r="K37" s="425">
        <v>50</v>
      </c>
      <c r="L37" s="439">
        <f t="shared" si="13"/>
        <v>103</v>
      </c>
      <c r="M37" s="440">
        <v>46028</v>
      </c>
      <c r="N37" s="440">
        <v>46027</v>
      </c>
      <c r="O37" s="441"/>
      <c r="P37" s="441" t="s">
        <v>92</v>
      </c>
      <c r="Q37" s="441" t="s">
        <v>5544</v>
      </c>
      <c r="R37" s="449">
        <v>45971</v>
      </c>
      <c r="S37" s="448" t="s">
        <v>77</v>
      </c>
      <c r="T37" s="448" t="s">
        <v>5651</v>
      </c>
      <c r="U37" s="441"/>
      <c r="V37" s="441"/>
      <c r="W37" s="441"/>
      <c r="X37" s="424" t="s">
        <v>5891</v>
      </c>
      <c r="Y37" s="441" t="s">
        <v>1294</v>
      </c>
      <c r="Z37" s="474">
        <v>1.55</v>
      </c>
      <c r="AA37" s="475">
        <f t="shared" si="14"/>
        <v>7982.5</v>
      </c>
      <c r="AB37" s="476"/>
      <c r="AC37" s="425" t="s">
        <v>5391</v>
      </c>
      <c r="AD37" s="477" t="s">
        <v>128</v>
      </c>
      <c r="AE37" s="477" t="s">
        <v>4930</v>
      </c>
      <c r="AF37" s="425">
        <v>5150</v>
      </c>
      <c r="AG37" s="425">
        <f t="shared" si="15"/>
        <v>0</v>
      </c>
      <c r="AH37" s="425" t="s">
        <v>75</v>
      </c>
      <c r="AI37" s="478"/>
      <c r="AJ37" s="488">
        <f t="shared" si="16"/>
        <v>5150</v>
      </c>
      <c r="AK37" s="488"/>
      <c r="AL37" s="489"/>
      <c r="AM37" s="437">
        <f t="shared" si="20"/>
        <v>5150</v>
      </c>
      <c r="AN37" s="437"/>
      <c r="AO37" s="437"/>
      <c r="AP37" s="439">
        <f t="shared" si="17"/>
        <v>5150</v>
      </c>
      <c r="AQ37" s="439"/>
      <c r="AR37" s="437"/>
      <c r="AS37" s="439">
        <f t="shared" si="18"/>
        <v>4645.72916666667</v>
      </c>
      <c r="AT37" s="504">
        <f t="shared" si="19"/>
        <v>504.270833333333</v>
      </c>
      <c r="AU37" s="439">
        <f>AS37</f>
        <v>4645.72916666667</v>
      </c>
      <c r="AV37" s="490"/>
      <c r="AW37" s="490"/>
      <c r="AX37" s="513"/>
      <c r="AY37" s="512"/>
      <c r="AZ37" s="512"/>
      <c r="BA37" s="512"/>
      <c r="BB37" s="512">
        <f>I37/25</f>
        <v>206</v>
      </c>
      <c r="BC37" s="512"/>
      <c r="BD37" s="512"/>
      <c r="BE37" s="512"/>
      <c r="BF37" s="512"/>
      <c r="BG37" s="512"/>
      <c r="BH37" s="512"/>
      <c r="BI37" s="512"/>
      <c r="BJ37" s="512"/>
      <c r="BK37" s="512"/>
      <c r="BL37" s="512"/>
      <c r="BM37" s="512"/>
      <c r="BN37" s="512"/>
      <c r="BQ37" s="3">
        <f t="shared" si="2"/>
        <v>581737</v>
      </c>
    </row>
    <row r="38" s="400" customFormat="1" ht="36" hidden="1" customHeight="1" spans="1:69">
      <c r="A38" s="427">
        <v>45980</v>
      </c>
      <c r="B38" s="421" t="s">
        <v>1626</v>
      </c>
      <c r="C38" s="422" t="s">
        <v>286</v>
      </c>
      <c r="D38" s="428">
        <v>4500186234</v>
      </c>
      <c r="E38" s="424">
        <v>17242705</v>
      </c>
      <c r="F38" s="428" t="s">
        <v>5661</v>
      </c>
      <c r="G38" s="425" t="s">
        <v>4974</v>
      </c>
      <c r="H38" s="426" t="s">
        <v>5205</v>
      </c>
      <c r="I38" s="437">
        <v>750</v>
      </c>
      <c r="J38" s="438">
        <v>0</v>
      </c>
      <c r="K38" s="425">
        <v>50</v>
      </c>
      <c r="L38" s="439">
        <f t="shared" si="13"/>
        <v>15</v>
      </c>
      <c r="M38" s="440">
        <v>46030</v>
      </c>
      <c r="N38" s="440">
        <v>46027</v>
      </c>
      <c r="O38" s="441" t="s">
        <v>5662</v>
      </c>
      <c r="P38" s="441" t="s">
        <v>1262</v>
      </c>
      <c r="Q38" s="441" t="s">
        <v>3458</v>
      </c>
      <c r="R38" s="456">
        <v>46001</v>
      </c>
      <c r="S38" s="448" t="s">
        <v>77</v>
      </c>
      <c r="T38" s="457" t="s">
        <v>5663</v>
      </c>
      <c r="U38" s="441"/>
      <c r="V38" s="441"/>
      <c r="W38" s="441"/>
      <c r="X38" s="424" t="s">
        <v>5892</v>
      </c>
      <c r="Y38" s="441" t="s">
        <v>290</v>
      </c>
      <c r="Z38" s="474">
        <v>1.55</v>
      </c>
      <c r="AA38" s="475">
        <f t="shared" si="14"/>
        <v>1162.5</v>
      </c>
      <c r="AB38" s="476"/>
      <c r="AC38" s="425" t="s">
        <v>5391</v>
      </c>
      <c r="AD38" s="477" t="s">
        <v>128</v>
      </c>
      <c r="AE38" s="477" t="s">
        <v>4930</v>
      </c>
      <c r="AF38" s="425">
        <v>750</v>
      </c>
      <c r="AG38" s="425">
        <f t="shared" si="15"/>
        <v>0</v>
      </c>
      <c r="AH38" s="425" t="s">
        <v>4335</v>
      </c>
      <c r="AI38" s="478"/>
      <c r="AJ38" s="488">
        <f t="shared" si="16"/>
        <v>750</v>
      </c>
      <c r="AK38" s="488"/>
      <c r="AL38" s="489"/>
      <c r="AM38" s="437">
        <f t="shared" si="20"/>
        <v>750</v>
      </c>
      <c r="AN38" s="437"/>
      <c r="AO38" s="437"/>
      <c r="AP38" s="439">
        <f t="shared" si="17"/>
        <v>750</v>
      </c>
      <c r="AQ38" s="439"/>
      <c r="AR38" s="437"/>
      <c r="AS38" s="439">
        <f t="shared" si="18"/>
        <v>676.5625</v>
      </c>
      <c r="AT38" s="504">
        <f t="shared" si="19"/>
        <v>73.4375</v>
      </c>
      <c r="AU38" s="490"/>
      <c r="AV38" s="490"/>
      <c r="AW38" s="490"/>
      <c r="AX38" s="513"/>
      <c r="AY38" s="512"/>
      <c r="AZ38" s="512"/>
      <c r="BA38" s="512"/>
      <c r="BB38" s="512">
        <f>I38/25</f>
        <v>30</v>
      </c>
      <c r="BC38" s="512"/>
      <c r="BD38" s="512"/>
      <c r="BE38" s="512"/>
      <c r="BF38" s="512"/>
      <c r="BG38" s="512"/>
      <c r="BH38" s="512"/>
      <c r="BI38" s="512"/>
      <c r="BJ38" s="512"/>
      <c r="BK38" s="512"/>
      <c r="BL38" s="512"/>
      <c r="BM38" s="512"/>
      <c r="BN38" s="512"/>
      <c r="BQ38" s="3">
        <f t="shared" si="2"/>
        <v>582487</v>
      </c>
    </row>
    <row r="39" s="400" customFormat="1" ht="36" hidden="1" customHeight="1" spans="1:69">
      <c r="A39" s="427">
        <v>45968</v>
      </c>
      <c r="B39" s="421" t="s">
        <v>3213</v>
      </c>
      <c r="C39" s="422" t="s">
        <v>3214</v>
      </c>
      <c r="D39" s="428">
        <v>4500183616</v>
      </c>
      <c r="E39" s="424" t="s">
        <v>5665</v>
      </c>
      <c r="F39" s="428" t="s">
        <v>5666</v>
      </c>
      <c r="G39" s="425" t="s">
        <v>4974</v>
      </c>
      <c r="H39" s="426" t="s">
        <v>5205</v>
      </c>
      <c r="I39" s="437">
        <v>3600</v>
      </c>
      <c r="J39" s="438">
        <v>0</v>
      </c>
      <c r="K39" s="425">
        <v>50</v>
      </c>
      <c r="L39" s="439">
        <f t="shared" si="13"/>
        <v>72</v>
      </c>
      <c r="M39" s="440">
        <v>46031</v>
      </c>
      <c r="N39" s="440">
        <v>46027</v>
      </c>
      <c r="O39" s="441"/>
      <c r="P39" s="441" t="s">
        <v>92</v>
      </c>
      <c r="Q39" s="441" t="s">
        <v>3451</v>
      </c>
      <c r="R39" s="456">
        <v>45982</v>
      </c>
      <c r="S39" s="456" t="s">
        <v>77</v>
      </c>
      <c r="T39" s="457" t="s">
        <v>5667</v>
      </c>
      <c r="U39" s="441"/>
      <c r="V39" s="441"/>
      <c r="W39" s="441"/>
      <c r="X39" s="424" t="s">
        <v>5668</v>
      </c>
      <c r="Y39" s="441" t="s">
        <v>618</v>
      </c>
      <c r="Z39" s="474">
        <v>1.55</v>
      </c>
      <c r="AA39" s="475">
        <f t="shared" si="14"/>
        <v>5580</v>
      </c>
      <c r="AB39" s="476"/>
      <c r="AC39" s="425" t="s">
        <v>5391</v>
      </c>
      <c r="AD39" s="477" t="s">
        <v>128</v>
      </c>
      <c r="AE39" s="477" t="s">
        <v>4930</v>
      </c>
      <c r="AF39" s="425">
        <v>3600</v>
      </c>
      <c r="AG39" s="425">
        <f t="shared" si="15"/>
        <v>0</v>
      </c>
      <c r="AH39" s="425" t="s">
        <v>75</v>
      </c>
      <c r="AI39" s="478"/>
      <c r="AJ39" s="488">
        <f t="shared" si="16"/>
        <v>3600</v>
      </c>
      <c r="AK39" s="488"/>
      <c r="AL39" s="489"/>
      <c r="AM39" s="437">
        <f t="shared" si="20"/>
        <v>3600</v>
      </c>
      <c r="AN39" s="437"/>
      <c r="AO39" s="437"/>
      <c r="AP39" s="439">
        <f t="shared" si="17"/>
        <v>3600</v>
      </c>
      <c r="AQ39" s="439"/>
      <c r="AR39" s="437"/>
      <c r="AS39" s="439">
        <f t="shared" si="18"/>
        <v>3247.5</v>
      </c>
      <c r="AT39" s="504">
        <f t="shared" si="19"/>
        <v>352.5</v>
      </c>
      <c r="AU39" s="490"/>
      <c r="AV39" s="490"/>
      <c r="AW39" s="490"/>
      <c r="AX39" s="513"/>
      <c r="AY39" s="512"/>
      <c r="AZ39" s="512"/>
      <c r="BA39" s="512"/>
      <c r="BB39" s="512">
        <f>I39/25</f>
        <v>144</v>
      </c>
      <c r="BC39" s="512"/>
      <c r="BD39" s="512"/>
      <c r="BE39" s="512"/>
      <c r="BF39" s="512"/>
      <c r="BG39" s="512"/>
      <c r="BH39" s="512"/>
      <c r="BI39" s="512"/>
      <c r="BJ39" s="512"/>
      <c r="BK39" s="512"/>
      <c r="BL39" s="512"/>
      <c r="BM39" s="512"/>
      <c r="BN39" s="512"/>
      <c r="BQ39" s="3">
        <f t="shared" si="2"/>
        <v>586087</v>
      </c>
    </row>
    <row r="40" s="400" customFormat="1" ht="36" customHeight="1" spans="1:69">
      <c r="A40" s="420">
        <v>45951</v>
      </c>
      <c r="B40" s="421" t="s">
        <v>5691</v>
      </c>
      <c r="C40" s="422" t="s">
        <v>351</v>
      </c>
      <c r="D40" s="423">
        <v>4500182548</v>
      </c>
      <c r="E40" s="424">
        <v>942104</v>
      </c>
      <c r="F40" s="423" t="s">
        <v>5692</v>
      </c>
      <c r="G40" s="425" t="s">
        <v>4988</v>
      </c>
      <c r="H40" s="426" t="s">
        <v>4989</v>
      </c>
      <c r="I40" s="437">
        <v>350</v>
      </c>
      <c r="J40" s="438">
        <v>0</v>
      </c>
      <c r="K40" s="425">
        <v>25</v>
      </c>
      <c r="L40" s="439">
        <f t="shared" si="13"/>
        <v>14</v>
      </c>
      <c r="M40" s="440">
        <v>46034</v>
      </c>
      <c r="N40" s="440">
        <v>46031</v>
      </c>
      <c r="O40" s="441"/>
      <c r="P40" s="441" t="s">
        <v>1262</v>
      </c>
      <c r="Q40" s="441" t="s">
        <v>3451</v>
      </c>
      <c r="R40" s="449">
        <v>45961</v>
      </c>
      <c r="S40" s="448" t="s">
        <v>77</v>
      </c>
      <c r="T40" s="455" t="s">
        <v>5693</v>
      </c>
      <c r="U40" s="441"/>
      <c r="V40" s="441"/>
      <c r="W40" s="441"/>
      <c r="X40" s="424" t="s">
        <v>5694</v>
      </c>
      <c r="Y40" s="473" t="s">
        <v>647</v>
      </c>
      <c r="Z40" s="474">
        <v>1.6</v>
      </c>
      <c r="AA40" s="475">
        <f t="shared" si="14"/>
        <v>560</v>
      </c>
      <c r="AB40" s="476"/>
      <c r="AC40" s="478" t="s">
        <v>5042</v>
      </c>
      <c r="AD40" s="477" t="s">
        <v>128</v>
      </c>
      <c r="AE40" s="477" t="s">
        <v>4930</v>
      </c>
      <c r="AF40" s="425">
        <v>350</v>
      </c>
      <c r="AG40" s="425">
        <f t="shared" si="15"/>
        <v>0</v>
      </c>
      <c r="AH40" s="425" t="s">
        <v>4335</v>
      </c>
      <c r="AI40" s="487"/>
      <c r="AJ40" s="488">
        <f t="shared" si="16"/>
        <v>350</v>
      </c>
      <c r="AK40" s="488"/>
      <c r="AL40" s="489"/>
      <c r="AM40" s="490">
        <f t="shared" si="20"/>
        <v>350</v>
      </c>
      <c r="AN40" s="437"/>
      <c r="AO40" s="437"/>
      <c r="AP40" s="439">
        <f t="shared" si="17"/>
        <v>350</v>
      </c>
      <c r="AQ40" s="439"/>
      <c r="AR40" s="489"/>
      <c r="AS40" s="439">
        <f t="shared" si="18"/>
        <v>315.729166666667</v>
      </c>
      <c r="AT40" s="505">
        <f t="shared" si="19"/>
        <v>34.2708333333333</v>
      </c>
      <c r="AU40" s="489"/>
      <c r="AV40" s="489"/>
      <c r="AW40" s="489"/>
      <c r="AX40" s="512"/>
      <c r="AY40" s="512"/>
      <c r="AZ40" s="512"/>
      <c r="BA40" s="512"/>
      <c r="BB40" s="512">
        <f>I40/25</f>
        <v>14</v>
      </c>
      <c r="BC40" s="512"/>
      <c r="BD40" s="512"/>
      <c r="BE40" s="512"/>
      <c r="BF40" s="512"/>
      <c r="BG40" s="512"/>
      <c r="BH40" s="512"/>
      <c r="BI40" s="512"/>
      <c r="BJ40" s="512"/>
      <c r="BK40" s="512"/>
      <c r="BL40" s="512"/>
      <c r="BM40" s="512"/>
      <c r="BN40" s="512"/>
      <c r="BQ40" s="3">
        <f t="shared" si="2"/>
        <v>586437</v>
      </c>
    </row>
    <row r="41" s="400" customFormat="1" ht="36" hidden="1" customHeight="1" spans="1:69">
      <c r="A41" s="427">
        <v>45986</v>
      </c>
      <c r="B41" s="421" t="s">
        <v>601</v>
      </c>
      <c r="C41" s="422" t="s">
        <v>602</v>
      </c>
      <c r="D41" s="428">
        <v>4500186877</v>
      </c>
      <c r="E41" s="424"/>
      <c r="F41" s="428" t="s">
        <v>5653</v>
      </c>
      <c r="G41" s="425" t="s">
        <v>4970</v>
      </c>
      <c r="H41" s="426" t="s">
        <v>5144</v>
      </c>
      <c r="I41" s="437">
        <v>5564</v>
      </c>
      <c r="J41" s="438">
        <v>0</v>
      </c>
      <c r="K41" s="425">
        <v>52</v>
      </c>
      <c r="L41" s="439">
        <f t="shared" si="13"/>
        <v>107</v>
      </c>
      <c r="M41" s="440">
        <v>46028</v>
      </c>
      <c r="N41" s="440">
        <v>46032</v>
      </c>
      <c r="O41" s="441"/>
      <c r="P41" s="441" t="s">
        <v>92</v>
      </c>
      <c r="Q41" s="441" t="s">
        <v>4328</v>
      </c>
      <c r="R41" s="456">
        <v>45989</v>
      </c>
      <c r="S41" s="441" t="s">
        <v>77</v>
      </c>
      <c r="T41" s="457" t="s">
        <v>5654</v>
      </c>
      <c r="U41" s="441"/>
      <c r="V41" s="441"/>
      <c r="W41" s="441"/>
      <c r="X41" s="424" t="s">
        <v>5655</v>
      </c>
      <c r="Y41" s="441" t="s">
        <v>5656</v>
      </c>
      <c r="Z41" s="474">
        <v>1.3904</v>
      </c>
      <c r="AA41" s="475">
        <f t="shared" si="14"/>
        <v>7736.1856</v>
      </c>
      <c r="AB41" s="476"/>
      <c r="AC41" s="425" t="s">
        <v>4970</v>
      </c>
      <c r="AD41" s="477" t="s">
        <v>128</v>
      </c>
      <c r="AE41" s="477" t="s">
        <v>4930</v>
      </c>
      <c r="AF41" s="425">
        <v>5564</v>
      </c>
      <c r="AG41" s="425">
        <f t="shared" si="15"/>
        <v>0</v>
      </c>
      <c r="AH41" s="425" t="s">
        <v>75</v>
      </c>
      <c r="AI41" s="478"/>
      <c r="AJ41" s="488">
        <f t="shared" si="16"/>
        <v>5564</v>
      </c>
      <c r="AK41" s="488"/>
      <c r="AL41" s="489">
        <f>I41</f>
        <v>5564</v>
      </c>
      <c r="AM41" s="437"/>
      <c r="AN41" s="437"/>
      <c r="AO41" s="437"/>
      <c r="AP41" s="439">
        <f t="shared" si="17"/>
        <v>5564</v>
      </c>
      <c r="AQ41" s="439"/>
      <c r="AR41" s="437"/>
      <c r="AS41" s="439">
        <f t="shared" si="18"/>
        <v>5019.19166666667</v>
      </c>
      <c r="AT41" s="504">
        <f t="shared" si="19"/>
        <v>544.808333333333</v>
      </c>
      <c r="AU41" s="439">
        <f>AS41</f>
        <v>5019.19166666667</v>
      </c>
      <c r="AV41" s="490"/>
      <c r="AW41" s="490"/>
      <c r="AX41" s="512">
        <f>I41/13</f>
        <v>428</v>
      </c>
      <c r="AY41" s="512"/>
      <c r="AZ41" s="512"/>
      <c r="BA41" s="512"/>
      <c r="BB41" s="512"/>
      <c r="BC41" s="512"/>
      <c r="BD41" s="512"/>
      <c r="BE41" s="512"/>
      <c r="BF41" s="512"/>
      <c r="BG41" s="512"/>
      <c r="BH41" s="512"/>
      <c r="BI41" s="512"/>
      <c r="BJ41" s="512"/>
      <c r="BK41" s="512"/>
      <c r="BL41" s="512"/>
      <c r="BM41" s="512"/>
      <c r="BN41" s="512"/>
      <c r="BQ41" s="3">
        <f t="shared" si="2"/>
        <v>592001</v>
      </c>
    </row>
    <row r="42" s="400" customFormat="1" ht="36" hidden="1" customHeight="1" spans="1:69">
      <c r="A42" s="427">
        <v>45988</v>
      </c>
      <c r="B42" s="421" t="s">
        <v>4976</v>
      </c>
      <c r="C42" s="422" t="s">
        <v>117</v>
      </c>
      <c r="D42" s="428">
        <v>4500187253</v>
      </c>
      <c r="E42" s="1692" t="s">
        <v>5672</v>
      </c>
      <c r="F42" s="428" t="s">
        <v>5673</v>
      </c>
      <c r="G42" s="425" t="s">
        <v>4979</v>
      </c>
      <c r="H42" s="426" t="s">
        <v>4980</v>
      </c>
      <c r="I42" s="437">
        <v>960</v>
      </c>
      <c r="J42" s="438">
        <v>0</v>
      </c>
      <c r="K42" s="425">
        <v>16</v>
      </c>
      <c r="L42" s="439">
        <f t="shared" si="13"/>
        <v>60</v>
      </c>
      <c r="M42" s="440">
        <v>46034</v>
      </c>
      <c r="N42" s="440">
        <v>46032</v>
      </c>
      <c r="O42" s="441" t="s">
        <v>5674</v>
      </c>
      <c r="P42" s="441" t="s">
        <v>92</v>
      </c>
      <c r="Q42" s="441" t="s">
        <v>5885</v>
      </c>
      <c r="R42" s="441" t="s">
        <v>1102</v>
      </c>
      <c r="S42" s="441" t="s">
        <v>123</v>
      </c>
      <c r="T42" s="448" t="s">
        <v>5675</v>
      </c>
      <c r="U42" s="441" t="s">
        <v>4983</v>
      </c>
      <c r="V42" s="441"/>
      <c r="W42" s="441"/>
      <c r="X42" s="424" t="s">
        <v>5676</v>
      </c>
      <c r="Y42" s="441" t="s">
        <v>634</v>
      </c>
      <c r="Z42" s="474">
        <v>0.9059</v>
      </c>
      <c r="AA42" s="475">
        <f t="shared" ref="AA41:AA49" si="21">Z42*I42</f>
        <v>869.664</v>
      </c>
      <c r="AB42" s="476"/>
      <c r="AC42" s="425" t="s">
        <v>4979</v>
      </c>
      <c r="AD42" s="477" t="s">
        <v>128</v>
      </c>
      <c r="AE42" s="477" t="s">
        <v>4930</v>
      </c>
      <c r="AF42" s="425">
        <v>960</v>
      </c>
      <c r="AG42" s="425">
        <f t="shared" ref="AG41:AG54" si="22">AF42-I42</f>
        <v>0</v>
      </c>
      <c r="AH42" s="425" t="s">
        <v>4335</v>
      </c>
      <c r="AI42" s="478"/>
      <c r="AJ42" s="488">
        <f t="shared" si="16"/>
        <v>960</v>
      </c>
      <c r="AK42" s="488"/>
      <c r="AL42" s="489">
        <f t="shared" ref="AL42:AL49" si="23">I42</f>
        <v>960</v>
      </c>
      <c r="AM42" s="490"/>
      <c r="AN42" s="437"/>
      <c r="AO42" s="437"/>
      <c r="AP42" s="439">
        <f t="shared" ref="AP41:AP49" si="24">I42</f>
        <v>960</v>
      </c>
      <c r="AQ42" s="439"/>
      <c r="AR42" s="437"/>
      <c r="AS42" s="439">
        <f t="shared" si="18"/>
        <v>866</v>
      </c>
      <c r="AT42" s="504">
        <f t="shared" si="19"/>
        <v>94</v>
      </c>
      <c r="AU42" s="490"/>
      <c r="AV42" s="490"/>
      <c r="AW42" s="490"/>
      <c r="AX42" s="513"/>
      <c r="AY42" s="512"/>
      <c r="AZ42" s="512"/>
      <c r="BA42" s="512"/>
      <c r="BB42" s="512"/>
      <c r="BC42" s="512">
        <f>I42/16</f>
        <v>60</v>
      </c>
      <c r="BD42" s="512"/>
      <c r="BE42" s="512"/>
      <c r="BF42" s="512"/>
      <c r="BG42" s="512"/>
      <c r="BH42" s="512"/>
      <c r="BI42" s="512"/>
      <c r="BJ42" s="512"/>
      <c r="BK42" s="512"/>
      <c r="BL42" s="512"/>
      <c r="BM42" s="512"/>
      <c r="BN42" s="512"/>
      <c r="BQ42" s="3">
        <f t="shared" si="2"/>
        <v>592961</v>
      </c>
    </row>
    <row r="43" s="400" customFormat="1" ht="36" hidden="1" customHeight="1" spans="1:69">
      <c r="A43" s="427">
        <v>45988</v>
      </c>
      <c r="B43" s="421" t="s">
        <v>4976</v>
      </c>
      <c r="C43" s="422" t="s">
        <v>117</v>
      </c>
      <c r="D43" s="428">
        <v>4500187253</v>
      </c>
      <c r="E43" s="1692" t="s">
        <v>5677</v>
      </c>
      <c r="F43" s="428" t="s">
        <v>5678</v>
      </c>
      <c r="G43" s="425" t="s">
        <v>4979</v>
      </c>
      <c r="H43" s="426" t="s">
        <v>4980</v>
      </c>
      <c r="I43" s="437">
        <v>960</v>
      </c>
      <c r="J43" s="438">
        <v>0</v>
      </c>
      <c r="K43" s="425">
        <v>16</v>
      </c>
      <c r="L43" s="439">
        <f t="shared" si="13"/>
        <v>60</v>
      </c>
      <c r="M43" s="440">
        <v>46034</v>
      </c>
      <c r="N43" s="440">
        <v>46032</v>
      </c>
      <c r="O43" s="441" t="s">
        <v>5679</v>
      </c>
      <c r="P43" s="441" t="s">
        <v>92</v>
      </c>
      <c r="Q43" s="441" t="s">
        <v>5889</v>
      </c>
      <c r="R43" s="441" t="s">
        <v>1102</v>
      </c>
      <c r="S43" s="441" t="s">
        <v>123</v>
      </c>
      <c r="T43" s="448" t="s">
        <v>5675</v>
      </c>
      <c r="U43" s="441" t="s">
        <v>4983</v>
      </c>
      <c r="V43" s="441"/>
      <c r="W43" s="441"/>
      <c r="X43" s="424" t="s">
        <v>5676</v>
      </c>
      <c r="Y43" s="441" t="s">
        <v>634</v>
      </c>
      <c r="Z43" s="474">
        <v>0.9059</v>
      </c>
      <c r="AA43" s="475">
        <f t="shared" si="21"/>
        <v>869.664</v>
      </c>
      <c r="AB43" s="476"/>
      <c r="AC43" s="425" t="s">
        <v>4979</v>
      </c>
      <c r="AD43" s="477" t="s">
        <v>128</v>
      </c>
      <c r="AE43" s="477" t="s">
        <v>4930</v>
      </c>
      <c r="AF43" s="425">
        <v>960</v>
      </c>
      <c r="AG43" s="425">
        <f t="shared" si="22"/>
        <v>0</v>
      </c>
      <c r="AH43" s="425" t="s">
        <v>4335</v>
      </c>
      <c r="AI43" s="478"/>
      <c r="AJ43" s="488">
        <f t="shared" si="16"/>
        <v>960</v>
      </c>
      <c r="AK43" s="488"/>
      <c r="AL43" s="489">
        <f t="shared" si="23"/>
        <v>960</v>
      </c>
      <c r="AM43" s="490"/>
      <c r="AN43" s="437"/>
      <c r="AO43" s="437"/>
      <c r="AP43" s="439">
        <f t="shared" si="24"/>
        <v>960</v>
      </c>
      <c r="AQ43" s="439"/>
      <c r="AR43" s="437"/>
      <c r="AS43" s="439">
        <f t="shared" si="18"/>
        <v>866</v>
      </c>
      <c r="AT43" s="504">
        <f t="shared" si="19"/>
        <v>94</v>
      </c>
      <c r="AU43" s="490"/>
      <c r="AV43" s="490"/>
      <c r="AW43" s="490"/>
      <c r="AX43" s="513"/>
      <c r="AY43" s="512"/>
      <c r="AZ43" s="512"/>
      <c r="BA43" s="512"/>
      <c r="BB43" s="512"/>
      <c r="BC43" s="512">
        <f>I43/16</f>
        <v>60</v>
      </c>
      <c r="BD43" s="512"/>
      <c r="BE43" s="512"/>
      <c r="BF43" s="512"/>
      <c r="BG43" s="512"/>
      <c r="BH43" s="512"/>
      <c r="BI43" s="512"/>
      <c r="BJ43" s="512"/>
      <c r="BK43" s="512"/>
      <c r="BL43" s="512"/>
      <c r="BM43" s="512"/>
      <c r="BN43" s="512"/>
      <c r="BQ43" s="3">
        <f t="shared" si="2"/>
        <v>593921</v>
      </c>
    </row>
    <row r="44" s="400" customFormat="1" ht="36" hidden="1" customHeight="1" spans="1:69">
      <c r="A44" s="427">
        <v>45988</v>
      </c>
      <c r="B44" s="421" t="s">
        <v>4976</v>
      </c>
      <c r="C44" s="422" t="s">
        <v>117</v>
      </c>
      <c r="D44" s="428">
        <v>4500187253</v>
      </c>
      <c r="E44" s="1692" t="s">
        <v>5680</v>
      </c>
      <c r="F44" s="428" t="s">
        <v>5681</v>
      </c>
      <c r="G44" s="425" t="s">
        <v>4979</v>
      </c>
      <c r="H44" s="426" t="s">
        <v>4980</v>
      </c>
      <c r="I44" s="437">
        <v>960</v>
      </c>
      <c r="J44" s="438">
        <v>0</v>
      </c>
      <c r="K44" s="425">
        <v>16</v>
      </c>
      <c r="L44" s="439">
        <f t="shared" si="13"/>
        <v>60</v>
      </c>
      <c r="M44" s="440">
        <v>46034</v>
      </c>
      <c r="N44" s="440">
        <v>46032</v>
      </c>
      <c r="O44" s="441" t="s">
        <v>5674</v>
      </c>
      <c r="P44" s="441" t="s">
        <v>92</v>
      </c>
      <c r="Q44" s="441" t="s">
        <v>5882</v>
      </c>
      <c r="R44" s="441" t="s">
        <v>1102</v>
      </c>
      <c r="S44" s="441" t="s">
        <v>123</v>
      </c>
      <c r="T44" s="448" t="s">
        <v>5675</v>
      </c>
      <c r="U44" s="441" t="s">
        <v>4983</v>
      </c>
      <c r="V44" s="441"/>
      <c r="W44" s="441"/>
      <c r="X44" s="424" t="s">
        <v>5676</v>
      </c>
      <c r="Y44" s="441" t="s">
        <v>634</v>
      </c>
      <c r="Z44" s="474">
        <v>0.9059</v>
      </c>
      <c r="AA44" s="475">
        <f t="shared" si="21"/>
        <v>869.664</v>
      </c>
      <c r="AB44" s="476"/>
      <c r="AC44" s="425" t="s">
        <v>4979</v>
      </c>
      <c r="AD44" s="477" t="s">
        <v>128</v>
      </c>
      <c r="AE44" s="477" t="s">
        <v>4930</v>
      </c>
      <c r="AF44" s="425">
        <v>960</v>
      </c>
      <c r="AG44" s="425">
        <f t="shared" si="22"/>
        <v>0</v>
      </c>
      <c r="AH44" s="425" t="s">
        <v>4335</v>
      </c>
      <c r="AI44" s="478"/>
      <c r="AJ44" s="488">
        <f t="shared" si="16"/>
        <v>960</v>
      </c>
      <c r="AK44" s="488"/>
      <c r="AL44" s="489">
        <f t="shared" si="23"/>
        <v>960</v>
      </c>
      <c r="AM44" s="490"/>
      <c r="AN44" s="437"/>
      <c r="AO44" s="437"/>
      <c r="AP44" s="439">
        <f t="shared" si="24"/>
        <v>960</v>
      </c>
      <c r="AQ44" s="439"/>
      <c r="AR44" s="437"/>
      <c r="AS44" s="439">
        <f t="shared" si="18"/>
        <v>866</v>
      </c>
      <c r="AT44" s="504">
        <f t="shared" si="19"/>
        <v>94</v>
      </c>
      <c r="AU44" s="490"/>
      <c r="AV44" s="490"/>
      <c r="AW44" s="490"/>
      <c r="AX44" s="513"/>
      <c r="AY44" s="512"/>
      <c r="AZ44" s="512"/>
      <c r="BA44" s="512"/>
      <c r="BB44" s="512"/>
      <c r="BC44" s="512">
        <f>I44/16</f>
        <v>60</v>
      </c>
      <c r="BD44" s="512"/>
      <c r="BE44" s="512"/>
      <c r="BF44" s="512"/>
      <c r="BG44" s="512"/>
      <c r="BH44" s="512"/>
      <c r="BI44" s="512"/>
      <c r="BJ44" s="512"/>
      <c r="BK44" s="512"/>
      <c r="BL44" s="512"/>
      <c r="BM44" s="512"/>
      <c r="BN44" s="512"/>
      <c r="BQ44" s="3">
        <f t="shared" si="2"/>
        <v>594881</v>
      </c>
    </row>
    <row r="45" s="400" customFormat="1" ht="36" hidden="1" customHeight="1" spans="1:69">
      <c r="A45" s="427">
        <v>45988</v>
      </c>
      <c r="B45" s="421" t="s">
        <v>4976</v>
      </c>
      <c r="C45" s="422" t="s">
        <v>117</v>
      </c>
      <c r="D45" s="428">
        <v>4500187253</v>
      </c>
      <c r="E45" s="1692" t="s">
        <v>5682</v>
      </c>
      <c r="F45" s="428" t="s">
        <v>5683</v>
      </c>
      <c r="G45" s="425" t="s">
        <v>4979</v>
      </c>
      <c r="H45" s="426" t="s">
        <v>4980</v>
      </c>
      <c r="I45" s="437">
        <v>960</v>
      </c>
      <c r="J45" s="438">
        <v>0</v>
      </c>
      <c r="K45" s="425">
        <v>16</v>
      </c>
      <c r="L45" s="439">
        <f t="shared" si="13"/>
        <v>60</v>
      </c>
      <c r="M45" s="440">
        <v>46034</v>
      </c>
      <c r="N45" s="440">
        <v>46032</v>
      </c>
      <c r="O45" s="441" t="s">
        <v>5679</v>
      </c>
      <c r="P45" s="441" t="s">
        <v>92</v>
      </c>
      <c r="Q45" s="441" t="s">
        <v>5884</v>
      </c>
      <c r="R45" s="441" t="s">
        <v>1102</v>
      </c>
      <c r="S45" s="441" t="s">
        <v>123</v>
      </c>
      <c r="T45" s="448" t="s">
        <v>5675</v>
      </c>
      <c r="U45" s="441" t="s">
        <v>4983</v>
      </c>
      <c r="V45" s="441"/>
      <c r="W45" s="441"/>
      <c r="X45" s="424" t="s">
        <v>5676</v>
      </c>
      <c r="Y45" s="441" t="s">
        <v>634</v>
      </c>
      <c r="Z45" s="474">
        <v>0.9059</v>
      </c>
      <c r="AA45" s="475">
        <f t="shared" si="21"/>
        <v>869.664</v>
      </c>
      <c r="AB45" s="476"/>
      <c r="AC45" s="425" t="s">
        <v>4979</v>
      </c>
      <c r="AD45" s="477" t="s">
        <v>128</v>
      </c>
      <c r="AE45" s="477" t="s">
        <v>4930</v>
      </c>
      <c r="AF45" s="425">
        <v>960</v>
      </c>
      <c r="AG45" s="425">
        <f t="shared" si="22"/>
        <v>0</v>
      </c>
      <c r="AH45" s="425" t="s">
        <v>4335</v>
      </c>
      <c r="AI45" s="478"/>
      <c r="AJ45" s="488">
        <f t="shared" si="16"/>
        <v>960</v>
      </c>
      <c r="AK45" s="488"/>
      <c r="AL45" s="489">
        <f t="shared" si="23"/>
        <v>960</v>
      </c>
      <c r="AM45" s="490"/>
      <c r="AN45" s="437"/>
      <c r="AO45" s="437"/>
      <c r="AP45" s="439">
        <f t="shared" si="24"/>
        <v>960</v>
      </c>
      <c r="AQ45" s="439"/>
      <c r="AR45" s="437"/>
      <c r="AS45" s="439">
        <f t="shared" si="18"/>
        <v>866</v>
      </c>
      <c r="AT45" s="504">
        <f t="shared" si="19"/>
        <v>94</v>
      </c>
      <c r="AU45" s="490"/>
      <c r="AV45" s="490"/>
      <c r="AW45" s="490"/>
      <c r="AX45" s="513"/>
      <c r="AY45" s="512"/>
      <c r="AZ45" s="512"/>
      <c r="BA45" s="512"/>
      <c r="BB45" s="512"/>
      <c r="BC45" s="512">
        <f>I45/16</f>
        <v>60</v>
      </c>
      <c r="BD45" s="512"/>
      <c r="BE45" s="512"/>
      <c r="BF45" s="512"/>
      <c r="BG45" s="512"/>
      <c r="BH45" s="512"/>
      <c r="BI45" s="512"/>
      <c r="BJ45" s="512"/>
      <c r="BK45" s="512"/>
      <c r="BL45" s="512"/>
      <c r="BM45" s="512"/>
      <c r="BN45" s="512"/>
      <c r="BQ45" s="3">
        <f t="shared" si="2"/>
        <v>595841</v>
      </c>
    </row>
    <row r="46" s="400" customFormat="1" ht="36" hidden="1" customHeight="1" spans="1:69">
      <c r="A46" s="427">
        <v>45988</v>
      </c>
      <c r="B46" s="421" t="s">
        <v>4976</v>
      </c>
      <c r="C46" s="422" t="s">
        <v>117</v>
      </c>
      <c r="D46" s="428">
        <v>4500187253</v>
      </c>
      <c r="E46" s="1692" t="s">
        <v>5684</v>
      </c>
      <c r="F46" s="428" t="s">
        <v>5685</v>
      </c>
      <c r="G46" s="425" t="s">
        <v>4979</v>
      </c>
      <c r="H46" s="426" t="s">
        <v>4980</v>
      </c>
      <c r="I46" s="437">
        <v>960</v>
      </c>
      <c r="J46" s="438">
        <v>0</v>
      </c>
      <c r="K46" s="425">
        <v>16</v>
      </c>
      <c r="L46" s="439">
        <f t="shared" si="13"/>
        <v>60</v>
      </c>
      <c r="M46" s="440">
        <v>46034</v>
      </c>
      <c r="N46" s="440">
        <v>46032</v>
      </c>
      <c r="O46" s="441" t="s">
        <v>5679</v>
      </c>
      <c r="P46" s="441" t="s">
        <v>92</v>
      </c>
      <c r="Q46" s="441" t="s">
        <v>5893</v>
      </c>
      <c r="R46" s="441" t="s">
        <v>1102</v>
      </c>
      <c r="S46" s="441" t="s">
        <v>123</v>
      </c>
      <c r="T46" s="448" t="s">
        <v>5675</v>
      </c>
      <c r="U46" s="441" t="s">
        <v>4983</v>
      </c>
      <c r="V46" s="441"/>
      <c r="W46" s="441"/>
      <c r="X46" s="424" t="s">
        <v>5676</v>
      </c>
      <c r="Y46" s="441" t="s">
        <v>634</v>
      </c>
      <c r="Z46" s="474">
        <v>0.9059</v>
      </c>
      <c r="AA46" s="475">
        <f t="shared" si="21"/>
        <v>869.664</v>
      </c>
      <c r="AB46" s="476"/>
      <c r="AC46" s="425" t="s">
        <v>4979</v>
      </c>
      <c r="AD46" s="477" t="s">
        <v>128</v>
      </c>
      <c r="AE46" s="477" t="s">
        <v>4930</v>
      </c>
      <c r="AF46" s="425">
        <v>960</v>
      </c>
      <c r="AG46" s="425">
        <f t="shared" si="22"/>
        <v>0</v>
      </c>
      <c r="AH46" s="425" t="s">
        <v>4335</v>
      </c>
      <c r="AI46" s="478"/>
      <c r="AJ46" s="488">
        <f t="shared" si="16"/>
        <v>960</v>
      </c>
      <c r="AK46" s="488"/>
      <c r="AL46" s="489">
        <f t="shared" si="23"/>
        <v>960</v>
      </c>
      <c r="AM46" s="490"/>
      <c r="AN46" s="437"/>
      <c r="AO46" s="437"/>
      <c r="AP46" s="439">
        <f t="shared" si="24"/>
        <v>960</v>
      </c>
      <c r="AQ46" s="439"/>
      <c r="AR46" s="437"/>
      <c r="AS46" s="439">
        <f t="shared" si="18"/>
        <v>866</v>
      </c>
      <c r="AT46" s="504">
        <f t="shared" si="19"/>
        <v>94</v>
      </c>
      <c r="AU46" s="490"/>
      <c r="AV46" s="490"/>
      <c r="AW46" s="490"/>
      <c r="AX46" s="513"/>
      <c r="AY46" s="512"/>
      <c r="AZ46" s="512"/>
      <c r="BA46" s="512"/>
      <c r="BB46" s="512"/>
      <c r="BC46" s="512">
        <f>I46/16</f>
        <v>60</v>
      </c>
      <c r="BD46" s="512"/>
      <c r="BE46" s="512"/>
      <c r="BF46" s="512"/>
      <c r="BG46" s="512"/>
      <c r="BH46" s="512"/>
      <c r="BI46" s="512"/>
      <c r="BJ46" s="512"/>
      <c r="BK46" s="512"/>
      <c r="BL46" s="512"/>
      <c r="BM46" s="512"/>
      <c r="BN46" s="512"/>
      <c r="BQ46" s="3">
        <f t="shared" si="2"/>
        <v>596801</v>
      </c>
    </row>
    <row r="47" s="400" customFormat="1" ht="36" hidden="1" customHeight="1" spans="1:69">
      <c r="A47" s="427">
        <v>45995</v>
      </c>
      <c r="B47" s="421" t="s">
        <v>189</v>
      </c>
      <c r="C47" s="422" t="s">
        <v>190</v>
      </c>
      <c r="D47" s="428">
        <v>4500188101</v>
      </c>
      <c r="E47" s="424">
        <v>21336524</v>
      </c>
      <c r="F47" s="428" t="s">
        <v>5686</v>
      </c>
      <c r="G47" s="425" t="s">
        <v>5066</v>
      </c>
      <c r="H47" s="426" t="s">
        <v>5048</v>
      </c>
      <c r="I47" s="437">
        <v>1404</v>
      </c>
      <c r="J47" s="438">
        <v>0</v>
      </c>
      <c r="K47" s="425">
        <v>13</v>
      </c>
      <c r="L47" s="439">
        <f t="shared" si="13"/>
        <v>108</v>
      </c>
      <c r="M47" s="440">
        <v>46034</v>
      </c>
      <c r="N47" s="440">
        <v>46032</v>
      </c>
      <c r="O47" s="441"/>
      <c r="P47" s="441" t="s">
        <v>92</v>
      </c>
      <c r="Q47" s="441" t="s">
        <v>5894</v>
      </c>
      <c r="R47" s="449">
        <v>46003</v>
      </c>
      <c r="S47" s="441" t="s">
        <v>123</v>
      </c>
      <c r="T47" s="455" t="s">
        <v>5687</v>
      </c>
      <c r="U47" s="441"/>
      <c r="V47" s="441"/>
      <c r="W47" s="441"/>
      <c r="X47" s="424" t="s">
        <v>5688</v>
      </c>
      <c r="Y47" s="473" t="s">
        <v>1011</v>
      </c>
      <c r="Z47" s="474">
        <v>1.449</v>
      </c>
      <c r="AA47" s="475">
        <f t="shared" si="21"/>
        <v>2034.396</v>
      </c>
      <c r="AB47" s="476"/>
      <c r="AC47" s="478" t="s">
        <v>5066</v>
      </c>
      <c r="AD47" s="477" t="s">
        <v>128</v>
      </c>
      <c r="AE47" s="477" t="s">
        <v>4930</v>
      </c>
      <c r="AF47" s="425">
        <v>1404</v>
      </c>
      <c r="AG47" s="425">
        <f t="shared" si="22"/>
        <v>0</v>
      </c>
      <c r="AH47" s="425" t="s">
        <v>4335</v>
      </c>
      <c r="AI47" s="487"/>
      <c r="AJ47" s="488">
        <f t="shared" si="16"/>
        <v>1404</v>
      </c>
      <c r="AK47" s="493"/>
      <c r="AL47" s="494">
        <f t="shared" si="23"/>
        <v>1404</v>
      </c>
      <c r="AM47" s="490"/>
      <c r="AN47" s="437"/>
      <c r="AO47" s="437"/>
      <c r="AP47" s="439">
        <f t="shared" si="24"/>
        <v>1404</v>
      </c>
      <c r="AQ47" s="439"/>
      <c r="AR47" s="489"/>
      <c r="AS47" s="439">
        <f t="shared" si="18"/>
        <v>1266.525</v>
      </c>
      <c r="AT47" s="504">
        <f t="shared" si="19"/>
        <v>137.475</v>
      </c>
      <c r="AU47" s="489"/>
      <c r="AV47" s="492"/>
      <c r="AW47" s="492"/>
      <c r="AX47" s="512">
        <f>I47/13</f>
        <v>108</v>
      </c>
      <c r="AY47" s="512"/>
      <c r="AZ47" s="512"/>
      <c r="BA47" s="512"/>
      <c r="BB47" s="512"/>
      <c r="BC47" s="512"/>
      <c r="BD47" s="512"/>
      <c r="BE47" s="512"/>
      <c r="BF47" s="512"/>
      <c r="BG47" s="512"/>
      <c r="BH47" s="512"/>
      <c r="BI47" s="512"/>
      <c r="BJ47" s="512"/>
      <c r="BK47" s="512"/>
      <c r="BL47" s="512"/>
      <c r="BM47" s="512"/>
      <c r="BN47" s="512"/>
      <c r="BQ47" s="3">
        <f t="shared" si="2"/>
        <v>598205</v>
      </c>
    </row>
    <row r="48" s="400" customFormat="1" ht="36" hidden="1" customHeight="1" spans="1:69">
      <c r="A48" s="427">
        <v>45995</v>
      </c>
      <c r="B48" s="421" t="s">
        <v>232</v>
      </c>
      <c r="C48" s="422" t="s">
        <v>233</v>
      </c>
      <c r="D48" s="428">
        <v>4500188102</v>
      </c>
      <c r="E48" s="424">
        <v>21336527</v>
      </c>
      <c r="F48" s="428" t="s">
        <v>5689</v>
      </c>
      <c r="G48" s="425" t="s">
        <v>5066</v>
      </c>
      <c r="H48" s="426" t="s">
        <v>5048</v>
      </c>
      <c r="I48" s="437">
        <v>104</v>
      </c>
      <c r="J48" s="438">
        <v>0</v>
      </c>
      <c r="K48" s="425">
        <v>13</v>
      </c>
      <c r="L48" s="439">
        <f t="shared" si="13"/>
        <v>8</v>
      </c>
      <c r="M48" s="440">
        <v>46034</v>
      </c>
      <c r="N48" s="440">
        <v>46032</v>
      </c>
      <c r="O48" s="441"/>
      <c r="P48" s="441" t="s">
        <v>92</v>
      </c>
      <c r="Q48" s="441" t="s">
        <v>5894</v>
      </c>
      <c r="R48" s="449">
        <v>46003</v>
      </c>
      <c r="S48" s="441" t="s">
        <v>123</v>
      </c>
      <c r="T48" s="455" t="s">
        <v>5687</v>
      </c>
      <c r="U48" s="441"/>
      <c r="V48" s="441"/>
      <c r="W48" s="441"/>
      <c r="X48" s="424" t="s">
        <v>5690</v>
      </c>
      <c r="Y48" s="473" t="s">
        <v>1011</v>
      </c>
      <c r="Z48" s="474">
        <v>1.4539</v>
      </c>
      <c r="AA48" s="475">
        <f t="shared" si="21"/>
        <v>151.2056</v>
      </c>
      <c r="AB48" s="476"/>
      <c r="AC48" s="478" t="s">
        <v>5066</v>
      </c>
      <c r="AD48" s="477" t="s">
        <v>128</v>
      </c>
      <c r="AE48" s="477" t="s">
        <v>4930</v>
      </c>
      <c r="AF48" s="425">
        <v>104</v>
      </c>
      <c r="AG48" s="425">
        <f t="shared" si="22"/>
        <v>0</v>
      </c>
      <c r="AH48" s="425" t="s">
        <v>4335</v>
      </c>
      <c r="AI48" s="487"/>
      <c r="AJ48" s="488">
        <f t="shared" si="16"/>
        <v>104</v>
      </c>
      <c r="AK48" s="493"/>
      <c r="AL48" s="494">
        <f t="shared" si="23"/>
        <v>104</v>
      </c>
      <c r="AM48" s="490"/>
      <c r="AN48" s="437"/>
      <c r="AO48" s="437"/>
      <c r="AP48" s="439">
        <f t="shared" si="24"/>
        <v>104</v>
      </c>
      <c r="AQ48" s="439"/>
      <c r="AR48" s="489"/>
      <c r="AS48" s="439">
        <f t="shared" si="18"/>
        <v>93.8166666666667</v>
      </c>
      <c r="AT48" s="504">
        <f t="shared" si="19"/>
        <v>10.1833333333333</v>
      </c>
      <c r="AU48" s="489"/>
      <c r="AV48" s="492"/>
      <c r="AW48" s="492"/>
      <c r="AX48" s="512">
        <f>I48/13</f>
        <v>8</v>
      </c>
      <c r="AY48" s="512"/>
      <c r="AZ48" s="512"/>
      <c r="BA48" s="512"/>
      <c r="BB48" s="512"/>
      <c r="BC48" s="512"/>
      <c r="BD48" s="512"/>
      <c r="BE48" s="512"/>
      <c r="BF48" s="512"/>
      <c r="BG48" s="512"/>
      <c r="BH48" s="512"/>
      <c r="BI48" s="512"/>
      <c r="BJ48" s="512"/>
      <c r="BK48" s="512"/>
      <c r="BL48" s="512"/>
      <c r="BM48" s="512"/>
      <c r="BN48" s="512"/>
      <c r="BQ48" s="3">
        <f t="shared" si="2"/>
        <v>598309</v>
      </c>
    </row>
    <row r="49" s="400" customFormat="1" ht="36" hidden="1" customHeight="1" spans="1:69">
      <c r="A49" s="427">
        <v>45968</v>
      </c>
      <c r="B49" s="421" t="s">
        <v>5234</v>
      </c>
      <c r="C49" s="422" t="s">
        <v>117</v>
      </c>
      <c r="D49" s="428">
        <v>4500184978</v>
      </c>
      <c r="E49" s="424" t="s">
        <v>5695</v>
      </c>
      <c r="F49" s="428" t="s">
        <v>5696</v>
      </c>
      <c r="G49" s="425" t="s">
        <v>5066</v>
      </c>
      <c r="H49" s="426" t="s">
        <v>5048</v>
      </c>
      <c r="I49" s="437">
        <v>2067</v>
      </c>
      <c r="J49" s="438">
        <v>0</v>
      </c>
      <c r="K49" s="425">
        <v>13</v>
      </c>
      <c r="L49" s="439">
        <f t="shared" ref="L28:L54" si="25">I49/K49</f>
        <v>159</v>
      </c>
      <c r="M49" s="440">
        <v>46036</v>
      </c>
      <c r="N49" s="440">
        <v>46034</v>
      </c>
      <c r="O49" s="441" t="s">
        <v>5697</v>
      </c>
      <c r="P49" s="441" t="s">
        <v>92</v>
      </c>
      <c r="Q49" s="441" t="s">
        <v>5884</v>
      </c>
      <c r="R49" s="449">
        <v>45985</v>
      </c>
      <c r="S49" s="448" t="s">
        <v>77</v>
      </c>
      <c r="T49" s="450" t="s">
        <v>77</v>
      </c>
      <c r="U49" s="441"/>
      <c r="V49" s="441" t="s">
        <v>863</v>
      </c>
      <c r="W49" s="441" t="s">
        <v>5238</v>
      </c>
      <c r="X49" s="424" t="s">
        <v>5698</v>
      </c>
      <c r="Y49" s="441" t="s">
        <v>1187</v>
      </c>
      <c r="Z49" s="474">
        <v>0.858</v>
      </c>
      <c r="AA49" s="475">
        <f t="shared" si="21"/>
        <v>1773.486</v>
      </c>
      <c r="AB49" s="476"/>
      <c r="AC49" s="478" t="s">
        <v>5066</v>
      </c>
      <c r="AD49" s="477" t="s">
        <v>128</v>
      </c>
      <c r="AE49" s="477" t="s">
        <v>4930</v>
      </c>
      <c r="AF49" s="425">
        <f>2028+39</f>
        <v>2067</v>
      </c>
      <c r="AG49" s="425">
        <f t="shared" si="22"/>
        <v>0</v>
      </c>
      <c r="AH49" s="477" t="s">
        <v>77</v>
      </c>
      <c r="AI49" s="478"/>
      <c r="AJ49" s="488">
        <f t="shared" si="16"/>
        <v>2067</v>
      </c>
      <c r="AK49" s="493"/>
      <c r="AL49" s="494">
        <f t="shared" si="23"/>
        <v>2067</v>
      </c>
      <c r="AM49" s="490"/>
      <c r="AN49" s="437"/>
      <c r="AO49" s="437"/>
      <c r="AP49" s="439">
        <f t="shared" si="24"/>
        <v>2067</v>
      </c>
      <c r="AQ49" s="439"/>
      <c r="AR49" s="437"/>
      <c r="AS49" s="439">
        <f t="shared" si="18"/>
        <v>1864.60625</v>
      </c>
      <c r="AT49" s="504">
        <f t="shared" si="19"/>
        <v>202.39375</v>
      </c>
      <c r="AU49" s="490"/>
      <c r="AV49" s="490"/>
      <c r="AW49" s="490"/>
      <c r="AX49" s="512">
        <f>I49/13</f>
        <v>159</v>
      </c>
      <c r="AY49" s="512"/>
      <c r="AZ49" s="512"/>
      <c r="BA49" s="512"/>
      <c r="BB49" s="512"/>
      <c r="BC49" s="512"/>
      <c r="BD49" s="512"/>
      <c r="BE49" s="512"/>
      <c r="BF49" s="512"/>
      <c r="BG49" s="512"/>
      <c r="BH49" s="512"/>
      <c r="BI49" s="512"/>
      <c r="BJ49" s="512"/>
      <c r="BK49" s="512"/>
      <c r="BL49" s="512"/>
      <c r="BM49" s="512"/>
      <c r="BN49" s="512"/>
      <c r="BQ49" s="3">
        <f t="shared" si="2"/>
        <v>600376</v>
      </c>
    </row>
    <row r="50" s="3" customFormat="1" ht="36" hidden="1" customHeight="1" spans="1:69">
      <c r="A50" s="18">
        <v>46028</v>
      </c>
      <c r="B50" s="75"/>
      <c r="C50" s="76"/>
      <c r="D50" s="21" t="s">
        <v>5699</v>
      </c>
      <c r="E50" s="114"/>
      <c r="F50" s="21" t="s">
        <v>5700</v>
      </c>
      <c r="G50" s="23" t="s">
        <v>5701</v>
      </c>
      <c r="H50" s="24" t="s">
        <v>5895</v>
      </c>
      <c r="I50" s="88">
        <v>8</v>
      </c>
      <c r="J50" s="89">
        <v>0</v>
      </c>
      <c r="K50" s="23">
        <v>8</v>
      </c>
      <c r="L50" s="436">
        <f t="shared" si="25"/>
        <v>1</v>
      </c>
      <c r="M50" s="90">
        <v>46036</v>
      </c>
      <c r="N50" s="90">
        <v>46032</v>
      </c>
      <c r="O50" s="91"/>
      <c r="P50" s="91" t="s">
        <v>5896</v>
      </c>
      <c r="Q50" s="91"/>
      <c r="R50" s="452">
        <v>46028</v>
      </c>
      <c r="S50" s="453" t="s">
        <v>77</v>
      </c>
      <c r="T50" s="458" t="s">
        <v>77</v>
      </c>
      <c r="U50" s="91"/>
      <c r="V50" s="91"/>
      <c r="W50" s="91"/>
      <c r="X50" s="114" t="s">
        <v>5703</v>
      </c>
      <c r="Y50" s="91"/>
      <c r="Z50" s="116"/>
      <c r="AA50" s="117"/>
      <c r="AB50" s="88"/>
      <c r="AC50" s="470" t="s">
        <v>5897</v>
      </c>
      <c r="AD50" s="467" t="s">
        <v>5888</v>
      </c>
      <c r="AE50" s="467"/>
      <c r="AF50" s="23">
        <v>8</v>
      </c>
      <c r="AG50" s="483">
        <f t="shared" si="22"/>
        <v>0</v>
      </c>
      <c r="AH50" s="23"/>
      <c r="AI50" s="470"/>
      <c r="AJ50" s="155"/>
      <c r="AK50" s="484"/>
      <c r="AL50" s="485"/>
      <c r="AM50" s="486"/>
      <c r="AN50" s="88"/>
      <c r="AO50" s="88"/>
      <c r="AP50" s="436"/>
      <c r="AQ50" s="436"/>
      <c r="AR50" s="88"/>
      <c r="AS50" s="436"/>
      <c r="AT50" s="505"/>
      <c r="AU50" s="486"/>
      <c r="AV50" s="486"/>
      <c r="AW50" s="486"/>
      <c r="AX50" s="514"/>
      <c r="AY50" s="181"/>
      <c r="AZ50" s="181"/>
      <c r="BA50" s="181"/>
      <c r="BB50" s="181"/>
      <c r="BC50" s="181"/>
      <c r="BD50" s="181"/>
      <c r="BE50" s="181"/>
      <c r="BF50" s="181"/>
      <c r="BG50" s="181">
        <f>I50</f>
        <v>8</v>
      </c>
      <c r="BH50" s="181">
        <f>I50</f>
        <v>8</v>
      </c>
      <c r="BI50" s="181"/>
      <c r="BJ50" s="181"/>
      <c r="BK50" s="181"/>
      <c r="BL50" s="181"/>
      <c r="BM50" s="181"/>
      <c r="BN50" s="181"/>
      <c r="BQ50" s="3">
        <f t="shared" si="2"/>
        <v>600376</v>
      </c>
    </row>
    <row r="51" s="3" customFormat="1" ht="36" hidden="1" customHeight="1" spans="1:69">
      <c r="A51" s="18">
        <v>46031</v>
      </c>
      <c r="B51" s="75"/>
      <c r="C51" s="76"/>
      <c r="D51" s="21" t="s">
        <v>5898</v>
      </c>
      <c r="E51" s="114"/>
      <c r="F51" s="21" t="s">
        <v>5899</v>
      </c>
      <c r="G51" s="23" t="s">
        <v>4963</v>
      </c>
      <c r="H51" s="88" t="s">
        <v>5900</v>
      </c>
      <c r="I51" s="88">
        <v>10</v>
      </c>
      <c r="J51" s="89">
        <v>0</v>
      </c>
      <c r="K51" s="23">
        <v>24</v>
      </c>
      <c r="L51" s="436">
        <f t="shared" si="25"/>
        <v>0.416666666666667</v>
      </c>
      <c r="M51" s="90">
        <v>46036</v>
      </c>
      <c r="N51" s="90">
        <v>46032</v>
      </c>
      <c r="O51" s="91"/>
      <c r="P51" s="91" t="s">
        <v>5896</v>
      </c>
      <c r="Q51" s="91"/>
      <c r="R51" s="452">
        <v>46031</v>
      </c>
      <c r="S51" s="453" t="s">
        <v>77</v>
      </c>
      <c r="T51" s="454" t="s">
        <v>77</v>
      </c>
      <c r="U51" s="91"/>
      <c r="V51" s="91"/>
      <c r="W51" s="91"/>
      <c r="X51" s="114" t="s">
        <v>5901</v>
      </c>
      <c r="Y51" s="91"/>
      <c r="Z51" s="116"/>
      <c r="AA51" s="117"/>
      <c r="AB51" s="88"/>
      <c r="AC51" s="23" t="s">
        <v>5203</v>
      </c>
      <c r="AD51" s="467" t="s">
        <v>128</v>
      </c>
      <c r="AE51" s="477" t="s">
        <v>4930</v>
      </c>
      <c r="AF51" s="23">
        <v>10</v>
      </c>
      <c r="AG51" s="483">
        <f t="shared" si="22"/>
        <v>0</v>
      </c>
      <c r="AH51" s="23"/>
      <c r="AI51" s="470">
        <v>10</v>
      </c>
      <c r="AJ51" s="155"/>
      <c r="AK51" s="484"/>
      <c r="AL51" s="485"/>
      <c r="AM51" s="486"/>
      <c r="AN51" s="88"/>
      <c r="AO51" s="88"/>
      <c r="AP51" s="436"/>
      <c r="AQ51" s="436"/>
      <c r="AR51" s="88"/>
      <c r="AS51" s="436"/>
      <c r="AT51" s="505"/>
      <c r="AU51" s="486"/>
      <c r="AV51" s="486"/>
      <c r="AW51" s="486"/>
      <c r="AX51" s="514"/>
      <c r="AY51" s="181"/>
      <c r="AZ51" s="181"/>
      <c r="BA51" s="181"/>
      <c r="BB51" s="181"/>
      <c r="BC51" s="181"/>
      <c r="BD51" s="181"/>
      <c r="BE51" s="181"/>
      <c r="BF51" s="181"/>
      <c r="BG51" s="181"/>
      <c r="BH51" s="181"/>
      <c r="BI51" s="181"/>
      <c r="BJ51" s="181"/>
      <c r="BK51" s="181"/>
      <c r="BL51" s="181"/>
      <c r="BM51" s="181"/>
      <c r="BN51" s="181"/>
      <c r="BQ51" s="3">
        <f t="shared" si="2"/>
        <v>600376</v>
      </c>
    </row>
    <row r="52" s="400" customFormat="1" ht="36" hidden="1" customHeight="1" spans="1:69">
      <c r="A52" s="427">
        <v>45971</v>
      </c>
      <c r="B52" s="421" t="s">
        <v>848</v>
      </c>
      <c r="C52" s="422" t="s">
        <v>849</v>
      </c>
      <c r="D52" s="428">
        <v>4500185120</v>
      </c>
      <c r="E52" s="424"/>
      <c r="F52" s="428" t="s">
        <v>5704</v>
      </c>
      <c r="G52" s="425" t="s">
        <v>4974</v>
      </c>
      <c r="H52" s="426" t="s">
        <v>5205</v>
      </c>
      <c r="I52" s="437">
        <v>1000</v>
      </c>
      <c r="J52" s="438">
        <v>0</v>
      </c>
      <c r="K52" s="425">
        <v>50</v>
      </c>
      <c r="L52" s="439">
        <f t="shared" si="25"/>
        <v>20</v>
      </c>
      <c r="M52" s="440">
        <v>46037</v>
      </c>
      <c r="N52" s="440">
        <v>46034</v>
      </c>
      <c r="O52" s="441"/>
      <c r="P52" s="441" t="s">
        <v>1262</v>
      </c>
      <c r="Q52" s="441" t="s">
        <v>3477</v>
      </c>
      <c r="R52" s="456">
        <v>45982</v>
      </c>
      <c r="S52" s="456" t="s">
        <v>77</v>
      </c>
      <c r="T52" s="457" t="s">
        <v>5705</v>
      </c>
      <c r="U52" s="441"/>
      <c r="V52" s="441"/>
      <c r="W52" s="441"/>
      <c r="X52" s="424" t="s">
        <v>5706</v>
      </c>
      <c r="Y52" s="441" t="s">
        <v>618</v>
      </c>
      <c r="Z52" s="474">
        <v>1.55</v>
      </c>
      <c r="AA52" s="475">
        <f>Z52*I52</f>
        <v>1550</v>
      </c>
      <c r="AB52" s="476"/>
      <c r="AC52" s="425" t="s">
        <v>5391</v>
      </c>
      <c r="AD52" s="477" t="s">
        <v>128</v>
      </c>
      <c r="AE52" s="477" t="s">
        <v>4930</v>
      </c>
      <c r="AF52" s="425">
        <f>950+50</f>
        <v>1000</v>
      </c>
      <c r="AG52" s="425">
        <f t="shared" si="22"/>
        <v>0</v>
      </c>
      <c r="AH52" s="425" t="s">
        <v>4335</v>
      </c>
      <c r="AI52" s="478"/>
      <c r="AJ52" s="488">
        <f>I52</f>
        <v>1000</v>
      </c>
      <c r="AK52" s="488"/>
      <c r="AL52" s="489"/>
      <c r="AM52" s="437">
        <f>I52</f>
        <v>1000</v>
      </c>
      <c r="AN52" s="437"/>
      <c r="AO52" s="437"/>
      <c r="AP52" s="439">
        <f>I52</f>
        <v>1000</v>
      </c>
      <c r="AQ52" s="439"/>
      <c r="AR52" s="437"/>
      <c r="AS52" s="439">
        <f>AP52-AT52</f>
        <v>902.083333333333</v>
      </c>
      <c r="AT52" s="504">
        <f>I52*(1-(1/48))/10</f>
        <v>97.9166666666667</v>
      </c>
      <c r="AU52" s="489"/>
      <c r="AV52" s="490"/>
      <c r="AW52" s="490"/>
      <c r="AX52" s="513"/>
      <c r="AY52" s="512"/>
      <c r="AZ52" s="512"/>
      <c r="BA52" s="512"/>
      <c r="BB52" s="512">
        <f>I52/25</f>
        <v>40</v>
      </c>
      <c r="BC52" s="512"/>
      <c r="BD52" s="512"/>
      <c r="BE52" s="512"/>
      <c r="BF52" s="512"/>
      <c r="BG52" s="512"/>
      <c r="BH52" s="512"/>
      <c r="BI52" s="512"/>
      <c r="BJ52" s="512"/>
      <c r="BK52" s="512"/>
      <c r="BL52" s="512"/>
      <c r="BM52" s="512"/>
      <c r="BN52" s="512"/>
      <c r="BQ52" s="3">
        <f t="shared" si="2"/>
        <v>601376</v>
      </c>
    </row>
    <row r="53" s="400" customFormat="1" ht="36" hidden="1" customHeight="1" spans="1:69">
      <c r="A53" s="427">
        <v>45993</v>
      </c>
      <c r="B53" s="421" t="s">
        <v>762</v>
      </c>
      <c r="C53" s="422" t="s">
        <v>763</v>
      </c>
      <c r="D53" s="428">
        <v>4500187623</v>
      </c>
      <c r="E53" s="424">
        <v>4504562690</v>
      </c>
      <c r="F53" s="428" t="s">
        <v>5707</v>
      </c>
      <c r="G53" s="425" t="s">
        <v>4974</v>
      </c>
      <c r="H53" s="426" t="s">
        <v>5205</v>
      </c>
      <c r="I53" s="437">
        <v>10000</v>
      </c>
      <c r="J53" s="438">
        <v>0</v>
      </c>
      <c r="K53" s="425">
        <v>50</v>
      </c>
      <c r="L53" s="439">
        <f t="shared" si="25"/>
        <v>200</v>
      </c>
      <c r="M53" s="440">
        <v>46037</v>
      </c>
      <c r="N53" s="440">
        <v>46034</v>
      </c>
      <c r="O53" s="441" t="s">
        <v>2573</v>
      </c>
      <c r="P53" s="441" t="s">
        <v>92</v>
      </c>
      <c r="Q53" s="441" t="s">
        <v>3477</v>
      </c>
      <c r="R53" s="456">
        <v>45999</v>
      </c>
      <c r="S53" s="456" t="s">
        <v>77</v>
      </c>
      <c r="T53" s="457" t="s">
        <v>5708</v>
      </c>
      <c r="U53" s="441"/>
      <c r="V53" s="441"/>
      <c r="W53" s="441"/>
      <c r="X53" s="424" t="s">
        <v>5709</v>
      </c>
      <c r="Y53" s="441" t="s">
        <v>618</v>
      </c>
      <c r="Z53" s="474">
        <v>1.4435</v>
      </c>
      <c r="AA53" s="475">
        <f>Z53*I53</f>
        <v>14435</v>
      </c>
      <c r="AB53" s="476"/>
      <c r="AC53" s="425" t="s">
        <v>5391</v>
      </c>
      <c r="AD53" s="477" t="s">
        <v>128</v>
      </c>
      <c r="AE53" s="477" t="s">
        <v>4930</v>
      </c>
      <c r="AF53" s="425">
        <f>9650+350</f>
        <v>10000</v>
      </c>
      <c r="AG53" s="425">
        <f t="shared" si="22"/>
        <v>0</v>
      </c>
      <c r="AH53" s="425" t="s">
        <v>4335</v>
      </c>
      <c r="AI53" s="478"/>
      <c r="AJ53" s="488">
        <f>I53</f>
        <v>10000</v>
      </c>
      <c r="AK53" s="488"/>
      <c r="AL53" s="489"/>
      <c r="AM53" s="437">
        <f>I53</f>
        <v>10000</v>
      </c>
      <c r="AN53" s="437"/>
      <c r="AO53" s="437"/>
      <c r="AP53" s="439">
        <f>I53</f>
        <v>10000</v>
      </c>
      <c r="AQ53" s="439"/>
      <c r="AR53" s="437"/>
      <c r="AS53" s="439">
        <f>AP53-AT53</f>
        <v>9020.83333333333</v>
      </c>
      <c r="AT53" s="504">
        <f>I53*(1-(1/48))/10</f>
        <v>979.166666666667</v>
      </c>
      <c r="AU53" s="489"/>
      <c r="AV53" s="490"/>
      <c r="AW53" s="490"/>
      <c r="AX53" s="513"/>
      <c r="AY53" s="512"/>
      <c r="AZ53" s="512"/>
      <c r="BA53" s="512"/>
      <c r="BB53" s="512">
        <f>I53/25</f>
        <v>400</v>
      </c>
      <c r="BC53" s="512"/>
      <c r="BD53" s="512"/>
      <c r="BE53" s="512"/>
      <c r="BF53" s="512"/>
      <c r="BG53" s="512"/>
      <c r="BH53" s="512"/>
      <c r="BI53" s="512"/>
      <c r="BJ53" s="512"/>
      <c r="BK53" s="512"/>
      <c r="BL53" s="512"/>
      <c r="BM53" s="512"/>
      <c r="BN53" s="512"/>
      <c r="BQ53" s="3">
        <f t="shared" ref="BQ53:BQ84" si="26">AJ53+BQ52</f>
        <v>611376</v>
      </c>
    </row>
    <row r="54" s="3" customFormat="1" ht="36" hidden="1" customHeight="1" spans="1:69">
      <c r="A54" s="429">
        <v>46026</v>
      </c>
      <c r="B54" s="430"/>
      <c r="C54" s="431"/>
      <c r="D54" s="432" t="s">
        <v>5710</v>
      </c>
      <c r="E54" s="114"/>
      <c r="F54" s="21"/>
      <c r="G54" s="23" t="s">
        <v>4963</v>
      </c>
      <c r="H54" s="24" t="s">
        <v>5902</v>
      </c>
      <c r="I54" s="88">
        <v>24</v>
      </c>
      <c r="J54" s="89">
        <v>0</v>
      </c>
      <c r="K54" s="23">
        <v>24</v>
      </c>
      <c r="L54" s="436">
        <f t="shared" si="25"/>
        <v>1</v>
      </c>
      <c r="M54" s="90">
        <v>46037</v>
      </c>
      <c r="N54" s="90">
        <v>46034</v>
      </c>
      <c r="O54" s="91"/>
      <c r="P54" s="91" t="s">
        <v>5896</v>
      </c>
      <c r="Q54" s="91"/>
      <c r="R54" s="459">
        <v>46026</v>
      </c>
      <c r="S54" s="453" t="s">
        <v>77</v>
      </c>
      <c r="T54" s="458" t="s">
        <v>77</v>
      </c>
      <c r="U54" s="91"/>
      <c r="V54" s="91"/>
      <c r="W54" s="91"/>
      <c r="X54" s="114" t="s">
        <v>5712</v>
      </c>
      <c r="Y54" s="91"/>
      <c r="Z54" s="116"/>
      <c r="AA54" s="117"/>
      <c r="AB54" s="88"/>
      <c r="AC54" s="23" t="s">
        <v>5203</v>
      </c>
      <c r="AD54" s="467" t="s">
        <v>128</v>
      </c>
      <c r="AE54" s="467"/>
      <c r="AF54" s="23">
        <v>24</v>
      </c>
      <c r="AG54" s="483">
        <f t="shared" si="22"/>
        <v>0</v>
      </c>
      <c r="AH54" s="23"/>
      <c r="AI54" s="470">
        <v>24</v>
      </c>
      <c r="AJ54" s="155"/>
      <c r="AK54" s="155"/>
      <c r="AL54" s="175"/>
      <c r="AM54" s="88"/>
      <c r="AN54" s="88"/>
      <c r="AO54" s="88"/>
      <c r="AP54" s="436"/>
      <c r="AQ54" s="436"/>
      <c r="AR54" s="88"/>
      <c r="AS54" s="436"/>
      <c r="AT54" s="505"/>
      <c r="AU54" s="175"/>
      <c r="AV54" s="486"/>
      <c r="AW54" s="486"/>
      <c r="AX54" s="514"/>
      <c r="AY54" s="181"/>
      <c r="AZ54" s="181"/>
      <c r="BA54" s="181"/>
      <c r="BB54" s="181"/>
      <c r="BC54" s="181"/>
      <c r="BD54" s="181"/>
      <c r="BE54" s="181"/>
      <c r="BF54" s="181"/>
      <c r="BG54" s="181"/>
      <c r="BH54" s="181"/>
      <c r="BI54" s="181"/>
      <c r="BJ54" s="181"/>
      <c r="BK54" s="181"/>
      <c r="BL54" s="181"/>
      <c r="BM54" s="181"/>
      <c r="BN54" s="181"/>
      <c r="BQ54" s="3">
        <f t="shared" si="26"/>
        <v>611376</v>
      </c>
    </row>
    <row r="55" s="400" customFormat="1" ht="36" hidden="1" customHeight="1" spans="1:69">
      <c r="A55" s="427">
        <v>45979</v>
      </c>
      <c r="B55" s="421" t="s">
        <v>3770</v>
      </c>
      <c r="C55" s="422" t="s">
        <v>373</v>
      </c>
      <c r="D55" s="428">
        <v>4500186008</v>
      </c>
      <c r="E55" s="424"/>
      <c r="F55" s="428" t="s">
        <v>5713</v>
      </c>
      <c r="G55" s="425" t="s">
        <v>4974</v>
      </c>
      <c r="H55" s="426" t="s">
        <v>5205</v>
      </c>
      <c r="I55" s="437">
        <v>2400</v>
      </c>
      <c r="J55" s="438">
        <v>0</v>
      </c>
      <c r="K55" s="425">
        <v>50</v>
      </c>
      <c r="L55" s="439">
        <f t="shared" ref="L55:L118" si="27">I55/K55</f>
        <v>48</v>
      </c>
      <c r="M55" s="440">
        <v>46038</v>
      </c>
      <c r="N55" s="440">
        <v>46034</v>
      </c>
      <c r="O55" s="441"/>
      <c r="P55" s="441" t="s">
        <v>92</v>
      </c>
      <c r="Q55" s="441" t="s">
        <v>5714</v>
      </c>
      <c r="R55" s="456">
        <v>45982</v>
      </c>
      <c r="S55" s="456" t="s">
        <v>77</v>
      </c>
      <c r="T55" s="457" t="s">
        <v>5715</v>
      </c>
      <c r="U55" s="441"/>
      <c r="V55" s="441" t="s">
        <v>863</v>
      </c>
      <c r="W55" s="441"/>
      <c r="X55" s="424" t="s">
        <v>5716</v>
      </c>
      <c r="Y55" s="441" t="s">
        <v>3560</v>
      </c>
      <c r="Z55" s="474">
        <v>1.55</v>
      </c>
      <c r="AA55" s="475">
        <f t="shared" ref="AA55:AA77" si="28">Z55*I55</f>
        <v>3720</v>
      </c>
      <c r="AB55" s="476"/>
      <c r="AC55" s="425" t="s">
        <v>5391</v>
      </c>
      <c r="AD55" s="477" t="s">
        <v>128</v>
      </c>
      <c r="AE55" s="477" t="s">
        <v>4930</v>
      </c>
      <c r="AF55" s="425">
        <v>2400</v>
      </c>
      <c r="AG55" s="425">
        <f t="shared" ref="AG55:AG96" si="29">AF55-I55</f>
        <v>0</v>
      </c>
      <c r="AH55" s="425" t="s">
        <v>75</v>
      </c>
      <c r="AI55" s="478"/>
      <c r="AJ55" s="488">
        <f>I55</f>
        <v>2400</v>
      </c>
      <c r="AK55" s="488"/>
      <c r="AL55" s="489"/>
      <c r="AM55" s="437">
        <f>I55</f>
        <v>2400</v>
      </c>
      <c r="AN55" s="437"/>
      <c r="AO55" s="437"/>
      <c r="AP55" s="439">
        <f>I55</f>
        <v>2400</v>
      </c>
      <c r="AQ55" s="439"/>
      <c r="AR55" s="437"/>
      <c r="AS55" s="439">
        <f t="shared" ref="AS55:AS85" si="30">AP55-AT55</f>
        <v>2165</v>
      </c>
      <c r="AT55" s="504">
        <f>I55*(1-(1/48))/10</f>
        <v>235</v>
      </c>
      <c r="AU55" s="439">
        <f>AS55</f>
        <v>2165</v>
      </c>
      <c r="AV55" s="490"/>
      <c r="AW55" s="490"/>
      <c r="AX55" s="513"/>
      <c r="AY55" s="512"/>
      <c r="AZ55" s="512"/>
      <c r="BA55" s="512"/>
      <c r="BB55" s="512">
        <f>I55/25</f>
        <v>96</v>
      </c>
      <c r="BC55" s="512"/>
      <c r="BD55" s="512"/>
      <c r="BE55" s="512"/>
      <c r="BF55" s="512"/>
      <c r="BG55" s="512"/>
      <c r="BH55" s="512"/>
      <c r="BI55" s="512"/>
      <c r="BJ55" s="512"/>
      <c r="BK55" s="512"/>
      <c r="BL55" s="512"/>
      <c r="BM55" s="512"/>
      <c r="BN55" s="512"/>
      <c r="BQ55" s="3">
        <f t="shared" si="26"/>
        <v>613776</v>
      </c>
    </row>
    <row r="56" s="400" customFormat="1" ht="36" hidden="1" customHeight="1" spans="1:69">
      <c r="A56" s="427">
        <v>45993</v>
      </c>
      <c r="B56" s="421" t="s">
        <v>225</v>
      </c>
      <c r="C56" s="422" t="s">
        <v>213</v>
      </c>
      <c r="D56" s="428">
        <v>4500187663</v>
      </c>
      <c r="E56" s="424" t="s">
        <v>5717</v>
      </c>
      <c r="F56" s="428" t="s">
        <v>5718</v>
      </c>
      <c r="G56" s="425" t="s">
        <v>4970</v>
      </c>
      <c r="H56" s="426" t="s">
        <v>5144</v>
      </c>
      <c r="I56" s="437">
        <v>3120</v>
      </c>
      <c r="J56" s="438">
        <v>0</v>
      </c>
      <c r="K56" s="425">
        <v>52</v>
      </c>
      <c r="L56" s="439">
        <f t="shared" si="27"/>
        <v>60</v>
      </c>
      <c r="M56" s="440">
        <v>46038</v>
      </c>
      <c r="N56" s="440">
        <v>46034</v>
      </c>
      <c r="O56" s="441"/>
      <c r="P56" s="441" t="s">
        <v>92</v>
      </c>
      <c r="Q56" s="441" t="s">
        <v>5903</v>
      </c>
      <c r="R56" s="456">
        <v>45993</v>
      </c>
      <c r="S56" s="441" t="s">
        <v>77</v>
      </c>
      <c r="T56" s="457" t="s">
        <v>5719</v>
      </c>
      <c r="U56" s="441"/>
      <c r="V56" s="441"/>
      <c r="W56" s="441"/>
      <c r="X56" s="424" t="s">
        <v>5904</v>
      </c>
      <c r="Y56" s="441" t="s">
        <v>5386</v>
      </c>
      <c r="Z56" s="474">
        <v>1.4132</v>
      </c>
      <c r="AA56" s="475">
        <f t="shared" si="28"/>
        <v>4409.184</v>
      </c>
      <c r="AB56" s="476"/>
      <c r="AC56" s="425" t="s">
        <v>4970</v>
      </c>
      <c r="AD56" s="477" t="s">
        <v>128</v>
      </c>
      <c r="AE56" s="477" t="s">
        <v>4930</v>
      </c>
      <c r="AF56" s="425">
        <v>3120</v>
      </c>
      <c r="AG56" s="425">
        <f t="shared" si="29"/>
        <v>0</v>
      </c>
      <c r="AH56" s="425" t="s">
        <v>4335</v>
      </c>
      <c r="AI56" s="478"/>
      <c r="AJ56" s="488">
        <f>I56</f>
        <v>3120</v>
      </c>
      <c r="AK56" s="488"/>
      <c r="AL56" s="489">
        <f>I56</f>
        <v>3120</v>
      </c>
      <c r="AM56" s="437"/>
      <c r="AN56" s="437"/>
      <c r="AO56" s="437"/>
      <c r="AP56" s="439">
        <f>I56</f>
        <v>3120</v>
      </c>
      <c r="AQ56" s="439"/>
      <c r="AR56" s="489"/>
      <c r="AS56" s="439">
        <f t="shared" si="30"/>
        <v>2814.5</v>
      </c>
      <c r="AT56" s="504">
        <f>I56*(1-(1/48))/10</f>
        <v>305.5</v>
      </c>
      <c r="AU56" s="489"/>
      <c r="AV56" s="490"/>
      <c r="AW56" s="490"/>
      <c r="AX56" s="512">
        <f>I56/13</f>
        <v>240</v>
      </c>
      <c r="AY56" s="512"/>
      <c r="AZ56" s="512"/>
      <c r="BA56" s="512"/>
      <c r="BB56" s="512"/>
      <c r="BC56" s="512"/>
      <c r="BD56" s="512"/>
      <c r="BE56" s="512"/>
      <c r="BF56" s="512"/>
      <c r="BG56" s="512"/>
      <c r="BH56" s="512"/>
      <c r="BI56" s="512"/>
      <c r="BJ56" s="512"/>
      <c r="BK56" s="512"/>
      <c r="BL56" s="512"/>
      <c r="BM56" s="512"/>
      <c r="BN56" s="512"/>
      <c r="BQ56" s="3">
        <f t="shared" si="26"/>
        <v>616896</v>
      </c>
    </row>
    <row r="57" s="400" customFormat="1" ht="36" hidden="1" customHeight="1" spans="1:69">
      <c r="A57" s="427">
        <v>45989</v>
      </c>
      <c r="B57" s="421" t="s">
        <v>3926</v>
      </c>
      <c r="C57" s="422" t="s">
        <v>351</v>
      </c>
      <c r="D57" s="428">
        <v>4500187446</v>
      </c>
      <c r="E57" s="424" t="s">
        <v>5721</v>
      </c>
      <c r="F57" s="428" t="s">
        <v>5722</v>
      </c>
      <c r="G57" s="425" t="s">
        <v>5092</v>
      </c>
      <c r="H57" s="426" t="s">
        <v>5093</v>
      </c>
      <c r="I57" s="437">
        <v>12</v>
      </c>
      <c r="J57" s="438">
        <v>0</v>
      </c>
      <c r="K57" s="425">
        <v>12</v>
      </c>
      <c r="L57" s="439">
        <f t="shared" si="27"/>
        <v>1</v>
      </c>
      <c r="M57" s="440">
        <v>46038</v>
      </c>
      <c r="N57" s="440">
        <v>46034</v>
      </c>
      <c r="O57" s="441"/>
      <c r="P57" s="441" t="s">
        <v>1262</v>
      </c>
      <c r="Q57" s="441" t="s">
        <v>5905</v>
      </c>
      <c r="R57" s="456">
        <v>45989</v>
      </c>
      <c r="S57" s="441" t="s">
        <v>123</v>
      </c>
      <c r="T57" s="441" t="s">
        <v>5723</v>
      </c>
      <c r="U57" s="441"/>
      <c r="V57" s="441"/>
      <c r="W57" s="441"/>
      <c r="X57" s="424" t="s">
        <v>5724</v>
      </c>
      <c r="Y57" s="441" t="s">
        <v>396</v>
      </c>
      <c r="Z57" s="474">
        <v>3.1965</v>
      </c>
      <c r="AA57" s="475">
        <f t="shared" si="28"/>
        <v>38.358</v>
      </c>
      <c r="AB57" s="476"/>
      <c r="AC57" s="478" t="s">
        <v>5098</v>
      </c>
      <c r="AD57" s="477" t="s">
        <v>128</v>
      </c>
      <c r="AE57" s="477" t="s">
        <v>4930</v>
      </c>
      <c r="AF57" s="425">
        <v>12</v>
      </c>
      <c r="AG57" s="425">
        <f t="shared" si="29"/>
        <v>0</v>
      </c>
      <c r="AH57" s="425" t="s">
        <v>4335</v>
      </c>
      <c r="AI57" s="478"/>
      <c r="AJ57" s="488">
        <f>I57*2</f>
        <v>24</v>
      </c>
      <c r="AK57" s="488"/>
      <c r="AL57" s="489"/>
      <c r="AM57" s="437"/>
      <c r="AN57" s="437">
        <f>I57*2</f>
        <v>24</v>
      </c>
      <c r="AO57" s="437"/>
      <c r="AP57" s="439">
        <f>I57*2</f>
        <v>24</v>
      </c>
      <c r="AQ57" s="439"/>
      <c r="AR57" s="437"/>
      <c r="AS57" s="439">
        <f t="shared" si="30"/>
        <v>21.65</v>
      </c>
      <c r="AT57" s="504">
        <f>I57*(1-(1/48))/10*2</f>
        <v>2.35</v>
      </c>
      <c r="AU57" s="489"/>
      <c r="AV57" s="490"/>
      <c r="AW57" s="490"/>
      <c r="AX57" s="513"/>
      <c r="AY57" s="512"/>
      <c r="AZ57" s="512"/>
      <c r="BA57" s="512"/>
      <c r="BB57" s="512"/>
      <c r="BC57" s="512"/>
      <c r="BD57" s="512"/>
      <c r="BE57" s="512"/>
      <c r="BF57" s="512"/>
      <c r="BG57" s="512"/>
      <c r="BH57" s="512"/>
      <c r="BI57" s="512"/>
      <c r="BJ57" s="512"/>
      <c r="BK57" s="512"/>
      <c r="BL57" s="512"/>
      <c r="BM57" s="512">
        <f>I57</f>
        <v>12</v>
      </c>
      <c r="BN57" s="512">
        <f>I57</f>
        <v>12</v>
      </c>
      <c r="BQ57" s="3">
        <f t="shared" si="26"/>
        <v>616920</v>
      </c>
    </row>
    <row r="58" s="400" customFormat="1" ht="36" hidden="1" customHeight="1" spans="1:69">
      <c r="A58" s="427">
        <v>45988</v>
      </c>
      <c r="B58" s="421" t="s">
        <v>4976</v>
      </c>
      <c r="C58" s="422" t="s">
        <v>117</v>
      </c>
      <c r="D58" s="428">
        <v>4500187256</v>
      </c>
      <c r="E58" s="1692" t="s">
        <v>5725</v>
      </c>
      <c r="F58" s="428" t="s">
        <v>5726</v>
      </c>
      <c r="G58" s="425" t="s">
        <v>4979</v>
      </c>
      <c r="H58" s="426" t="s">
        <v>4980</v>
      </c>
      <c r="I58" s="437">
        <v>960</v>
      </c>
      <c r="J58" s="438">
        <v>0</v>
      </c>
      <c r="K58" s="425">
        <v>16</v>
      </c>
      <c r="L58" s="439">
        <f t="shared" si="27"/>
        <v>60</v>
      </c>
      <c r="M58" s="440">
        <v>46041</v>
      </c>
      <c r="N58" s="440">
        <v>46037</v>
      </c>
      <c r="O58" s="441" t="s">
        <v>5727</v>
      </c>
      <c r="P58" s="441" t="s">
        <v>92</v>
      </c>
      <c r="Q58" s="441" t="s">
        <v>5886</v>
      </c>
      <c r="R58" s="441" t="s">
        <v>1102</v>
      </c>
      <c r="S58" s="441" t="s">
        <v>123</v>
      </c>
      <c r="T58" s="448" t="s">
        <v>5728</v>
      </c>
      <c r="U58" s="441" t="s">
        <v>4983</v>
      </c>
      <c r="V58" s="441"/>
      <c r="W58" s="441"/>
      <c r="X58" s="424" t="s">
        <v>5676</v>
      </c>
      <c r="Y58" s="441" t="s">
        <v>634</v>
      </c>
      <c r="Z58" s="474">
        <v>0.9059</v>
      </c>
      <c r="AA58" s="475">
        <f t="shared" si="28"/>
        <v>869.664</v>
      </c>
      <c r="AB58" s="476"/>
      <c r="AC58" s="425" t="s">
        <v>4979</v>
      </c>
      <c r="AD58" s="477" t="s">
        <v>128</v>
      </c>
      <c r="AE58" s="477" t="s">
        <v>4930</v>
      </c>
      <c r="AF58" s="425">
        <v>960</v>
      </c>
      <c r="AG58" s="425">
        <f t="shared" si="29"/>
        <v>0</v>
      </c>
      <c r="AH58" s="425" t="s">
        <v>4335</v>
      </c>
      <c r="AI58" s="478"/>
      <c r="AJ58" s="488">
        <f t="shared" ref="AJ58:AJ70" si="31">I58</f>
        <v>960</v>
      </c>
      <c r="AK58" s="488"/>
      <c r="AL58" s="489">
        <f t="shared" ref="AL58:AL69" si="32">I58</f>
        <v>960</v>
      </c>
      <c r="AM58" s="437"/>
      <c r="AN58" s="437"/>
      <c r="AO58" s="437"/>
      <c r="AP58" s="439">
        <f t="shared" ref="AP58:AP70" si="33">I58</f>
        <v>960</v>
      </c>
      <c r="AQ58" s="439"/>
      <c r="AR58" s="437"/>
      <c r="AS58" s="439">
        <f t="shared" si="30"/>
        <v>866</v>
      </c>
      <c r="AT58" s="504">
        <f t="shared" ref="AT58:AT70" si="34">I58*(1-(1/48))/10</f>
        <v>94</v>
      </c>
      <c r="AU58" s="489"/>
      <c r="AV58" s="490"/>
      <c r="AW58" s="490"/>
      <c r="AX58" s="513"/>
      <c r="AY58" s="512"/>
      <c r="AZ58" s="512"/>
      <c r="BA58" s="512"/>
      <c r="BB58" s="512"/>
      <c r="BC58" s="512">
        <f>I58/16</f>
        <v>60</v>
      </c>
      <c r="BD58" s="512"/>
      <c r="BE58" s="512"/>
      <c r="BF58" s="512"/>
      <c r="BG58" s="512"/>
      <c r="BH58" s="512"/>
      <c r="BI58" s="512"/>
      <c r="BJ58" s="512"/>
      <c r="BK58" s="512"/>
      <c r="BL58" s="512"/>
      <c r="BM58" s="512"/>
      <c r="BN58" s="512"/>
      <c r="BQ58" s="3">
        <f t="shared" si="26"/>
        <v>617880</v>
      </c>
    </row>
    <row r="59" s="400" customFormat="1" ht="36" hidden="1" customHeight="1" spans="1:69">
      <c r="A59" s="427">
        <v>46002</v>
      </c>
      <c r="B59" s="421" t="s">
        <v>189</v>
      </c>
      <c r="C59" s="422" t="s">
        <v>190</v>
      </c>
      <c r="D59" s="428">
        <v>4500188650</v>
      </c>
      <c r="E59" s="424">
        <v>21336516</v>
      </c>
      <c r="F59" s="428" t="s">
        <v>5729</v>
      </c>
      <c r="G59" s="425" t="s">
        <v>5066</v>
      </c>
      <c r="H59" s="426" t="s">
        <v>5048</v>
      </c>
      <c r="I59" s="442">
        <v>1365</v>
      </c>
      <c r="J59" s="438">
        <v>0</v>
      </c>
      <c r="K59" s="425">
        <v>13</v>
      </c>
      <c r="L59" s="439">
        <f t="shared" si="27"/>
        <v>105</v>
      </c>
      <c r="M59" s="440">
        <v>46041</v>
      </c>
      <c r="N59" s="440">
        <v>46037</v>
      </c>
      <c r="O59" s="441"/>
      <c r="P59" s="441" t="s">
        <v>92</v>
      </c>
      <c r="Q59" s="441" t="s">
        <v>5906</v>
      </c>
      <c r="R59" s="449">
        <v>46010</v>
      </c>
      <c r="S59" s="441" t="s">
        <v>123</v>
      </c>
      <c r="T59" s="455" t="s">
        <v>5730</v>
      </c>
      <c r="U59" s="441"/>
      <c r="V59" s="441"/>
      <c r="W59" s="441"/>
      <c r="X59" s="424" t="s">
        <v>5731</v>
      </c>
      <c r="Y59" s="441" t="s">
        <v>1011</v>
      </c>
      <c r="Z59" s="474">
        <v>1.449</v>
      </c>
      <c r="AA59" s="475">
        <f t="shared" si="28"/>
        <v>1977.885</v>
      </c>
      <c r="AB59" s="476"/>
      <c r="AC59" s="478" t="s">
        <v>5066</v>
      </c>
      <c r="AD59" s="477" t="s">
        <v>128</v>
      </c>
      <c r="AE59" s="477" t="s">
        <v>4930</v>
      </c>
      <c r="AF59" s="425">
        <v>1365</v>
      </c>
      <c r="AG59" s="425">
        <f t="shared" si="29"/>
        <v>0</v>
      </c>
      <c r="AH59" s="425" t="s">
        <v>4335</v>
      </c>
      <c r="AI59" s="478"/>
      <c r="AJ59" s="488">
        <f t="shared" si="31"/>
        <v>1365</v>
      </c>
      <c r="AK59" s="493"/>
      <c r="AL59" s="494">
        <f t="shared" si="32"/>
        <v>1365</v>
      </c>
      <c r="AM59" s="490"/>
      <c r="AN59" s="437"/>
      <c r="AO59" s="437"/>
      <c r="AP59" s="439">
        <f t="shared" si="33"/>
        <v>1365</v>
      </c>
      <c r="AQ59" s="439"/>
      <c r="AR59" s="437"/>
      <c r="AS59" s="439">
        <f t="shared" si="30"/>
        <v>1231.34375</v>
      </c>
      <c r="AT59" s="504">
        <f t="shared" si="34"/>
        <v>133.65625</v>
      </c>
      <c r="AU59" s="490"/>
      <c r="AV59" s="490"/>
      <c r="AW59" s="490"/>
      <c r="AX59" s="512">
        <f>I59/13</f>
        <v>105</v>
      </c>
      <c r="AY59" s="512"/>
      <c r="AZ59" s="512"/>
      <c r="BA59" s="512"/>
      <c r="BB59" s="512"/>
      <c r="BC59" s="512"/>
      <c r="BD59" s="512"/>
      <c r="BE59" s="512"/>
      <c r="BF59" s="512"/>
      <c r="BG59" s="512"/>
      <c r="BH59" s="512"/>
      <c r="BI59" s="512"/>
      <c r="BJ59" s="512"/>
      <c r="BK59" s="512"/>
      <c r="BL59" s="512"/>
      <c r="BM59" s="512"/>
      <c r="BN59" s="512"/>
      <c r="BQ59" s="3">
        <f t="shared" si="26"/>
        <v>619245</v>
      </c>
    </row>
    <row r="60" s="400" customFormat="1" ht="36" hidden="1" customHeight="1" spans="1:69">
      <c r="A60" s="427">
        <v>46002</v>
      </c>
      <c r="B60" s="421" t="s">
        <v>232</v>
      </c>
      <c r="C60" s="422" t="s">
        <v>233</v>
      </c>
      <c r="D60" s="428">
        <v>4500188651</v>
      </c>
      <c r="E60" s="424">
        <v>21336525</v>
      </c>
      <c r="F60" s="428" t="s">
        <v>5732</v>
      </c>
      <c r="G60" s="425" t="s">
        <v>5066</v>
      </c>
      <c r="H60" s="426" t="s">
        <v>5048</v>
      </c>
      <c r="I60" s="437">
        <v>143</v>
      </c>
      <c r="J60" s="438">
        <v>0</v>
      </c>
      <c r="K60" s="425">
        <v>13</v>
      </c>
      <c r="L60" s="439">
        <f t="shared" si="27"/>
        <v>11</v>
      </c>
      <c r="M60" s="440">
        <v>46041</v>
      </c>
      <c r="N60" s="440">
        <v>46037</v>
      </c>
      <c r="O60" s="441"/>
      <c r="P60" s="441" t="s">
        <v>92</v>
      </c>
      <c r="Q60" s="441" t="s">
        <v>5906</v>
      </c>
      <c r="R60" s="449">
        <v>46010</v>
      </c>
      <c r="S60" s="441" t="s">
        <v>123</v>
      </c>
      <c r="T60" s="455" t="s">
        <v>5733</v>
      </c>
      <c r="U60" s="441"/>
      <c r="V60" s="441"/>
      <c r="W60" s="441"/>
      <c r="X60" s="424" t="s">
        <v>5734</v>
      </c>
      <c r="Y60" s="441" t="s">
        <v>1011</v>
      </c>
      <c r="Z60" s="474">
        <v>1.4539</v>
      </c>
      <c r="AA60" s="475">
        <f t="shared" si="28"/>
        <v>207.9077</v>
      </c>
      <c r="AB60" s="476"/>
      <c r="AC60" s="478" t="s">
        <v>5066</v>
      </c>
      <c r="AD60" s="477" t="s">
        <v>128</v>
      </c>
      <c r="AE60" s="477" t="s">
        <v>4930</v>
      </c>
      <c r="AF60" s="425">
        <v>143</v>
      </c>
      <c r="AG60" s="425">
        <f t="shared" si="29"/>
        <v>0</v>
      </c>
      <c r="AH60" s="425" t="s">
        <v>4335</v>
      </c>
      <c r="AI60" s="478"/>
      <c r="AJ60" s="488">
        <f t="shared" si="31"/>
        <v>143</v>
      </c>
      <c r="AK60" s="493"/>
      <c r="AL60" s="494">
        <f t="shared" si="32"/>
        <v>143</v>
      </c>
      <c r="AM60" s="490"/>
      <c r="AN60" s="437"/>
      <c r="AO60" s="437"/>
      <c r="AP60" s="439">
        <f t="shared" si="33"/>
        <v>143</v>
      </c>
      <c r="AQ60" s="439"/>
      <c r="AR60" s="437"/>
      <c r="AS60" s="439">
        <f t="shared" si="30"/>
        <v>128.997916666667</v>
      </c>
      <c r="AT60" s="504">
        <f t="shared" si="34"/>
        <v>14.0020833333333</v>
      </c>
      <c r="AU60" s="490"/>
      <c r="AV60" s="490"/>
      <c r="AW60" s="490"/>
      <c r="AX60" s="512">
        <f>I60/13</f>
        <v>11</v>
      </c>
      <c r="AY60" s="512"/>
      <c r="AZ60" s="512"/>
      <c r="BA60" s="512"/>
      <c r="BB60" s="512"/>
      <c r="BC60" s="512"/>
      <c r="BD60" s="512"/>
      <c r="BE60" s="512"/>
      <c r="BF60" s="512"/>
      <c r="BG60" s="512"/>
      <c r="BH60" s="512"/>
      <c r="BI60" s="512"/>
      <c r="BJ60" s="512"/>
      <c r="BK60" s="512"/>
      <c r="BL60" s="512"/>
      <c r="BM60" s="512"/>
      <c r="BN60" s="512"/>
      <c r="BQ60" s="3">
        <f t="shared" si="26"/>
        <v>619388</v>
      </c>
    </row>
    <row r="61" s="400" customFormat="1" ht="36" hidden="1" customHeight="1" spans="1:69">
      <c r="A61" s="427">
        <v>46003</v>
      </c>
      <c r="B61" s="421" t="s">
        <v>5740</v>
      </c>
      <c r="C61" s="422" t="s">
        <v>5741</v>
      </c>
      <c r="D61" s="428">
        <v>4500188846</v>
      </c>
      <c r="E61" s="424"/>
      <c r="F61" s="428" t="s">
        <v>5742</v>
      </c>
      <c r="G61" s="425" t="s">
        <v>4974</v>
      </c>
      <c r="H61" s="426" t="s">
        <v>5205</v>
      </c>
      <c r="I61" s="437">
        <v>6000</v>
      </c>
      <c r="J61" s="438">
        <v>0</v>
      </c>
      <c r="K61" s="425">
        <v>50</v>
      </c>
      <c r="L61" s="439">
        <f t="shared" si="27"/>
        <v>120</v>
      </c>
      <c r="M61" s="440">
        <v>46044</v>
      </c>
      <c r="N61" s="440">
        <v>46038</v>
      </c>
      <c r="O61" s="441"/>
      <c r="P61" s="441" t="s">
        <v>92</v>
      </c>
      <c r="Q61" s="441" t="s">
        <v>5889</v>
      </c>
      <c r="R61" s="456">
        <v>46013</v>
      </c>
      <c r="S61" s="456" t="s">
        <v>77</v>
      </c>
      <c r="T61" s="448" t="s">
        <v>5743</v>
      </c>
      <c r="U61" s="441"/>
      <c r="V61" s="441"/>
      <c r="W61" s="441"/>
      <c r="X61" s="424" t="s">
        <v>5744</v>
      </c>
      <c r="Y61" s="441" t="s">
        <v>1140</v>
      </c>
      <c r="Z61" s="474">
        <v>1.4616</v>
      </c>
      <c r="AA61" s="475">
        <f t="shared" si="28"/>
        <v>8769.6</v>
      </c>
      <c r="AB61" s="476"/>
      <c r="AC61" s="425" t="s">
        <v>4974</v>
      </c>
      <c r="AD61" s="477" t="s">
        <v>128</v>
      </c>
      <c r="AE61" s="477" t="s">
        <v>4930</v>
      </c>
      <c r="AF61" s="425">
        <f>5950+50</f>
        <v>6000</v>
      </c>
      <c r="AG61" s="425">
        <f t="shared" si="29"/>
        <v>0</v>
      </c>
      <c r="AH61" s="477" t="s">
        <v>4335</v>
      </c>
      <c r="AI61" s="478"/>
      <c r="AJ61" s="488">
        <f t="shared" si="31"/>
        <v>6000</v>
      </c>
      <c r="AK61" s="488"/>
      <c r="AL61" s="489">
        <f t="shared" si="32"/>
        <v>6000</v>
      </c>
      <c r="AM61" s="437"/>
      <c r="AN61" s="437"/>
      <c r="AO61" s="437"/>
      <c r="AP61" s="439">
        <f t="shared" si="33"/>
        <v>6000</v>
      </c>
      <c r="AQ61" s="439"/>
      <c r="AR61" s="437"/>
      <c r="AS61" s="439">
        <f t="shared" si="30"/>
        <v>5412.5</v>
      </c>
      <c r="AT61" s="504">
        <f t="shared" si="34"/>
        <v>587.5</v>
      </c>
      <c r="AU61" s="489"/>
      <c r="AV61" s="490"/>
      <c r="AW61" s="490"/>
      <c r="AX61" s="513"/>
      <c r="AY61" s="512"/>
      <c r="AZ61" s="512"/>
      <c r="BA61" s="512">
        <f>I61/25</f>
        <v>240</v>
      </c>
      <c r="BB61" s="512"/>
      <c r="BC61" s="512"/>
      <c r="BD61" s="512"/>
      <c r="BE61" s="512"/>
      <c r="BF61" s="512"/>
      <c r="BG61" s="512"/>
      <c r="BH61" s="512"/>
      <c r="BI61" s="512"/>
      <c r="BJ61" s="512"/>
      <c r="BK61" s="512"/>
      <c r="BL61" s="512"/>
      <c r="BM61" s="512"/>
      <c r="BN61" s="512"/>
      <c r="BQ61" s="3">
        <f t="shared" si="26"/>
        <v>625388</v>
      </c>
    </row>
    <row r="62" s="400" customFormat="1" ht="34" customHeight="1" spans="1:69">
      <c r="A62" s="427">
        <v>45996</v>
      </c>
      <c r="B62" s="421" t="s">
        <v>5745</v>
      </c>
      <c r="C62" s="422" t="s">
        <v>117</v>
      </c>
      <c r="D62" s="428">
        <v>4500188208</v>
      </c>
      <c r="E62" s="424">
        <v>4353960671</v>
      </c>
      <c r="F62" s="428" t="s">
        <v>5746</v>
      </c>
      <c r="G62" s="425" t="s">
        <v>4988</v>
      </c>
      <c r="H62" s="426" t="s">
        <v>4989</v>
      </c>
      <c r="I62" s="437">
        <v>4175</v>
      </c>
      <c r="J62" s="438">
        <v>0</v>
      </c>
      <c r="K62" s="425">
        <v>25</v>
      </c>
      <c r="L62" s="439">
        <f t="shared" si="27"/>
        <v>167</v>
      </c>
      <c r="M62" s="440">
        <v>46044</v>
      </c>
      <c r="N62" s="440">
        <v>46038</v>
      </c>
      <c r="O62" s="441"/>
      <c r="P62" s="441" t="s">
        <v>92</v>
      </c>
      <c r="Q62" s="441" t="s">
        <v>5885</v>
      </c>
      <c r="R62" s="449">
        <v>46009</v>
      </c>
      <c r="S62" s="448" t="s">
        <v>77</v>
      </c>
      <c r="T62" s="460" t="s">
        <v>5747</v>
      </c>
      <c r="U62" s="441"/>
      <c r="V62" s="441"/>
      <c r="W62" s="441"/>
      <c r="X62" s="424" t="s">
        <v>5748</v>
      </c>
      <c r="Y62" s="441" t="s">
        <v>521</v>
      </c>
      <c r="Z62" s="474">
        <v>0.8608</v>
      </c>
      <c r="AA62" s="475">
        <f t="shared" si="28"/>
        <v>3593.84</v>
      </c>
      <c r="AB62" s="476"/>
      <c r="AC62" s="478" t="s">
        <v>4988</v>
      </c>
      <c r="AD62" s="477" t="s">
        <v>128</v>
      </c>
      <c r="AE62" s="477" t="s">
        <v>4930</v>
      </c>
      <c r="AF62" s="479">
        <v>4175</v>
      </c>
      <c r="AG62" s="425">
        <f t="shared" si="29"/>
        <v>0</v>
      </c>
      <c r="AH62" s="425" t="s">
        <v>4335</v>
      </c>
      <c r="AI62" s="478"/>
      <c r="AJ62" s="488">
        <f t="shared" si="31"/>
        <v>4175</v>
      </c>
      <c r="AK62" s="488"/>
      <c r="AL62" s="489">
        <f t="shared" si="32"/>
        <v>4175</v>
      </c>
      <c r="AM62" s="490"/>
      <c r="AN62" s="437"/>
      <c r="AO62" s="437"/>
      <c r="AP62" s="439">
        <f t="shared" si="33"/>
        <v>4175</v>
      </c>
      <c r="AQ62" s="439"/>
      <c r="AR62" s="437"/>
      <c r="AS62" s="439">
        <f t="shared" si="30"/>
        <v>3766.19791666667</v>
      </c>
      <c r="AT62" s="504">
        <f t="shared" si="34"/>
        <v>408.802083333333</v>
      </c>
      <c r="AU62" s="489"/>
      <c r="AV62" s="490"/>
      <c r="AW62" s="490"/>
      <c r="AX62" s="513"/>
      <c r="AY62" s="512"/>
      <c r="AZ62" s="512"/>
      <c r="BA62" s="512">
        <f>I62/25</f>
        <v>167</v>
      </c>
      <c r="BB62" s="512"/>
      <c r="BC62" s="512"/>
      <c r="BD62" s="512"/>
      <c r="BE62" s="512"/>
      <c r="BF62" s="512"/>
      <c r="BG62" s="512"/>
      <c r="BH62" s="512"/>
      <c r="BI62" s="512"/>
      <c r="BJ62" s="512"/>
      <c r="BK62" s="512"/>
      <c r="BL62" s="512"/>
      <c r="BM62" s="512"/>
      <c r="BN62" s="512"/>
      <c r="BQ62" s="3">
        <f t="shared" si="26"/>
        <v>629563</v>
      </c>
    </row>
    <row r="63" s="400" customFormat="1" ht="36" customHeight="1" spans="1:69">
      <c r="A63" s="427">
        <v>45995</v>
      </c>
      <c r="B63" s="421" t="s">
        <v>5745</v>
      </c>
      <c r="C63" s="422" t="s">
        <v>117</v>
      </c>
      <c r="D63" s="428">
        <v>4500187984</v>
      </c>
      <c r="E63" s="424">
        <v>4353960389</v>
      </c>
      <c r="F63" s="428" t="s">
        <v>5749</v>
      </c>
      <c r="G63" s="425" t="s">
        <v>4988</v>
      </c>
      <c r="H63" s="426" t="s">
        <v>4989</v>
      </c>
      <c r="I63" s="437">
        <v>5125</v>
      </c>
      <c r="J63" s="438">
        <v>0</v>
      </c>
      <c r="K63" s="425">
        <v>25</v>
      </c>
      <c r="L63" s="439">
        <f t="shared" si="27"/>
        <v>205</v>
      </c>
      <c r="M63" s="440">
        <v>46044</v>
      </c>
      <c r="N63" s="440">
        <v>46038</v>
      </c>
      <c r="O63" s="441"/>
      <c r="P63" s="441" t="s">
        <v>92</v>
      </c>
      <c r="Q63" s="441" t="s">
        <v>5907</v>
      </c>
      <c r="R63" s="449">
        <v>46009</v>
      </c>
      <c r="S63" s="448" t="s">
        <v>77</v>
      </c>
      <c r="T63" s="460" t="s">
        <v>5747</v>
      </c>
      <c r="U63" s="441"/>
      <c r="V63" s="441"/>
      <c r="W63" s="441"/>
      <c r="X63" s="424" t="s">
        <v>5748</v>
      </c>
      <c r="Y63" s="441" t="s">
        <v>521</v>
      </c>
      <c r="Z63" s="474">
        <v>0.8679</v>
      </c>
      <c r="AA63" s="475">
        <f t="shared" si="28"/>
        <v>4447.9875</v>
      </c>
      <c r="AB63" s="476"/>
      <c r="AC63" s="478" t="s">
        <v>4988</v>
      </c>
      <c r="AD63" s="477" t="s">
        <v>128</v>
      </c>
      <c r="AE63" s="477" t="s">
        <v>4930</v>
      </c>
      <c r="AF63" s="479">
        <v>5125</v>
      </c>
      <c r="AG63" s="425">
        <f t="shared" si="29"/>
        <v>0</v>
      </c>
      <c r="AH63" s="425" t="s">
        <v>4335</v>
      </c>
      <c r="AI63" s="478"/>
      <c r="AJ63" s="488">
        <f t="shared" si="31"/>
        <v>5125</v>
      </c>
      <c r="AK63" s="488"/>
      <c r="AL63" s="489">
        <f t="shared" si="32"/>
        <v>5125</v>
      </c>
      <c r="AM63" s="490"/>
      <c r="AN63" s="437"/>
      <c r="AO63" s="437"/>
      <c r="AP63" s="439">
        <f t="shared" si="33"/>
        <v>5125</v>
      </c>
      <c r="AQ63" s="439"/>
      <c r="AR63" s="437"/>
      <c r="AS63" s="439">
        <f t="shared" si="30"/>
        <v>4623.17708333333</v>
      </c>
      <c r="AT63" s="504">
        <f t="shared" si="34"/>
        <v>501.822916666667</v>
      </c>
      <c r="AU63" s="489"/>
      <c r="AV63" s="490"/>
      <c r="AW63" s="490"/>
      <c r="AX63" s="513"/>
      <c r="AY63" s="512"/>
      <c r="AZ63" s="512"/>
      <c r="BA63" s="512">
        <f>I63/25</f>
        <v>205</v>
      </c>
      <c r="BB63" s="512"/>
      <c r="BC63" s="512"/>
      <c r="BD63" s="512"/>
      <c r="BE63" s="512"/>
      <c r="BF63" s="512"/>
      <c r="BG63" s="512"/>
      <c r="BH63" s="512"/>
      <c r="BI63" s="512"/>
      <c r="BJ63" s="512"/>
      <c r="BK63" s="512"/>
      <c r="BL63" s="512"/>
      <c r="BM63" s="512"/>
      <c r="BN63" s="512"/>
      <c r="BQ63" s="3">
        <f t="shared" si="26"/>
        <v>634688</v>
      </c>
    </row>
    <row r="64" s="400" customFormat="1" ht="36" hidden="1" customHeight="1" spans="1:69">
      <c r="A64" s="427">
        <v>46008</v>
      </c>
      <c r="B64" s="421" t="s">
        <v>5141</v>
      </c>
      <c r="C64" s="422" t="s">
        <v>117</v>
      </c>
      <c r="D64" s="428">
        <v>4500188454</v>
      </c>
      <c r="E64" s="424" t="s">
        <v>5750</v>
      </c>
      <c r="F64" s="428" t="s">
        <v>5751</v>
      </c>
      <c r="G64" s="425" t="s">
        <v>4970</v>
      </c>
      <c r="H64" s="426" t="s">
        <v>5144</v>
      </c>
      <c r="I64" s="437">
        <v>3016</v>
      </c>
      <c r="J64" s="438">
        <v>0</v>
      </c>
      <c r="K64" s="425">
        <v>52</v>
      </c>
      <c r="L64" s="439">
        <f t="shared" si="27"/>
        <v>58</v>
      </c>
      <c r="M64" s="440">
        <v>46045</v>
      </c>
      <c r="N64" s="440">
        <v>46038</v>
      </c>
      <c r="O64" s="441"/>
      <c r="P64" s="441" t="s">
        <v>92</v>
      </c>
      <c r="Q64" s="441" t="s">
        <v>5893</v>
      </c>
      <c r="R64" s="449">
        <v>46008</v>
      </c>
      <c r="S64" s="449" t="s">
        <v>123</v>
      </c>
      <c r="T64" s="460" t="s">
        <v>5752</v>
      </c>
      <c r="U64" s="441"/>
      <c r="V64" s="441"/>
      <c r="W64" s="441"/>
      <c r="X64" s="424" t="s">
        <v>5146</v>
      </c>
      <c r="Y64" s="441" t="s">
        <v>283</v>
      </c>
      <c r="Z64" s="474">
        <v>0.8479</v>
      </c>
      <c r="AA64" s="475">
        <f t="shared" si="28"/>
        <v>2557.2664</v>
      </c>
      <c r="AB64" s="476"/>
      <c r="AC64" s="425" t="s">
        <v>4970</v>
      </c>
      <c r="AD64" s="477" t="s">
        <v>128</v>
      </c>
      <c r="AE64" s="477" t="s">
        <v>4930</v>
      </c>
      <c r="AF64" s="425">
        <f>2912+104</f>
        <v>3016</v>
      </c>
      <c r="AG64" s="425">
        <f t="shared" si="29"/>
        <v>0</v>
      </c>
      <c r="AH64" s="477" t="s">
        <v>4335</v>
      </c>
      <c r="AI64" s="478"/>
      <c r="AJ64" s="488">
        <f t="shared" si="31"/>
        <v>3016</v>
      </c>
      <c r="AK64" s="488"/>
      <c r="AL64" s="489">
        <f t="shared" si="32"/>
        <v>3016</v>
      </c>
      <c r="AM64" s="490"/>
      <c r="AN64" s="490"/>
      <c r="AO64" s="490"/>
      <c r="AP64" s="439">
        <f t="shared" si="33"/>
        <v>3016</v>
      </c>
      <c r="AQ64" s="506"/>
      <c r="AR64" s="490"/>
      <c r="AS64" s="439">
        <f t="shared" si="30"/>
        <v>2720.68333333333</v>
      </c>
      <c r="AT64" s="504">
        <f t="shared" si="34"/>
        <v>295.316666666667</v>
      </c>
      <c r="AU64" s="492"/>
      <c r="AV64" s="490"/>
      <c r="AW64" s="490"/>
      <c r="AX64" s="512">
        <f>I64/13</f>
        <v>232</v>
      </c>
      <c r="AY64" s="512"/>
      <c r="AZ64" s="512"/>
      <c r="BA64" s="512"/>
      <c r="BB64" s="512"/>
      <c r="BC64" s="512"/>
      <c r="BD64" s="512"/>
      <c r="BE64" s="512"/>
      <c r="BF64" s="512"/>
      <c r="BG64" s="512"/>
      <c r="BH64" s="512"/>
      <c r="BI64" s="512"/>
      <c r="BJ64" s="512"/>
      <c r="BK64" s="512"/>
      <c r="BL64" s="512"/>
      <c r="BM64" s="512"/>
      <c r="BN64" s="512"/>
      <c r="BQ64" s="3">
        <f t="shared" si="26"/>
        <v>637704</v>
      </c>
    </row>
    <row r="65" s="400" customFormat="1" ht="36" hidden="1" customHeight="1" spans="1:69">
      <c r="A65" s="427">
        <v>45988</v>
      </c>
      <c r="B65" s="421" t="s">
        <v>4976</v>
      </c>
      <c r="C65" s="422" t="s">
        <v>117</v>
      </c>
      <c r="D65" s="428">
        <v>4500187260</v>
      </c>
      <c r="E65" s="1692" t="s">
        <v>5758</v>
      </c>
      <c r="F65" s="428" t="s">
        <v>5759</v>
      </c>
      <c r="G65" s="425" t="s">
        <v>4979</v>
      </c>
      <c r="H65" s="426" t="s">
        <v>4980</v>
      </c>
      <c r="I65" s="437">
        <v>960</v>
      </c>
      <c r="J65" s="438">
        <v>0</v>
      </c>
      <c r="K65" s="425">
        <v>16</v>
      </c>
      <c r="L65" s="439">
        <f t="shared" si="27"/>
        <v>60</v>
      </c>
      <c r="M65" s="440">
        <v>46048</v>
      </c>
      <c r="N65" s="440">
        <v>46038</v>
      </c>
      <c r="O65" s="441" t="s">
        <v>5760</v>
      </c>
      <c r="P65" s="441" t="s">
        <v>92</v>
      </c>
      <c r="Q65" s="441"/>
      <c r="R65" s="441" t="s">
        <v>1102</v>
      </c>
      <c r="S65" s="441" t="s">
        <v>123</v>
      </c>
      <c r="T65" s="448" t="s">
        <v>5675</v>
      </c>
      <c r="U65" s="441" t="s">
        <v>4983</v>
      </c>
      <c r="V65" s="441"/>
      <c r="W65" s="441"/>
      <c r="X65" s="424" t="s">
        <v>5676</v>
      </c>
      <c r="Y65" s="441" t="s">
        <v>634</v>
      </c>
      <c r="Z65" s="474">
        <v>0.9059</v>
      </c>
      <c r="AA65" s="475">
        <f t="shared" si="28"/>
        <v>869.664</v>
      </c>
      <c r="AB65" s="476"/>
      <c r="AC65" s="425" t="s">
        <v>4979</v>
      </c>
      <c r="AD65" s="477" t="s">
        <v>128</v>
      </c>
      <c r="AE65" s="477" t="s">
        <v>4930</v>
      </c>
      <c r="AF65" s="425">
        <v>960</v>
      </c>
      <c r="AG65" s="425">
        <f t="shared" si="29"/>
        <v>0</v>
      </c>
      <c r="AH65" s="425" t="s">
        <v>4335</v>
      </c>
      <c r="AI65" s="478"/>
      <c r="AJ65" s="488">
        <f t="shared" si="31"/>
        <v>960</v>
      </c>
      <c r="AK65" s="488"/>
      <c r="AL65" s="489">
        <f t="shared" si="32"/>
        <v>960</v>
      </c>
      <c r="AM65" s="437"/>
      <c r="AN65" s="437"/>
      <c r="AO65" s="437"/>
      <c r="AP65" s="439">
        <f t="shared" si="33"/>
        <v>960</v>
      </c>
      <c r="AQ65" s="439"/>
      <c r="AR65" s="437"/>
      <c r="AS65" s="439">
        <f t="shared" si="30"/>
        <v>866</v>
      </c>
      <c r="AT65" s="504">
        <f t="shared" si="34"/>
        <v>94</v>
      </c>
      <c r="AU65" s="489"/>
      <c r="AV65" s="490"/>
      <c r="AW65" s="490"/>
      <c r="AX65" s="513"/>
      <c r="AY65" s="512"/>
      <c r="AZ65" s="512"/>
      <c r="BA65" s="512"/>
      <c r="BB65" s="512"/>
      <c r="BC65" s="512">
        <f>I65/16</f>
        <v>60</v>
      </c>
      <c r="BD65" s="512"/>
      <c r="BE65" s="512"/>
      <c r="BF65" s="512"/>
      <c r="BG65" s="512"/>
      <c r="BH65" s="512"/>
      <c r="BI65" s="512"/>
      <c r="BJ65" s="512"/>
      <c r="BK65" s="512"/>
      <c r="BL65" s="512"/>
      <c r="BM65" s="512"/>
      <c r="BN65" s="512"/>
      <c r="BQ65" s="3">
        <f t="shared" si="26"/>
        <v>638664</v>
      </c>
    </row>
    <row r="66" s="400" customFormat="1" ht="36" hidden="1" customHeight="1" spans="1:69">
      <c r="A66" s="427">
        <v>45988</v>
      </c>
      <c r="B66" s="421" t="s">
        <v>4976</v>
      </c>
      <c r="C66" s="422" t="s">
        <v>117</v>
      </c>
      <c r="D66" s="428">
        <v>4500187260</v>
      </c>
      <c r="E66" s="1692" t="s">
        <v>5761</v>
      </c>
      <c r="F66" s="428" t="s">
        <v>5762</v>
      </c>
      <c r="G66" s="425" t="s">
        <v>4979</v>
      </c>
      <c r="H66" s="426" t="s">
        <v>4980</v>
      </c>
      <c r="I66" s="437">
        <v>960</v>
      </c>
      <c r="J66" s="438">
        <v>0</v>
      </c>
      <c r="K66" s="425">
        <v>16</v>
      </c>
      <c r="L66" s="439">
        <f t="shared" si="27"/>
        <v>60</v>
      </c>
      <c r="M66" s="440">
        <v>46048</v>
      </c>
      <c r="N66" s="440">
        <v>46038</v>
      </c>
      <c r="O66" s="441" t="s">
        <v>5763</v>
      </c>
      <c r="P66" s="441" t="s">
        <v>92</v>
      </c>
      <c r="Q66" s="441" t="s">
        <v>5908</v>
      </c>
      <c r="R66" s="441" t="s">
        <v>1102</v>
      </c>
      <c r="S66" s="441" t="s">
        <v>123</v>
      </c>
      <c r="T66" s="448" t="s">
        <v>5675</v>
      </c>
      <c r="U66" s="441" t="s">
        <v>4983</v>
      </c>
      <c r="V66" s="441"/>
      <c r="W66" s="441"/>
      <c r="X66" s="424" t="s">
        <v>5676</v>
      </c>
      <c r="Y66" s="441" t="s">
        <v>634</v>
      </c>
      <c r="Z66" s="474">
        <v>0.9059</v>
      </c>
      <c r="AA66" s="475">
        <f t="shared" si="28"/>
        <v>869.664</v>
      </c>
      <c r="AB66" s="476"/>
      <c r="AC66" s="425" t="s">
        <v>4979</v>
      </c>
      <c r="AD66" s="477" t="s">
        <v>128</v>
      </c>
      <c r="AE66" s="477" t="s">
        <v>4930</v>
      </c>
      <c r="AF66" s="425">
        <v>960</v>
      </c>
      <c r="AG66" s="425">
        <f t="shared" si="29"/>
        <v>0</v>
      </c>
      <c r="AH66" s="425" t="s">
        <v>4335</v>
      </c>
      <c r="AI66" s="478"/>
      <c r="AJ66" s="488">
        <f t="shared" si="31"/>
        <v>960</v>
      </c>
      <c r="AK66" s="488"/>
      <c r="AL66" s="489">
        <f t="shared" si="32"/>
        <v>960</v>
      </c>
      <c r="AM66" s="437"/>
      <c r="AN66" s="437"/>
      <c r="AO66" s="437"/>
      <c r="AP66" s="439">
        <f t="shared" si="33"/>
        <v>960</v>
      </c>
      <c r="AQ66" s="439"/>
      <c r="AR66" s="437"/>
      <c r="AS66" s="439">
        <f t="shared" si="30"/>
        <v>866</v>
      </c>
      <c r="AT66" s="504">
        <f t="shared" si="34"/>
        <v>94</v>
      </c>
      <c r="AU66" s="489"/>
      <c r="AV66" s="490"/>
      <c r="AW66" s="490"/>
      <c r="AX66" s="513"/>
      <c r="AY66" s="512"/>
      <c r="AZ66" s="512"/>
      <c r="BA66" s="512"/>
      <c r="BB66" s="512"/>
      <c r="BC66" s="512">
        <f>I66/16</f>
        <v>60</v>
      </c>
      <c r="BD66" s="512"/>
      <c r="BE66" s="512"/>
      <c r="BF66" s="512"/>
      <c r="BG66" s="512"/>
      <c r="BH66" s="512"/>
      <c r="BI66" s="512"/>
      <c r="BJ66" s="512"/>
      <c r="BK66" s="512"/>
      <c r="BL66" s="512"/>
      <c r="BM66" s="512"/>
      <c r="BN66" s="512"/>
      <c r="BQ66" s="3">
        <f t="shared" si="26"/>
        <v>639624</v>
      </c>
    </row>
    <row r="67" s="400" customFormat="1" ht="36" hidden="1" customHeight="1" spans="1:69">
      <c r="A67" s="427">
        <v>45988</v>
      </c>
      <c r="B67" s="421" t="s">
        <v>4976</v>
      </c>
      <c r="C67" s="422" t="s">
        <v>117</v>
      </c>
      <c r="D67" s="428">
        <v>4500187260</v>
      </c>
      <c r="E67" s="1692" t="s">
        <v>5764</v>
      </c>
      <c r="F67" s="428" t="s">
        <v>5765</v>
      </c>
      <c r="G67" s="425" t="s">
        <v>4979</v>
      </c>
      <c r="H67" s="426" t="s">
        <v>4980</v>
      </c>
      <c r="I67" s="437">
        <v>960</v>
      </c>
      <c r="J67" s="438">
        <v>0</v>
      </c>
      <c r="K67" s="425">
        <v>16</v>
      </c>
      <c r="L67" s="439">
        <f t="shared" si="27"/>
        <v>60</v>
      </c>
      <c r="M67" s="440">
        <v>46048</v>
      </c>
      <c r="N67" s="440">
        <v>46038</v>
      </c>
      <c r="O67" s="441" t="s">
        <v>5909</v>
      </c>
      <c r="P67" s="441" t="s">
        <v>92</v>
      </c>
      <c r="Q67" s="441" t="s">
        <v>5884</v>
      </c>
      <c r="R67" s="441" t="s">
        <v>1102</v>
      </c>
      <c r="S67" s="441" t="s">
        <v>123</v>
      </c>
      <c r="T67" s="448" t="s">
        <v>5675</v>
      </c>
      <c r="U67" s="441" t="s">
        <v>4983</v>
      </c>
      <c r="V67" s="441"/>
      <c r="W67" s="441"/>
      <c r="X67" s="424" t="s">
        <v>5676</v>
      </c>
      <c r="Y67" s="441" t="s">
        <v>634</v>
      </c>
      <c r="Z67" s="474">
        <v>0.9059</v>
      </c>
      <c r="AA67" s="475">
        <f t="shared" si="28"/>
        <v>869.664</v>
      </c>
      <c r="AB67" s="476"/>
      <c r="AC67" s="425" t="s">
        <v>4979</v>
      </c>
      <c r="AD67" s="477" t="s">
        <v>128</v>
      </c>
      <c r="AE67" s="477" t="s">
        <v>4930</v>
      </c>
      <c r="AF67" s="425">
        <v>960</v>
      </c>
      <c r="AG67" s="425">
        <f t="shared" si="29"/>
        <v>0</v>
      </c>
      <c r="AH67" s="425" t="s">
        <v>4335</v>
      </c>
      <c r="AI67" s="478"/>
      <c r="AJ67" s="488">
        <f t="shared" si="31"/>
        <v>960</v>
      </c>
      <c r="AK67" s="488"/>
      <c r="AL67" s="489">
        <f t="shared" si="32"/>
        <v>960</v>
      </c>
      <c r="AM67" s="437"/>
      <c r="AN67" s="437"/>
      <c r="AO67" s="437"/>
      <c r="AP67" s="439">
        <f t="shared" si="33"/>
        <v>960</v>
      </c>
      <c r="AQ67" s="439"/>
      <c r="AR67" s="437"/>
      <c r="AS67" s="439">
        <f t="shared" si="30"/>
        <v>866</v>
      </c>
      <c r="AT67" s="504">
        <f t="shared" si="34"/>
        <v>94</v>
      </c>
      <c r="AU67" s="489"/>
      <c r="AV67" s="490"/>
      <c r="AW67" s="490"/>
      <c r="AX67" s="513"/>
      <c r="AY67" s="512"/>
      <c r="AZ67" s="512"/>
      <c r="BA67" s="512"/>
      <c r="BB67" s="512"/>
      <c r="BC67" s="512">
        <f>I67/16</f>
        <v>60</v>
      </c>
      <c r="BD67" s="512"/>
      <c r="BE67" s="512"/>
      <c r="BF67" s="512"/>
      <c r="BG67" s="512"/>
      <c r="BH67" s="512"/>
      <c r="BI67" s="512"/>
      <c r="BJ67" s="512"/>
      <c r="BK67" s="512"/>
      <c r="BL67" s="512"/>
      <c r="BM67" s="512"/>
      <c r="BN67" s="512"/>
      <c r="BQ67" s="3">
        <f t="shared" si="26"/>
        <v>640584</v>
      </c>
    </row>
    <row r="68" s="400" customFormat="1" ht="36" hidden="1" customHeight="1" spans="1:69">
      <c r="A68" s="427">
        <v>45988</v>
      </c>
      <c r="B68" s="421" t="s">
        <v>4976</v>
      </c>
      <c r="C68" s="422" t="s">
        <v>117</v>
      </c>
      <c r="D68" s="428">
        <v>4500187261</v>
      </c>
      <c r="E68" s="1692" t="s">
        <v>5798</v>
      </c>
      <c r="F68" s="428" t="s">
        <v>5799</v>
      </c>
      <c r="G68" s="425" t="s">
        <v>4979</v>
      </c>
      <c r="H68" s="426" t="s">
        <v>4980</v>
      </c>
      <c r="I68" s="437">
        <v>960</v>
      </c>
      <c r="J68" s="438">
        <v>0</v>
      </c>
      <c r="K68" s="425">
        <v>16</v>
      </c>
      <c r="L68" s="439">
        <f t="shared" si="27"/>
        <v>60</v>
      </c>
      <c r="M68" s="440">
        <v>46051</v>
      </c>
      <c r="N68" s="440">
        <v>46038</v>
      </c>
      <c r="O68" s="441" t="s">
        <v>5763</v>
      </c>
      <c r="P68" s="441" t="s">
        <v>92</v>
      </c>
      <c r="Q68" s="441" t="s">
        <v>5908</v>
      </c>
      <c r="R68" s="441" t="s">
        <v>1102</v>
      </c>
      <c r="S68" s="441" t="s">
        <v>123</v>
      </c>
      <c r="T68" s="448" t="s">
        <v>5675</v>
      </c>
      <c r="U68" s="441" t="s">
        <v>4983</v>
      </c>
      <c r="V68" s="441"/>
      <c r="W68" s="441"/>
      <c r="X68" s="424" t="s">
        <v>5676</v>
      </c>
      <c r="Y68" s="441" t="s">
        <v>634</v>
      </c>
      <c r="Z68" s="474">
        <v>0.895</v>
      </c>
      <c r="AA68" s="475">
        <f t="shared" si="28"/>
        <v>859.2</v>
      </c>
      <c r="AB68" s="476"/>
      <c r="AC68" s="425" t="s">
        <v>4979</v>
      </c>
      <c r="AD68" s="477" t="s">
        <v>128</v>
      </c>
      <c r="AE68" s="477" t="s">
        <v>4930</v>
      </c>
      <c r="AF68" s="425">
        <v>960</v>
      </c>
      <c r="AG68" s="425">
        <f t="shared" si="29"/>
        <v>0</v>
      </c>
      <c r="AH68" s="425" t="s">
        <v>4335</v>
      </c>
      <c r="AI68" s="478"/>
      <c r="AJ68" s="488">
        <f t="shared" si="31"/>
        <v>960</v>
      </c>
      <c r="AK68" s="488"/>
      <c r="AL68" s="489">
        <f t="shared" si="32"/>
        <v>960</v>
      </c>
      <c r="AM68" s="490"/>
      <c r="AN68" s="490"/>
      <c r="AO68" s="490"/>
      <c r="AP68" s="439">
        <f t="shared" si="33"/>
        <v>960</v>
      </c>
      <c r="AQ68" s="506"/>
      <c r="AR68" s="490"/>
      <c r="AS68" s="439">
        <f t="shared" si="30"/>
        <v>866</v>
      </c>
      <c r="AT68" s="504">
        <f t="shared" si="34"/>
        <v>94</v>
      </c>
      <c r="AU68" s="492"/>
      <c r="AV68" s="490"/>
      <c r="AW68" s="490"/>
      <c r="AX68" s="513"/>
      <c r="AY68" s="512"/>
      <c r="AZ68" s="512"/>
      <c r="BA68" s="512"/>
      <c r="BB68" s="512"/>
      <c r="BC68" s="512">
        <f>I68/16</f>
        <v>60</v>
      </c>
      <c r="BD68" s="512"/>
      <c r="BE68" s="512"/>
      <c r="BF68" s="512"/>
      <c r="BG68" s="512"/>
      <c r="BH68" s="512"/>
      <c r="BI68" s="512"/>
      <c r="BJ68" s="512"/>
      <c r="BK68" s="512"/>
      <c r="BL68" s="512"/>
      <c r="BM68" s="512"/>
      <c r="BN68" s="512"/>
      <c r="BQ68" s="3">
        <f t="shared" si="26"/>
        <v>641544</v>
      </c>
    </row>
    <row r="69" s="400" customFormat="1" ht="36" hidden="1" customHeight="1" spans="1:69">
      <c r="A69" s="427">
        <v>45988</v>
      </c>
      <c r="B69" s="421" t="s">
        <v>4976</v>
      </c>
      <c r="C69" s="422" t="s">
        <v>117</v>
      </c>
      <c r="D69" s="428">
        <v>4500187261</v>
      </c>
      <c r="E69" s="1692" t="s">
        <v>5800</v>
      </c>
      <c r="F69" s="428" t="s">
        <v>5801</v>
      </c>
      <c r="G69" s="425" t="s">
        <v>4979</v>
      </c>
      <c r="H69" s="426" t="s">
        <v>4980</v>
      </c>
      <c r="I69" s="437">
        <v>960</v>
      </c>
      <c r="J69" s="438">
        <v>0</v>
      </c>
      <c r="K69" s="425">
        <v>16</v>
      </c>
      <c r="L69" s="439">
        <f t="shared" si="27"/>
        <v>60</v>
      </c>
      <c r="M69" s="440">
        <v>46051</v>
      </c>
      <c r="N69" s="440">
        <v>46038</v>
      </c>
      <c r="O69" s="441" t="s">
        <v>5763</v>
      </c>
      <c r="P69" s="441" t="s">
        <v>92</v>
      </c>
      <c r="Q69" s="441" t="s">
        <v>5910</v>
      </c>
      <c r="R69" s="441" t="s">
        <v>1102</v>
      </c>
      <c r="S69" s="441" t="s">
        <v>123</v>
      </c>
      <c r="T69" s="448" t="s">
        <v>5675</v>
      </c>
      <c r="U69" s="441" t="s">
        <v>4983</v>
      </c>
      <c r="V69" s="441"/>
      <c r="W69" s="441"/>
      <c r="X69" s="424" t="s">
        <v>5676</v>
      </c>
      <c r="Y69" s="441" t="s">
        <v>634</v>
      </c>
      <c r="Z69" s="474">
        <v>0.9059</v>
      </c>
      <c r="AA69" s="475">
        <f t="shared" si="28"/>
        <v>869.664</v>
      </c>
      <c r="AB69" s="476"/>
      <c r="AC69" s="425" t="s">
        <v>4979</v>
      </c>
      <c r="AD69" s="477" t="s">
        <v>128</v>
      </c>
      <c r="AE69" s="477" t="s">
        <v>4930</v>
      </c>
      <c r="AF69" s="425">
        <v>960</v>
      </c>
      <c r="AG69" s="425">
        <f t="shared" si="29"/>
        <v>0</v>
      </c>
      <c r="AH69" s="425" t="s">
        <v>4335</v>
      </c>
      <c r="AI69" s="478"/>
      <c r="AJ69" s="488">
        <f t="shared" si="31"/>
        <v>960</v>
      </c>
      <c r="AK69" s="488"/>
      <c r="AL69" s="489">
        <f t="shared" si="32"/>
        <v>960</v>
      </c>
      <c r="AM69" s="490"/>
      <c r="AN69" s="490"/>
      <c r="AO69" s="490"/>
      <c r="AP69" s="439">
        <f t="shared" si="33"/>
        <v>960</v>
      </c>
      <c r="AQ69" s="506"/>
      <c r="AR69" s="490"/>
      <c r="AS69" s="439">
        <f t="shared" si="30"/>
        <v>866</v>
      </c>
      <c r="AT69" s="504">
        <f t="shared" si="34"/>
        <v>94</v>
      </c>
      <c r="AU69" s="492"/>
      <c r="AV69" s="490"/>
      <c r="AW69" s="490"/>
      <c r="AX69" s="513"/>
      <c r="AY69" s="512"/>
      <c r="AZ69" s="512"/>
      <c r="BA69" s="512"/>
      <c r="BB69" s="512"/>
      <c r="BC69" s="512">
        <f>I69/16</f>
        <v>60</v>
      </c>
      <c r="BD69" s="512"/>
      <c r="BE69" s="512"/>
      <c r="BF69" s="512"/>
      <c r="BG69" s="512"/>
      <c r="BH69" s="512"/>
      <c r="BI69" s="512"/>
      <c r="BJ69" s="512"/>
      <c r="BK69" s="512"/>
      <c r="BL69" s="512"/>
      <c r="BM69" s="512"/>
      <c r="BN69" s="512"/>
      <c r="BQ69" s="3">
        <f t="shared" si="26"/>
        <v>642504</v>
      </c>
    </row>
    <row r="70" s="400" customFormat="1" ht="36" hidden="1" customHeight="1" spans="1:69">
      <c r="A70" s="427">
        <v>45993</v>
      </c>
      <c r="B70" s="421" t="s">
        <v>3794</v>
      </c>
      <c r="C70" s="422" t="s">
        <v>1095</v>
      </c>
      <c r="D70" s="428">
        <v>4500187640</v>
      </c>
      <c r="E70" s="424" t="s">
        <v>5735</v>
      </c>
      <c r="F70" s="428" t="s">
        <v>5736</v>
      </c>
      <c r="G70" s="425" t="s">
        <v>4974</v>
      </c>
      <c r="H70" s="426" t="s">
        <v>5205</v>
      </c>
      <c r="I70" s="437">
        <v>1500</v>
      </c>
      <c r="J70" s="438">
        <v>0</v>
      </c>
      <c r="K70" s="425">
        <v>50</v>
      </c>
      <c r="L70" s="439">
        <f t="shared" si="27"/>
        <v>30</v>
      </c>
      <c r="M70" s="440">
        <v>46042</v>
      </c>
      <c r="N70" s="440">
        <v>46041</v>
      </c>
      <c r="O70" s="441"/>
      <c r="P70" s="441" t="s">
        <v>1262</v>
      </c>
      <c r="Q70" s="441" t="s">
        <v>3477</v>
      </c>
      <c r="R70" s="456">
        <v>45999</v>
      </c>
      <c r="S70" s="456" t="s">
        <v>77</v>
      </c>
      <c r="T70" s="457" t="s">
        <v>5737</v>
      </c>
      <c r="U70" s="441"/>
      <c r="V70" s="441"/>
      <c r="W70" s="441" t="s">
        <v>5738</v>
      </c>
      <c r="X70" s="424" t="s">
        <v>5739</v>
      </c>
      <c r="Y70" s="441" t="s">
        <v>618</v>
      </c>
      <c r="Z70" s="474">
        <v>1.4535</v>
      </c>
      <c r="AA70" s="475">
        <f t="shared" si="28"/>
        <v>2180.25</v>
      </c>
      <c r="AB70" s="476"/>
      <c r="AC70" s="425" t="s">
        <v>5391</v>
      </c>
      <c r="AD70" s="477" t="s">
        <v>128</v>
      </c>
      <c r="AE70" s="477" t="s">
        <v>4930</v>
      </c>
      <c r="AF70" s="425">
        <f>1450+50</f>
        <v>1500</v>
      </c>
      <c r="AG70" s="425">
        <f t="shared" si="29"/>
        <v>0</v>
      </c>
      <c r="AH70" s="425" t="s">
        <v>4335</v>
      </c>
      <c r="AI70" s="478"/>
      <c r="AJ70" s="488">
        <f t="shared" si="31"/>
        <v>1500</v>
      </c>
      <c r="AK70" s="488"/>
      <c r="AL70" s="489"/>
      <c r="AM70" s="437">
        <f>I70</f>
        <v>1500</v>
      </c>
      <c r="AN70" s="437"/>
      <c r="AO70" s="437"/>
      <c r="AP70" s="439">
        <f t="shared" si="33"/>
        <v>1500</v>
      </c>
      <c r="AQ70" s="439"/>
      <c r="AR70" s="437"/>
      <c r="AS70" s="439">
        <f t="shared" si="30"/>
        <v>1353.125</v>
      </c>
      <c r="AT70" s="504">
        <f t="shared" si="34"/>
        <v>146.875</v>
      </c>
      <c r="AU70" s="489"/>
      <c r="AV70" s="490"/>
      <c r="AW70" s="490"/>
      <c r="AX70" s="513"/>
      <c r="AY70" s="512"/>
      <c r="AZ70" s="512"/>
      <c r="BA70" s="512"/>
      <c r="BB70" s="512">
        <f>I70/25</f>
        <v>60</v>
      </c>
      <c r="BC70" s="512"/>
      <c r="BD70" s="512"/>
      <c r="BE70" s="512"/>
      <c r="BF70" s="512"/>
      <c r="BG70" s="512"/>
      <c r="BH70" s="512"/>
      <c r="BI70" s="512"/>
      <c r="BJ70" s="512"/>
      <c r="BK70" s="512"/>
      <c r="BL70" s="512"/>
      <c r="BM70" s="512"/>
      <c r="BN70" s="512"/>
      <c r="BQ70" s="3">
        <f t="shared" si="26"/>
        <v>644004</v>
      </c>
    </row>
    <row r="71" s="400" customFormat="1" ht="36" hidden="1" customHeight="1" spans="1:69">
      <c r="A71" s="427">
        <v>45985</v>
      </c>
      <c r="B71" s="421" t="s">
        <v>449</v>
      </c>
      <c r="C71" s="422" t="s">
        <v>213</v>
      </c>
      <c r="D71" s="428">
        <v>4500186739</v>
      </c>
      <c r="E71" s="424" t="s">
        <v>5753</v>
      </c>
      <c r="F71" s="428" t="s">
        <v>5754</v>
      </c>
      <c r="G71" s="425" t="s">
        <v>5092</v>
      </c>
      <c r="H71" s="426" t="s">
        <v>5093</v>
      </c>
      <c r="I71" s="437">
        <v>588</v>
      </c>
      <c r="J71" s="438">
        <v>0</v>
      </c>
      <c r="K71" s="425">
        <v>12</v>
      </c>
      <c r="L71" s="439">
        <f t="shared" si="27"/>
        <v>49</v>
      </c>
      <c r="M71" s="440">
        <v>46048</v>
      </c>
      <c r="N71" s="440">
        <v>46044</v>
      </c>
      <c r="O71" s="441"/>
      <c r="P71" s="441" t="s">
        <v>1262</v>
      </c>
      <c r="Q71" s="441" t="s">
        <v>5885</v>
      </c>
      <c r="R71" s="449" t="s">
        <v>5282</v>
      </c>
      <c r="S71" s="441" t="s">
        <v>123</v>
      </c>
      <c r="T71" s="441" t="s">
        <v>5755</v>
      </c>
      <c r="U71" s="441"/>
      <c r="V71" s="441"/>
      <c r="W71" s="441"/>
      <c r="X71" s="424" t="s">
        <v>5756</v>
      </c>
      <c r="Y71" s="441" t="s">
        <v>5757</v>
      </c>
      <c r="Z71" s="474">
        <v>3.0803</v>
      </c>
      <c r="AA71" s="475">
        <f t="shared" si="28"/>
        <v>1811.2164</v>
      </c>
      <c r="AB71" s="476"/>
      <c r="AC71" s="478" t="s">
        <v>5098</v>
      </c>
      <c r="AD71" s="477" t="s">
        <v>128</v>
      </c>
      <c r="AE71" s="477" t="s">
        <v>4930</v>
      </c>
      <c r="AF71" s="425">
        <v>588</v>
      </c>
      <c r="AG71" s="425">
        <f t="shared" si="29"/>
        <v>0</v>
      </c>
      <c r="AH71" s="425" t="s">
        <v>4335</v>
      </c>
      <c r="AI71" s="478"/>
      <c r="AJ71" s="488">
        <f>I71*2</f>
        <v>1176</v>
      </c>
      <c r="AK71" s="488"/>
      <c r="AL71" s="489"/>
      <c r="AM71" s="437"/>
      <c r="AN71" s="437">
        <f>I71*2</f>
        <v>1176</v>
      </c>
      <c r="AO71" s="437"/>
      <c r="AP71" s="439">
        <f>I71*2</f>
        <v>1176</v>
      </c>
      <c r="AQ71" s="439"/>
      <c r="AR71" s="437"/>
      <c r="AS71" s="439">
        <f t="shared" si="30"/>
        <v>1060.85</v>
      </c>
      <c r="AT71" s="504">
        <f>I71*(1-(1/48))/10*2</f>
        <v>115.15</v>
      </c>
      <c r="AU71" s="439">
        <f>AS71</f>
        <v>1060.85</v>
      </c>
      <c r="AV71" s="490"/>
      <c r="AW71" s="490"/>
      <c r="AX71" s="513"/>
      <c r="AY71" s="512"/>
      <c r="AZ71" s="512"/>
      <c r="BA71" s="512"/>
      <c r="BB71" s="512"/>
      <c r="BC71" s="512"/>
      <c r="BD71" s="512"/>
      <c r="BE71" s="512"/>
      <c r="BF71" s="512"/>
      <c r="BG71" s="512"/>
      <c r="BH71" s="512"/>
      <c r="BI71" s="512"/>
      <c r="BJ71" s="512"/>
      <c r="BK71" s="512"/>
      <c r="BL71" s="512"/>
      <c r="BM71" s="512">
        <f>I71</f>
        <v>588</v>
      </c>
      <c r="BN71" s="512">
        <f>I71</f>
        <v>588</v>
      </c>
      <c r="BQ71" s="3">
        <f t="shared" si="26"/>
        <v>645180</v>
      </c>
    </row>
    <row r="72" s="400" customFormat="1" ht="36" hidden="1" customHeight="1" spans="1:69">
      <c r="A72" s="427">
        <v>45989</v>
      </c>
      <c r="B72" s="421" t="s">
        <v>189</v>
      </c>
      <c r="C72" s="422" t="s">
        <v>190</v>
      </c>
      <c r="D72" s="428" t="s">
        <v>5766</v>
      </c>
      <c r="E72" s="424"/>
      <c r="F72" s="516" t="s">
        <v>5911</v>
      </c>
      <c r="G72" s="425" t="s">
        <v>5768</v>
      </c>
      <c r="H72" s="426" t="s">
        <v>5912</v>
      </c>
      <c r="I72" s="437">
        <v>19360</v>
      </c>
      <c r="J72" s="438">
        <v>0</v>
      </c>
      <c r="K72" s="425">
        <v>44</v>
      </c>
      <c r="L72" s="439">
        <f t="shared" si="27"/>
        <v>440</v>
      </c>
      <c r="M72" s="440">
        <v>46048</v>
      </c>
      <c r="N72" s="440">
        <v>46044</v>
      </c>
      <c r="O72" s="441"/>
      <c r="P72" s="441" t="s">
        <v>92</v>
      </c>
      <c r="Q72" s="441" t="s">
        <v>5913</v>
      </c>
      <c r="R72" s="456" t="s">
        <v>5771</v>
      </c>
      <c r="S72" s="448" t="s">
        <v>77</v>
      </c>
      <c r="T72" s="441" t="s">
        <v>5772</v>
      </c>
      <c r="U72" s="441"/>
      <c r="V72" s="441"/>
      <c r="W72" s="441"/>
      <c r="X72" s="424" t="s">
        <v>5914</v>
      </c>
      <c r="Y72" s="441" t="s">
        <v>5774</v>
      </c>
      <c r="Z72" s="474">
        <v>1.32</v>
      </c>
      <c r="AA72" s="475">
        <f t="shared" si="28"/>
        <v>25555.2</v>
      </c>
      <c r="AB72" s="476"/>
      <c r="AC72" s="425" t="s">
        <v>5768</v>
      </c>
      <c r="AD72" s="477" t="s">
        <v>128</v>
      </c>
      <c r="AE72" s="477" t="s">
        <v>4930</v>
      </c>
      <c r="AF72" s="425">
        <v>19360</v>
      </c>
      <c r="AG72" s="425">
        <f t="shared" si="29"/>
        <v>0</v>
      </c>
      <c r="AH72" s="425" t="s">
        <v>4335</v>
      </c>
      <c r="AI72" s="478"/>
      <c r="AJ72" s="488">
        <f t="shared" ref="AJ72:AJ85" si="35">I72</f>
        <v>19360</v>
      </c>
      <c r="AK72" s="488"/>
      <c r="AL72" s="489">
        <f>I72</f>
        <v>19360</v>
      </c>
      <c r="AM72" s="490"/>
      <c r="AN72" s="490"/>
      <c r="AO72" s="490"/>
      <c r="AP72" s="439">
        <f t="shared" ref="AP72:AP85" si="36">I72</f>
        <v>19360</v>
      </c>
      <c r="AQ72" s="439"/>
      <c r="AR72" s="437"/>
      <c r="AS72" s="439">
        <f t="shared" si="30"/>
        <v>17464.3333333333</v>
      </c>
      <c r="AT72" s="504">
        <f t="shared" ref="AT72:AT85" si="37">I72*(1-(1/48))/10</f>
        <v>1895.66666666667</v>
      </c>
      <c r="AU72" s="492"/>
      <c r="AV72" s="490"/>
      <c r="AW72" s="490"/>
      <c r="AX72" s="513"/>
      <c r="AY72" s="512"/>
      <c r="AZ72" s="512"/>
      <c r="BA72" s="512"/>
      <c r="BB72" s="512"/>
      <c r="BC72" s="512"/>
      <c r="BD72" s="512"/>
      <c r="BE72" s="512"/>
      <c r="BF72" s="512"/>
      <c r="BG72" s="512"/>
      <c r="BH72" s="512"/>
      <c r="BI72" s="512"/>
      <c r="BJ72" s="512"/>
      <c r="BK72" s="512"/>
      <c r="BL72" s="512"/>
      <c r="BM72" s="512"/>
      <c r="BN72" s="512"/>
      <c r="BQ72" s="3">
        <f t="shared" si="26"/>
        <v>664540</v>
      </c>
    </row>
    <row r="73" s="400" customFormat="1" ht="36" hidden="1" customHeight="1" spans="1:69">
      <c r="A73" s="420">
        <v>46014</v>
      </c>
      <c r="B73" s="421" t="s">
        <v>4074</v>
      </c>
      <c r="C73" s="422" t="s">
        <v>613</v>
      </c>
      <c r="D73" s="423">
        <v>4500189691</v>
      </c>
      <c r="E73" s="424"/>
      <c r="F73" s="423" t="s">
        <v>5794</v>
      </c>
      <c r="G73" s="425" t="s">
        <v>4974</v>
      </c>
      <c r="H73" s="426" t="s">
        <v>5205</v>
      </c>
      <c r="I73" s="437">
        <v>600</v>
      </c>
      <c r="J73" s="438">
        <v>0</v>
      </c>
      <c r="K73" s="425">
        <v>50</v>
      </c>
      <c r="L73" s="439">
        <f t="shared" si="27"/>
        <v>12</v>
      </c>
      <c r="M73" s="440">
        <v>46052</v>
      </c>
      <c r="N73" s="440">
        <v>46046</v>
      </c>
      <c r="O73" s="441"/>
      <c r="P73" s="441" t="s">
        <v>92</v>
      </c>
      <c r="Q73" s="441" t="s">
        <v>5915</v>
      </c>
      <c r="R73" s="456">
        <v>46021</v>
      </c>
      <c r="S73" s="449" t="s">
        <v>77</v>
      </c>
      <c r="T73" s="456" t="s">
        <v>5790</v>
      </c>
      <c r="U73" s="441"/>
      <c r="V73" s="441"/>
      <c r="W73" s="441"/>
      <c r="X73" s="424" t="s">
        <v>5795</v>
      </c>
      <c r="Y73" s="473" t="s">
        <v>3879</v>
      </c>
      <c r="Z73" s="474">
        <v>1.4584</v>
      </c>
      <c r="AA73" s="475">
        <f t="shared" si="28"/>
        <v>875.04</v>
      </c>
      <c r="AB73" s="476"/>
      <c r="AC73" s="425" t="s">
        <v>5391</v>
      </c>
      <c r="AD73" s="477" t="s">
        <v>128</v>
      </c>
      <c r="AE73" s="477" t="s">
        <v>4930</v>
      </c>
      <c r="AF73" s="425">
        <v>600</v>
      </c>
      <c r="AG73" s="425">
        <f t="shared" si="29"/>
        <v>0</v>
      </c>
      <c r="AH73" s="425" t="s">
        <v>4335</v>
      </c>
      <c r="AI73" s="478"/>
      <c r="AJ73" s="488">
        <f t="shared" si="35"/>
        <v>600</v>
      </c>
      <c r="AK73" s="488"/>
      <c r="AL73" s="489"/>
      <c r="AM73" s="437">
        <f>I73</f>
        <v>600</v>
      </c>
      <c r="AN73" s="437"/>
      <c r="AO73" s="437"/>
      <c r="AP73" s="439">
        <f t="shared" si="36"/>
        <v>600</v>
      </c>
      <c r="AQ73" s="439"/>
      <c r="AR73" s="437"/>
      <c r="AS73" s="439">
        <f t="shared" si="30"/>
        <v>541.25</v>
      </c>
      <c r="AT73" s="504">
        <f t="shared" si="37"/>
        <v>58.75</v>
      </c>
      <c r="AU73" s="489"/>
      <c r="AV73" s="489"/>
      <c r="AW73" s="489"/>
      <c r="AX73" s="512"/>
      <c r="AY73" s="512"/>
      <c r="AZ73" s="512"/>
      <c r="BA73" s="512"/>
      <c r="BB73" s="512">
        <f>I73/25</f>
        <v>24</v>
      </c>
      <c r="BC73" s="512"/>
      <c r="BD73" s="512"/>
      <c r="BE73" s="512"/>
      <c r="BF73" s="512"/>
      <c r="BG73" s="512"/>
      <c r="BH73" s="512"/>
      <c r="BI73" s="512"/>
      <c r="BJ73" s="512"/>
      <c r="BK73" s="512"/>
      <c r="BL73" s="512"/>
      <c r="BM73" s="512"/>
      <c r="BN73" s="512"/>
      <c r="BQ73" s="3">
        <f t="shared" si="26"/>
        <v>665140</v>
      </c>
    </row>
    <row r="74" s="400" customFormat="1" ht="36" hidden="1" customHeight="1" spans="1:69">
      <c r="A74" s="420">
        <v>46008</v>
      </c>
      <c r="B74" s="421" t="s">
        <v>4074</v>
      </c>
      <c r="C74" s="422" t="s">
        <v>613</v>
      </c>
      <c r="D74" s="423">
        <v>4500189203</v>
      </c>
      <c r="E74" s="424"/>
      <c r="F74" s="423" t="s">
        <v>5792</v>
      </c>
      <c r="G74" s="425" t="s">
        <v>4974</v>
      </c>
      <c r="H74" s="426" t="s">
        <v>5205</v>
      </c>
      <c r="I74" s="437">
        <v>1000</v>
      </c>
      <c r="J74" s="438">
        <v>0</v>
      </c>
      <c r="K74" s="425">
        <v>50</v>
      </c>
      <c r="L74" s="439">
        <f t="shared" si="27"/>
        <v>20</v>
      </c>
      <c r="M74" s="440">
        <v>46052</v>
      </c>
      <c r="N74" s="440">
        <v>46046</v>
      </c>
      <c r="O74" s="441"/>
      <c r="P74" s="441" t="s">
        <v>92</v>
      </c>
      <c r="Q74" s="441" t="s">
        <v>5884</v>
      </c>
      <c r="R74" s="456">
        <v>46021</v>
      </c>
      <c r="S74" s="456" t="s">
        <v>77</v>
      </c>
      <c r="T74" s="456" t="s">
        <v>5790</v>
      </c>
      <c r="U74" s="441"/>
      <c r="V74" s="441"/>
      <c r="W74" s="441"/>
      <c r="X74" s="424" t="s">
        <v>5793</v>
      </c>
      <c r="Y74" s="473" t="s">
        <v>3879</v>
      </c>
      <c r="Z74" s="474">
        <v>1.4368</v>
      </c>
      <c r="AA74" s="475">
        <f t="shared" si="28"/>
        <v>1436.8</v>
      </c>
      <c r="AB74" s="476"/>
      <c r="AC74" s="425" t="s">
        <v>5391</v>
      </c>
      <c r="AD74" s="477" t="s">
        <v>128</v>
      </c>
      <c r="AE74" s="477" t="s">
        <v>4930</v>
      </c>
      <c r="AF74" s="425">
        <v>1000</v>
      </c>
      <c r="AG74" s="425">
        <f t="shared" si="29"/>
        <v>0</v>
      </c>
      <c r="AH74" s="425" t="s">
        <v>4335</v>
      </c>
      <c r="AI74" s="478"/>
      <c r="AJ74" s="488">
        <f t="shared" si="35"/>
        <v>1000</v>
      </c>
      <c r="AK74" s="488"/>
      <c r="AL74" s="489"/>
      <c r="AM74" s="437">
        <f>I74</f>
        <v>1000</v>
      </c>
      <c r="AN74" s="437"/>
      <c r="AO74" s="437"/>
      <c r="AP74" s="439">
        <f t="shared" si="36"/>
        <v>1000</v>
      </c>
      <c r="AQ74" s="439"/>
      <c r="AR74" s="437"/>
      <c r="AS74" s="439">
        <f t="shared" si="30"/>
        <v>902.083333333333</v>
      </c>
      <c r="AT74" s="504">
        <f t="shared" si="37"/>
        <v>97.9166666666667</v>
      </c>
      <c r="AU74" s="489"/>
      <c r="AV74" s="489"/>
      <c r="AW74" s="489"/>
      <c r="AX74" s="512"/>
      <c r="AY74" s="512"/>
      <c r="AZ74" s="512"/>
      <c r="BA74" s="512"/>
      <c r="BB74" s="512">
        <f>I74/25</f>
        <v>40</v>
      </c>
      <c r="BC74" s="512"/>
      <c r="BD74" s="512"/>
      <c r="BE74" s="512"/>
      <c r="BF74" s="512"/>
      <c r="BG74" s="512"/>
      <c r="BH74" s="512"/>
      <c r="BI74" s="512"/>
      <c r="BJ74" s="512"/>
      <c r="BK74" s="512"/>
      <c r="BL74" s="512"/>
      <c r="BM74" s="512"/>
      <c r="BN74" s="512"/>
      <c r="BQ74" s="3">
        <f t="shared" si="26"/>
        <v>666140</v>
      </c>
    </row>
    <row r="75" s="400" customFormat="1" ht="36" hidden="1" customHeight="1" spans="1:69">
      <c r="A75" s="517">
        <v>46014</v>
      </c>
      <c r="B75" s="518" t="s">
        <v>4074</v>
      </c>
      <c r="C75" s="519" t="s">
        <v>613</v>
      </c>
      <c r="D75" s="520">
        <v>4500188307</v>
      </c>
      <c r="E75" s="518"/>
      <c r="F75" s="520" t="s">
        <v>5796</v>
      </c>
      <c r="G75" s="425" t="s">
        <v>4974</v>
      </c>
      <c r="H75" s="426" t="s">
        <v>5205</v>
      </c>
      <c r="I75" s="437">
        <v>1100</v>
      </c>
      <c r="J75" s="438">
        <v>0</v>
      </c>
      <c r="K75" s="425">
        <v>50</v>
      </c>
      <c r="L75" s="439">
        <f t="shared" si="27"/>
        <v>22</v>
      </c>
      <c r="M75" s="440">
        <v>46052</v>
      </c>
      <c r="N75" s="440">
        <v>46046</v>
      </c>
      <c r="O75" s="441"/>
      <c r="P75" s="441" t="s">
        <v>92</v>
      </c>
      <c r="Q75" s="441" t="s">
        <v>5893</v>
      </c>
      <c r="R75" s="456">
        <v>46021</v>
      </c>
      <c r="S75" s="449" t="s">
        <v>77</v>
      </c>
      <c r="T75" s="456" t="s">
        <v>5790</v>
      </c>
      <c r="U75" s="441"/>
      <c r="V75" s="441"/>
      <c r="W75" s="441"/>
      <c r="X75" s="424" t="s">
        <v>5797</v>
      </c>
      <c r="Y75" s="473" t="s">
        <v>3879</v>
      </c>
      <c r="Z75" s="474">
        <v>1.4535</v>
      </c>
      <c r="AA75" s="475">
        <f t="shared" si="28"/>
        <v>1598.85</v>
      </c>
      <c r="AB75" s="476"/>
      <c r="AC75" s="425" t="s">
        <v>5391</v>
      </c>
      <c r="AD75" s="477" t="s">
        <v>128</v>
      </c>
      <c r="AE75" s="477" t="s">
        <v>4930</v>
      </c>
      <c r="AF75" s="425">
        <v>1100</v>
      </c>
      <c r="AG75" s="425">
        <f t="shared" si="29"/>
        <v>0</v>
      </c>
      <c r="AH75" s="425" t="s">
        <v>4335</v>
      </c>
      <c r="AI75" s="478"/>
      <c r="AJ75" s="488">
        <f t="shared" si="35"/>
        <v>1100</v>
      </c>
      <c r="AK75" s="488"/>
      <c r="AL75" s="489"/>
      <c r="AM75" s="437">
        <f>I75</f>
        <v>1100</v>
      </c>
      <c r="AN75" s="437"/>
      <c r="AO75" s="437"/>
      <c r="AP75" s="439">
        <f t="shared" si="36"/>
        <v>1100</v>
      </c>
      <c r="AQ75" s="439"/>
      <c r="AR75" s="437"/>
      <c r="AS75" s="439">
        <f t="shared" si="30"/>
        <v>992.291666666667</v>
      </c>
      <c r="AT75" s="504">
        <f t="shared" si="37"/>
        <v>107.708333333333</v>
      </c>
      <c r="AU75" s="489"/>
      <c r="AV75" s="489"/>
      <c r="AW75" s="489"/>
      <c r="AX75" s="512"/>
      <c r="AY75" s="512"/>
      <c r="AZ75" s="512"/>
      <c r="BA75" s="512"/>
      <c r="BB75" s="512">
        <f>I75/25</f>
        <v>44</v>
      </c>
      <c r="BC75" s="512"/>
      <c r="BD75" s="512"/>
      <c r="BE75" s="512"/>
      <c r="BF75" s="512"/>
      <c r="BG75" s="512"/>
      <c r="BH75" s="512"/>
      <c r="BI75" s="512"/>
      <c r="BJ75" s="512"/>
      <c r="BK75" s="512"/>
      <c r="BL75" s="512"/>
      <c r="BM75" s="512"/>
      <c r="BN75" s="512"/>
      <c r="BQ75" s="3">
        <f t="shared" si="26"/>
        <v>667240</v>
      </c>
    </row>
    <row r="76" s="400" customFormat="1" ht="34" hidden="1" customHeight="1" spans="1:69">
      <c r="A76" s="427">
        <v>45996</v>
      </c>
      <c r="B76" s="421" t="s">
        <v>4074</v>
      </c>
      <c r="C76" s="422" t="s">
        <v>613</v>
      </c>
      <c r="D76" s="428">
        <v>4500188302</v>
      </c>
      <c r="F76" s="428" t="s">
        <v>5786</v>
      </c>
      <c r="G76" s="425" t="s">
        <v>4974</v>
      </c>
      <c r="H76" s="426" t="s">
        <v>5205</v>
      </c>
      <c r="I76" s="437">
        <v>700</v>
      </c>
      <c r="J76" s="438">
        <v>0</v>
      </c>
      <c r="K76" s="425">
        <v>50</v>
      </c>
      <c r="L76" s="439">
        <f t="shared" si="27"/>
        <v>14</v>
      </c>
      <c r="M76" s="440">
        <v>46052</v>
      </c>
      <c r="N76" s="440">
        <v>46046</v>
      </c>
      <c r="O76" s="441"/>
      <c r="P76" s="441" t="s">
        <v>92</v>
      </c>
      <c r="Q76" s="441" t="s">
        <v>5893</v>
      </c>
      <c r="R76" s="456">
        <v>46021</v>
      </c>
      <c r="S76" s="456" t="s">
        <v>77</v>
      </c>
      <c r="T76" s="456" t="s">
        <v>5787</v>
      </c>
      <c r="U76" s="441"/>
      <c r="V76" s="441"/>
      <c r="W76" s="441"/>
      <c r="X76" s="424" t="s">
        <v>5916</v>
      </c>
      <c r="Y76" s="441" t="s">
        <v>3879</v>
      </c>
      <c r="Z76" s="474">
        <v>1.4584</v>
      </c>
      <c r="AA76" s="475">
        <f t="shared" si="28"/>
        <v>1020.88</v>
      </c>
      <c r="AB76" s="476"/>
      <c r="AC76" s="425" t="s">
        <v>5391</v>
      </c>
      <c r="AD76" s="477" t="s">
        <v>128</v>
      </c>
      <c r="AE76" s="477" t="s">
        <v>4930</v>
      </c>
      <c r="AF76" s="425">
        <v>700</v>
      </c>
      <c r="AG76" s="425">
        <f t="shared" si="29"/>
        <v>0</v>
      </c>
      <c r="AH76" s="425" t="s">
        <v>4335</v>
      </c>
      <c r="AI76" s="478"/>
      <c r="AJ76" s="488">
        <f t="shared" si="35"/>
        <v>700</v>
      </c>
      <c r="AK76" s="605"/>
      <c r="AM76" s="489">
        <f>I76</f>
        <v>700</v>
      </c>
      <c r="AN76" s="489"/>
      <c r="AO76" s="489"/>
      <c r="AP76" s="439">
        <f t="shared" si="36"/>
        <v>700</v>
      </c>
      <c r="AQ76" s="439"/>
      <c r="AR76" s="437"/>
      <c r="AS76" s="439">
        <f t="shared" si="30"/>
        <v>631.458333333333</v>
      </c>
      <c r="AT76" s="504">
        <f t="shared" si="37"/>
        <v>68.5416666666667</v>
      </c>
      <c r="AU76" s="489"/>
      <c r="AV76" s="490"/>
      <c r="AW76" s="490"/>
      <c r="AX76" s="513"/>
      <c r="AY76" s="512"/>
      <c r="AZ76" s="512"/>
      <c r="BB76" s="512">
        <f>I76/25</f>
        <v>28</v>
      </c>
      <c r="BC76" s="512"/>
      <c r="BD76" s="512"/>
      <c r="BE76" s="512"/>
      <c r="BF76" s="512"/>
      <c r="BG76" s="512"/>
      <c r="BH76" s="512"/>
      <c r="BI76" s="512"/>
      <c r="BJ76" s="512"/>
      <c r="BK76" s="512"/>
      <c r="BL76" s="512"/>
      <c r="BM76" s="512"/>
      <c r="BN76" s="512"/>
      <c r="BQ76" s="3">
        <f t="shared" si="26"/>
        <v>667940</v>
      </c>
    </row>
    <row r="77" s="400" customFormat="1" ht="34" hidden="1" customHeight="1" spans="1:69">
      <c r="A77" s="427">
        <v>45999</v>
      </c>
      <c r="B77" s="421" t="s">
        <v>4074</v>
      </c>
      <c r="C77" s="422" t="s">
        <v>613</v>
      </c>
      <c r="D77" s="428">
        <v>4500188248</v>
      </c>
      <c r="F77" s="428" t="s">
        <v>5789</v>
      </c>
      <c r="G77" s="425" t="s">
        <v>4974</v>
      </c>
      <c r="H77" s="426" t="s">
        <v>5205</v>
      </c>
      <c r="I77" s="437">
        <v>1500</v>
      </c>
      <c r="J77" s="438">
        <v>0</v>
      </c>
      <c r="K77" s="425">
        <v>50</v>
      </c>
      <c r="L77" s="439">
        <f t="shared" si="27"/>
        <v>30</v>
      </c>
      <c r="M77" s="556">
        <v>46052</v>
      </c>
      <c r="N77" s="440">
        <v>46046</v>
      </c>
      <c r="O77" s="441"/>
      <c r="P77" s="441" t="s">
        <v>92</v>
      </c>
      <c r="Q77" s="441" t="s">
        <v>5893</v>
      </c>
      <c r="R77" s="456">
        <v>46021</v>
      </c>
      <c r="S77" s="456" t="s">
        <v>77</v>
      </c>
      <c r="T77" s="456" t="s">
        <v>5790</v>
      </c>
      <c r="U77" s="441"/>
      <c r="V77" s="441"/>
      <c r="W77" s="441"/>
      <c r="X77" s="424" t="s">
        <v>5917</v>
      </c>
      <c r="Y77" s="441" t="s">
        <v>3879</v>
      </c>
      <c r="Z77" s="474">
        <v>1.4535</v>
      </c>
      <c r="AA77" s="475">
        <f t="shared" si="28"/>
        <v>2180.25</v>
      </c>
      <c r="AB77" s="476"/>
      <c r="AC77" s="425" t="s">
        <v>5391</v>
      </c>
      <c r="AD77" s="477" t="s">
        <v>128</v>
      </c>
      <c r="AE77" s="477" t="s">
        <v>4930</v>
      </c>
      <c r="AF77" s="425">
        <v>1500</v>
      </c>
      <c r="AG77" s="425">
        <f t="shared" si="29"/>
        <v>0</v>
      </c>
      <c r="AH77" s="425" t="s">
        <v>4335</v>
      </c>
      <c r="AI77" s="478"/>
      <c r="AJ77" s="488">
        <f t="shared" si="35"/>
        <v>1500</v>
      </c>
      <c r="AK77" s="488"/>
      <c r="AL77" s="489"/>
      <c r="AM77" s="437">
        <f>I77</f>
        <v>1500</v>
      </c>
      <c r="AN77" s="489"/>
      <c r="AO77" s="489"/>
      <c r="AP77" s="439">
        <f t="shared" si="36"/>
        <v>1500</v>
      </c>
      <c r="AQ77" s="439"/>
      <c r="AR77" s="437"/>
      <c r="AS77" s="439">
        <f t="shared" si="30"/>
        <v>1353.125</v>
      </c>
      <c r="AT77" s="504">
        <f t="shared" si="37"/>
        <v>146.875</v>
      </c>
      <c r="AU77" s="489"/>
      <c r="AV77" s="490"/>
      <c r="AW77" s="490"/>
      <c r="AX77" s="513"/>
      <c r="AY77" s="512"/>
      <c r="AZ77" s="512"/>
      <c r="BA77" s="512"/>
      <c r="BB77" s="512">
        <f>I77/25</f>
        <v>60</v>
      </c>
      <c r="BC77" s="512"/>
      <c r="BD77" s="512"/>
      <c r="BE77" s="512"/>
      <c r="BF77" s="512"/>
      <c r="BG77" s="512"/>
      <c r="BH77" s="512"/>
      <c r="BI77" s="512"/>
      <c r="BJ77" s="512"/>
      <c r="BK77" s="512"/>
      <c r="BL77" s="512"/>
      <c r="BM77" s="512"/>
      <c r="BN77" s="512"/>
      <c r="BQ77" s="3">
        <f t="shared" si="26"/>
        <v>669440</v>
      </c>
    </row>
    <row r="78" s="400" customFormat="1" ht="36" hidden="1" customHeight="1" spans="1:69">
      <c r="A78" s="420">
        <v>46016</v>
      </c>
      <c r="B78" s="521" t="s">
        <v>5805</v>
      </c>
      <c r="C78" s="522" t="s">
        <v>117</v>
      </c>
      <c r="D78" s="423">
        <v>4500189455</v>
      </c>
      <c r="E78" s="424"/>
      <c r="F78" s="523" t="s">
        <v>5806</v>
      </c>
      <c r="G78" s="524" t="s">
        <v>5807</v>
      </c>
      <c r="H78" s="525" t="s">
        <v>5808</v>
      </c>
      <c r="I78" s="557">
        <v>4500</v>
      </c>
      <c r="J78" s="558">
        <v>0</v>
      </c>
      <c r="K78" s="524">
        <v>750</v>
      </c>
      <c r="L78" s="559">
        <f t="shared" si="27"/>
        <v>6</v>
      </c>
      <c r="M78" s="560">
        <v>46052</v>
      </c>
      <c r="N78" s="440">
        <v>46046</v>
      </c>
      <c r="O78" s="561"/>
      <c r="P78" s="561" t="s">
        <v>92</v>
      </c>
      <c r="Q78" s="561" t="s">
        <v>5918</v>
      </c>
      <c r="R78" s="449">
        <v>46028</v>
      </c>
      <c r="S78" s="449" t="s">
        <v>77</v>
      </c>
      <c r="T78" s="449" t="s">
        <v>77</v>
      </c>
      <c r="U78" s="561"/>
      <c r="V78" s="561" t="s">
        <v>863</v>
      </c>
      <c r="W78" s="561"/>
      <c r="X78" s="577" t="s">
        <v>5919</v>
      </c>
      <c r="Y78" s="561" t="s">
        <v>406</v>
      </c>
      <c r="Z78" s="588">
        <v>1048.225</v>
      </c>
      <c r="AA78" s="589">
        <f>L78*Z78</f>
        <v>6289.35</v>
      </c>
      <c r="AB78" s="590"/>
      <c r="AC78" s="524" t="s">
        <v>5807</v>
      </c>
      <c r="AD78" s="591" t="s">
        <v>128</v>
      </c>
      <c r="AE78" s="477" t="s">
        <v>4930</v>
      </c>
      <c r="AF78" s="524">
        <v>4500</v>
      </c>
      <c r="AG78" s="425">
        <f t="shared" si="29"/>
        <v>0</v>
      </c>
      <c r="AH78" s="591" t="s">
        <v>77</v>
      </c>
      <c r="AI78" s="606"/>
      <c r="AJ78" s="488">
        <f t="shared" si="35"/>
        <v>4500</v>
      </c>
      <c r="AK78" s="488"/>
      <c r="AL78" s="489">
        <f>I78</f>
        <v>4500</v>
      </c>
      <c r="AM78" s="490"/>
      <c r="AN78" s="490"/>
      <c r="AO78" s="490"/>
      <c r="AP78" s="439">
        <f t="shared" si="36"/>
        <v>4500</v>
      </c>
      <c r="AQ78" s="506"/>
      <c r="AR78" s="490"/>
      <c r="AS78" s="439">
        <f t="shared" si="30"/>
        <v>4059.375</v>
      </c>
      <c r="AT78" s="504">
        <f t="shared" si="37"/>
        <v>440.625</v>
      </c>
      <c r="AU78" s="619"/>
      <c r="AV78" s="620"/>
      <c r="AW78" s="620"/>
      <c r="AX78" s="630"/>
      <c r="AY78" s="631"/>
      <c r="AZ78" s="631"/>
      <c r="BA78" s="512">
        <f>I78/25</f>
        <v>180</v>
      </c>
      <c r="BB78" s="631"/>
      <c r="BC78" s="631"/>
      <c r="BD78" s="631"/>
      <c r="BE78" s="631"/>
      <c r="BF78" s="631"/>
      <c r="BG78" s="631"/>
      <c r="BH78" s="631"/>
      <c r="BI78" s="631"/>
      <c r="BJ78" s="631"/>
      <c r="BK78" s="631"/>
      <c r="BL78" s="631"/>
      <c r="BM78" s="631"/>
      <c r="BN78" s="631"/>
      <c r="BQ78" s="3">
        <f t="shared" si="26"/>
        <v>673940</v>
      </c>
    </row>
    <row r="79" s="400" customFormat="1" ht="36" hidden="1" customHeight="1" spans="1:69">
      <c r="A79" s="420">
        <v>46021</v>
      </c>
      <c r="B79" s="521" t="s">
        <v>4074</v>
      </c>
      <c r="C79" s="522" t="s">
        <v>613</v>
      </c>
      <c r="D79" s="423">
        <v>4500190234</v>
      </c>
      <c r="E79" s="424"/>
      <c r="F79" s="523" t="s">
        <v>5810</v>
      </c>
      <c r="G79" s="524" t="s">
        <v>4974</v>
      </c>
      <c r="H79" s="426" t="s">
        <v>5205</v>
      </c>
      <c r="I79" s="557">
        <v>300</v>
      </c>
      <c r="J79" s="438">
        <v>0</v>
      </c>
      <c r="K79" s="425">
        <v>50</v>
      </c>
      <c r="L79" s="439">
        <f t="shared" si="27"/>
        <v>6</v>
      </c>
      <c r="M79" s="560">
        <v>46052</v>
      </c>
      <c r="N79" s="440">
        <v>46046</v>
      </c>
      <c r="O79" s="561"/>
      <c r="P79" s="561" t="s">
        <v>92</v>
      </c>
      <c r="Q79" s="561" t="s">
        <v>5907</v>
      </c>
      <c r="R79" s="449">
        <v>46386</v>
      </c>
      <c r="S79" s="449" t="s">
        <v>77</v>
      </c>
      <c r="T79" s="456" t="s">
        <v>5790</v>
      </c>
      <c r="U79" s="561"/>
      <c r="V79" s="561"/>
      <c r="W79" s="561"/>
      <c r="X79" s="577" t="s">
        <v>5811</v>
      </c>
      <c r="Y79" s="561" t="s">
        <v>3879</v>
      </c>
      <c r="Z79" s="588">
        <v>1.4417</v>
      </c>
      <c r="AA79" s="475">
        <f t="shared" ref="AA79:AA86" si="38">Z79*I79</f>
        <v>432.51</v>
      </c>
      <c r="AB79" s="590"/>
      <c r="AC79" s="425" t="s">
        <v>5391</v>
      </c>
      <c r="AD79" s="591" t="s">
        <v>128</v>
      </c>
      <c r="AE79" s="477" t="s">
        <v>4930</v>
      </c>
      <c r="AF79" s="425">
        <v>300</v>
      </c>
      <c r="AG79" s="425">
        <f t="shared" si="29"/>
        <v>0</v>
      </c>
      <c r="AH79" s="425" t="s">
        <v>4335</v>
      </c>
      <c r="AI79" s="606"/>
      <c r="AJ79" s="488">
        <f t="shared" si="35"/>
        <v>300</v>
      </c>
      <c r="AK79" s="488"/>
      <c r="AL79" s="489"/>
      <c r="AM79" s="437">
        <f>I79</f>
        <v>300</v>
      </c>
      <c r="AN79" s="437"/>
      <c r="AO79" s="437"/>
      <c r="AP79" s="439">
        <f t="shared" si="36"/>
        <v>300</v>
      </c>
      <c r="AQ79" s="439"/>
      <c r="AR79" s="437"/>
      <c r="AS79" s="439">
        <f t="shared" si="30"/>
        <v>270.625</v>
      </c>
      <c r="AT79" s="504">
        <f t="shared" si="37"/>
        <v>29.375</v>
      </c>
      <c r="AU79" s="619"/>
      <c r="AV79" s="620"/>
      <c r="AW79" s="620"/>
      <c r="AX79" s="630"/>
      <c r="AY79" s="631"/>
      <c r="AZ79" s="631"/>
      <c r="BA79" s="512"/>
      <c r="BB79" s="512">
        <f>I79/25</f>
        <v>12</v>
      </c>
      <c r="BC79" s="631"/>
      <c r="BD79" s="631"/>
      <c r="BE79" s="631"/>
      <c r="BF79" s="631"/>
      <c r="BG79" s="631"/>
      <c r="BH79" s="631"/>
      <c r="BI79" s="631"/>
      <c r="BJ79" s="631"/>
      <c r="BK79" s="631"/>
      <c r="BL79" s="631"/>
      <c r="BM79" s="631"/>
      <c r="BN79" s="631"/>
      <c r="BQ79" s="3">
        <f t="shared" si="26"/>
        <v>674240</v>
      </c>
    </row>
    <row r="80" s="400" customFormat="1" ht="36" hidden="1" customHeight="1" spans="1:69">
      <c r="A80" s="427">
        <v>46003</v>
      </c>
      <c r="B80" s="421" t="s">
        <v>189</v>
      </c>
      <c r="C80" s="422" t="s">
        <v>190</v>
      </c>
      <c r="D80" s="428">
        <v>4500188871</v>
      </c>
      <c r="E80" s="424">
        <v>21347328</v>
      </c>
      <c r="F80" s="516" t="s">
        <v>5775</v>
      </c>
      <c r="G80" s="425" t="s">
        <v>5066</v>
      </c>
      <c r="H80" s="426" t="s">
        <v>5048</v>
      </c>
      <c r="I80" s="437">
        <v>2392</v>
      </c>
      <c r="J80" s="438">
        <v>0</v>
      </c>
      <c r="K80" s="425">
        <v>13</v>
      </c>
      <c r="L80" s="439">
        <f t="shared" si="27"/>
        <v>184</v>
      </c>
      <c r="M80" s="440">
        <v>46048</v>
      </c>
      <c r="N80" s="440">
        <v>46046</v>
      </c>
      <c r="O80" s="441"/>
      <c r="P80" s="561" t="s">
        <v>92</v>
      </c>
      <c r="Q80" s="441" t="s">
        <v>5920</v>
      </c>
      <c r="R80" s="449">
        <v>46017</v>
      </c>
      <c r="S80" s="441" t="s">
        <v>123</v>
      </c>
      <c r="T80" s="455" t="s">
        <v>5776</v>
      </c>
      <c r="U80" s="441"/>
      <c r="V80" s="441"/>
      <c r="W80" s="441"/>
      <c r="X80" s="424" t="s">
        <v>5777</v>
      </c>
      <c r="Y80" s="441" t="s">
        <v>5774</v>
      </c>
      <c r="Z80" s="474">
        <v>1.449</v>
      </c>
      <c r="AA80" s="475">
        <f t="shared" si="38"/>
        <v>3466.008</v>
      </c>
      <c r="AB80" s="476"/>
      <c r="AC80" s="478" t="s">
        <v>5066</v>
      </c>
      <c r="AD80" s="477" t="s">
        <v>128</v>
      </c>
      <c r="AE80" s="477" t="s">
        <v>4930</v>
      </c>
      <c r="AF80" s="425">
        <v>2392</v>
      </c>
      <c r="AG80" s="425">
        <f t="shared" si="29"/>
        <v>0</v>
      </c>
      <c r="AH80" s="425" t="s">
        <v>4335</v>
      </c>
      <c r="AI80" s="478"/>
      <c r="AJ80" s="488">
        <f t="shared" si="35"/>
        <v>2392</v>
      </c>
      <c r="AK80" s="493"/>
      <c r="AL80" s="494">
        <f>I80</f>
        <v>2392</v>
      </c>
      <c r="AM80" s="490"/>
      <c r="AN80" s="437"/>
      <c r="AO80" s="437"/>
      <c r="AP80" s="439">
        <f t="shared" si="36"/>
        <v>2392</v>
      </c>
      <c r="AQ80" s="439"/>
      <c r="AR80" s="437"/>
      <c r="AS80" s="439">
        <f t="shared" si="30"/>
        <v>2157.78333333333</v>
      </c>
      <c r="AT80" s="504">
        <f t="shared" si="37"/>
        <v>234.216666666667</v>
      </c>
      <c r="AU80" s="490"/>
      <c r="AV80" s="490"/>
      <c r="AW80" s="490"/>
      <c r="AX80" s="512">
        <f>I80/13</f>
        <v>184</v>
      </c>
      <c r="AY80" s="512"/>
      <c r="AZ80" s="512"/>
      <c r="BA80" s="512"/>
      <c r="BB80" s="512"/>
      <c r="BC80" s="512"/>
      <c r="BD80" s="512"/>
      <c r="BE80" s="512"/>
      <c r="BF80" s="512"/>
      <c r="BG80" s="512"/>
      <c r="BH80" s="512"/>
      <c r="BI80" s="512"/>
      <c r="BJ80" s="512"/>
      <c r="BK80" s="512"/>
      <c r="BL80" s="512"/>
      <c r="BM80" s="512"/>
      <c r="BN80" s="512"/>
      <c r="BQ80" s="400">
        <f t="shared" si="26"/>
        <v>676632</v>
      </c>
    </row>
    <row r="81" s="400" customFormat="1" ht="36" hidden="1" customHeight="1" spans="1:69">
      <c r="A81" s="427">
        <v>46003</v>
      </c>
      <c r="B81" s="421" t="s">
        <v>189</v>
      </c>
      <c r="C81" s="422" t="s">
        <v>190</v>
      </c>
      <c r="D81" s="428">
        <v>4500188871</v>
      </c>
      <c r="E81" s="424">
        <v>21359941</v>
      </c>
      <c r="F81" s="428" t="s">
        <v>5778</v>
      </c>
      <c r="G81" s="425" t="s">
        <v>5066</v>
      </c>
      <c r="H81" s="426" t="s">
        <v>5048</v>
      </c>
      <c r="I81" s="437">
        <v>1963</v>
      </c>
      <c r="J81" s="438">
        <v>0</v>
      </c>
      <c r="K81" s="425">
        <v>13</v>
      </c>
      <c r="L81" s="439">
        <f t="shared" si="27"/>
        <v>151</v>
      </c>
      <c r="M81" s="440">
        <v>46048</v>
      </c>
      <c r="N81" s="440">
        <v>46046</v>
      </c>
      <c r="O81" s="441"/>
      <c r="P81" s="561" t="s">
        <v>92</v>
      </c>
      <c r="Q81" s="441" t="s">
        <v>5920</v>
      </c>
      <c r="R81" s="449">
        <v>46017</v>
      </c>
      <c r="S81" s="441" t="s">
        <v>123</v>
      </c>
      <c r="T81" s="455" t="s">
        <v>5776</v>
      </c>
      <c r="U81" s="441"/>
      <c r="V81" s="441"/>
      <c r="W81" s="441"/>
      <c r="X81" s="424" t="s">
        <v>5777</v>
      </c>
      <c r="Y81" s="441" t="s">
        <v>5774</v>
      </c>
      <c r="Z81" s="474">
        <v>1.449</v>
      </c>
      <c r="AA81" s="475">
        <f t="shared" si="38"/>
        <v>2844.387</v>
      </c>
      <c r="AB81" s="476"/>
      <c r="AC81" s="478" t="s">
        <v>5066</v>
      </c>
      <c r="AD81" s="477" t="s">
        <v>128</v>
      </c>
      <c r="AE81" s="477" t="s">
        <v>4930</v>
      </c>
      <c r="AF81" s="425">
        <v>1963</v>
      </c>
      <c r="AG81" s="425">
        <f t="shared" si="29"/>
        <v>0</v>
      </c>
      <c r="AH81" s="425" t="s">
        <v>4335</v>
      </c>
      <c r="AI81" s="478"/>
      <c r="AJ81" s="488">
        <f t="shared" si="35"/>
        <v>1963</v>
      </c>
      <c r="AK81" s="493"/>
      <c r="AL81" s="494">
        <f>I81</f>
        <v>1963</v>
      </c>
      <c r="AM81" s="490"/>
      <c r="AN81" s="437"/>
      <c r="AO81" s="437"/>
      <c r="AP81" s="439">
        <f t="shared" si="36"/>
        <v>1963</v>
      </c>
      <c r="AQ81" s="439"/>
      <c r="AR81" s="437"/>
      <c r="AS81" s="439">
        <f t="shared" si="30"/>
        <v>1770.78958333333</v>
      </c>
      <c r="AT81" s="504">
        <f t="shared" si="37"/>
        <v>192.210416666667</v>
      </c>
      <c r="AU81" s="490"/>
      <c r="AV81" s="490"/>
      <c r="AW81" s="490"/>
      <c r="AX81" s="512">
        <f>I81/13</f>
        <v>151</v>
      </c>
      <c r="AY81" s="512"/>
      <c r="AZ81" s="512"/>
      <c r="BA81" s="512"/>
      <c r="BB81" s="512"/>
      <c r="BC81" s="512"/>
      <c r="BD81" s="512"/>
      <c r="BE81" s="512"/>
      <c r="BF81" s="512"/>
      <c r="BG81" s="512"/>
      <c r="BH81" s="512"/>
      <c r="BI81" s="512"/>
      <c r="BJ81" s="512"/>
      <c r="BK81" s="512"/>
      <c r="BL81" s="512"/>
      <c r="BM81" s="512"/>
      <c r="BN81" s="512"/>
      <c r="BQ81" s="400">
        <f t="shared" si="26"/>
        <v>678595</v>
      </c>
    </row>
    <row r="82" s="400" customFormat="1" ht="36" hidden="1" customHeight="1" spans="1:69">
      <c r="A82" s="427">
        <v>46003</v>
      </c>
      <c r="B82" s="421" t="s">
        <v>189</v>
      </c>
      <c r="C82" s="422" t="s">
        <v>190</v>
      </c>
      <c r="D82" s="428">
        <v>4500188871</v>
      </c>
      <c r="E82" s="424">
        <v>21359942</v>
      </c>
      <c r="F82" s="428" t="s">
        <v>5779</v>
      </c>
      <c r="G82" s="425" t="s">
        <v>5066</v>
      </c>
      <c r="H82" s="426" t="s">
        <v>5048</v>
      </c>
      <c r="I82" s="437">
        <v>1508</v>
      </c>
      <c r="J82" s="438">
        <v>0</v>
      </c>
      <c r="K82" s="425">
        <v>13</v>
      </c>
      <c r="L82" s="439">
        <f t="shared" si="27"/>
        <v>116</v>
      </c>
      <c r="M82" s="440">
        <v>46048</v>
      </c>
      <c r="N82" s="440">
        <v>46046</v>
      </c>
      <c r="O82" s="441"/>
      <c r="P82" s="561" t="s">
        <v>92</v>
      </c>
      <c r="Q82" s="441" t="s">
        <v>5920</v>
      </c>
      <c r="R82" s="449">
        <v>46017</v>
      </c>
      <c r="S82" s="441" t="s">
        <v>123</v>
      </c>
      <c r="T82" s="455" t="s">
        <v>5776</v>
      </c>
      <c r="U82" s="441"/>
      <c r="V82" s="441"/>
      <c r="W82" s="441"/>
      <c r="X82" s="424" t="s">
        <v>5777</v>
      </c>
      <c r="Y82" s="441" t="s">
        <v>5774</v>
      </c>
      <c r="Z82" s="474">
        <v>1.449</v>
      </c>
      <c r="AA82" s="475">
        <f t="shared" si="38"/>
        <v>2185.092</v>
      </c>
      <c r="AB82" s="476"/>
      <c r="AC82" s="478" t="s">
        <v>5066</v>
      </c>
      <c r="AD82" s="477" t="s">
        <v>128</v>
      </c>
      <c r="AE82" s="477" t="s">
        <v>4930</v>
      </c>
      <c r="AF82" s="425">
        <v>1508</v>
      </c>
      <c r="AG82" s="425">
        <f t="shared" si="29"/>
        <v>0</v>
      </c>
      <c r="AH82" s="425" t="s">
        <v>4335</v>
      </c>
      <c r="AI82" s="478"/>
      <c r="AJ82" s="488">
        <f t="shared" si="35"/>
        <v>1508</v>
      </c>
      <c r="AK82" s="493"/>
      <c r="AL82" s="494">
        <f>I82</f>
        <v>1508</v>
      </c>
      <c r="AM82" s="490"/>
      <c r="AN82" s="437"/>
      <c r="AO82" s="437"/>
      <c r="AP82" s="439">
        <f t="shared" si="36"/>
        <v>1508</v>
      </c>
      <c r="AQ82" s="439"/>
      <c r="AR82" s="437"/>
      <c r="AS82" s="439">
        <f t="shared" si="30"/>
        <v>1360.34166666667</v>
      </c>
      <c r="AT82" s="504">
        <f t="shared" si="37"/>
        <v>147.658333333333</v>
      </c>
      <c r="AU82" s="490"/>
      <c r="AV82" s="490"/>
      <c r="AW82" s="490"/>
      <c r="AX82" s="512">
        <f>I82/13</f>
        <v>116</v>
      </c>
      <c r="AY82" s="512"/>
      <c r="AZ82" s="512"/>
      <c r="BA82" s="512"/>
      <c r="BB82" s="512"/>
      <c r="BC82" s="512"/>
      <c r="BD82" s="512"/>
      <c r="BE82" s="512"/>
      <c r="BF82" s="512"/>
      <c r="BG82" s="512"/>
      <c r="BH82" s="512"/>
      <c r="BI82" s="512"/>
      <c r="BJ82" s="512"/>
      <c r="BK82" s="512"/>
      <c r="BL82" s="512"/>
      <c r="BM82" s="512"/>
      <c r="BN82" s="512"/>
      <c r="BQ82" s="400">
        <f t="shared" si="26"/>
        <v>680103</v>
      </c>
    </row>
    <row r="83" s="400" customFormat="1" ht="36" hidden="1" customHeight="1" spans="1:69">
      <c r="A83" s="427">
        <v>46003</v>
      </c>
      <c r="B83" s="421" t="s">
        <v>232</v>
      </c>
      <c r="C83" s="422" t="s">
        <v>233</v>
      </c>
      <c r="D83" s="428">
        <v>4500188875</v>
      </c>
      <c r="E83" s="424">
        <v>21347329</v>
      </c>
      <c r="F83" s="428" t="s">
        <v>5780</v>
      </c>
      <c r="G83" s="425" t="s">
        <v>5066</v>
      </c>
      <c r="H83" s="426" t="s">
        <v>5048</v>
      </c>
      <c r="I83" s="437">
        <v>143</v>
      </c>
      <c r="J83" s="438">
        <v>0</v>
      </c>
      <c r="K83" s="425">
        <v>13</v>
      </c>
      <c r="L83" s="439">
        <f t="shared" si="27"/>
        <v>11</v>
      </c>
      <c r="M83" s="440">
        <v>46048</v>
      </c>
      <c r="N83" s="440">
        <v>46046</v>
      </c>
      <c r="O83" s="441"/>
      <c r="P83" s="561" t="s">
        <v>92</v>
      </c>
      <c r="Q83" s="441" t="s">
        <v>5920</v>
      </c>
      <c r="R83" s="449">
        <v>46017</v>
      </c>
      <c r="S83" s="441" t="s">
        <v>123</v>
      </c>
      <c r="T83" s="455" t="s">
        <v>5776</v>
      </c>
      <c r="U83" s="441"/>
      <c r="V83" s="441"/>
      <c r="W83" s="441"/>
      <c r="X83" s="424" t="s">
        <v>5781</v>
      </c>
      <c r="Y83" s="441" t="s">
        <v>5782</v>
      </c>
      <c r="Z83" s="474">
        <v>1.449</v>
      </c>
      <c r="AA83" s="475">
        <f t="shared" si="38"/>
        <v>207.207</v>
      </c>
      <c r="AB83" s="476"/>
      <c r="AC83" s="478" t="s">
        <v>5066</v>
      </c>
      <c r="AD83" s="477" t="s">
        <v>128</v>
      </c>
      <c r="AE83" s="477" t="s">
        <v>4930</v>
      </c>
      <c r="AF83" s="425">
        <v>143</v>
      </c>
      <c r="AG83" s="425">
        <f t="shared" si="29"/>
        <v>0</v>
      </c>
      <c r="AH83" s="425" t="s">
        <v>4335</v>
      </c>
      <c r="AI83" s="478"/>
      <c r="AJ83" s="488">
        <f t="shared" si="35"/>
        <v>143</v>
      </c>
      <c r="AK83" s="493"/>
      <c r="AL83" s="494">
        <f>I83</f>
        <v>143</v>
      </c>
      <c r="AM83" s="490"/>
      <c r="AN83" s="437"/>
      <c r="AO83" s="437"/>
      <c r="AP83" s="439">
        <f t="shared" si="36"/>
        <v>143</v>
      </c>
      <c r="AQ83" s="439"/>
      <c r="AR83" s="437"/>
      <c r="AS83" s="439">
        <f t="shared" si="30"/>
        <v>128.997916666667</v>
      </c>
      <c r="AT83" s="504">
        <f t="shared" si="37"/>
        <v>14.0020833333333</v>
      </c>
      <c r="AU83" s="490"/>
      <c r="AV83" s="490"/>
      <c r="AW83" s="490"/>
      <c r="AX83" s="512">
        <f>I83/13</f>
        <v>11</v>
      </c>
      <c r="AY83" s="512"/>
      <c r="AZ83" s="512"/>
      <c r="BA83" s="512"/>
      <c r="BB83" s="512"/>
      <c r="BC83" s="512"/>
      <c r="BD83" s="512"/>
      <c r="BE83" s="512"/>
      <c r="BF83" s="512"/>
      <c r="BG83" s="512"/>
      <c r="BH83" s="512"/>
      <c r="BI83" s="512"/>
      <c r="BJ83" s="512"/>
      <c r="BK83" s="512"/>
      <c r="BL83" s="512"/>
      <c r="BM83" s="512"/>
      <c r="BN83" s="512"/>
      <c r="BQ83" s="400">
        <f t="shared" si="26"/>
        <v>680246</v>
      </c>
    </row>
    <row r="84" s="400" customFormat="1" ht="36" hidden="1" customHeight="1" spans="1:69">
      <c r="A84" s="427">
        <v>46007</v>
      </c>
      <c r="B84" s="421" t="s">
        <v>561</v>
      </c>
      <c r="C84" s="422" t="s">
        <v>190</v>
      </c>
      <c r="D84" s="428">
        <v>4500189146</v>
      </c>
      <c r="E84" s="424">
        <v>2568978</v>
      </c>
      <c r="F84" s="428" t="s">
        <v>5783</v>
      </c>
      <c r="G84" s="425" t="s">
        <v>5066</v>
      </c>
      <c r="H84" s="426" t="s">
        <v>5048</v>
      </c>
      <c r="I84" s="437">
        <v>4004</v>
      </c>
      <c r="J84" s="438">
        <v>0</v>
      </c>
      <c r="K84" s="425">
        <v>13</v>
      </c>
      <c r="L84" s="439">
        <f t="shared" si="27"/>
        <v>308</v>
      </c>
      <c r="M84" s="440">
        <v>46048</v>
      </c>
      <c r="N84" s="440">
        <v>46046</v>
      </c>
      <c r="O84" s="441"/>
      <c r="P84" s="561" t="s">
        <v>92</v>
      </c>
      <c r="Q84" s="441" t="s">
        <v>5920</v>
      </c>
      <c r="R84" s="456">
        <v>46007</v>
      </c>
      <c r="S84" s="441" t="s">
        <v>123</v>
      </c>
      <c r="T84" s="455" t="s">
        <v>5921</v>
      </c>
      <c r="U84" s="441"/>
      <c r="V84" s="441"/>
      <c r="W84" s="441"/>
      <c r="X84" s="424" t="s">
        <v>5785</v>
      </c>
      <c r="Y84" s="441" t="s">
        <v>3057</v>
      </c>
      <c r="Z84" s="474">
        <v>1.449</v>
      </c>
      <c r="AA84" s="475">
        <f t="shared" si="38"/>
        <v>5801.796</v>
      </c>
      <c r="AB84" s="476"/>
      <c r="AC84" s="478" t="s">
        <v>5066</v>
      </c>
      <c r="AD84" s="477" t="s">
        <v>128</v>
      </c>
      <c r="AE84" s="477" t="s">
        <v>4930</v>
      </c>
      <c r="AF84" s="425">
        <v>4004</v>
      </c>
      <c r="AG84" s="425">
        <f t="shared" si="29"/>
        <v>0</v>
      </c>
      <c r="AH84" s="425" t="s">
        <v>75</v>
      </c>
      <c r="AI84" s="478"/>
      <c r="AJ84" s="488">
        <f t="shared" si="35"/>
        <v>4004</v>
      </c>
      <c r="AK84" s="493"/>
      <c r="AL84" s="494">
        <f>I84</f>
        <v>4004</v>
      </c>
      <c r="AM84" s="490"/>
      <c r="AN84" s="437"/>
      <c r="AO84" s="437"/>
      <c r="AP84" s="439">
        <f t="shared" si="36"/>
        <v>4004</v>
      </c>
      <c r="AQ84" s="439"/>
      <c r="AR84" s="437"/>
      <c r="AS84" s="439">
        <f t="shared" si="30"/>
        <v>3611.94166666667</v>
      </c>
      <c r="AT84" s="504">
        <f t="shared" si="37"/>
        <v>392.058333333333</v>
      </c>
      <c r="AU84" s="490"/>
      <c r="AV84" s="490"/>
      <c r="AW84" s="490"/>
      <c r="AX84" s="512">
        <f>I84/13</f>
        <v>308</v>
      </c>
      <c r="AY84" s="512"/>
      <c r="AZ84" s="512"/>
      <c r="BA84" s="512"/>
      <c r="BB84" s="512"/>
      <c r="BC84" s="512"/>
      <c r="BD84" s="512"/>
      <c r="BE84" s="512"/>
      <c r="BF84" s="512"/>
      <c r="BG84" s="512"/>
      <c r="BH84" s="512"/>
      <c r="BI84" s="512"/>
      <c r="BJ84" s="512"/>
      <c r="BK84" s="512"/>
      <c r="BL84" s="512"/>
      <c r="BM84" s="512"/>
      <c r="BN84" s="512"/>
      <c r="BQ84" s="400">
        <f t="shared" si="26"/>
        <v>684250</v>
      </c>
    </row>
    <row r="85" s="200" customFormat="1" ht="36" hidden="1" customHeight="1" spans="1:69">
      <c r="A85" s="526">
        <v>46003</v>
      </c>
      <c r="B85" s="527" t="s">
        <v>3269</v>
      </c>
      <c r="C85" s="528" t="s">
        <v>3188</v>
      </c>
      <c r="D85" s="529">
        <v>4500188881</v>
      </c>
      <c r="E85" s="530"/>
      <c r="F85" s="529" t="s">
        <v>5802</v>
      </c>
      <c r="G85" s="531" t="s">
        <v>4970</v>
      </c>
      <c r="H85" s="532" t="s">
        <v>5144</v>
      </c>
      <c r="I85" s="401">
        <v>624</v>
      </c>
      <c r="J85" s="562">
        <v>0</v>
      </c>
      <c r="K85" s="531">
        <v>52</v>
      </c>
      <c r="L85" s="503">
        <f t="shared" si="27"/>
        <v>12</v>
      </c>
      <c r="M85" s="563">
        <v>46051</v>
      </c>
      <c r="N85" s="563">
        <v>46048</v>
      </c>
      <c r="O85" s="564" t="s">
        <v>878</v>
      </c>
      <c r="P85" s="564" t="s">
        <v>1262</v>
      </c>
      <c r="Q85" s="564" t="s">
        <v>5922</v>
      </c>
      <c r="R85" s="564">
        <v>46022</v>
      </c>
      <c r="S85" s="564" t="s">
        <v>77</v>
      </c>
      <c r="T85" s="578" t="s">
        <v>5803</v>
      </c>
      <c r="U85" s="564"/>
      <c r="V85" s="564"/>
      <c r="W85" s="564"/>
      <c r="X85" s="530" t="s">
        <v>5804</v>
      </c>
      <c r="Y85" s="564" t="s">
        <v>618</v>
      </c>
      <c r="Z85" s="592">
        <v>1.4181</v>
      </c>
      <c r="AA85" s="593">
        <f t="shared" si="38"/>
        <v>884.8944</v>
      </c>
      <c r="AB85" s="594"/>
      <c r="AC85" s="531" t="s">
        <v>5381</v>
      </c>
      <c r="AD85" s="595" t="s">
        <v>128</v>
      </c>
      <c r="AE85" s="595" t="s">
        <v>4930</v>
      </c>
      <c r="AF85" s="531">
        <v>624</v>
      </c>
      <c r="AG85" s="531">
        <f t="shared" si="29"/>
        <v>0</v>
      </c>
      <c r="AH85" s="531" t="s">
        <v>75</v>
      </c>
      <c r="AI85" s="607"/>
      <c r="AJ85" s="608">
        <f t="shared" si="35"/>
        <v>624</v>
      </c>
      <c r="AK85" s="608"/>
      <c r="AL85" s="609"/>
      <c r="AM85" s="401">
        <f>I85</f>
        <v>624</v>
      </c>
      <c r="AN85" s="401"/>
      <c r="AO85" s="401"/>
      <c r="AP85" s="503">
        <f t="shared" si="36"/>
        <v>624</v>
      </c>
      <c r="AQ85" s="503"/>
      <c r="AR85" s="609"/>
      <c r="AS85" s="503">
        <f t="shared" si="30"/>
        <v>562.9</v>
      </c>
      <c r="AT85" s="621">
        <f t="shared" si="37"/>
        <v>61.1</v>
      </c>
      <c r="AU85" s="615"/>
      <c r="AV85" s="616"/>
      <c r="AW85" s="616"/>
      <c r="AX85" s="632"/>
      <c r="AY85" s="633">
        <f>I85/13</f>
        <v>48</v>
      </c>
      <c r="AZ85" s="633"/>
      <c r="BA85" s="633"/>
      <c r="BB85" s="633"/>
      <c r="BC85" s="633"/>
      <c r="BD85" s="633"/>
      <c r="BE85" s="633"/>
      <c r="BF85" s="633"/>
      <c r="BG85" s="633"/>
      <c r="BH85" s="633"/>
      <c r="BI85" s="633"/>
      <c r="BJ85" s="633"/>
      <c r="BK85" s="633"/>
      <c r="BL85" s="633"/>
      <c r="BM85" s="633"/>
      <c r="BN85" s="633"/>
      <c r="BQ85" s="200">
        <f t="shared" ref="BQ85:BQ116" si="39">AJ85+BQ84</f>
        <v>684874</v>
      </c>
    </row>
    <row r="86" s="200" customFormat="1" ht="36" hidden="1" customHeight="1" spans="1:69">
      <c r="A86" s="533">
        <v>45965</v>
      </c>
      <c r="B86" s="527" t="s">
        <v>3273</v>
      </c>
      <c r="C86" s="528" t="s">
        <v>286</v>
      </c>
      <c r="D86" s="534">
        <v>4500184293</v>
      </c>
      <c r="E86" s="530"/>
      <c r="F86" s="534" t="s">
        <v>5812</v>
      </c>
      <c r="G86" s="531" t="s">
        <v>4974</v>
      </c>
      <c r="H86" s="532" t="s">
        <v>5205</v>
      </c>
      <c r="I86" s="401">
        <v>2500</v>
      </c>
      <c r="J86" s="562">
        <v>0</v>
      </c>
      <c r="K86" s="531">
        <v>50</v>
      </c>
      <c r="L86" s="503">
        <f t="shared" si="27"/>
        <v>50</v>
      </c>
      <c r="M86" s="563">
        <v>46007</v>
      </c>
      <c r="N86" s="563">
        <v>46049</v>
      </c>
      <c r="O86" s="564" t="s">
        <v>5813</v>
      </c>
      <c r="P86" s="564" t="s">
        <v>92</v>
      </c>
      <c r="Q86" s="564" t="s">
        <v>5893</v>
      </c>
      <c r="R86" s="579">
        <v>46026</v>
      </c>
      <c r="S86" s="578" t="s">
        <v>77</v>
      </c>
      <c r="T86" s="580" t="s">
        <v>5814</v>
      </c>
      <c r="U86" s="564"/>
      <c r="V86" s="564"/>
      <c r="W86" s="564"/>
      <c r="X86" s="530" t="s">
        <v>5815</v>
      </c>
      <c r="Y86" s="596" t="s">
        <v>290</v>
      </c>
      <c r="Z86" s="592">
        <v>1.55</v>
      </c>
      <c r="AA86" s="593">
        <f t="shared" si="38"/>
        <v>3875</v>
      </c>
      <c r="AB86" s="594"/>
      <c r="AC86" s="531" t="s">
        <v>5391</v>
      </c>
      <c r="AD86" s="595" t="s">
        <v>128</v>
      </c>
      <c r="AE86" s="595" t="s">
        <v>4930</v>
      </c>
      <c r="AF86" s="531">
        <f>2450+50</f>
        <v>2500</v>
      </c>
      <c r="AG86" s="531">
        <f t="shared" si="29"/>
        <v>0</v>
      </c>
      <c r="AH86" s="531" t="s">
        <v>4335</v>
      </c>
      <c r="AI86" s="610"/>
      <c r="AJ86" s="608">
        <f t="shared" ref="AJ67:AJ113" si="40">I86</f>
        <v>2500</v>
      </c>
      <c r="AK86" s="608"/>
      <c r="AL86" s="609"/>
      <c r="AM86" s="401">
        <f>I86</f>
        <v>2500</v>
      </c>
      <c r="AN86" s="609"/>
      <c r="AO86" s="609"/>
      <c r="AP86" s="503">
        <f t="shared" ref="AP86:AP113" si="41">I86</f>
        <v>2500</v>
      </c>
      <c r="AQ86" s="503"/>
      <c r="AR86" s="401"/>
      <c r="AS86" s="503">
        <f t="shared" ref="AS86:AS110" si="42">AP86-AT86</f>
        <v>2255.20833333333</v>
      </c>
      <c r="AT86" s="621">
        <f t="shared" ref="AT67:AT110" si="43">I86*(1-(1/48))/10</f>
        <v>244.791666666667</v>
      </c>
      <c r="AU86" s="609"/>
      <c r="AV86" s="609"/>
      <c r="AW86" s="609">
        <f>I86</f>
        <v>2500</v>
      </c>
      <c r="AX86" s="633"/>
      <c r="AY86" s="633"/>
      <c r="AZ86" s="633"/>
      <c r="BA86" s="633"/>
      <c r="BB86" s="633">
        <f>I86/25</f>
        <v>100</v>
      </c>
      <c r="BC86" s="633"/>
      <c r="BD86" s="633"/>
      <c r="BE86" s="633"/>
      <c r="BF86" s="633"/>
      <c r="BG86" s="633"/>
      <c r="BH86" s="633"/>
      <c r="BI86" s="633"/>
      <c r="BJ86" s="633"/>
      <c r="BK86" s="633"/>
      <c r="BL86" s="633"/>
      <c r="BM86" s="633"/>
      <c r="BN86" s="633"/>
      <c r="BQ86" s="200">
        <f t="shared" si="39"/>
        <v>687374</v>
      </c>
    </row>
    <row r="87" s="200" customFormat="1" ht="36" hidden="1" customHeight="1" spans="1:69">
      <c r="A87" s="533">
        <v>46016</v>
      </c>
      <c r="B87" s="535" t="s">
        <v>5816</v>
      </c>
      <c r="C87" s="536" t="s">
        <v>286</v>
      </c>
      <c r="D87" s="534">
        <v>4500190045</v>
      </c>
      <c r="E87" s="530"/>
      <c r="F87" s="537" t="s">
        <v>5817</v>
      </c>
      <c r="G87" s="538" t="s">
        <v>4974</v>
      </c>
      <c r="H87" s="539" t="s">
        <v>5205</v>
      </c>
      <c r="I87" s="565">
        <v>2500</v>
      </c>
      <c r="J87" s="566">
        <v>0</v>
      </c>
      <c r="K87" s="538">
        <v>50</v>
      </c>
      <c r="L87" s="567">
        <f t="shared" si="27"/>
        <v>50</v>
      </c>
      <c r="M87" s="568">
        <v>46055</v>
      </c>
      <c r="N87" s="568">
        <v>46051</v>
      </c>
      <c r="O87" s="569"/>
      <c r="P87" s="569" t="s">
        <v>92</v>
      </c>
      <c r="Q87" s="569" t="s">
        <v>5923</v>
      </c>
      <c r="R87" s="579">
        <v>46021</v>
      </c>
      <c r="S87" s="579" t="s">
        <v>77</v>
      </c>
      <c r="T87" s="581" t="s">
        <v>5818</v>
      </c>
      <c r="U87" s="569"/>
      <c r="V87" s="569"/>
      <c r="W87" s="569"/>
      <c r="X87" s="582" t="s">
        <v>5819</v>
      </c>
      <c r="Y87" s="569" t="s">
        <v>290</v>
      </c>
      <c r="Z87" s="597">
        <v>1.4535</v>
      </c>
      <c r="AA87" s="598">
        <f t="shared" ref="AA87:AA108" si="44">Z87*I87</f>
        <v>3633.75</v>
      </c>
      <c r="AB87" s="599"/>
      <c r="AC87" s="531" t="s">
        <v>5391</v>
      </c>
      <c r="AD87" s="595" t="s">
        <v>128</v>
      </c>
      <c r="AE87" s="595" t="s">
        <v>4930</v>
      </c>
      <c r="AF87" s="531">
        <f>2350+150</f>
        <v>2500</v>
      </c>
      <c r="AG87" s="531">
        <f t="shared" si="29"/>
        <v>0</v>
      </c>
      <c r="AH87" s="538" t="s">
        <v>4335</v>
      </c>
      <c r="AI87" s="611"/>
      <c r="AJ87" s="612">
        <f t="shared" si="40"/>
        <v>2500</v>
      </c>
      <c r="AK87" s="612"/>
      <c r="AL87" s="613"/>
      <c r="AM87" s="401">
        <f>I87</f>
        <v>2500</v>
      </c>
      <c r="AN87" s="401"/>
      <c r="AO87" s="401"/>
      <c r="AP87" s="503">
        <f t="shared" si="41"/>
        <v>2500</v>
      </c>
      <c r="AQ87" s="503"/>
      <c r="AR87" s="401"/>
      <c r="AS87" s="503">
        <f t="shared" si="42"/>
        <v>2255.20833333333</v>
      </c>
      <c r="AT87" s="621">
        <f t="shared" si="43"/>
        <v>244.791666666667</v>
      </c>
      <c r="AU87" s="622"/>
      <c r="AV87" s="623"/>
      <c r="AW87" s="623">
        <f>I87</f>
        <v>2500</v>
      </c>
      <c r="AX87" s="634"/>
      <c r="AY87" s="635"/>
      <c r="AZ87" s="635"/>
      <c r="BA87" s="635"/>
      <c r="BB87" s="633">
        <f>I87/25</f>
        <v>100</v>
      </c>
      <c r="BC87" s="635"/>
      <c r="BD87" s="635"/>
      <c r="BE87" s="635"/>
      <c r="BF87" s="635"/>
      <c r="BG87" s="635"/>
      <c r="BH87" s="635"/>
      <c r="BI87" s="635"/>
      <c r="BJ87" s="635"/>
      <c r="BK87" s="635"/>
      <c r="BL87" s="635"/>
      <c r="BM87" s="635"/>
      <c r="BN87" s="635"/>
      <c r="BQ87" s="200">
        <f t="shared" si="39"/>
        <v>689874</v>
      </c>
    </row>
    <row r="88" s="401" customFormat="1" ht="36" hidden="1" customHeight="1" spans="1:69">
      <c r="A88" s="540">
        <v>46015</v>
      </c>
      <c r="B88" s="541" t="s">
        <v>1500</v>
      </c>
      <c r="C88" s="542" t="s">
        <v>351</v>
      </c>
      <c r="D88" s="543">
        <v>4500189941</v>
      </c>
      <c r="E88" s="541" t="s">
        <v>5820</v>
      </c>
      <c r="F88" s="543" t="s">
        <v>5821</v>
      </c>
      <c r="G88" s="531" t="s">
        <v>5066</v>
      </c>
      <c r="H88" s="532" t="s">
        <v>5048</v>
      </c>
      <c r="I88" s="401">
        <v>780</v>
      </c>
      <c r="J88" s="562">
        <v>0</v>
      </c>
      <c r="K88" s="531">
        <v>13</v>
      </c>
      <c r="L88" s="503">
        <f t="shared" si="27"/>
        <v>60</v>
      </c>
      <c r="M88" s="563">
        <v>46055</v>
      </c>
      <c r="N88" s="563">
        <v>46051</v>
      </c>
      <c r="O88" s="564"/>
      <c r="P88" s="564" t="s">
        <v>1262</v>
      </c>
      <c r="Q88" s="564" t="s">
        <v>5884</v>
      </c>
      <c r="R88" s="583">
        <v>46027</v>
      </c>
      <c r="S88" s="583" t="s">
        <v>77</v>
      </c>
      <c r="T88" s="584" t="s">
        <v>5822</v>
      </c>
      <c r="U88" s="564"/>
      <c r="V88" s="564"/>
      <c r="W88" s="564"/>
      <c r="X88" s="530" t="s">
        <v>5823</v>
      </c>
      <c r="Y88" s="596" t="s">
        <v>4238</v>
      </c>
      <c r="Z88" s="592">
        <v>1.4191</v>
      </c>
      <c r="AA88" s="593">
        <f t="shared" si="44"/>
        <v>1106.898</v>
      </c>
      <c r="AB88" s="594"/>
      <c r="AC88" s="531" t="s">
        <v>5052</v>
      </c>
      <c r="AD88" s="595" t="s">
        <v>128</v>
      </c>
      <c r="AE88" s="595" t="s">
        <v>4930</v>
      </c>
      <c r="AF88" s="531">
        <v>780</v>
      </c>
      <c r="AG88" s="531">
        <f t="shared" si="29"/>
        <v>0</v>
      </c>
      <c r="AH88" s="531" t="s">
        <v>4335</v>
      </c>
      <c r="AI88" s="607"/>
      <c r="AJ88" s="608">
        <f t="shared" si="40"/>
        <v>780</v>
      </c>
      <c r="AK88" s="614"/>
      <c r="AL88" s="615"/>
      <c r="AM88" s="616">
        <f>I88</f>
        <v>780</v>
      </c>
      <c r="AN88" s="615"/>
      <c r="AO88" s="615"/>
      <c r="AP88" s="503">
        <f t="shared" si="41"/>
        <v>780</v>
      </c>
      <c r="AQ88" s="503"/>
      <c r="AS88" s="503">
        <f t="shared" si="42"/>
        <v>703.625</v>
      </c>
      <c r="AT88" s="621">
        <f t="shared" si="43"/>
        <v>76.375</v>
      </c>
      <c r="AU88" s="609"/>
      <c r="AV88" s="616"/>
      <c r="AW88" s="616"/>
      <c r="AX88" s="632"/>
      <c r="AY88" s="633">
        <f>I88/13</f>
        <v>60</v>
      </c>
      <c r="AZ88" s="633"/>
      <c r="BA88" s="633"/>
      <c r="BB88" s="633"/>
      <c r="BC88" s="633"/>
      <c r="BD88" s="633"/>
      <c r="BE88" s="633"/>
      <c r="BF88" s="633"/>
      <c r="BG88" s="633"/>
      <c r="BH88" s="633"/>
      <c r="BI88" s="633"/>
      <c r="BJ88" s="633"/>
      <c r="BK88" s="633"/>
      <c r="BL88" s="633"/>
      <c r="BM88" s="633"/>
      <c r="BN88" s="633"/>
      <c r="BQ88" s="200">
        <f t="shared" si="39"/>
        <v>690654</v>
      </c>
    </row>
    <row r="89" s="401" customFormat="1" ht="36" hidden="1" customHeight="1" spans="1:69">
      <c r="A89" s="540">
        <v>46015</v>
      </c>
      <c r="B89" s="541" t="s">
        <v>4198</v>
      </c>
      <c r="C89" s="542" t="s">
        <v>1087</v>
      </c>
      <c r="D89" s="543">
        <v>4500189773</v>
      </c>
      <c r="E89" s="541" t="s">
        <v>5824</v>
      </c>
      <c r="F89" s="543" t="s">
        <v>5825</v>
      </c>
      <c r="G89" s="531" t="s">
        <v>4974</v>
      </c>
      <c r="H89" s="539" t="s">
        <v>5205</v>
      </c>
      <c r="I89" s="565">
        <v>2750</v>
      </c>
      <c r="J89" s="566">
        <v>0</v>
      </c>
      <c r="K89" s="538">
        <v>50</v>
      </c>
      <c r="L89" s="567">
        <f t="shared" si="27"/>
        <v>55</v>
      </c>
      <c r="M89" s="563">
        <v>46080</v>
      </c>
      <c r="N89" s="570">
        <v>46055</v>
      </c>
      <c r="O89" s="564"/>
      <c r="P89" s="564" t="s">
        <v>92</v>
      </c>
      <c r="Q89" s="564"/>
      <c r="R89" s="579">
        <v>46026</v>
      </c>
      <c r="S89" s="579" t="s">
        <v>77</v>
      </c>
      <c r="T89" s="581" t="s">
        <v>5924</v>
      </c>
      <c r="U89" s="564"/>
      <c r="V89" s="564"/>
      <c r="W89" s="564"/>
      <c r="X89" s="582" t="s">
        <v>5827</v>
      </c>
      <c r="Y89" s="596" t="s">
        <v>618</v>
      </c>
      <c r="Z89" s="597">
        <v>1.4535</v>
      </c>
      <c r="AA89" s="598">
        <f t="shared" si="44"/>
        <v>3997.125</v>
      </c>
      <c r="AB89" s="594"/>
      <c r="AC89" s="531" t="s">
        <v>5391</v>
      </c>
      <c r="AD89" s="595" t="s">
        <v>128</v>
      </c>
      <c r="AE89" s="595" t="s">
        <v>4930</v>
      </c>
      <c r="AF89" s="531">
        <f>2700+50</f>
        <v>2750</v>
      </c>
      <c r="AG89" s="531">
        <f t="shared" si="29"/>
        <v>0</v>
      </c>
      <c r="AH89" s="531" t="s">
        <v>4335</v>
      </c>
      <c r="AI89" s="607"/>
      <c r="AJ89" s="612">
        <f t="shared" si="40"/>
        <v>2750</v>
      </c>
      <c r="AK89" s="612"/>
      <c r="AL89" s="609"/>
      <c r="AM89" s="401">
        <f>I89</f>
        <v>2750</v>
      </c>
      <c r="AP89" s="503">
        <f t="shared" si="41"/>
        <v>2750</v>
      </c>
      <c r="AQ89" s="503"/>
      <c r="AS89" s="503">
        <f t="shared" si="42"/>
        <v>2480.72916666667</v>
      </c>
      <c r="AT89" s="621">
        <f t="shared" si="43"/>
        <v>269.270833333333</v>
      </c>
      <c r="AU89" s="609"/>
      <c r="AV89" s="609"/>
      <c r="AW89" s="609"/>
      <c r="AX89" s="633"/>
      <c r="AY89" s="633"/>
      <c r="AZ89" s="633"/>
      <c r="BA89" s="633"/>
      <c r="BB89" s="633">
        <f>I89/25</f>
        <v>110</v>
      </c>
      <c r="BC89" s="633"/>
      <c r="BD89" s="633"/>
      <c r="BE89" s="633"/>
      <c r="BF89" s="633"/>
      <c r="BG89" s="633"/>
      <c r="BH89" s="633"/>
      <c r="BI89" s="633"/>
      <c r="BJ89" s="633"/>
      <c r="BK89" s="633"/>
      <c r="BL89" s="633"/>
      <c r="BM89" s="633"/>
      <c r="BN89" s="633"/>
      <c r="BQ89" s="200">
        <f t="shared" si="39"/>
        <v>693404</v>
      </c>
    </row>
    <row r="90" s="400" customFormat="1" ht="36" hidden="1" customHeight="1" spans="1:69">
      <c r="A90" s="427">
        <v>46016</v>
      </c>
      <c r="B90" s="421" t="s">
        <v>4976</v>
      </c>
      <c r="C90" s="422" t="s">
        <v>117</v>
      </c>
      <c r="D90" s="544">
        <v>4500189983</v>
      </c>
      <c r="E90" s="1692" t="s">
        <v>5839</v>
      </c>
      <c r="F90" s="428" t="s">
        <v>5840</v>
      </c>
      <c r="G90" s="425" t="s">
        <v>4979</v>
      </c>
      <c r="H90" s="426" t="s">
        <v>4980</v>
      </c>
      <c r="I90" s="437">
        <v>960</v>
      </c>
      <c r="J90" s="438">
        <v>0</v>
      </c>
      <c r="K90" s="425">
        <v>16</v>
      </c>
      <c r="L90" s="439">
        <f t="shared" si="27"/>
        <v>60</v>
      </c>
      <c r="M90" s="440">
        <v>46055</v>
      </c>
      <c r="N90" s="440">
        <v>46055</v>
      </c>
      <c r="O90" s="441" t="s">
        <v>5925</v>
      </c>
      <c r="P90" s="571" t="s">
        <v>92</v>
      </c>
      <c r="Q90" s="441" t="s">
        <v>5926</v>
      </c>
      <c r="R90" s="441" t="s">
        <v>1102</v>
      </c>
      <c r="S90" s="441" t="s">
        <v>123</v>
      </c>
      <c r="T90" s="448" t="s">
        <v>5830</v>
      </c>
      <c r="U90" s="441" t="s">
        <v>4983</v>
      </c>
      <c r="V90" s="441"/>
      <c r="W90" s="441"/>
      <c r="X90" s="424" t="s">
        <v>5841</v>
      </c>
      <c r="Y90" s="441" t="s">
        <v>634</v>
      </c>
      <c r="Z90" s="474">
        <v>0.9059</v>
      </c>
      <c r="AA90" s="475">
        <f t="shared" si="44"/>
        <v>869.664</v>
      </c>
      <c r="AB90" s="476"/>
      <c r="AC90" s="425" t="s">
        <v>4979</v>
      </c>
      <c r="AD90" s="600" t="s">
        <v>128</v>
      </c>
      <c r="AE90" s="477" t="s">
        <v>4930</v>
      </c>
      <c r="AF90" s="425">
        <v>960</v>
      </c>
      <c r="AG90" s="425">
        <f t="shared" si="29"/>
        <v>0</v>
      </c>
      <c r="AH90" s="425" t="s">
        <v>4335</v>
      </c>
      <c r="AI90" s="478"/>
      <c r="AJ90" s="488">
        <f t="shared" si="40"/>
        <v>960</v>
      </c>
      <c r="AK90" s="488"/>
      <c r="AL90" s="489">
        <f t="shared" ref="AL90:AL96" si="45">I90</f>
        <v>960</v>
      </c>
      <c r="AM90" s="490"/>
      <c r="AN90" s="490"/>
      <c r="AO90" s="490"/>
      <c r="AP90" s="439">
        <f t="shared" si="41"/>
        <v>960</v>
      </c>
      <c r="AQ90" s="506"/>
      <c r="AR90" s="490"/>
      <c r="AS90" s="439">
        <f t="shared" si="42"/>
        <v>866</v>
      </c>
      <c r="AT90" s="504">
        <f t="shared" si="43"/>
        <v>94</v>
      </c>
      <c r="AU90" s="492"/>
      <c r="AV90" s="490"/>
      <c r="AW90" s="490"/>
      <c r="AX90" s="513"/>
      <c r="AY90" s="512"/>
      <c r="AZ90" s="512"/>
      <c r="BA90" s="512"/>
      <c r="BB90" s="512"/>
      <c r="BC90" s="512">
        <f t="shared" ref="BC90:BC96" si="46">I90/16</f>
        <v>60</v>
      </c>
      <c r="BD90" s="512"/>
      <c r="BE90" s="512"/>
      <c r="BF90" s="512"/>
      <c r="BG90" s="512"/>
      <c r="BH90" s="512"/>
      <c r="BI90" s="512"/>
      <c r="BJ90" s="512"/>
      <c r="BK90" s="512"/>
      <c r="BL90" s="512"/>
      <c r="BM90" s="512"/>
      <c r="BN90" s="512"/>
      <c r="BQ90" s="400">
        <f>AJ90+BQ96</f>
        <v>699164</v>
      </c>
    </row>
    <row r="91" s="400" customFormat="1" ht="36" hidden="1" customHeight="1" spans="1:69">
      <c r="A91" s="427">
        <v>46016</v>
      </c>
      <c r="B91" s="421" t="s">
        <v>4976</v>
      </c>
      <c r="C91" s="422" t="s">
        <v>117</v>
      </c>
      <c r="D91" s="544">
        <v>4500189983</v>
      </c>
      <c r="E91" s="1692" t="s">
        <v>5842</v>
      </c>
      <c r="F91" s="428" t="s">
        <v>5843</v>
      </c>
      <c r="G91" s="425" t="s">
        <v>4979</v>
      </c>
      <c r="H91" s="426" t="s">
        <v>4980</v>
      </c>
      <c r="I91" s="437">
        <v>960</v>
      </c>
      <c r="J91" s="438">
        <v>0</v>
      </c>
      <c r="K91" s="425">
        <v>16</v>
      </c>
      <c r="L91" s="439">
        <f t="shared" si="27"/>
        <v>60</v>
      </c>
      <c r="M91" s="440">
        <v>46055</v>
      </c>
      <c r="N91" s="440">
        <v>46055</v>
      </c>
      <c r="O91" s="441" t="s">
        <v>5925</v>
      </c>
      <c r="P91" s="571" t="s">
        <v>92</v>
      </c>
      <c r="Q91" s="441"/>
      <c r="R91" s="441" t="s">
        <v>1102</v>
      </c>
      <c r="S91" s="441" t="s">
        <v>123</v>
      </c>
      <c r="T91" s="448" t="s">
        <v>5830</v>
      </c>
      <c r="U91" s="441" t="s">
        <v>4983</v>
      </c>
      <c r="V91" s="441"/>
      <c r="W91" s="441"/>
      <c r="X91" s="424" t="s">
        <v>5841</v>
      </c>
      <c r="Y91" s="441" t="s">
        <v>634</v>
      </c>
      <c r="Z91" s="474">
        <v>0.9059</v>
      </c>
      <c r="AA91" s="475">
        <f t="shared" si="44"/>
        <v>869.664</v>
      </c>
      <c r="AB91" s="476"/>
      <c r="AC91" s="425" t="s">
        <v>4979</v>
      </c>
      <c r="AD91" s="600" t="s">
        <v>128</v>
      </c>
      <c r="AE91" s="477" t="s">
        <v>4930</v>
      </c>
      <c r="AF91" s="425">
        <v>960</v>
      </c>
      <c r="AG91" s="425">
        <f t="shared" si="29"/>
        <v>0</v>
      </c>
      <c r="AH91" s="425" t="s">
        <v>4335</v>
      </c>
      <c r="AI91" s="478"/>
      <c r="AJ91" s="488">
        <f t="shared" si="40"/>
        <v>960</v>
      </c>
      <c r="AK91" s="488"/>
      <c r="AL91" s="489">
        <f t="shared" si="45"/>
        <v>960</v>
      </c>
      <c r="AM91" s="490"/>
      <c r="AN91" s="490"/>
      <c r="AO91" s="490"/>
      <c r="AP91" s="439">
        <f t="shared" si="41"/>
        <v>960</v>
      </c>
      <c r="AQ91" s="506"/>
      <c r="AR91" s="490"/>
      <c r="AS91" s="439">
        <f t="shared" si="42"/>
        <v>866</v>
      </c>
      <c r="AT91" s="504">
        <f t="shared" si="43"/>
        <v>94</v>
      </c>
      <c r="AU91" s="492"/>
      <c r="AV91" s="490"/>
      <c r="AW91" s="490"/>
      <c r="AX91" s="513"/>
      <c r="AY91" s="512"/>
      <c r="AZ91" s="512"/>
      <c r="BA91" s="512"/>
      <c r="BB91" s="512"/>
      <c r="BC91" s="512">
        <f t="shared" si="46"/>
        <v>60</v>
      </c>
      <c r="BD91" s="512"/>
      <c r="BE91" s="512"/>
      <c r="BF91" s="512"/>
      <c r="BG91" s="512"/>
      <c r="BH91" s="512"/>
      <c r="BI91" s="512"/>
      <c r="BJ91" s="512"/>
      <c r="BK91" s="512"/>
      <c r="BL91" s="512"/>
      <c r="BM91" s="512"/>
      <c r="BN91" s="512"/>
      <c r="BQ91" s="400">
        <f>AJ91+BQ90</f>
        <v>700124</v>
      </c>
    </row>
    <row r="92" s="400" customFormat="1" ht="36" hidden="1" customHeight="1" spans="1:69">
      <c r="A92" s="427">
        <v>46016</v>
      </c>
      <c r="B92" s="545" t="s">
        <v>4976</v>
      </c>
      <c r="C92" s="546" t="s">
        <v>117</v>
      </c>
      <c r="D92" s="544">
        <v>4500189982</v>
      </c>
      <c r="E92" s="1695" t="s">
        <v>5828</v>
      </c>
      <c r="F92" s="428" t="s">
        <v>5829</v>
      </c>
      <c r="G92" s="548" t="s">
        <v>4979</v>
      </c>
      <c r="H92" s="549" t="s">
        <v>4980</v>
      </c>
      <c r="I92" s="490">
        <v>960</v>
      </c>
      <c r="J92" s="572">
        <v>0</v>
      </c>
      <c r="K92" s="548">
        <v>16</v>
      </c>
      <c r="L92" s="506">
        <f t="shared" si="27"/>
        <v>60</v>
      </c>
      <c r="M92" s="573">
        <v>46059</v>
      </c>
      <c r="N92" s="573">
        <v>46055</v>
      </c>
      <c r="O92" s="441" t="s">
        <v>5927</v>
      </c>
      <c r="P92" s="571" t="s">
        <v>92</v>
      </c>
      <c r="Q92" s="571" t="s">
        <v>5928</v>
      </c>
      <c r="R92" s="441" t="s">
        <v>1102</v>
      </c>
      <c r="S92" s="441" t="s">
        <v>123</v>
      </c>
      <c r="T92" s="448" t="s">
        <v>5830</v>
      </c>
      <c r="U92" s="441" t="s">
        <v>4983</v>
      </c>
      <c r="V92" s="571"/>
      <c r="W92" s="571"/>
      <c r="X92" s="547" t="s">
        <v>5005</v>
      </c>
      <c r="Y92" s="571" t="s">
        <v>634</v>
      </c>
      <c r="Z92" s="601">
        <v>0.9059</v>
      </c>
      <c r="AA92" s="602">
        <f t="shared" si="44"/>
        <v>869.664</v>
      </c>
      <c r="AB92" s="603"/>
      <c r="AC92" s="425" t="s">
        <v>4979</v>
      </c>
      <c r="AD92" s="600" t="s">
        <v>128</v>
      </c>
      <c r="AE92" s="477" t="s">
        <v>4930</v>
      </c>
      <c r="AF92" s="425">
        <v>960</v>
      </c>
      <c r="AG92" s="425">
        <f t="shared" si="29"/>
        <v>0</v>
      </c>
      <c r="AH92" s="425" t="s">
        <v>4335</v>
      </c>
      <c r="AI92" s="617"/>
      <c r="AJ92" s="491">
        <f t="shared" si="40"/>
        <v>960</v>
      </c>
      <c r="AK92" s="491"/>
      <c r="AL92" s="489">
        <f t="shared" si="45"/>
        <v>960</v>
      </c>
      <c r="AM92" s="490"/>
      <c r="AN92" s="490"/>
      <c r="AO92" s="490"/>
      <c r="AP92" s="439">
        <f t="shared" si="41"/>
        <v>960</v>
      </c>
      <c r="AQ92" s="506"/>
      <c r="AR92" s="490"/>
      <c r="AS92" s="439">
        <f t="shared" si="42"/>
        <v>866</v>
      </c>
      <c r="AT92" s="504">
        <f t="shared" si="43"/>
        <v>94</v>
      </c>
      <c r="AU92" s="492"/>
      <c r="AV92" s="490"/>
      <c r="AW92" s="490"/>
      <c r="AX92" s="513"/>
      <c r="AY92" s="513"/>
      <c r="AZ92" s="513"/>
      <c r="BA92" s="513"/>
      <c r="BB92" s="513"/>
      <c r="BC92" s="512">
        <f t="shared" si="46"/>
        <v>60</v>
      </c>
      <c r="BD92" s="513"/>
      <c r="BE92" s="513"/>
      <c r="BF92" s="513"/>
      <c r="BG92" s="513"/>
      <c r="BH92" s="513"/>
      <c r="BI92" s="513"/>
      <c r="BJ92" s="513"/>
      <c r="BK92" s="513"/>
      <c r="BL92" s="513"/>
      <c r="BM92" s="513"/>
      <c r="BN92" s="513"/>
      <c r="BQ92" s="400">
        <f>AJ92+BQ89</f>
        <v>694364</v>
      </c>
    </row>
    <row r="93" s="400" customFormat="1" ht="36" hidden="1" customHeight="1" spans="1:69">
      <c r="A93" s="427">
        <v>46016</v>
      </c>
      <c r="B93" s="421" t="s">
        <v>4976</v>
      </c>
      <c r="C93" s="422" t="s">
        <v>117</v>
      </c>
      <c r="D93" s="544">
        <v>4500189982</v>
      </c>
      <c r="E93" s="1692" t="s">
        <v>5831</v>
      </c>
      <c r="F93" s="428" t="s">
        <v>5832</v>
      </c>
      <c r="G93" s="425" t="s">
        <v>4979</v>
      </c>
      <c r="H93" s="426" t="s">
        <v>4980</v>
      </c>
      <c r="I93" s="437">
        <v>960</v>
      </c>
      <c r="J93" s="438">
        <v>0</v>
      </c>
      <c r="K93" s="425">
        <v>16</v>
      </c>
      <c r="L93" s="439">
        <f t="shared" si="27"/>
        <v>60</v>
      </c>
      <c r="M93" s="440">
        <v>46059</v>
      </c>
      <c r="N93" s="440">
        <v>46055</v>
      </c>
      <c r="O93" s="441" t="s">
        <v>5927</v>
      </c>
      <c r="P93" s="571" t="s">
        <v>92</v>
      </c>
      <c r="Q93" s="571" t="s">
        <v>5928</v>
      </c>
      <c r="R93" s="441" t="s">
        <v>1102</v>
      </c>
      <c r="S93" s="441" t="s">
        <v>123</v>
      </c>
      <c r="T93" s="448" t="s">
        <v>5830</v>
      </c>
      <c r="U93" s="441" t="s">
        <v>4983</v>
      </c>
      <c r="V93" s="441"/>
      <c r="W93" s="441"/>
      <c r="X93" s="424" t="s">
        <v>5005</v>
      </c>
      <c r="Y93" s="441" t="s">
        <v>634</v>
      </c>
      <c r="Z93" s="474">
        <v>0.9059</v>
      </c>
      <c r="AA93" s="475">
        <f t="shared" si="44"/>
        <v>869.664</v>
      </c>
      <c r="AB93" s="603"/>
      <c r="AC93" s="425" t="s">
        <v>4979</v>
      </c>
      <c r="AD93" s="600" t="s">
        <v>128</v>
      </c>
      <c r="AE93" s="477" t="s">
        <v>4930</v>
      </c>
      <c r="AF93" s="425">
        <v>960</v>
      </c>
      <c r="AG93" s="425">
        <f t="shared" si="29"/>
        <v>0</v>
      </c>
      <c r="AH93" s="425" t="s">
        <v>4335</v>
      </c>
      <c r="AI93" s="478"/>
      <c r="AJ93" s="488">
        <f t="shared" si="40"/>
        <v>960</v>
      </c>
      <c r="AK93" s="488"/>
      <c r="AL93" s="489">
        <f t="shared" si="45"/>
        <v>960</v>
      </c>
      <c r="AM93" s="490"/>
      <c r="AN93" s="490"/>
      <c r="AO93" s="490"/>
      <c r="AP93" s="439">
        <f t="shared" si="41"/>
        <v>960</v>
      </c>
      <c r="AQ93" s="506"/>
      <c r="AR93" s="490"/>
      <c r="AS93" s="439">
        <f t="shared" si="42"/>
        <v>866</v>
      </c>
      <c r="AT93" s="504">
        <f t="shared" si="43"/>
        <v>94</v>
      </c>
      <c r="AU93" s="492"/>
      <c r="AV93" s="490"/>
      <c r="AW93" s="490"/>
      <c r="AX93" s="513"/>
      <c r="AY93" s="512"/>
      <c r="AZ93" s="512"/>
      <c r="BA93" s="512"/>
      <c r="BB93" s="512"/>
      <c r="BC93" s="512">
        <f t="shared" si="46"/>
        <v>60</v>
      </c>
      <c r="BD93" s="512"/>
      <c r="BE93" s="512"/>
      <c r="BF93" s="512"/>
      <c r="BG93" s="512"/>
      <c r="BH93" s="512"/>
      <c r="BI93" s="512"/>
      <c r="BJ93" s="512"/>
      <c r="BK93" s="512"/>
      <c r="BL93" s="512"/>
      <c r="BM93" s="512"/>
      <c r="BN93" s="512"/>
      <c r="BQ93" s="400">
        <f>AJ93+BQ92</f>
        <v>695324</v>
      </c>
    </row>
    <row r="94" s="400" customFormat="1" ht="36" hidden="1" customHeight="1" spans="1:69">
      <c r="A94" s="427">
        <v>46016</v>
      </c>
      <c r="B94" s="421" t="s">
        <v>4976</v>
      </c>
      <c r="C94" s="422" t="s">
        <v>117</v>
      </c>
      <c r="D94" s="544">
        <v>4500189982</v>
      </c>
      <c r="E94" s="1692" t="s">
        <v>5833</v>
      </c>
      <c r="F94" s="428" t="s">
        <v>5834</v>
      </c>
      <c r="G94" s="425" t="s">
        <v>4979</v>
      </c>
      <c r="H94" s="426" t="s">
        <v>4980</v>
      </c>
      <c r="I94" s="437">
        <v>960</v>
      </c>
      <c r="J94" s="438">
        <v>0</v>
      </c>
      <c r="K94" s="425">
        <v>16</v>
      </c>
      <c r="L94" s="439">
        <f t="shared" si="27"/>
        <v>60</v>
      </c>
      <c r="M94" s="440">
        <v>46059</v>
      </c>
      <c r="N94" s="440">
        <v>46055</v>
      </c>
      <c r="O94" s="441" t="s">
        <v>5927</v>
      </c>
      <c r="P94" s="571" t="s">
        <v>92</v>
      </c>
      <c r="Q94" s="441"/>
      <c r="R94" s="441" t="s">
        <v>1102</v>
      </c>
      <c r="S94" s="441" t="s">
        <v>123</v>
      </c>
      <c r="T94" s="448" t="s">
        <v>5830</v>
      </c>
      <c r="U94" s="441" t="s">
        <v>4983</v>
      </c>
      <c r="V94" s="441"/>
      <c r="W94" s="441"/>
      <c r="X94" s="424" t="s">
        <v>5005</v>
      </c>
      <c r="Y94" s="441" t="s">
        <v>634</v>
      </c>
      <c r="Z94" s="474">
        <v>0.9059</v>
      </c>
      <c r="AA94" s="475">
        <f t="shared" si="44"/>
        <v>869.664</v>
      </c>
      <c r="AB94" s="603"/>
      <c r="AC94" s="425" t="s">
        <v>4979</v>
      </c>
      <c r="AD94" s="600" t="s">
        <v>128</v>
      </c>
      <c r="AE94" s="477" t="s">
        <v>4930</v>
      </c>
      <c r="AF94" s="425">
        <f>928+32</f>
        <v>960</v>
      </c>
      <c r="AG94" s="425">
        <f t="shared" si="29"/>
        <v>0</v>
      </c>
      <c r="AH94" s="425" t="s">
        <v>4335</v>
      </c>
      <c r="AI94" s="478"/>
      <c r="AJ94" s="488">
        <f t="shared" si="40"/>
        <v>960</v>
      </c>
      <c r="AK94" s="488"/>
      <c r="AL94" s="489">
        <f t="shared" si="45"/>
        <v>960</v>
      </c>
      <c r="AM94" s="490"/>
      <c r="AN94" s="490"/>
      <c r="AO94" s="490"/>
      <c r="AP94" s="439">
        <f t="shared" si="41"/>
        <v>960</v>
      </c>
      <c r="AQ94" s="506"/>
      <c r="AR94" s="490"/>
      <c r="AS94" s="439">
        <f t="shared" si="42"/>
        <v>866</v>
      </c>
      <c r="AT94" s="504">
        <f t="shared" si="43"/>
        <v>94</v>
      </c>
      <c r="AU94" s="492"/>
      <c r="AV94" s="490"/>
      <c r="AW94" s="490"/>
      <c r="AX94" s="513"/>
      <c r="AY94" s="512"/>
      <c r="AZ94" s="512"/>
      <c r="BA94" s="512"/>
      <c r="BB94" s="512"/>
      <c r="BC94" s="512">
        <f t="shared" si="46"/>
        <v>60</v>
      </c>
      <c r="BD94" s="512"/>
      <c r="BE94" s="512"/>
      <c r="BF94" s="512"/>
      <c r="BG94" s="512"/>
      <c r="BH94" s="512"/>
      <c r="BI94" s="512"/>
      <c r="BJ94" s="512"/>
      <c r="BK94" s="512"/>
      <c r="BL94" s="512"/>
      <c r="BM94" s="512"/>
      <c r="BN94" s="512"/>
      <c r="BQ94" s="400">
        <f>AJ94+BQ93</f>
        <v>696284</v>
      </c>
    </row>
    <row r="95" s="400" customFormat="1" ht="36" hidden="1" customHeight="1" spans="1:69">
      <c r="A95" s="427">
        <v>46016</v>
      </c>
      <c r="B95" s="421" t="s">
        <v>4976</v>
      </c>
      <c r="C95" s="422" t="s">
        <v>117</v>
      </c>
      <c r="D95" s="544">
        <v>4500189982</v>
      </c>
      <c r="E95" s="1692" t="s">
        <v>5835</v>
      </c>
      <c r="F95" s="428" t="s">
        <v>5836</v>
      </c>
      <c r="G95" s="425" t="s">
        <v>4979</v>
      </c>
      <c r="H95" s="426" t="s">
        <v>4980</v>
      </c>
      <c r="I95" s="437">
        <v>960</v>
      </c>
      <c r="J95" s="438">
        <v>0</v>
      </c>
      <c r="K95" s="425">
        <v>16</v>
      </c>
      <c r="L95" s="439">
        <f t="shared" si="27"/>
        <v>60</v>
      </c>
      <c r="M95" s="440">
        <v>46059</v>
      </c>
      <c r="N95" s="440">
        <v>46055</v>
      </c>
      <c r="O95" s="441" t="s">
        <v>5927</v>
      </c>
      <c r="P95" s="571" t="s">
        <v>92</v>
      </c>
      <c r="Q95" s="571" t="s">
        <v>5929</v>
      </c>
      <c r="R95" s="441" t="s">
        <v>1102</v>
      </c>
      <c r="S95" s="441" t="s">
        <v>123</v>
      </c>
      <c r="T95" s="448" t="s">
        <v>5830</v>
      </c>
      <c r="U95" s="441" t="s">
        <v>4983</v>
      </c>
      <c r="V95" s="441"/>
      <c r="W95" s="441"/>
      <c r="X95" s="424" t="s">
        <v>5005</v>
      </c>
      <c r="Y95" s="441" t="s">
        <v>634</v>
      </c>
      <c r="Z95" s="474">
        <v>0.9059</v>
      </c>
      <c r="AA95" s="475">
        <f t="shared" si="44"/>
        <v>869.664</v>
      </c>
      <c r="AB95" s="603"/>
      <c r="AC95" s="425" t="s">
        <v>4979</v>
      </c>
      <c r="AD95" s="600" t="s">
        <v>128</v>
      </c>
      <c r="AE95" s="477" t="s">
        <v>4930</v>
      </c>
      <c r="AF95" s="425">
        <f>944+16</f>
        <v>960</v>
      </c>
      <c r="AG95" s="425">
        <f t="shared" si="29"/>
        <v>0</v>
      </c>
      <c r="AH95" s="425" t="s">
        <v>4335</v>
      </c>
      <c r="AI95" s="478"/>
      <c r="AJ95" s="488">
        <f t="shared" si="40"/>
        <v>960</v>
      </c>
      <c r="AK95" s="488"/>
      <c r="AL95" s="489">
        <f t="shared" si="45"/>
        <v>960</v>
      </c>
      <c r="AM95" s="490"/>
      <c r="AN95" s="490"/>
      <c r="AO95" s="490"/>
      <c r="AP95" s="439">
        <f t="shared" si="41"/>
        <v>960</v>
      </c>
      <c r="AQ95" s="506"/>
      <c r="AR95" s="490"/>
      <c r="AS95" s="439">
        <f t="shared" si="42"/>
        <v>866</v>
      </c>
      <c r="AT95" s="504">
        <f t="shared" si="43"/>
        <v>94</v>
      </c>
      <c r="AU95" s="492"/>
      <c r="AV95" s="490"/>
      <c r="AW95" s="490"/>
      <c r="AX95" s="513"/>
      <c r="AY95" s="512"/>
      <c r="AZ95" s="512"/>
      <c r="BA95" s="512"/>
      <c r="BB95" s="512"/>
      <c r="BC95" s="512">
        <f t="shared" si="46"/>
        <v>60</v>
      </c>
      <c r="BD95" s="512"/>
      <c r="BE95" s="512"/>
      <c r="BF95" s="512"/>
      <c r="BG95" s="512"/>
      <c r="BH95" s="512"/>
      <c r="BI95" s="512"/>
      <c r="BJ95" s="512"/>
      <c r="BK95" s="512"/>
      <c r="BL95" s="512"/>
      <c r="BM95" s="512"/>
      <c r="BN95" s="512"/>
      <c r="BQ95" s="400">
        <f>AJ95+BQ94</f>
        <v>697244</v>
      </c>
    </row>
    <row r="96" s="400" customFormat="1" ht="36" hidden="1" customHeight="1" spans="1:69">
      <c r="A96" s="427">
        <v>46016</v>
      </c>
      <c r="B96" s="421" t="s">
        <v>4976</v>
      </c>
      <c r="C96" s="422" t="s">
        <v>117</v>
      </c>
      <c r="D96" s="544">
        <v>4500189982</v>
      </c>
      <c r="E96" s="1692" t="s">
        <v>5837</v>
      </c>
      <c r="F96" s="428" t="s">
        <v>5838</v>
      </c>
      <c r="G96" s="425" t="s">
        <v>4979</v>
      </c>
      <c r="H96" s="426" t="s">
        <v>4980</v>
      </c>
      <c r="I96" s="437">
        <v>960</v>
      </c>
      <c r="J96" s="438">
        <v>0</v>
      </c>
      <c r="K96" s="425">
        <v>16</v>
      </c>
      <c r="L96" s="439">
        <f t="shared" si="27"/>
        <v>60</v>
      </c>
      <c r="M96" s="440">
        <v>46059</v>
      </c>
      <c r="N96" s="440">
        <v>46055</v>
      </c>
      <c r="O96" s="441" t="s">
        <v>5927</v>
      </c>
      <c r="P96" s="571" t="s">
        <v>92</v>
      </c>
      <c r="Q96" s="571" t="s">
        <v>5930</v>
      </c>
      <c r="R96" s="441" t="s">
        <v>1102</v>
      </c>
      <c r="S96" s="441" t="s">
        <v>123</v>
      </c>
      <c r="T96" s="448" t="s">
        <v>5830</v>
      </c>
      <c r="U96" s="441" t="s">
        <v>4983</v>
      </c>
      <c r="V96" s="441"/>
      <c r="W96" s="441"/>
      <c r="X96" s="424" t="s">
        <v>5005</v>
      </c>
      <c r="Y96" s="441" t="s">
        <v>634</v>
      </c>
      <c r="Z96" s="474">
        <v>0.9059</v>
      </c>
      <c r="AA96" s="475">
        <f t="shared" si="44"/>
        <v>869.664</v>
      </c>
      <c r="AB96" s="603"/>
      <c r="AC96" s="425" t="s">
        <v>4979</v>
      </c>
      <c r="AD96" s="600" t="s">
        <v>128</v>
      </c>
      <c r="AE96" s="477" t="s">
        <v>4930</v>
      </c>
      <c r="AF96" s="425">
        <f>944+16</f>
        <v>960</v>
      </c>
      <c r="AG96" s="425">
        <f t="shared" si="29"/>
        <v>0</v>
      </c>
      <c r="AH96" s="425" t="s">
        <v>4335</v>
      </c>
      <c r="AI96" s="478"/>
      <c r="AJ96" s="488">
        <f t="shared" si="40"/>
        <v>960</v>
      </c>
      <c r="AK96" s="488"/>
      <c r="AL96" s="489">
        <f t="shared" si="45"/>
        <v>960</v>
      </c>
      <c r="AM96" s="490"/>
      <c r="AN96" s="490"/>
      <c r="AO96" s="490"/>
      <c r="AP96" s="439">
        <f t="shared" si="41"/>
        <v>960</v>
      </c>
      <c r="AQ96" s="506"/>
      <c r="AR96" s="490"/>
      <c r="AS96" s="439">
        <f t="shared" si="42"/>
        <v>866</v>
      </c>
      <c r="AT96" s="504">
        <f t="shared" si="43"/>
        <v>94</v>
      </c>
      <c r="AU96" s="492"/>
      <c r="AV96" s="490"/>
      <c r="AW96" s="490"/>
      <c r="AX96" s="513"/>
      <c r="AY96" s="512"/>
      <c r="AZ96" s="512"/>
      <c r="BA96" s="512"/>
      <c r="BB96" s="512"/>
      <c r="BC96" s="512">
        <f t="shared" si="46"/>
        <v>60</v>
      </c>
      <c r="BD96" s="512"/>
      <c r="BE96" s="512"/>
      <c r="BF96" s="512"/>
      <c r="BG96" s="512"/>
      <c r="BH96" s="512"/>
      <c r="BI96" s="512"/>
      <c r="BJ96" s="512"/>
      <c r="BK96" s="512"/>
      <c r="BL96" s="512"/>
      <c r="BM96" s="512"/>
      <c r="BN96" s="512"/>
      <c r="BQ96" s="400">
        <f>AJ96+BQ95</f>
        <v>698204</v>
      </c>
    </row>
    <row r="97" s="400" customFormat="1" ht="36" hidden="1" customHeight="1" spans="1:69">
      <c r="A97" s="427">
        <v>46016</v>
      </c>
      <c r="B97" s="421" t="s">
        <v>4976</v>
      </c>
      <c r="C97" s="422" t="s">
        <v>117</v>
      </c>
      <c r="D97" s="544">
        <v>4500189985</v>
      </c>
      <c r="E97" s="1692" t="s">
        <v>5844</v>
      </c>
      <c r="F97" s="428" t="s">
        <v>5845</v>
      </c>
      <c r="G97" s="425" t="s">
        <v>4979</v>
      </c>
      <c r="H97" s="426" t="s">
        <v>4980</v>
      </c>
      <c r="I97" s="437">
        <v>960</v>
      </c>
      <c r="J97" s="438">
        <v>0</v>
      </c>
      <c r="K97" s="425">
        <v>16</v>
      </c>
      <c r="L97" s="439">
        <f t="shared" si="27"/>
        <v>60</v>
      </c>
      <c r="M97" s="440">
        <v>46055</v>
      </c>
      <c r="N97" s="440">
        <v>46055</v>
      </c>
      <c r="O97" s="441" t="s">
        <v>5925</v>
      </c>
      <c r="P97" s="571" t="s">
        <v>92</v>
      </c>
      <c r="Q97" s="441" t="s">
        <v>5931</v>
      </c>
      <c r="R97" s="441" t="s">
        <v>1102</v>
      </c>
      <c r="S97" s="441" t="s">
        <v>123</v>
      </c>
      <c r="T97" s="448" t="s">
        <v>5830</v>
      </c>
      <c r="U97" s="441" t="s">
        <v>4983</v>
      </c>
      <c r="V97" s="441"/>
      <c r="W97" s="441"/>
      <c r="X97" s="424" t="s">
        <v>5029</v>
      </c>
      <c r="Y97" s="441" t="s">
        <v>634</v>
      </c>
      <c r="Z97" s="474">
        <v>0.9059</v>
      </c>
      <c r="AA97" s="475">
        <f t="shared" si="44"/>
        <v>869.664</v>
      </c>
      <c r="AB97" s="476"/>
      <c r="AC97" s="425" t="s">
        <v>4979</v>
      </c>
      <c r="AD97" s="600" t="s">
        <v>128</v>
      </c>
      <c r="AE97" s="477" t="s">
        <v>4930</v>
      </c>
      <c r="AF97" s="425">
        <v>960</v>
      </c>
      <c r="AG97" s="425">
        <f t="shared" ref="AG90:AG118" si="47">AF97-I97</f>
        <v>0</v>
      </c>
      <c r="AH97" s="425" t="s">
        <v>4335</v>
      </c>
      <c r="AI97" s="478"/>
      <c r="AJ97" s="488">
        <f t="shared" si="40"/>
        <v>960</v>
      </c>
      <c r="AK97" s="488"/>
      <c r="AL97" s="489">
        <f t="shared" ref="AL90:AL105" si="48">I97</f>
        <v>960</v>
      </c>
      <c r="AM97" s="490"/>
      <c r="AN97" s="490"/>
      <c r="AO97" s="490"/>
      <c r="AP97" s="439">
        <f t="shared" si="41"/>
        <v>960</v>
      </c>
      <c r="AQ97" s="506"/>
      <c r="AR97" s="490"/>
      <c r="AS97" s="439">
        <f t="shared" si="42"/>
        <v>866</v>
      </c>
      <c r="AT97" s="504">
        <f t="shared" si="43"/>
        <v>94</v>
      </c>
      <c r="AU97" s="492"/>
      <c r="AV97" s="490"/>
      <c r="AW97" s="490"/>
      <c r="AX97" s="513"/>
      <c r="AY97" s="512"/>
      <c r="AZ97" s="512"/>
      <c r="BA97" s="512"/>
      <c r="BB97" s="512"/>
      <c r="BC97" s="512">
        <f t="shared" ref="BC90:BC105" si="49">I97/16</f>
        <v>60</v>
      </c>
      <c r="BD97" s="512"/>
      <c r="BE97" s="512"/>
      <c r="BF97" s="512"/>
      <c r="BG97" s="512"/>
      <c r="BH97" s="512"/>
      <c r="BI97" s="512"/>
      <c r="BJ97" s="512"/>
      <c r="BK97" s="512"/>
      <c r="BL97" s="512"/>
      <c r="BM97" s="512"/>
      <c r="BN97" s="512"/>
      <c r="BQ97" s="400">
        <f>AJ97+BQ91</f>
        <v>701084</v>
      </c>
    </row>
    <row r="98" s="400" customFormat="1" ht="36" hidden="1" customHeight="1" spans="1:69">
      <c r="A98" s="427">
        <v>46016</v>
      </c>
      <c r="B98" s="421" t="s">
        <v>4976</v>
      </c>
      <c r="C98" s="422" t="s">
        <v>117</v>
      </c>
      <c r="D98" s="544">
        <v>4500189985</v>
      </c>
      <c r="E98" s="1692" t="s">
        <v>5846</v>
      </c>
      <c r="F98" s="428" t="s">
        <v>5847</v>
      </c>
      <c r="G98" s="425" t="s">
        <v>4979</v>
      </c>
      <c r="H98" s="426" t="s">
        <v>4980</v>
      </c>
      <c r="I98" s="437">
        <v>960</v>
      </c>
      <c r="J98" s="438">
        <v>0</v>
      </c>
      <c r="K98" s="425">
        <v>16</v>
      </c>
      <c r="L98" s="439">
        <f t="shared" si="27"/>
        <v>60</v>
      </c>
      <c r="M98" s="440">
        <v>46055</v>
      </c>
      <c r="N98" s="440">
        <v>46055</v>
      </c>
      <c r="O98" s="441" t="s">
        <v>5925</v>
      </c>
      <c r="P98" s="571" t="s">
        <v>92</v>
      </c>
      <c r="Q98" s="441" t="s">
        <v>5932</v>
      </c>
      <c r="R98" s="441" t="s">
        <v>1102</v>
      </c>
      <c r="S98" s="441" t="s">
        <v>123</v>
      </c>
      <c r="T98" s="448" t="s">
        <v>5830</v>
      </c>
      <c r="U98" s="441" t="s">
        <v>4983</v>
      </c>
      <c r="V98" s="441"/>
      <c r="W98" s="441"/>
      <c r="X98" s="424" t="s">
        <v>5029</v>
      </c>
      <c r="Y98" s="441" t="s">
        <v>634</v>
      </c>
      <c r="Z98" s="474">
        <v>0.9059</v>
      </c>
      <c r="AA98" s="475">
        <f t="shared" si="44"/>
        <v>869.664</v>
      </c>
      <c r="AB98" s="476"/>
      <c r="AC98" s="425" t="s">
        <v>4979</v>
      </c>
      <c r="AD98" s="600" t="s">
        <v>128</v>
      </c>
      <c r="AE98" s="477" t="s">
        <v>4930</v>
      </c>
      <c r="AF98" s="425">
        <v>960</v>
      </c>
      <c r="AG98" s="425">
        <f t="shared" si="47"/>
        <v>0</v>
      </c>
      <c r="AH98" s="425" t="s">
        <v>4335</v>
      </c>
      <c r="AI98" s="478"/>
      <c r="AJ98" s="488">
        <f t="shared" si="40"/>
        <v>960</v>
      </c>
      <c r="AK98" s="488"/>
      <c r="AL98" s="489">
        <f t="shared" si="48"/>
        <v>960</v>
      </c>
      <c r="AM98" s="490"/>
      <c r="AN98" s="490"/>
      <c r="AO98" s="490"/>
      <c r="AP98" s="439">
        <f t="shared" si="41"/>
        <v>960</v>
      </c>
      <c r="AQ98" s="506"/>
      <c r="AR98" s="490"/>
      <c r="AS98" s="439">
        <f t="shared" si="42"/>
        <v>866</v>
      </c>
      <c r="AT98" s="504">
        <f t="shared" si="43"/>
        <v>94</v>
      </c>
      <c r="AU98" s="492"/>
      <c r="AV98" s="490"/>
      <c r="AW98" s="490"/>
      <c r="AX98" s="513"/>
      <c r="AY98" s="512"/>
      <c r="AZ98" s="512"/>
      <c r="BA98" s="512"/>
      <c r="BB98" s="512"/>
      <c r="BC98" s="512">
        <f t="shared" si="49"/>
        <v>60</v>
      </c>
      <c r="BD98" s="512"/>
      <c r="BE98" s="512"/>
      <c r="BF98" s="512"/>
      <c r="BG98" s="512"/>
      <c r="BH98" s="512"/>
      <c r="BI98" s="512"/>
      <c r="BJ98" s="512"/>
      <c r="BK98" s="512"/>
      <c r="BL98" s="512"/>
      <c r="BM98" s="512"/>
      <c r="BN98" s="512"/>
      <c r="BQ98" s="400">
        <f t="shared" si="39"/>
        <v>702044</v>
      </c>
    </row>
    <row r="99" s="400" customFormat="1" ht="36" hidden="1" customHeight="1" spans="1:69">
      <c r="A99" s="427">
        <v>46016</v>
      </c>
      <c r="B99" s="421" t="s">
        <v>4976</v>
      </c>
      <c r="C99" s="422" t="s">
        <v>117</v>
      </c>
      <c r="D99" s="544">
        <v>4500189985</v>
      </c>
      <c r="E99" s="1692" t="s">
        <v>5848</v>
      </c>
      <c r="F99" s="428" t="s">
        <v>5849</v>
      </c>
      <c r="G99" s="425" t="s">
        <v>4979</v>
      </c>
      <c r="H99" s="426" t="s">
        <v>4980</v>
      </c>
      <c r="I99" s="437">
        <v>960</v>
      </c>
      <c r="J99" s="438">
        <v>0</v>
      </c>
      <c r="K99" s="425">
        <v>16</v>
      </c>
      <c r="L99" s="439">
        <f t="shared" si="27"/>
        <v>60</v>
      </c>
      <c r="M99" s="440">
        <v>46055</v>
      </c>
      <c r="N99" s="440">
        <v>46055</v>
      </c>
      <c r="O99" s="441" t="s">
        <v>5925</v>
      </c>
      <c r="P99" s="571" t="s">
        <v>92</v>
      </c>
      <c r="Q99" s="441" t="s">
        <v>5933</v>
      </c>
      <c r="R99" s="441" t="s">
        <v>1102</v>
      </c>
      <c r="S99" s="441" t="s">
        <v>123</v>
      </c>
      <c r="T99" s="448" t="s">
        <v>5830</v>
      </c>
      <c r="U99" s="441" t="s">
        <v>4983</v>
      </c>
      <c r="V99" s="441"/>
      <c r="W99" s="441"/>
      <c r="X99" s="424" t="s">
        <v>5029</v>
      </c>
      <c r="Y99" s="441" t="s">
        <v>634</v>
      </c>
      <c r="Z99" s="474">
        <v>0.9059</v>
      </c>
      <c r="AA99" s="475">
        <f t="shared" si="44"/>
        <v>869.664</v>
      </c>
      <c r="AB99" s="476"/>
      <c r="AC99" s="425" t="s">
        <v>4979</v>
      </c>
      <c r="AD99" s="600" t="s">
        <v>128</v>
      </c>
      <c r="AE99" s="477" t="s">
        <v>4930</v>
      </c>
      <c r="AF99" s="425">
        <v>960</v>
      </c>
      <c r="AG99" s="425">
        <f t="shared" si="47"/>
        <v>0</v>
      </c>
      <c r="AH99" s="425" t="s">
        <v>4335</v>
      </c>
      <c r="AI99" s="478"/>
      <c r="AJ99" s="488">
        <f t="shared" si="40"/>
        <v>960</v>
      </c>
      <c r="AK99" s="488"/>
      <c r="AL99" s="489">
        <f t="shared" si="48"/>
        <v>960</v>
      </c>
      <c r="AM99" s="437"/>
      <c r="AN99" s="437"/>
      <c r="AO99" s="490"/>
      <c r="AP99" s="439">
        <f t="shared" si="41"/>
        <v>960</v>
      </c>
      <c r="AQ99" s="506"/>
      <c r="AR99" s="490"/>
      <c r="AS99" s="439">
        <f t="shared" si="42"/>
        <v>866</v>
      </c>
      <c r="AT99" s="504">
        <f t="shared" si="43"/>
        <v>94</v>
      </c>
      <c r="AU99" s="492"/>
      <c r="AV99" s="490"/>
      <c r="AW99" s="490"/>
      <c r="AX99" s="513"/>
      <c r="AY99" s="512"/>
      <c r="AZ99" s="512"/>
      <c r="BA99" s="512"/>
      <c r="BB99" s="512"/>
      <c r="BC99" s="512">
        <f t="shared" si="49"/>
        <v>60</v>
      </c>
      <c r="BD99" s="512"/>
      <c r="BE99" s="512"/>
      <c r="BF99" s="512"/>
      <c r="BG99" s="512"/>
      <c r="BH99" s="512"/>
      <c r="BI99" s="512"/>
      <c r="BJ99" s="512"/>
      <c r="BK99" s="512"/>
      <c r="BL99" s="512"/>
      <c r="BM99" s="512"/>
      <c r="BN99" s="512"/>
      <c r="BQ99" s="400">
        <f t="shared" si="39"/>
        <v>703004</v>
      </c>
    </row>
    <row r="100" s="400" customFormat="1" ht="36" hidden="1" customHeight="1" spans="1:69">
      <c r="A100" s="427">
        <v>46031</v>
      </c>
      <c r="B100" s="550" t="s">
        <v>4976</v>
      </c>
      <c r="C100" s="422" t="s">
        <v>117</v>
      </c>
      <c r="D100" s="551">
        <v>4500191083</v>
      </c>
      <c r="E100" s="1696" t="s">
        <v>5934</v>
      </c>
      <c r="F100" s="551" t="s">
        <v>5935</v>
      </c>
      <c r="G100" s="425" t="s">
        <v>4979</v>
      </c>
      <c r="H100" s="426" t="s">
        <v>4980</v>
      </c>
      <c r="I100" s="437">
        <v>960</v>
      </c>
      <c r="J100" s="438">
        <v>0</v>
      </c>
      <c r="K100" s="425">
        <v>16</v>
      </c>
      <c r="L100" s="439">
        <f t="shared" si="27"/>
        <v>60</v>
      </c>
      <c r="M100" s="440">
        <v>46060</v>
      </c>
      <c r="N100" s="440">
        <v>46060</v>
      </c>
      <c r="O100" s="441" t="s">
        <v>5936</v>
      </c>
      <c r="P100" s="571" t="s">
        <v>92</v>
      </c>
      <c r="Q100" s="441" t="s">
        <v>5937</v>
      </c>
      <c r="R100" s="441" t="s">
        <v>1102</v>
      </c>
      <c r="S100" s="441" t="s">
        <v>123</v>
      </c>
      <c r="T100" s="448" t="s">
        <v>5938</v>
      </c>
      <c r="U100" s="441" t="s">
        <v>4983</v>
      </c>
      <c r="V100" s="441"/>
      <c r="W100" s="441"/>
      <c r="X100" s="424" t="s">
        <v>5160</v>
      </c>
      <c r="Y100" s="473" t="s">
        <v>634</v>
      </c>
      <c r="Z100" s="474">
        <v>0.9059</v>
      </c>
      <c r="AA100" s="475">
        <f t="shared" si="44"/>
        <v>869.664</v>
      </c>
      <c r="AB100" s="437"/>
      <c r="AC100" s="425" t="s">
        <v>4979</v>
      </c>
      <c r="AD100" s="477" t="s">
        <v>128</v>
      </c>
      <c r="AE100" s="477" t="s">
        <v>4930</v>
      </c>
      <c r="AF100" s="425">
        <v>960</v>
      </c>
      <c r="AG100" s="425">
        <f t="shared" si="47"/>
        <v>0</v>
      </c>
      <c r="AH100" s="425" t="s">
        <v>4335</v>
      </c>
      <c r="AI100" s="478"/>
      <c r="AJ100" s="488">
        <f t="shared" si="40"/>
        <v>960</v>
      </c>
      <c r="AK100" s="488"/>
      <c r="AL100" s="489">
        <f t="shared" si="48"/>
        <v>960</v>
      </c>
      <c r="AM100" s="437"/>
      <c r="AN100" s="437"/>
      <c r="AO100" s="490"/>
      <c r="AP100" s="439">
        <f t="shared" si="41"/>
        <v>960</v>
      </c>
      <c r="AQ100" s="506"/>
      <c r="AR100" s="490"/>
      <c r="AS100" s="439">
        <f t="shared" si="42"/>
        <v>866</v>
      </c>
      <c r="AT100" s="504">
        <f t="shared" si="43"/>
        <v>94</v>
      </c>
      <c r="AU100" s="492"/>
      <c r="AV100" s="492"/>
      <c r="AW100" s="492"/>
      <c r="AX100" s="513"/>
      <c r="AY100" s="512"/>
      <c r="AZ100" s="512"/>
      <c r="BA100" s="512"/>
      <c r="BB100" s="512"/>
      <c r="BC100" s="512">
        <f t="shared" si="49"/>
        <v>60</v>
      </c>
      <c r="BD100" s="512"/>
      <c r="BE100" s="512"/>
      <c r="BF100" s="512"/>
      <c r="BG100" s="512"/>
      <c r="BH100" s="512"/>
      <c r="BI100" s="512"/>
      <c r="BJ100" s="512"/>
      <c r="BK100" s="512"/>
      <c r="BL100" s="512"/>
      <c r="BM100" s="512"/>
      <c r="BN100" s="512"/>
      <c r="BQ100" s="400">
        <f>AJ100+BQ113</f>
        <v>717908</v>
      </c>
    </row>
    <row r="101" s="400" customFormat="1" ht="36" hidden="1" customHeight="1" spans="1:69">
      <c r="A101" s="427">
        <v>46031</v>
      </c>
      <c r="B101" s="550" t="s">
        <v>4976</v>
      </c>
      <c r="C101" s="422" t="s">
        <v>117</v>
      </c>
      <c r="D101" s="551">
        <v>4500191083</v>
      </c>
      <c r="E101" s="1696" t="s">
        <v>5939</v>
      </c>
      <c r="F101" s="551" t="s">
        <v>5940</v>
      </c>
      <c r="G101" s="425" t="s">
        <v>4979</v>
      </c>
      <c r="H101" s="426" t="s">
        <v>4980</v>
      </c>
      <c r="I101" s="437">
        <v>960</v>
      </c>
      <c r="J101" s="438">
        <v>0</v>
      </c>
      <c r="K101" s="425">
        <v>16</v>
      </c>
      <c r="L101" s="439">
        <f t="shared" si="27"/>
        <v>60</v>
      </c>
      <c r="M101" s="440">
        <v>46060</v>
      </c>
      <c r="N101" s="440">
        <v>46060</v>
      </c>
      <c r="O101" s="441" t="s">
        <v>5936</v>
      </c>
      <c r="P101" s="571" t="s">
        <v>92</v>
      </c>
      <c r="Q101" s="441" t="s">
        <v>5941</v>
      </c>
      <c r="R101" s="441" t="s">
        <v>1102</v>
      </c>
      <c r="S101" s="441" t="s">
        <v>123</v>
      </c>
      <c r="T101" s="448" t="s">
        <v>5938</v>
      </c>
      <c r="U101" s="441" t="s">
        <v>4983</v>
      </c>
      <c r="V101" s="441"/>
      <c r="W101" s="441"/>
      <c r="X101" s="424" t="s">
        <v>5160</v>
      </c>
      <c r="Y101" s="473" t="s">
        <v>634</v>
      </c>
      <c r="Z101" s="474">
        <v>0.9059</v>
      </c>
      <c r="AA101" s="475">
        <f t="shared" si="44"/>
        <v>869.664</v>
      </c>
      <c r="AB101" s="437"/>
      <c r="AC101" s="425" t="s">
        <v>4979</v>
      </c>
      <c r="AD101" s="477" t="s">
        <v>128</v>
      </c>
      <c r="AE101" s="477" t="s">
        <v>4930</v>
      </c>
      <c r="AF101" s="425">
        <v>960</v>
      </c>
      <c r="AG101" s="425">
        <f t="shared" si="47"/>
        <v>0</v>
      </c>
      <c r="AH101" s="425" t="s">
        <v>4335</v>
      </c>
      <c r="AI101" s="478"/>
      <c r="AJ101" s="488">
        <f t="shared" si="40"/>
        <v>960</v>
      </c>
      <c r="AK101" s="488"/>
      <c r="AL101" s="489">
        <f t="shared" si="48"/>
        <v>960</v>
      </c>
      <c r="AM101" s="437"/>
      <c r="AN101" s="437"/>
      <c r="AO101" s="490"/>
      <c r="AP101" s="439">
        <f t="shared" si="41"/>
        <v>960</v>
      </c>
      <c r="AQ101" s="506"/>
      <c r="AR101" s="490"/>
      <c r="AS101" s="439">
        <f t="shared" si="42"/>
        <v>866</v>
      </c>
      <c r="AT101" s="504">
        <f t="shared" si="43"/>
        <v>94</v>
      </c>
      <c r="AU101" s="492"/>
      <c r="AV101" s="492"/>
      <c r="AW101" s="492"/>
      <c r="AX101" s="513"/>
      <c r="AY101" s="512"/>
      <c r="AZ101" s="512"/>
      <c r="BA101" s="512"/>
      <c r="BB101" s="512"/>
      <c r="BC101" s="512">
        <f t="shared" si="49"/>
        <v>60</v>
      </c>
      <c r="BD101" s="512"/>
      <c r="BE101" s="512"/>
      <c r="BF101" s="512"/>
      <c r="BG101" s="512"/>
      <c r="BH101" s="512"/>
      <c r="BI101" s="512"/>
      <c r="BJ101" s="512"/>
      <c r="BK101" s="512"/>
      <c r="BL101" s="512"/>
      <c r="BM101" s="512"/>
      <c r="BN101" s="512"/>
      <c r="BQ101" s="400">
        <f>AJ101+BQ100</f>
        <v>718868</v>
      </c>
    </row>
    <row r="102" s="400" customFormat="1" ht="36" hidden="1" customHeight="1" spans="1:69">
      <c r="A102" s="427">
        <v>46031</v>
      </c>
      <c r="B102" s="550" t="s">
        <v>4976</v>
      </c>
      <c r="C102" s="422" t="s">
        <v>117</v>
      </c>
      <c r="D102" s="551">
        <v>4500191083</v>
      </c>
      <c r="E102" s="1696" t="s">
        <v>5942</v>
      </c>
      <c r="F102" s="551" t="s">
        <v>5943</v>
      </c>
      <c r="G102" s="425" t="s">
        <v>4979</v>
      </c>
      <c r="H102" s="426" t="s">
        <v>4980</v>
      </c>
      <c r="I102" s="437">
        <v>960</v>
      </c>
      <c r="J102" s="438">
        <v>0</v>
      </c>
      <c r="K102" s="425">
        <v>16</v>
      </c>
      <c r="L102" s="439">
        <f t="shared" si="27"/>
        <v>60</v>
      </c>
      <c r="M102" s="440">
        <v>46060</v>
      </c>
      <c r="N102" s="440">
        <v>46060</v>
      </c>
      <c r="O102" s="441" t="s">
        <v>5936</v>
      </c>
      <c r="P102" s="571" t="s">
        <v>92</v>
      </c>
      <c r="Q102" s="441" t="s">
        <v>5941</v>
      </c>
      <c r="R102" s="441" t="s">
        <v>1102</v>
      </c>
      <c r="S102" s="441" t="s">
        <v>123</v>
      </c>
      <c r="T102" s="448" t="s">
        <v>5938</v>
      </c>
      <c r="U102" s="441" t="s">
        <v>4983</v>
      </c>
      <c r="V102" s="441"/>
      <c r="W102" s="441"/>
      <c r="X102" s="424" t="s">
        <v>5160</v>
      </c>
      <c r="Y102" s="473" t="s">
        <v>634</v>
      </c>
      <c r="Z102" s="474">
        <v>0.9059</v>
      </c>
      <c r="AA102" s="475">
        <f t="shared" si="44"/>
        <v>869.664</v>
      </c>
      <c r="AB102" s="437"/>
      <c r="AC102" s="425" t="s">
        <v>4979</v>
      </c>
      <c r="AD102" s="477" t="s">
        <v>128</v>
      </c>
      <c r="AE102" s="477" t="s">
        <v>4930</v>
      </c>
      <c r="AF102" s="425">
        <v>960</v>
      </c>
      <c r="AG102" s="425">
        <f t="shared" si="47"/>
        <v>0</v>
      </c>
      <c r="AH102" s="425" t="s">
        <v>4335</v>
      </c>
      <c r="AI102" s="478"/>
      <c r="AJ102" s="488">
        <f t="shared" si="40"/>
        <v>960</v>
      </c>
      <c r="AK102" s="488"/>
      <c r="AL102" s="489">
        <f t="shared" si="48"/>
        <v>960</v>
      </c>
      <c r="AM102" s="437"/>
      <c r="AN102" s="437"/>
      <c r="AO102" s="490"/>
      <c r="AP102" s="439">
        <f t="shared" si="41"/>
        <v>960</v>
      </c>
      <c r="AQ102" s="506"/>
      <c r="AR102" s="490"/>
      <c r="AS102" s="439">
        <f t="shared" si="42"/>
        <v>866</v>
      </c>
      <c r="AT102" s="504">
        <f t="shared" si="43"/>
        <v>94</v>
      </c>
      <c r="AU102" s="492"/>
      <c r="AV102" s="492"/>
      <c r="AW102" s="492"/>
      <c r="AX102" s="513"/>
      <c r="AY102" s="512"/>
      <c r="AZ102" s="512"/>
      <c r="BA102" s="512"/>
      <c r="BB102" s="512"/>
      <c r="BC102" s="512">
        <f t="shared" si="49"/>
        <v>60</v>
      </c>
      <c r="BD102" s="512"/>
      <c r="BE102" s="512"/>
      <c r="BF102" s="512"/>
      <c r="BG102" s="512"/>
      <c r="BH102" s="512"/>
      <c r="BI102" s="512"/>
      <c r="BJ102" s="512"/>
      <c r="BK102" s="512"/>
      <c r="BL102" s="512"/>
      <c r="BM102" s="512"/>
      <c r="BN102" s="512"/>
      <c r="BQ102" s="400">
        <f>AJ102+BQ101</f>
        <v>719828</v>
      </c>
    </row>
    <row r="103" s="400" customFormat="1" ht="36" hidden="1" customHeight="1" spans="1:69">
      <c r="A103" s="427">
        <v>46031</v>
      </c>
      <c r="B103" s="550" t="s">
        <v>4976</v>
      </c>
      <c r="C103" s="422" t="s">
        <v>117</v>
      </c>
      <c r="D103" s="551">
        <v>4500191085</v>
      </c>
      <c r="E103" s="1696" t="s">
        <v>5944</v>
      </c>
      <c r="F103" s="551">
        <v>4500191085</v>
      </c>
      <c r="G103" s="425" t="s">
        <v>4979</v>
      </c>
      <c r="H103" s="426" t="s">
        <v>4980</v>
      </c>
      <c r="I103" s="437">
        <v>960</v>
      </c>
      <c r="J103" s="438">
        <v>0</v>
      </c>
      <c r="K103" s="425">
        <v>16</v>
      </c>
      <c r="L103" s="439">
        <f t="shared" si="27"/>
        <v>60</v>
      </c>
      <c r="M103" s="440">
        <v>46060</v>
      </c>
      <c r="N103" s="440">
        <v>46060</v>
      </c>
      <c r="O103" s="441" t="s">
        <v>5936</v>
      </c>
      <c r="P103" s="571" t="s">
        <v>92</v>
      </c>
      <c r="Q103" s="441" t="s">
        <v>3516</v>
      </c>
      <c r="R103" s="441" t="s">
        <v>1102</v>
      </c>
      <c r="S103" s="441" t="s">
        <v>123</v>
      </c>
      <c r="T103" s="448" t="s">
        <v>5938</v>
      </c>
      <c r="U103" s="441" t="s">
        <v>4983</v>
      </c>
      <c r="V103" s="441"/>
      <c r="W103" s="441"/>
      <c r="X103" s="424" t="s">
        <v>5160</v>
      </c>
      <c r="Y103" s="473" t="s">
        <v>634</v>
      </c>
      <c r="Z103" s="474">
        <v>0.9059</v>
      </c>
      <c r="AA103" s="475">
        <f t="shared" si="44"/>
        <v>869.664</v>
      </c>
      <c r="AB103" s="437"/>
      <c r="AC103" s="425" t="s">
        <v>4979</v>
      </c>
      <c r="AD103" s="477" t="s">
        <v>128</v>
      </c>
      <c r="AE103" s="477" t="s">
        <v>4930</v>
      </c>
      <c r="AF103" s="425">
        <v>960</v>
      </c>
      <c r="AG103" s="425">
        <f t="shared" si="47"/>
        <v>0</v>
      </c>
      <c r="AH103" s="425" t="s">
        <v>4335</v>
      </c>
      <c r="AI103" s="478"/>
      <c r="AJ103" s="488">
        <f t="shared" si="40"/>
        <v>960</v>
      </c>
      <c r="AK103" s="488"/>
      <c r="AL103" s="489">
        <f t="shared" si="48"/>
        <v>960</v>
      </c>
      <c r="AM103" s="437"/>
      <c r="AN103" s="437"/>
      <c r="AO103" s="490"/>
      <c r="AP103" s="439">
        <f t="shared" si="41"/>
        <v>960</v>
      </c>
      <c r="AQ103" s="506"/>
      <c r="AR103" s="490"/>
      <c r="AS103" s="439">
        <f t="shared" si="42"/>
        <v>866</v>
      </c>
      <c r="AT103" s="504">
        <f t="shared" si="43"/>
        <v>94</v>
      </c>
      <c r="AU103" s="492"/>
      <c r="AV103" s="492"/>
      <c r="AW103" s="492"/>
      <c r="AX103" s="513"/>
      <c r="AY103" s="512"/>
      <c r="AZ103" s="512"/>
      <c r="BA103" s="512"/>
      <c r="BB103" s="512"/>
      <c r="BC103" s="512">
        <f t="shared" si="49"/>
        <v>60</v>
      </c>
      <c r="BD103" s="512"/>
      <c r="BE103" s="512"/>
      <c r="BF103" s="512"/>
      <c r="BG103" s="512"/>
      <c r="BH103" s="512"/>
      <c r="BI103" s="512"/>
      <c r="BJ103" s="512"/>
      <c r="BK103" s="512"/>
      <c r="BL103" s="512"/>
      <c r="BM103" s="512"/>
      <c r="BN103" s="512"/>
      <c r="BQ103" s="400">
        <f>AJ103+BQ115</f>
        <v>720836</v>
      </c>
    </row>
    <row r="104" s="400" customFormat="1" ht="36" hidden="1" customHeight="1" spans="1:69">
      <c r="A104" s="427">
        <v>46031</v>
      </c>
      <c r="B104" s="550" t="s">
        <v>4976</v>
      </c>
      <c r="C104" s="422" t="s">
        <v>117</v>
      </c>
      <c r="D104" s="551">
        <v>4500191085</v>
      </c>
      <c r="E104" s="1696" t="s">
        <v>5945</v>
      </c>
      <c r="F104" s="551">
        <v>4500191085</v>
      </c>
      <c r="G104" s="425" t="s">
        <v>4979</v>
      </c>
      <c r="H104" s="426" t="s">
        <v>4980</v>
      </c>
      <c r="I104" s="437">
        <v>960</v>
      </c>
      <c r="J104" s="438">
        <v>0</v>
      </c>
      <c r="K104" s="425">
        <v>16</v>
      </c>
      <c r="L104" s="439">
        <f t="shared" si="27"/>
        <v>60</v>
      </c>
      <c r="M104" s="440">
        <v>46060</v>
      </c>
      <c r="N104" s="440">
        <v>46060</v>
      </c>
      <c r="O104" s="441" t="s">
        <v>5936</v>
      </c>
      <c r="P104" s="571" t="s">
        <v>92</v>
      </c>
      <c r="Q104" s="441"/>
      <c r="R104" s="441" t="s">
        <v>1102</v>
      </c>
      <c r="S104" s="441" t="s">
        <v>123</v>
      </c>
      <c r="T104" s="448" t="s">
        <v>5938</v>
      </c>
      <c r="U104" s="441" t="s">
        <v>4983</v>
      </c>
      <c r="V104" s="441"/>
      <c r="W104" s="441"/>
      <c r="X104" s="424" t="s">
        <v>5160</v>
      </c>
      <c r="Y104" s="473" t="s">
        <v>634</v>
      </c>
      <c r="Z104" s="474">
        <v>0.9059</v>
      </c>
      <c r="AA104" s="475">
        <f t="shared" si="44"/>
        <v>869.664</v>
      </c>
      <c r="AB104" s="437"/>
      <c r="AC104" s="425" t="s">
        <v>4979</v>
      </c>
      <c r="AD104" s="477" t="s">
        <v>128</v>
      </c>
      <c r="AE104" s="477" t="s">
        <v>4930</v>
      </c>
      <c r="AF104" s="425">
        <v>960</v>
      </c>
      <c r="AG104" s="425">
        <f t="shared" si="47"/>
        <v>0</v>
      </c>
      <c r="AH104" s="425" t="s">
        <v>4335</v>
      </c>
      <c r="AI104" s="478"/>
      <c r="AJ104" s="488">
        <f t="shared" si="40"/>
        <v>960</v>
      </c>
      <c r="AK104" s="488"/>
      <c r="AL104" s="489">
        <f t="shared" si="48"/>
        <v>960</v>
      </c>
      <c r="AM104" s="437"/>
      <c r="AN104" s="437"/>
      <c r="AO104" s="490"/>
      <c r="AP104" s="439">
        <f t="shared" si="41"/>
        <v>960</v>
      </c>
      <c r="AQ104" s="506"/>
      <c r="AR104" s="490"/>
      <c r="AS104" s="439">
        <f t="shared" si="42"/>
        <v>866</v>
      </c>
      <c r="AT104" s="504">
        <f t="shared" si="43"/>
        <v>94</v>
      </c>
      <c r="AU104" s="492"/>
      <c r="AV104" s="492"/>
      <c r="AW104" s="492"/>
      <c r="AX104" s="513"/>
      <c r="AY104" s="512"/>
      <c r="AZ104" s="512"/>
      <c r="BA104" s="512"/>
      <c r="BB104" s="512"/>
      <c r="BC104" s="512">
        <f t="shared" si="49"/>
        <v>60</v>
      </c>
      <c r="BD104" s="512"/>
      <c r="BE104" s="512"/>
      <c r="BF104" s="512"/>
      <c r="BG104" s="512"/>
      <c r="BH104" s="512"/>
      <c r="BI104" s="512"/>
      <c r="BJ104" s="512"/>
      <c r="BK104" s="512"/>
      <c r="BL104" s="512"/>
      <c r="BM104" s="512"/>
      <c r="BN104" s="512"/>
      <c r="BQ104" s="400">
        <f>AJ104+BQ103</f>
        <v>721796</v>
      </c>
    </row>
    <row r="105" s="400" customFormat="1" ht="36" hidden="1" customHeight="1" spans="1:69">
      <c r="A105" s="427">
        <v>46031</v>
      </c>
      <c r="B105" s="550" t="s">
        <v>4976</v>
      </c>
      <c r="C105" s="422" t="s">
        <v>117</v>
      </c>
      <c r="D105" s="551">
        <v>4500191085</v>
      </c>
      <c r="E105" s="1696" t="s">
        <v>5946</v>
      </c>
      <c r="F105" s="551">
        <v>4500191085</v>
      </c>
      <c r="G105" s="425" t="s">
        <v>4979</v>
      </c>
      <c r="H105" s="426" t="s">
        <v>4980</v>
      </c>
      <c r="I105" s="437">
        <v>960</v>
      </c>
      <c r="J105" s="438">
        <v>0</v>
      </c>
      <c r="K105" s="425">
        <v>16</v>
      </c>
      <c r="L105" s="439">
        <f t="shared" si="27"/>
        <v>60</v>
      </c>
      <c r="M105" s="440">
        <v>46060</v>
      </c>
      <c r="N105" s="440">
        <v>46060</v>
      </c>
      <c r="O105" s="441" t="s">
        <v>5936</v>
      </c>
      <c r="P105" s="571" t="s">
        <v>92</v>
      </c>
      <c r="Q105" s="441"/>
      <c r="R105" s="441" t="s">
        <v>1102</v>
      </c>
      <c r="S105" s="441" t="s">
        <v>123</v>
      </c>
      <c r="T105" s="448" t="s">
        <v>5938</v>
      </c>
      <c r="U105" s="441" t="s">
        <v>4983</v>
      </c>
      <c r="V105" s="441"/>
      <c r="W105" s="441"/>
      <c r="X105" s="424" t="s">
        <v>5160</v>
      </c>
      <c r="Y105" s="473" t="s">
        <v>634</v>
      </c>
      <c r="Z105" s="474">
        <v>0.9059</v>
      </c>
      <c r="AA105" s="475">
        <f t="shared" si="44"/>
        <v>869.664</v>
      </c>
      <c r="AB105" s="437"/>
      <c r="AC105" s="425" t="s">
        <v>4979</v>
      </c>
      <c r="AD105" s="477" t="s">
        <v>128</v>
      </c>
      <c r="AE105" s="477" t="s">
        <v>4930</v>
      </c>
      <c r="AF105" s="425">
        <v>960</v>
      </c>
      <c r="AG105" s="425">
        <f t="shared" si="47"/>
        <v>0</v>
      </c>
      <c r="AH105" s="425" t="s">
        <v>4335</v>
      </c>
      <c r="AI105" s="478"/>
      <c r="AJ105" s="488">
        <f t="shared" si="40"/>
        <v>960</v>
      </c>
      <c r="AK105" s="488"/>
      <c r="AL105" s="489">
        <f t="shared" si="48"/>
        <v>960</v>
      </c>
      <c r="AM105" s="437"/>
      <c r="AN105" s="437"/>
      <c r="AO105" s="490"/>
      <c r="AP105" s="439">
        <f t="shared" si="41"/>
        <v>960</v>
      </c>
      <c r="AQ105" s="506"/>
      <c r="AR105" s="490"/>
      <c r="AS105" s="439">
        <f t="shared" si="42"/>
        <v>866</v>
      </c>
      <c r="AT105" s="504">
        <f t="shared" si="43"/>
        <v>94</v>
      </c>
      <c r="AU105" s="492"/>
      <c r="AV105" s="492"/>
      <c r="AW105" s="492"/>
      <c r="AX105" s="513"/>
      <c r="AY105" s="512"/>
      <c r="AZ105" s="512"/>
      <c r="BA105" s="512"/>
      <c r="BB105" s="512"/>
      <c r="BC105" s="512">
        <f t="shared" si="49"/>
        <v>60</v>
      </c>
      <c r="BD105" s="512"/>
      <c r="BE105" s="512"/>
      <c r="BF105" s="512"/>
      <c r="BG105" s="512"/>
      <c r="BH105" s="512"/>
      <c r="BI105" s="512"/>
      <c r="BJ105" s="512"/>
      <c r="BK105" s="512"/>
      <c r="BL105" s="512"/>
      <c r="BM105" s="512"/>
      <c r="BN105" s="512"/>
      <c r="BQ105" s="400">
        <f>AJ105+BQ104</f>
        <v>722756</v>
      </c>
    </row>
    <row r="106" s="400" customFormat="1" ht="36" hidden="1" customHeight="1" spans="1:69">
      <c r="A106" s="420">
        <v>45980</v>
      </c>
      <c r="B106" s="421" t="s">
        <v>1357</v>
      </c>
      <c r="C106" s="422" t="s">
        <v>286</v>
      </c>
      <c r="D106" s="423">
        <v>4500186204</v>
      </c>
      <c r="E106" s="424"/>
      <c r="F106" s="423" t="s">
        <v>5854</v>
      </c>
      <c r="G106" s="425" t="s">
        <v>4974</v>
      </c>
      <c r="H106" s="426" t="s">
        <v>5205</v>
      </c>
      <c r="I106" s="437">
        <v>1000</v>
      </c>
      <c r="J106" s="438">
        <v>0</v>
      </c>
      <c r="K106" s="425">
        <v>50</v>
      </c>
      <c r="L106" s="439">
        <f t="shared" si="27"/>
        <v>20</v>
      </c>
      <c r="M106" s="440">
        <v>46082</v>
      </c>
      <c r="N106" s="440">
        <v>46062</v>
      </c>
      <c r="O106" s="441" t="s">
        <v>5855</v>
      </c>
      <c r="P106" s="571" t="s">
        <v>92</v>
      </c>
      <c r="Q106" s="441"/>
      <c r="R106" s="449" t="s">
        <v>5857</v>
      </c>
      <c r="S106" s="448" t="s">
        <v>123</v>
      </c>
      <c r="T106" s="441" t="s">
        <v>5947</v>
      </c>
      <c r="U106" s="441"/>
      <c r="V106" s="441"/>
      <c r="W106" s="441"/>
      <c r="X106" s="424" t="s">
        <v>5948</v>
      </c>
      <c r="Y106" s="473" t="s">
        <v>3879</v>
      </c>
      <c r="Z106" s="474">
        <v>1.55</v>
      </c>
      <c r="AA106" s="475">
        <f t="shared" si="44"/>
        <v>1550</v>
      </c>
      <c r="AB106" s="476"/>
      <c r="AC106" s="425" t="s">
        <v>5391</v>
      </c>
      <c r="AD106" s="477" t="s">
        <v>128</v>
      </c>
      <c r="AE106" s="477" t="s">
        <v>4930</v>
      </c>
      <c r="AF106" s="425">
        <v>1000</v>
      </c>
      <c r="AG106" s="425">
        <f t="shared" si="47"/>
        <v>0</v>
      </c>
      <c r="AH106" s="477" t="s">
        <v>75</v>
      </c>
      <c r="AI106" s="478"/>
      <c r="AJ106" s="488">
        <f t="shared" si="40"/>
        <v>1000</v>
      </c>
      <c r="AK106" s="488"/>
      <c r="AL106" s="489"/>
      <c r="AM106" s="437">
        <f>I106</f>
        <v>1000</v>
      </c>
      <c r="AN106" s="437"/>
      <c r="AO106" s="437"/>
      <c r="AP106" s="439">
        <f t="shared" si="41"/>
        <v>1000</v>
      </c>
      <c r="AQ106" s="439"/>
      <c r="AR106" s="437"/>
      <c r="AS106" s="439">
        <f t="shared" si="42"/>
        <v>902.083333333333</v>
      </c>
      <c r="AT106" s="504">
        <f t="shared" si="43"/>
        <v>97.9166666666667</v>
      </c>
      <c r="AU106" s="489"/>
      <c r="AV106" s="489"/>
      <c r="AW106" s="489"/>
      <c r="AX106" s="512"/>
      <c r="AY106" s="512"/>
      <c r="AZ106" s="512"/>
      <c r="BA106" s="512"/>
      <c r="BB106" s="512">
        <f>I106/25</f>
        <v>40</v>
      </c>
      <c r="BC106" s="512"/>
      <c r="BD106" s="512"/>
      <c r="BE106" s="512"/>
      <c r="BF106" s="512"/>
      <c r="BG106" s="512"/>
      <c r="BH106" s="512"/>
      <c r="BI106" s="512"/>
      <c r="BJ106" s="512"/>
      <c r="BK106" s="512"/>
      <c r="BL106" s="512"/>
      <c r="BM106" s="512"/>
      <c r="BN106" s="512"/>
      <c r="BQ106" s="400">
        <f>AJ106+BQ108</f>
        <v>705932</v>
      </c>
    </row>
    <row r="107" s="3" customFormat="1" ht="36" hidden="1" customHeight="1" spans="1:69">
      <c r="A107" s="18">
        <v>46028</v>
      </c>
      <c r="B107" s="75" t="s">
        <v>660</v>
      </c>
      <c r="C107" s="76" t="s">
        <v>373</v>
      </c>
      <c r="D107" s="21">
        <v>4500190678</v>
      </c>
      <c r="E107" s="114"/>
      <c r="F107" s="21" t="s">
        <v>5850</v>
      </c>
      <c r="G107" s="23" t="s">
        <v>5066</v>
      </c>
      <c r="H107" s="24" t="s">
        <v>5048</v>
      </c>
      <c r="I107" s="88">
        <v>728</v>
      </c>
      <c r="J107" s="89">
        <v>0</v>
      </c>
      <c r="K107" s="23">
        <v>13</v>
      </c>
      <c r="L107" s="436">
        <f t="shared" si="27"/>
        <v>56</v>
      </c>
      <c r="M107" s="90">
        <v>46080</v>
      </c>
      <c r="N107" s="574">
        <v>46079</v>
      </c>
      <c r="O107" s="91"/>
      <c r="P107" s="91"/>
      <c r="Q107" s="91" t="s">
        <v>2732</v>
      </c>
      <c r="R107" s="91">
        <v>46030</v>
      </c>
      <c r="S107" s="453" t="s">
        <v>77</v>
      </c>
      <c r="T107" s="453" t="s">
        <v>5949</v>
      </c>
      <c r="U107" s="91"/>
      <c r="V107" s="91" t="s">
        <v>878</v>
      </c>
      <c r="W107" s="91"/>
      <c r="X107" s="114" t="s">
        <v>5950</v>
      </c>
      <c r="Y107" s="91" t="s">
        <v>5174</v>
      </c>
      <c r="Z107" s="116">
        <v>1.4027</v>
      </c>
      <c r="AA107" s="117">
        <f t="shared" si="44"/>
        <v>1021.1656</v>
      </c>
      <c r="AB107" s="88"/>
      <c r="AC107" s="23" t="s">
        <v>5052</v>
      </c>
      <c r="AD107" s="604" t="s">
        <v>128</v>
      </c>
      <c r="AE107" s="467" t="s">
        <v>4930</v>
      </c>
      <c r="AF107" s="23"/>
      <c r="AG107" s="483">
        <f t="shared" si="47"/>
        <v>-728</v>
      </c>
      <c r="AH107" s="23" t="s">
        <v>4335</v>
      </c>
      <c r="AI107" s="470"/>
      <c r="AJ107" s="155">
        <f t="shared" si="40"/>
        <v>728</v>
      </c>
      <c r="AK107" s="155"/>
      <c r="AL107" s="175"/>
      <c r="AM107" s="486">
        <f>I107</f>
        <v>728</v>
      </c>
      <c r="AN107" s="88"/>
      <c r="AO107" s="486"/>
      <c r="AP107" s="436">
        <f t="shared" si="41"/>
        <v>728</v>
      </c>
      <c r="AQ107" s="624"/>
      <c r="AR107" s="486"/>
      <c r="AS107" s="436">
        <f t="shared" si="42"/>
        <v>656.716666666667</v>
      </c>
      <c r="AT107" s="505">
        <f t="shared" si="43"/>
        <v>71.2833333333333</v>
      </c>
      <c r="AU107" s="624">
        <f>AT107</f>
        <v>71.2833333333333</v>
      </c>
      <c r="AV107" s="486"/>
      <c r="AW107" s="486"/>
      <c r="AX107" s="514"/>
      <c r="AY107" s="181">
        <f>I107/13</f>
        <v>56</v>
      </c>
      <c r="AZ107" s="181"/>
      <c r="BA107" s="181"/>
      <c r="BB107" s="181"/>
      <c r="BC107" s="181"/>
      <c r="BD107" s="181"/>
      <c r="BE107" s="181"/>
      <c r="BF107" s="181"/>
      <c r="BG107" s="181"/>
      <c r="BH107" s="181"/>
      <c r="BI107" s="181"/>
      <c r="BJ107" s="181"/>
      <c r="BK107" s="181"/>
      <c r="BL107" s="181"/>
      <c r="BM107" s="181"/>
      <c r="BN107" s="181"/>
      <c r="BQ107" s="3">
        <f>AJ107+BQ99</f>
        <v>703732</v>
      </c>
    </row>
    <row r="108" s="400" customFormat="1" ht="36" hidden="1" customHeight="1" spans="1:69">
      <c r="A108" s="427">
        <v>46028</v>
      </c>
      <c r="B108" s="421" t="s">
        <v>660</v>
      </c>
      <c r="C108" s="422" t="s">
        <v>373</v>
      </c>
      <c r="D108" s="428">
        <v>4500190678</v>
      </c>
      <c r="E108" s="424"/>
      <c r="F108" s="428" t="s">
        <v>5852</v>
      </c>
      <c r="G108" s="425" t="s">
        <v>5171</v>
      </c>
      <c r="H108" s="426" t="s">
        <v>5055</v>
      </c>
      <c r="I108" s="437">
        <v>1200</v>
      </c>
      <c r="J108" s="438">
        <v>0</v>
      </c>
      <c r="K108" s="425">
        <v>30</v>
      </c>
      <c r="L108" s="439">
        <f t="shared" si="27"/>
        <v>40</v>
      </c>
      <c r="M108" s="440">
        <v>46080</v>
      </c>
      <c r="N108" s="440">
        <v>46079</v>
      </c>
      <c r="O108" s="441"/>
      <c r="P108" s="441" t="s">
        <v>92</v>
      </c>
      <c r="Q108" s="441" t="s">
        <v>2732</v>
      </c>
      <c r="R108" s="441">
        <v>46030</v>
      </c>
      <c r="S108" s="448" t="s">
        <v>77</v>
      </c>
      <c r="T108" s="448" t="s">
        <v>5949</v>
      </c>
      <c r="U108" s="441"/>
      <c r="V108" s="441"/>
      <c r="W108" s="441"/>
      <c r="X108" s="424" t="s">
        <v>5951</v>
      </c>
      <c r="Y108" s="441" t="s">
        <v>5174</v>
      </c>
      <c r="Z108" s="474">
        <v>57.6081</v>
      </c>
      <c r="AA108" s="475">
        <f>Z108*L108</f>
        <v>2304.324</v>
      </c>
      <c r="AB108" s="437"/>
      <c r="AC108" s="425" t="s">
        <v>5057</v>
      </c>
      <c r="AD108" s="477" t="s">
        <v>128</v>
      </c>
      <c r="AE108" s="477" t="s">
        <v>4930</v>
      </c>
      <c r="AF108" s="425">
        <f>1170+30</f>
        <v>1200</v>
      </c>
      <c r="AG108" s="425">
        <f t="shared" si="47"/>
        <v>0</v>
      </c>
      <c r="AH108" s="425" t="s">
        <v>4335</v>
      </c>
      <c r="AI108" s="478"/>
      <c r="AJ108" s="488">
        <f t="shared" si="40"/>
        <v>1200</v>
      </c>
      <c r="AK108" s="491"/>
      <c r="AL108" s="492"/>
      <c r="AM108" s="490">
        <f>I108</f>
        <v>1200</v>
      </c>
      <c r="AN108" s="437"/>
      <c r="AO108" s="437"/>
      <c r="AP108" s="439">
        <f t="shared" si="41"/>
        <v>1200</v>
      </c>
      <c r="AQ108" s="439"/>
      <c r="AR108" s="489"/>
      <c r="AS108" s="439">
        <f t="shared" si="42"/>
        <v>1082.5</v>
      </c>
      <c r="AT108" s="504">
        <f t="shared" si="43"/>
        <v>117.5</v>
      </c>
      <c r="AU108" s="506">
        <f>AT108</f>
        <v>117.5</v>
      </c>
      <c r="AV108" s="490"/>
      <c r="AW108" s="490"/>
      <c r="AX108" s="513"/>
      <c r="AY108" s="512"/>
      <c r="AZ108" s="512"/>
      <c r="BA108" s="512"/>
      <c r="BB108" s="512"/>
      <c r="BC108" s="512"/>
      <c r="BD108" s="512"/>
      <c r="BE108" s="512"/>
      <c r="BF108" s="512"/>
      <c r="BG108" s="512"/>
      <c r="BH108" s="512"/>
      <c r="BI108" s="512"/>
      <c r="BJ108" s="512"/>
      <c r="BK108" s="512">
        <f>BL108</f>
        <v>40</v>
      </c>
      <c r="BL108" s="512">
        <f>I108/30</f>
        <v>40</v>
      </c>
      <c r="BM108" s="512"/>
      <c r="BN108" s="512"/>
      <c r="BQ108" s="400">
        <f>AJ108+BQ107</f>
        <v>704932</v>
      </c>
    </row>
    <row r="109" s="400" customFormat="1" ht="36" hidden="1" customHeight="1" spans="1:69">
      <c r="A109" s="427">
        <v>46035</v>
      </c>
      <c r="B109" s="421" t="s">
        <v>2811</v>
      </c>
      <c r="C109" s="422" t="s">
        <v>117</v>
      </c>
      <c r="D109" s="428">
        <v>4500191213</v>
      </c>
      <c r="E109" s="553">
        <v>33826</v>
      </c>
      <c r="F109" s="428" t="s">
        <v>5952</v>
      </c>
      <c r="G109" s="425" t="s">
        <v>5066</v>
      </c>
      <c r="H109" s="426" t="s">
        <v>5048</v>
      </c>
      <c r="I109" s="437">
        <v>1300</v>
      </c>
      <c r="J109" s="438">
        <v>0</v>
      </c>
      <c r="K109" s="425">
        <v>13</v>
      </c>
      <c r="L109" s="439">
        <f t="shared" si="27"/>
        <v>100</v>
      </c>
      <c r="M109" s="440">
        <v>46083</v>
      </c>
      <c r="N109" s="440">
        <v>46079</v>
      </c>
      <c r="O109" s="441"/>
      <c r="P109" s="441" t="s">
        <v>92</v>
      </c>
      <c r="Q109" s="441"/>
      <c r="R109" s="441">
        <v>46041</v>
      </c>
      <c r="S109" s="448" t="s">
        <v>77</v>
      </c>
      <c r="T109" s="448" t="s">
        <v>77</v>
      </c>
      <c r="U109" s="441"/>
      <c r="V109" s="441"/>
      <c r="W109" s="441"/>
      <c r="X109" s="424" t="s">
        <v>5209</v>
      </c>
      <c r="Y109" s="441" t="s">
        <v>4230</v>
      </c>
      <c r="Z109" s="474">
        <v>0.8485</v>
      </c>
      <c r="AA109" s="475">
        <f t="shared" ref="AA108:AA118" si="50">Z109*I109</f>
        <v>1103.05</v>
      </c>
      <c r="AB109" s="437"/>
      <c r="AC109" s="478" t="s">
        <v>5066</v>
      </c>
      <c r="AD109" s="600" t="s">
        <v>128</v>
      </c>
      <c r="AE109" s="477" t="s">
        <v>4930</v>
      </c>
      <c r="AF109" s="425">
        <v>1300</v>
      </c>
      <c r="AG109" s="425">
        <f t="shared" si="47"/>
        <v>0</v>
      </c>
      <c r="AH109" s="448" t="s">
        <v>77</v>
      </c>
      <c r="AI109" s="478"/>
      <c r="AJ109" s="488">
        <f t="shared" si="40"/>
        <v>1300</v>
      </c>
      <c r="AK109" s="488"/>
      <c r="AL109" s="494">
        <f>I109</f>
        <v>1300</v>
      </c>
      <c r="AM109" s="490"/>
      <c r="AN109" s="437"/>
      <c r="AO109" s="437"/>
      <c r="AP109" s="439">
        <f t="shared" si="41"/>
        <v>1300</v>
      </c>
      <c r="AQ109" s="506"/>
      <c r="AR109" s="490"/>
      <c r="AS109" s="439">
        <f t="shared" si="42"/>
        <v>1172.70833333333</v>
      </c>
      <c r="AT109" s="504">
        <f t="shared" si="43"/>
        <v>127.291666666667</v>
      </c>
      <c r="AU109" s="506"/>
      <c r="AV109" s="490"/>
      <c r="AW109" s="490"/>
      <c r="AX109" s="512">
        <f>I109/13</f>
        <v>100</v>
      </c>
      <c r="AY109" s="512"/>
      <c r="AZ109" s="512"/>
      <c r="BA109" s="512"/>
      <c r="BB109" s="512"/>
      <c r="BC109" s="512"/>
      <c r="BD109" s="512"/>
      <c r="BE109" s="512"/>
      <c r="BF109" s="512"/>
      <c r="BG109" s="512"/>
      <c r="BH109" s="512"/>
      <c r="BI109" s="512"/>
      <c r="BJ109" s="512"/>
      <c r="BK109" s="512"/>
      <c r="BL109" s="512"/>
      <c r="BM109" s="512"/>
      <c r="BN109" s="512"/>
      <c r="BQ109" s="400">
        <f>AJ109+BQ106</f>
        <v>707232</v>
      </c>
    </row>
    <row r="110" s="400" customFormat="1" ht="36" hidden="1" customHeight="1" spans="1:69">
      <c r="A110" s="427">
        <v>46026</v>
      </c>
      <c r="B110" s="421" t="s">
        <v>5141</v>
      </c>
      <c r="C110" s="422" t="s">
        <v>117</v>
      </c>
      <c r="D110" s="428">
        <v>4500190546</v>
      </c>
      <c r="E110" s="424" t="s">
        <v>5860</v>
      </c>
      <c r="F110" s="428" t="s">
        <v>5861</v>
      </c>
      <c r="G110" s="425" t="s">
        <v>4970</v>
      </c>
      <c r="H110" s="426" t="s">
        <v>5144</v>
      </c>
      <c r="I110" s="442">
        <v>3016</v>
      </c>
      <c r="J110" s="438">
        <v>0</v>
      </c>
      <c r="K110" s="425">
        <v>52</v>
      </c>
      <c r="L110" s="439">
        <f t="shared" si="27"/>
        <v>58</v>
      </c>
      <c r="M110" s="440">
        <v>46087</v>
      </c>
      <c r="N110" s="440">
        <v>46083</v>
      </c>
      <c r="O110" s="441"/>
      <c r="P110" s="441" t="s">
        <v>92</v>
      </c>
      <c r="Q110" s="441"/>
      <c r="R110" s="449">
        <v>46030</v>
      </c>
      <c r="S110" s="449" t="s">
        <v>123</v>
      </c>
      <c r="T110" s="441" t="s">
        <v>5953</v>
      </c>
      <c r="U110" s="441"/>
      <c r="V110" s="441"/>
      <c r="W110" s="441"/>
      <c r="X110" s="424" t="s">
        <v>5862</v>
      </c>
      <c r="Y110" s="473" t="s">
        <v>283</v>
      </c>
      <c r="Z110" s="474">
        <v>0.8479</v>
      </c>
      <c r="AA110" s="475">
        <f t="shared" si="50"/>
        <v>2557.2664</v>
      </c>
      <c r="AB110" s="437"/>
      <c r="AC110" s="425" t="s">
        <v>4970</v>
      </c>
      <c r="AD110" s="477" t="s">
        <v>128</v>
      </c>
      <c r="AE110" s="477" t="s">
        <v>4930</v>
      </c>
      <c r="AF110" s="425">
        <f>2964+52</f>
        <v>3016</v>
      </c>
      <c r="AG110" s="425">
        <f t="shared" si="47"/>
        <v>0</v>
      </c>
      <c r="AH110" s="425" t="s">
        <v>4335</v>
      </c>
      <c r="AI110" s="478"/>
      <c r="AJ110" s="488">
        <f t="shared" si="40"/>
        <v>3016</v>
      </c>
      <c r="AK110" s="488"/>
      <c r="AL110" s="489">
        <f>I110</f>
        <v>3016</v>
      </c>
      <c r="AM110" s="490"/>
      <c r="AN110" s="490"/>
      <c r="AO110" s="490"/>
      <c r="AP110" s="439">
        <f t="shared" si="41"/>
        <v>3016</v>
      </c>
      <c r="AQ110" s="625"/>
      <c r="AS110" s="439">
        <f t="shared" si="42"/>
        <v>2720.68333333333</v>
      </c>
      <c r="AT110" s="504">
        <f t="shared" si="43"/>
        <v>295.316666666667</v>
      </c>
      <c r="AU110" s="492"/>
      <c r="AV110" s="490"/>
      <c r="AW110" s="490"/>
      <c r="AX110" s="512">
        <f>I110/13</f>
        <v>232</v>
      </c>
      <c r="AY110" s="512"/>
      <c r="AZ110" s="512"/>
      <c r="BA110" s="512"/>
      <c r="BB110" s="512"/>
      <c r="BC110" s="512"/>
      <c r="BD110" s="512"/>
      <c r="BE110" s="512"/>
      <c r="BF110" s="512"/>
      <c r="BG110" s="512"/>
      <c r="BH110" s="512"/>
      <c r="BI110" s="512"/>
      <c r="BJ110" s="512"/>
      <c r="BK110" s="512"/>
      <c r="BL110" s="512"/>
      <c r="BM110" s="512"/>
      <c r="BN110" s="512"/>
      <c r="BQ110" s="400">
        <f>AJ110+BQ109</f>
        <v>710248</v>
      </c>
    </row>
    <row r="111" s="400" customFormat="1" ht="36" hidden="1" customHeight="1" spans="1:69">
      <c r="A111" s="427">
        <v>46000</v>
      </c>
      <c r="B111" s="421" t="s">
        <v>5216</v>
      </c>
      <c r="C111" s="422" t="s">
        <v>213</v>
      </c>
      <c r="D111" s="428">
        <v>4500187028</v>
      </c>
      <c r="E111" s="424" t="s">
        <v>5863</v>
      </c>
      <c r="F111" s="428" t="s">
        <v>5864</v>
      </c>
      <c r="G111" s="425" t="s">
        <v>5219</v>
      </c>
      <c r="H111" s="426" t="s">
        <v>5220</v>
      </c>
      <c r="I111" s="437">
        <v>500</v>
      </c>
      <c r="J111" s="438">
        <v>25</v>
      </c>
      <c r="K111" s="425">
        <v>50</v>
      </c>
      <c r="L111" s="439">
        <f t="shared" si="27"/>
        <v>10</v>
      </c>
      <c r="M111" s="440">
        <v>46090</v>
      </c>
      <c r="N111" s="440">
        <v>46086</v>
      </c>
      <c r="O111" s="441"/>
      <c r="P111" s="441" t="s">
        <v>92</v>
      </c>
      <c r="Q111" s="441" t="s">
        <v>5954</v>
      </c>
      <c r="R111" s="449">
        <v>46000</v>
      </c>
      <c r="S111" s="448" t="s">
        <v>77</v>
      </c>
      <c r="T111" s="441" t="s">
        <v>77</v>
      </c>
      <c r="U111" s="441"/>
      <c r="V111" s="441"/>
      <c r="W111" s="441"/>
      <c r="X111" s="424" t="s">
        <v>5865</v>
      </c>
      <c r="Y111" s="473" t="s">
        <v>695</v>
      </c>
      <c r="Z111" s="474">
        <v>1.4836</v>
      </c>
      <c r="AA111" s="475">
        <f t="shared" si="50"/>
        <v>741.8</v>
      </c>
      <c r="AB111" s="476"/>
      <c r="AC111" s="425" t="s">
        <v>5219</v>
      </c>
      <c r="AD111" s="477" t="s">
        <v>128</v>
      </c>
      <c r="AE111" s="477" t="s">
        <v>4930</v>
      </c>
      <c r="AF111" s="425">
        <f>450+50</f>
        <v>500</v>
      </c>
      <c r="AG111" s="425">
        <f t="shared" si="47"/>
        <v>0</v>
      </c>
      <c r="AH111" s="441" t="s">
        <v>77</v>
      </c>
      <c r="AI111" s="478"/>
      <c r="AJ111" s="488">
        <f t="shared" si="40"/>
        <v>500</v>
      </c>
      <c r="AK111" s="488"/>
      <c r="AL111" s="489">
        <f>I111</f>
        <v>500</v>
      </c>
      <c r="AM111" s="437"/>
      <c r="AN111" s="437"/>
      <c r="AO111" s="437"/>
      <c r="AP111" s="494">
        <f t="shared" si="41"/>
        <v>500</v>
      </c>
      <c r="AQ111" s="626"/>
      <c r="AS111" s="489">
        <f>AP111</f>
        <v>500</v>
      </c>
      <c r="AT111" s="627"/>
      <c r="AU111" s="439">
        <f>AS111</f>
        <v>500</v>
      </c>
      <c r="AV111" s="492"/>
      <c r="AW111" s="492"/>
      <c r="AX111" s="513"/>
      <c r="AY111" s="512"/>
      <c r="AZ111" s="512"/>
      <c r="BA111" s="512">
        <f>I111/25</f>
        <v>20</v>
      </c>
      <c r="BB111" s="512"/>
      <c r="BC111" s="512"/>
      <c r="BD111" s="512"/>
      <c r="BE111" s="512"/>
      <c r="BF111" s="512"/>
      <c r="BG111" s="512"/>
      <c r="BH111" s="512"/>
      <c r="BI111" s="512"/>
      <c r="BJ111" s="512"/>
      <c r="BK111" s="512"/>
      <c r="BL111" s="512"/>
      <c r="BM111" s="512"/>
      <c r="BN111" s="512"/>
      <c r="BQ111" s="400">
        <f>AJ111+BQ110</f>
        <v>710748</v>
      </c>
    </row>
    <row r="112" s="400" customFormat="1" ht="36" customHeight="1" spans="1:69">
      <c r="A112" s="427">
        <v>46031</v>
      </c>
      <c r="B112" s="421" t="s">
        <v>5745</v>
      </c>
      <c r="C112" s="422" t="s">
        <v>117</v>
      </c>
      <c r="D112" s="428">
        <v>4500191055</v>
      </c>
      <c r="E112" s="424">
        <v>4353960680</v>
      </c>
      <c r="F112" s="428" t="s">
        <v>5955</v>
      </c>
      <c r="G112" s="425" t="s">
        <v>4988</v>
      </c>
      <c r="H112" s="426" t="s">
        <v>4989</v>
      </c>
      <c r="I112" s="442">
        <v>3400</v>
      </c>
      <c r="J112" s="438">
        <v>0</v>
      </c>
      <c r="K112" s="425">
        <v>25</v>
      </c>
      <c r="L112" s="439">
        <f t="shared" si="27"/>
        <v>136</v>
      </c>
      <c r="M112" s="440">
        <v>46090</v>
      </c>
      <c r="N112" s="440">
        <v>46086</v>
      </c>
      <c r="O112" s="441"/>
      <c r="P112" s="441" t="s">
        <v>92</v>
      </c>
      <c r="Q112" s="441"/>
      <c r="R112" s="449">
        <v>46038</v>
      </c>
      <c r="S112" s="448" t="s">
        <v>77</v>
      </c>
      <c r="T112" s="460" t="s">
        <v>5956</v>
      </c>
      <c r="U112" s="441"/>
      <c r="V112" s="441"/>
      <c r="W112" s="441"/>
      <c r="X112" s="424" t="s">
        <v>5957</v>
      </c>
      <c r="Y112" s="473" t="s">
        <v>521</v>
      </c>
      <c r="Z112" s="474">
        <v>0.8608</v>
      </c>
      <c r="AA112" s="475">
        <f t="shared" si="50"/>
        <v>2926.72</v>
      </c>
      <c r="AB112" s="437"/>
      <c r="AC112" s="478" t="s">
        <v>4988</v>
      </c>
      <c r="AD112" s="477" t="s">
        <v>128</v>
      </c>
      <c r="AE112" s="477" t="s">
        <v>4930</v>
      </c>
      <c r="AF112" s="425">
        <v>3400</v>
      </c>
      <c r="AG112" s="425">
        <f t="shared" si="47"/>
        <v>0</v>
      </c>
      <c r="AH112" s="425" t="s">
        <v>75</v>
      </c>
      <c r="AI112" s="478"/>
      <c r="AJ112" s="488">
        <f t="shared" si="40"/>
        <v>3400</v>
      </c>
      <c r="AK112" s="488"/>
      <c r="AL112" s="489">
        <f>I112</f>
        <v>3400</v>
      </c>
      <c r="AM112" s="437"/>
      <c r="AN112" s="437"/>
      <c r="AO112" s="437"/>
      <c r="AP112" s="439">
        <f t="shared" si="41"/>
        <v>3400</v>
      </c>
      <c r="AQ112" s="439"/>
      <c r="AR112" s="437"/>
      <c r="AS112" s="439">
        <f t="shared" ref="AS112:AS118" si="51">AP112-AT112</f>
        <v>3067.08333333333</v>
      </c>
      <c r="AT112" s="504">
        <f>I112*(1-(1/48))/10</f>
        <v>332.916666666667</v>
      </c>
      <c r="AU112" s="489"/>
      <c r="AV112" s="492"/>
      <c r="AW112" s="492"/>
      <c r="AX112" s="513"/>
      <c r="AY112" s="512"/>
      <c r="AZ112" s="512"/>
      <c r="BA112" s="512">
        <f>I112/25</f>
        <v>136</v>
      </c>
      <c r="BB112" s="512"/>
      <c r="BC112" s="512"/>
      <c r="BD112" s="512"/>
      <c r="BE112" s="512"/>
      <c r="BF112" s="512"/>
      <c r="BG112" s="512"/>
      <c r="BH112" s="512"/>
      <c r="BI112" s="512"/>
      <c r="BJ112" s="512"/>
      <c r="BK112" s="512"/>
      <c r="BL112" s="512"/>
      <c r="BM112" s="512"/>
      <c r="BN112" s="512"/>
      <c r="BQ112" s="400">
        <f>AJ112+BQ111</f>
        <v>714148</v>
      </c>
    </row>
    <row r="113" s="400" customFormat="1" ht="36" customHeight="1" spans="1:69">
      <c r="A113" s="427">
        <v>46031</v>
      </c>
      <c r="B113" s="550" t="s">
        <v>5745</v>
      </c>
      <c r="C113" s="422" t="s">
        <v>117</v>
      </c>
      <c r="D113" s="554">
        <v>4500191070</v>
      </c>
      <c r="E113" s="552">
        <v>4354219568</v>
      </c>
      <c r="F113" s="554">
        <v>4500191070</v>
      </c>
      <c r="G113" s="425" t="s">
        <v>4988</v>
      </c>
      <c r="H113" s="426" t="s">
        <v>4989</v>
      </c>
      <c r="I113" s="442">
        <v>2800</v>
      </c>
      <c r="J113" s="438">
        <v>0</v>
      </c>
      <c r="K113" s="425">
        <v>25</v>
      </c>
      <c r="L113" s="439">
        <f t="shared" si="27"/>
        <v>112</v>
      </c>
      <c r="M113" s="440">
        <v>46090</v>
      </c>
      <c r="N113" s="440">
        <v>46086</v>
      </c>
      <c r="O113" s="441"/>
      <c r="P113" s="441" t="s">
        <v>92</v>
      </c>
      <c r="Q113" s="441"/>
      <c r="R113" s="449">
        <v>46038</v>
      </c>
      <c r="S113" s="448" t="s">
        <v>77</v>
      </c>
      <c r="T113" s="460" t="s">
        <v>5956</v>
      </c>
      <c r="U113" s="441"/>
      <c r="V113" s="441"/>
      <c r="W113" s="441"/>
      <c r="X113" s="424" t="s">
        <v>5957</v>
      </c>
      <c r="Y113" s="473" t="s">
        <v>521</v>
      </c>
      <c r="Z113" s="474">
        <v>0.8608</v>
      </c>
      <c r="AA113" s="475">
        <f t="shared" si="50"/>
        <v>2410.24</v>
      </c>
      <c r="AB113" s="437"/>
      <c r="AC113" s="478" t="s">
        <v>4988</v>
      </c>
      <c r="AD113" s="477" t="s">
        <v>128</v>
      </c>
      <c r="AE113" s="477" t="s">
        <v>4930</v>
      </c>
      <c r="AF113" s="425">
        <f>2775</f>
        <v>2775</v>
      </c>
      <c r="AG113" s="425">
        <f t="shared" si="47"/>
        <v>-25</v>
      </c>
      <c r="AH113" s="477" t="s">
        <v>4335</v>
      </c>
      <c r="AI113" s="478"/>
      <c r="AJ113" s="488">
        <f t="shared" si="40"/>
        <v>2800</v>
      </c>
      <c r="AK113" s="488"/>
      <c r="AL113" s="489">
        <f>I113</f>
        <v>2800</v>
      </c>
      <c r="AM113" s="437"/>
      <c r="AN113" s="437"/>
      <c r="AO113" s="437"/>
      <c r="AP113" s="439">
        <f t="shared" si="41"/>
        <v>2800</v>
      </c>
      <c r="AQ113" s="439"/>
      <c r="AR113" s="437"/>
      <c r="AS113" s="439">
        <f t="shared" si="51"/>
        <v>2525.83333333333</v>
      </c>
      <c r="AT113" s="504">
        <f>I113*(1-(1/48))/10</f>
        <v>274.166666666667</v>
      </c>
      <c r="AU113" s="492"/>
      <c r="AV113" s="492"/>
      <c r="AW113" s="492"/>
      <c r="AX113" s="513"/>
      <c r="AY113" s="512"/>
      <c r="AZ113" s="512"/>
      <c r="BA113" s="512">
        <f>I113/25</f>
        <v>112</v>
      </c>
      <c r="BB113" s="512"/>
      <c r="BC113" s="512"/>
      <c r="BD113" s="512"/>
      <c r="BE113" s="512"/>
      <c r="BF113" s="512"/>
      <c r="BG113" s="512"/>
      <c r="BH113" s="512"/>
      <c r="BI113" s="512"/>
      <c r="BJ113" s="512"/>
      <c r="BK113" s="512"/>
      <c r="BL113" s="512"/>
      <c r="BM113" s="512"/>
      <c r="BN113" s="512"/>
      <c r="BQ113" s="400">
        <f>AJ113+BQ112</f>
        <v>716948</v>
      </c>
    </row>
    <row r="114" s="400" customFormat="1" ht="36" hidden="1" customHeight="1" spans="1:69">
      <c r="A114" s="427">
        <v>46035</v>
      </c>
      <c r="B114" s="421" t="s">
        <v>3926</v>
      </c>
      <c r="C114" s="422" t="s">
        <v>351</v>
      </c>
      <c r="D114" s="428">
        <v>4500191202</v>
      </c>
      <c r="E114" s="424"/>
      <c r="F114" s="428" t="s">
        <v>5958</v>
      </c>
      <c r="G114" s="425" t="s">
        <v>5092</v>
      </c>
      <c r="H114" s="426" t="s">
        <v>5093</v>
      </c>
      <c r="I114" s="437">
        <v>12</v>
      </c>
      <c r="J114" s="438">
        <v>0</v>
      </c>
      <c r="K114" s="425">
        <v>12</v>
      </c>
      <c r="L114" s="439">
        <f t="shared" si="27"/>
        <v>1</v>
      </c>
      <c r="M114" s="440">
        <v>46092</v>
      </c>
      <c r="N114" s="440">
        <v>46088</v>
      </c>
      <c r="O114" s="441"/>
      <c r="P114" s="441" t="s">
        <v>92</v>
      </c>
      <c r="Q114" s="441"/>
      <c r="R114" s="585">
        <v>46035</v>
      </c>
      <c r="S114" s="448" t="s">
        <v>123</v>
      </c>
      <c r="T114" s="586" t="s">
        <v>5959</v>
      </c>
      <c r="U114" s="441"/>
      <c r="V114" s="441"/>
      <c r="W114" s="441"/>
      <c r="X114" s="424" t="s">
        <v>5724</v>
      </c>
      <c r="Y114" s="441" t="s">
        <v>396</v>
      </c>
      <c r="Z114" s="474">
        <v>3.1965</v>
      </c>
      <c r="AA114" s="475">
        <f t="shared" si="50"/>
        <v>38.358</v>
      </c>
      <c r="AB114" s="476"/>
      <c r="AC114" s="478" t="s">
        <v>5098</v>
      </c>
      <c r="AD114" s="477" t="s">
        <v>128</v>
      </c>
      <c r="AE114" s="477" t="s">
        <v>4930</v>
      </c>
      <c r="AF114" s="425">
        <v>12</v>
      </c>
      <c r="AG114" s="425">
        <f t="shared" si="47"/>
        <v>0</v>
      </c>
      <c r="AH114" s="425" t="s">
        <v>4335</v>
      </c>
      <c r="AI114" s="478"/>
      <c r="AJ114" s="488">
        <f>I114*2</f>
        <v>24</v>
      </c>
      <c r="AK114" s="488"/>
      <c r="AL114" s="489"/>
      <c r="AM114" s="437"/>
      <c r="AN114" s="437">
        <f>I114*2</f>
        <v>24</v>
      </c>
      <c r="AO114" s="437"/>
      <c r="AP114" s="439">
        <f>I114*2</f>
        <v>24</v>
      </c>
      <c r="AQ114" s="439"/>
      <c r="AR114" s="437"/>
      <c r="AS114" s="439">
        <f t="shared" si="51"/>
        <v>21.65</v>
      </c>
      <c r="AT114" s="504">
        <f>I114*(1-(1/48))/10*2</f>
        <v>2.35</v>
      </c>
      <c r="AU114" s="439"/>
      <c r="AV114" s="490"/>
      <c r="AW114" s="490"/>
      <c r="AX114" s="513"/>
      <c r="AY114" s="512"/>
      <c r="AZ114" s="512"/>
      <c r="BA114" s="512"/>
      <c r="BB114" s="512"/>
      <c r="BC114" s="512"/>
      <c r="BD114" s="512"/>
      <c r="BE114" s="512"/>
      <c r="BF114" s="512"/>
      <c r="BG114" s="512"/>
      <c r="BH114" s="512"/>
      <c r="BI114" s="512"/>
      <c r="BJ114" s="512"/>
      <c r="BK114" s="512"/>
      <c r="BL114" s="512"/>
      <c r="BM114" s="512">
        <f>I114</f>
        <v>12</v>
      </c>
      <c r="BN114" s="512">
        <f>I114</f>
        <v>12</v>
      </c>
      <c r="BQ114" s="400">
        <f>AJ114+BQ102</f>
        <v>719852</v>
      </c>
    </row>
    <row r="115" s="400" customFormat="1" ht="36" hidden="1" customHeight="1" spans="1:69">
      <c r="A115" s="427">
        <v>46035</v>
      </c>
      <c r="B115" s="421" t="s">
        <v>3926</v>
      </c>
      <c r="C115" s="422" t="s">
        <v>351</v>
      </c>
      <c r="D115" s="428">
        <v>4500191202</v>
      </c>
      <c r="E115" s="424"/>
      <c r="F115" s="428" t="s">
        <v>5960</v>
      </c>
      <c r="G115" s="425" t="s">
        <v>5092</v>
      </c>
      <c r="H115" s="426" t="s">
        <v>5093</v>
      </c>
      <c r="I115" s="437">
        <v>12</v>
      </c>
      <c r="J115" s="438">
        <v>0</v>
      </c>
      <c r="K115" s="425">
        <v>12</v>
      </c>
      <c r="L115" s="439">
        <f t="shared" si="27"/>
        <v>1</v>
      </c>
      <c r="M115" s="440">
        <v>46092</v>
      </c>
      <c r="N115" s="440">
        <v>46088</v>
      </c>
      <c r="O115" s="441"/>
      <c r="P115" s="441" t="s">
        <v>92</v>
      </c>
      <c r="Q115" s="441"/>
      <c r="R115" s="585">
        <v>46035</v>
      </c>
      <c r="S115" s="448" t="s">
        <v>123</v>
      </c>
      <c r="T115" s="586" t="s">
        <v>5959</v>
      </c>
      <c r="U115" s="441"/>
      <c r="V115" s="441"/>
      <c r="W115" s="441"/>
      <c r="X115" s="424" t="s">
        <v>5724</v>
      </c>
      <c r="Y115" s="441" t="s">
        <v>396</v>
      </c>
      <c r="Z115" s="474">
        <v>3.1965</v>
      </c>
      <c r="AA115" s="475">
        <f t="shared" si="50"/>
        <v>38.358</v>
      </c>
      <c r="AB115" s="476"/>
      <c r="AC115" s="478" t="s">
        <v>5098</v>
      </c>
      <c r="AD115" s="477" t="s">
        <v>128</v>
      </c>
      <c r="AE115" s="477" t="s">
        <v>4930</v>
      </c>
      <c r="AF115" s="425">
        <v>12</v>
      </c>
      <c r="AG115" s="425">
        <f t="shared" si="47"/>
        <v>0</v>
      </c>
      <c r="AH115" s="425" t="s">
        <v>4335</v>
      </c>
      <c r="AI115" s="478"/>
      <c r="AJ115" s="488">
        <f>I115*2</f>
        <v>24</v>
      </c>
      <c r="AK115" s="488"/>
      <c r="AL115" s="489"/>
      <c r="AM115" s="437"/>
      <c r="AN115" s="437">
        <f>I115*2</f>
        <v>24</v>
      </c>
      <c r="AO115" s="437"/>
      <c r="AP115" s="439">
        <f>I115*2</f>
        <v>24</v>
      </c>
      <c r="AQ115" s="439"/>
      <c r="AR115" s="437"/>
      <c r="AS115" s="439">
        <f t="shared" si="51"/>
        <v>21.65</v>
      </c>
      <c r="AT115" s="504">
        <f>I115*(1-(1/48))/10*2</f>
        <v>2.35</v>
      </c>
      <c r="AU115" s="439"/>
      <c r="AV115" s="490"/>
      <c r="AW115" s="490"/>
      <c r="AX115" s="513"/>
      <c r="AY115" s="512"/>
      <c r="AZ115" s="512"/>
      <c r="BA115" s="512"/>
      <c r="BB115" s="512"/>
      <c r="BC115" s="512"/>
      <c r="BD115" s="512"/>
      <c r="BE115" s="512"/>
      <c r="BF115" s="512"/>
      <c r="BG115" s="512"/>
      <c r="BH115" s="512"/>
      <c r="BI115" s="512"/>
      <c r="BJ115" s="512"/>
      <c r="BK115" s="512"/>
      <c r="BL115" s="512"/>
      <c r="BM115" s="512">
        <f>I115</f>
        <v>12</v>
      </c>
      <c r="BN115" s="512">
        <f>I115</f>
        <v>12</v>
      </c>
      <c r="BQ115" s="400">
        <f>AJ115+BQ114</f>
        <v>719876</v>
      </c>
    </row>
    <row r="116" s="400" customFormat="1" ht="36" hidden="1" customHeight="1" spans="1:69">
      <c r="A116" s="420">
        <v>46036</v>
      </c>
      <c r="B116" s="421" t="s">
        <v>5816</v>
      </c>
      <c r="C116" s="422" t="s">
        <v>286</v>
      </c>
      <c r="D116" s="423">
        <v>4500191234</v>
      </c>
      <c r="E116" s="424"/>
      <c r="F116" s="423" t="s">
        <v>5961</v>
      </c>
      <c r="G116" s="425" t="s">
        <v>4963</v>
      </c>
      <c r="H116" s="426" t="s">
        <v>4964</v>
      </c>
      <c r="I116" s="437">
        <v>3000</v>
      </c>
      <c r="J116" s="438">
        <v>0</v>
      </c>
      <c r="K116" s="425">
        <v>24</v>
      </c>
      <c r="L116" s="439">
        <f t="shared" si="27"/>
        <v>125</v>
      </c>
      <c r="M116" s="440">
        <v>46097</v>
      </c>
      <c r="N116" s="440">
        <v>46093</v>
      </c>
      <c r="O116" s="441"/>
      <c r="P116" s="441" t="s">
        <v>92</v>
      </c>
      <c r="Q116" s="441"/>
      <c r="R116" s="449">
        <v>46038</v>
      </c>
      <c r="S116" s="448" t="s">
        <v>77</v>
      </c>
      <c r="T116" s="441" t="s">
        <v>5962</v>
      </c>
      <c r="U116" s="441"/>
      <c r="V116" s="441"/>
      <c r="W116" s="441"/>
      <c r="X116" s="424" t="s">
        <v>5963</v>
      </c>
      <c r="Y116" s="473" t="s">
        <v>290</v>
      </c>
      <c r="Z116" s="474">
        <v>1.364</v>
      </c>
      <c r="AA116" s="475">
        <f t="shared" si="50"/>
        <v>4092</v>
      </c>
      <c r="AB116" s="476"/>
      <c r="AC116" s="425" t="s">
        <v>5421</v>
      </c>
      <c r="AD116" s="477" t="s">
        <v>128</v>
      </c>
      <c r="AE116" s="477" t="s">
        <v>4930</v>
      </c>
      <c r="AF116" s="425"/>
      <c r="AG116" s="425">
        <f t="shared" si="47"/>
        <v>-3000</v>
      </c>
      <c r="AH116" s="477" t="s">
        <v>75</v>
      </c>
      <c r="AI116" s="488"/>
      <c r="AJ116" s="400">
        <f>I116</f>
        <v>3000</v>
      </c>
      <c r="AL116" s="489"/>
      <c r="AM116" s="490">
        <f>I116</f>
        <v>3000</v>
      </c>
      <c r="AN116" s="437"/>
      <c r="AO116" s="437"/>
      <c r="AP116" s="489">
        <f>I116</f>
        <v>3000</v>
      </c>
      <c r="AQ116" s="489"/>
      <c r="AR116" s="489"/>
      <c r="AS116" s="439">
        <f t="shared" si="51"/>
        <v>2706.25</v>
      </c>
      <c r="AT116" s="504">
        <f>I116*(1-(1/48))/10</f>
        <v>293.75</v>
      </c>
      <c r="AU116" s="489"/>
      <c r="AV116" s="489"/>
      <c r="AW116" s="489"/>
      <c r="AX116" s="512"/>
      <c r="AY116" s="512"/>
      <c r="AZ116" s="512"/>
      <c r="BA116" s="512"/>
      <c r="BB116" s="512"/>
      <c r="BC116" s="512"/>
      <c r="BD116" s="512"/>
      <c r="BE116" s="512"/>
      <c r="BF116" s="512"/>
      <c r="BG116" s="512"/>
      <c r="BH116" s="512"/>
      <c r="BI116" s="512"/>
      <c r="BJ116" s="512"/>
      <c r="BK116" s="512"/>
      <c r="BL116" s="512"/>
      <c r="BM116" s="512"/>
      <c r="BN116" s="512"/>
      <c r="BQ116" s="400">
        <f>AJ116+BQ105</f>
        <v>725756</v>
      </c>
    </row>
    <row r="117" s="3" customFormat="1" ht="36" hidden="1" customHeight="1" spans="1:69">
      <c r="A117" s="74">
        <v>46037</v>
      </c>
      <c r="B117" s="75" t="s">
        <v>5964</v>
      </c>
      <c r="C117" s="76" t="s">
        <v>3214</v>
      </c>
      <c r="D117" s="77">
        <v>4500191577</v>
      </c>
      <c r="E117" s="114"/>
      <c r="F117" s="77" t="s">
        <v>5965</v>
      </c>
      <c r="G117" s="23" t="s">
        <v>4974</v>
      </c>
      <c r="H117" s="24" t="s">
        <v>5205</v>
      </c>
      <c r="I117" s="88">
        <v>1650</v>
      </c>
      <c r="J117" s="89">
        <v>0</v>
      </c>
      <c r="K117" s="23">
        <v>50</v>
      </c>
      <c r="L117" s="436">
        <f t="shared" si="27"/>
        <v>33</v>
      </c>
      <c r="M117" s="90">
        <v>46101</v>
      </c>
      <c r="N117" s="90">
        <v>46097</v>
      </c>
      <c r="O117" s="91"/>
      <c r="P117" s="91"/>
      <c r="Q117" s="91"/>
      <c r="R117" s="452">
        <v>46050</v>
      </c>
      <c r="S117" s="453" t="s">
        <v>77</v>
      </c>
      <c r="T117" s="91" t="s">
        <v>5966</v>
      </c>
      <c r="U117" s="91"/>
      <c r="V117" s="91"/>
      <c r="W117" s="91"/>
      <c r="X117" s="114" t="s">
        <v>5967</v>
      </c>
      <c r="Y117" s="139" t="s">
        <v>618</v>
      </c>
      <c r="Z117" s="116">
        <v>1.4535</v>
      </c>
      <c r="AA117" s="117">
        <f t="shared" si="50"/>
        <v>2398.275</v>
      </c>
      <c r="AB117" s="469"/>
      <c r="AC117" s="23" t="s">
        <v>5391</v>
      </c>
      <c r="AD117" s="467" t="s">
        <v>128</v>
      </c>
      <c r="AE117" s="467" t="s">
        <v>4930</v>
      </c>
      <c r="AF117" s="23"/>
      <c r="AG117" s="483">
        <f t="shared" si="47"/>
        <v>-1650</v>
      </c>
      <c r="AH117" s="467" t="s">
        <v>4335</v>
      </c>
      <c r="AI117" s="155"/>
      <c r="AJ117" s="3">
        <f>I117</f>
        <v>1650</v>
      </c>
      <c r="AL117" s="175"/>
      <c r="AM117" s="486">
        <f>I117</f>
        <v>1650</v>
      </c>
      <c r="AN117" s="88"/>
      <c r="AO117" s="88"/>
      <c r="AP117" s="175">
        <f>I117</f>
        <v>1650</v>
      </c>
      <c r="AQ117" s="175"/>
      <c r="AR117" s="175"/>
      <c r="AS117" s="436">
        <f t="shared" si="51"/>
        <v>1488.4375</v>
      </c>
      <c r="AT117" s="505">
        <f>I117*(1-(1/48))/10</f>
        <v>161.5625</v>
      </c>
      <c r="AU117" s="175"/>
      <c r="AV117" s="175"/>
      <c r="AW117" s="175"/>
      <c r="AX117" s="181"/>
      <c r="AY117" s="181"/>
      <c r="AZ117" s="181"/>
      <c r="BA117" s="181"/>
      <c r="BB117" s="181">
        <f>I117/25</f>
        <v>66</v>
      </c>
      <c r="BC117" s="181"/>
      <c r="BD117" s="181"/>
      <c r="BE117" s="181"/>
      <c r="BF117" s="181"/>
      <c r="BG117" s="181"/>
      <c r="BH117" s="181"/>
      <c r="BI117" s="181"/>
      <c r="BJ117" s="181"/>
      <c r="BK117" s="181"/>
      <c r="BL117" s="181"/>
      <c r="BM117" s="181"/>
      <c r="BN117" s="181"/>
      <c r="BQ117" s="3">
        <f t="shared" ref="BQ117:BQ123" si="52">AJ117+BQ116</f>
        <v>727406</v>
      </c>
    </row>
    <row r="118" s="402" customFormat="1" ht="36" hidden="1" customHeight="1" spans="1:69">
      <c r="A118" s="18">
        <v>46044</v>
      </c>
      <c r="B118" s="75" t="s">
        <v>4299</v>
      </c>
      <c r="C118" s="76" t="s">
        <v>477</v>
      </c>
      <c r="D118" s="21">
        <v>4500191855</v>
      </c>
      <c r="E118" s="114" t="s">
        <v>5968</v>
      </c>
      <c r="F118" s="21" t="s">
        <v>5969</v>
      </c>
      <c r="G118" s="23" t="s">
        <v>5092</v>
      </c>
      <c r="H118" s="24" t="s">
        <v>5093</v>
      </c>
      <c r="I118" s="88">
        <v>504</v>
      </c>
      <c r="J118" s="89">
        <v>0</v>
      </c>
      <c r="K118" s="23">
        <v>12</v>
      </c>
      <c r="L118" s="436">
        <f t="shared" si="27"/>
        <v>42</v>
      </c>
      <c r="M118" s="90">
        <v>46101</v>
      </c>
      <c r="N118" s="90">
        <v>46097</v>
      </c>
      <c r="O118" s="91"/>
      <c r="P118" s="91"/>
      <c r="Q118" s="91" t="s">
        <v>5970</v>
      </c>
      <c r="R118" s="587" t="s">
        <v>5971</v>
      </c>
      <c r="S118" s="453" t="s">
        <v>123</v>
      </c>
      <c r="T118" s="454" t="s">
        <v>5972</v>
      </c>
      <c r="U118" s="91"/>
      <c r="V118" s="91"/>
      <c r="W118" s="91"/>
      <c r="X118" s="114" t="s">
        <v>5973</v>
      </c>
      <c r="Y118" s="91" t="s">
        <v>3630</v>
      </c>
      <c r="Z118" s="116">
        <v>3.1175</v>
      </c>
      <c r="AA118" s="117">
        <f t="shared" si="50"/>
        <v>1571.22</v>
      </c>
      <c r="AB118" s="469"/>
      <c r="AC118" s="470" t="s">
        <v>5098</v>
      </c>
      <c r="AD118" s="467" t="s">
        <v>128</v>
      </c>
      <c r="AE118" s="467" t="s">
        <v>4930</v>
      </c>
      <c r="AF118" s="23"/>
      <c r="AG118" s="483">
        <f t="shared" si="47"/>
        <v>-504</v>
      </c>
      <c r="AH118" s="23" t="s">
        <v>75</v>
      </c>
      <c r="AI118" s="470"/>
      <c r="AJ118" s="155">
        <f>I118*2</f>
        <v>1008</v>
      </c>
      <c r="AK118" s="155"/>
      <c r="AL118" s="175"/>
      <c r="AM118" s="88"/>
      <c r="AN118" s="88">
        <f>I118*2</f>
        <v>1008</v>
      </c>
      <c r="AO118" s="88"/>
      <c r="AP118" s="436">
        <f>I118*2</f>
        <v>1008</v>
      </c>
      <c r="AQ118" s="436"/>
      <c r="AR118" s="88"/>
      <c r="AS118" s="436">
        <f t="shared" si="51"/>
        <v>909.3</v>
      </c>
      <c r="AT118" s="505">
        <f>I118*(1-(1/48))/10*2</f>
        <v>98.7</v>
      </c>
      <c r="AU118" s="436"/>
      <c r="AV118" s="486"/>
      <c r="AW118" s="486"/>
      <c r="AX118" s="514"/>
      <c r="AY118" s="181"/>
      <c r="AZ118" s="181"/>
      <c r="BA118" s="181"/>
      <c r="BB118" s="181"/>
      <c r="BC118" s="181"/>
      <c r="BD118" s="181"/>
      <c r="BE118" s="181"/>
      <c r="BF118" s="181"/>
      <c r="BG118" s="181"/>
      <c r="BH118" s="181"/>
      <c r="BI118" s="181"/>
      <c r="BJ118" s="181"/>
      <c r="BK118" s="181"/>
      <c r="BL118" s="181"/>
      <c r="BM118" s="181">
        <f>I118</f>
        <v>504</v>
      </c>
      <c r="BN118" s="181">
        <f>I118</f>
        <v>504</v>
      </c>
      <c r="BQ118" s="402">
        <f t="shared" si="52"/>
        <v>728414</v>
      </c>
    </row>
    <row r="119" s="3" customFormat="1" ht="36" hidden="1" customHeight="1" spans="1:69">
      <c r="A119" s="18">
        <v>46017</v>
      </c>
      <c r="B119" s="75" t="s">
        <v>5866</v>
      </c>
      <c r="C119" s="76" t="s">
        <v>934</v>
      </c>
      <c r="D119" s="21">
        <v>4500190102</v>
      </c>
      <c r="E119" s="114">
        <v>5000002099</v>
      </c>
      <c r="F119" s="21" t="s">
        <v>5867</v>
      </c>
      <c r="G119" s="23" t="s">
        <v>5868</v>
      </c>
      <c r="H119" s="24" t="s">
        <v>5869</v>
      </c>
      <c r="I119" s="88">
        <v>13000</v>
      </c>
      <c r="J119" s="89">
        <v>0</v>
      </c>
      <c r="K119" s="23">
        <v>13</v>
      </c>
      <c r="L119" s="436">
        <f>I119/K119</f>
        <v>1000</v>
      </c>
      <c r="M119" s="90">
        <v>46104</v>
      </c>
      <c r="N119" s="90">
        <v>46100</v>
      </c>
      <c r="O119" s="91"/>
      <c r="P119" s="87" t="s">
        <v>5974</v>
      </c>
      <c r="Q119" s="91"/>
      <c r="R119" s="452">
        <v>46386</v>
      </c>
      <c r="S119" s="453" t="s">
        <v>77</v>
      </c>
      <c r="T119" s="453" t="s">
        <v>5870</v>
      </c>
      <c r="U119" s="87" t="s">
        <v>5871</v>
      </c>
      <c r="V119" s="91"/>
      <c r="W119" s="91"/>
      <c r="X119" s="114" t="s">
        <v>5872</v>
      </c>
      <c r="Y119" s="139" t="s">
        <v>5873</v>
      </c>
      <c r="Z119" s="116">
        <v>1.5</v>
      </c>
      <c r="AA119" s="117">
        <f t="shared" ref="AA119:AA142" si="53">Z119*I119</f>
        <v>19500</v>
      </c>
      <c r="AB119" s="469"/>
      <c r="AC119" s="23" t="s">
        <v>5868</v>
      </c>
      <c r="AD119" s="467" t="s">
        <v>128</v>
      </c>
      <c r="AE119" s="467"/>
      <c r="AF119" s="23"/>
      <c r="AG119" s="483">
        <f t="shared" ref="AG119:AG129" si="54">AF119-I119</f>
        <v>-13000</v>
      </c>
      <c r="AH119" s="16"/>
      <c r="AI119" s="470"/>
      <c r="AJ119" s="155">
        <f t="shared" ref="AJ119:AJ138" si="55">I119</f>
        <v>13000</v>
      </c>
      <c r="AK119" s="155">
        <f>AJ119</f>
        <v>13000</v>
      </c>
      <c r="AL119" s="175"/>
      <c r="AM119" s="88"/>
      <c r="AN119" s="88"/>
      <c r="AO119" s="486">
        <f>I119</f>
        <v>13000</v>
      </c>
      <c r="AP119" s="175"/>
      <c r="AQ119" s="175">
        <f>I119</f>
        <v>13000</v>
      </c>
      <c r="AR119" s="88"/>
      <c r="AS119" s="628"/>
      <c r="AT119" s="629"/>
      <c r="AU119" s="628"/>
      <c r="AV119" s="628"/>
      <c r="AW119" s="628"/>
      <c r="AX119" s="514"/>
      <c r="AY119" s="181"/>
      <c r="AZ119" s="181">
        <f>I119/13</f>
        <v>1000</v>
      </c>
      <c r="BA119" s="181"/>
      <c r="BB119" s="181"/>
      <c r="BC119" s="181"/>
      <c r="BD119" s="181"/>
      <c r="BE119" s="181"/>
      <c r="BF119" s="181"/>
      <c r="BG119" s="181"/>
      <c r="BH119" s="181"/>
      <c r="BI119" s="181"/>
      <c r="BJ119" s="181"/>
      <c r="BK119" s="181"/>
      <c r="BL119" s="181"/>
      <c r="BM119" s="181"/>
      <c r="BN119" s="181"/>
      <c r="BQ119" s="3">
        <f t="shared" si="52"/>
        <v>741414</v>
      </c>
    </row>
    <row r="120" s="3" customFormat="1" ht="36" hidden="1" customHeight="1" spans="1:69">
      <c r="A120" s="18">
        <v>46017</v>
      </c>
      <c r="B120" s="75" t="s">
        <v>5866</v>
      </c>
      <c r="C120" s="76" t="s">
        <v>934</v>
      </c>
      <c r="D120" s="21">
        <v>4500190102</v>
      </c>
      <c r="E120" s="114">
        <v>5000002099</v>
      </c>
      <c r="F120" s="21" t="s">
        <v>5874</v>
      </c>
      <c r="G120" s="23" t="s">
        <v>5868</v>
      </c>
      <c r="H120" s="24" t="s">
        <v>5869</v>
      </c>
      <c r="I120" s="88">
        <v>4004</v>
      </c>
      <c r="J120" s="89">
        <v>0</v>
      </c>
      <c r="K120" s="23">
        <v>13</v>
      </c>
      <c r="L120" s="436">
        <f t="shared" ref="L120:L142" si="56">I120/K120</f>
        <v>308</v>
      </c>
      <c r="M120" s="90">
        <v>46104</v>
      </c>
      <c r="N120" s="90">
        <v>46100</v>
      </c>
      <c r="O120" s="91"/>
      <c r="P120" s="87" t="s">
        <v>5974</v>
      </c>
      <c r="Q120" s="91"/>
      <c r="R120" s="452">
        <v>46386</v>
      </c>
      <c r="S120" s="453" t="s">
        <v>77</v>
      </c>
      <c r="T120" s="453" t="s">
        <v>5870</v>
      </c>
      <c r="U120" s="87" t="s">
        <v>5871</v>
      </c>
      <c r="V120" s="91"/>
      <c r="W120" s="91"/>
      <c r="X120" s="114" t="s">
        <v>5872</v>
      </c>
      <c r="Y120" s="139" t="s">
        <v>5873</v>
      </c>
      <c r="Z120" s="116">
        <v>1.5</v>
      </c>
      <c r="AA120" s="117">
        <f t="shared" si="53"/>
        <v>6006</v>
      </c>
      <c r="AB120" s="469"/>
      <c r="AC120" s="23" t="s">
        <v>5868</v>
      </c>
      <c r="AD120" s="467" t="s">
        <v>128</v>
      </c>
      <c r="AE120" s="467"/>
      <c r="AF120" s="23"/>
      <c r="AG120" s="483">
        <f t="shared" si="54"/>
        <v>-4004</v>
      </c>
      <c r="AH120" s="16"/>
      <c r="AI120" s="470"/>
      <c r="AJ120" s="155">
        <f t="shared" si="55"/>
        <v>4004</v>
      </c>
      <c r="AK120" s="155">
        <f>AJ120</f>
        <v>4004</v>
      </c>
      <c r="AL120" s="175"/>
      <c r="AM120" s="88"/>
      <c r="AN120" s="88"/>
      <c r="AO120" s="486">
        <f>I120</f>
        <v>4004</v>
      </c>
      <c r="AP120" s="175"/>
      <c r="AQ120" s="175">
        <f>I120</f>
        <v>4004</v>
      </c>
      <c r="AR120" s="88"/>
      <c r="AS120" s="628"/>
      <c r="AT120" s="629"/>
      <c r="AU120" s="628"/>
      <c r="AV120" s="628"/>
      <c r="AW120" s="628"/>
      <c r="AX120" s="514"/>
      <c r="AY120" s="181"/>
      <c r="AZ120" s="181">
        <f>I120/13</f>
        <v>308</v>
      </c>
      <c r="BA120" s="181"/>
      <c r="BB120" s="181"/>
      <c r="BC120" s="181"/>
      <c r="BD120" s="181"/>
      <c r="BE120" s="181"/>
      <c r="BF120" s="181"/>
      <c r="BG120" s="181"/>
      <c r="BH120" s="181"/>
      <c r="BI120" s="181"/>
      <c r="BJ120" s="181"/>
      <c r="BK120" s="181"/>
      <c r="BL120" s="181"/>
      <c r="BM120" s="181"/>
      <c r="BN120" s="181"/>
      <c r="BQ120" s="3">
        <f t="shared" si="52"/>
        <v>745418</v>
      </c>
    </row>
    <row r="121" s="3" customFormat="1" ht="36" hidden="1" customHeight="1" spans="1:69">
      <c r="A121" s="18">
        <v>46017</v>
      </c>
      <c r="B121" s="75" t="s">
        <v>5866</v>
      </c>
      <c r="C121" s="76" t="s">
        <v>934</v>
      </c>
      <c r="D121" s="21">
        <v>4500190102</v>
      </c>
      <c r="E121" s="114">
        <v>5000002099</v>
      </c>
      <c r="F121" s="21" t="s">
        <v>5875</v>
      </c>
      <c r="G121" s="23" t="s">
        <v>5868</v>
      </c>
      <c r="H121" s="24" t="s">
        <v>5869</v>
      </c>
      <c r="I121" s="88">
        <v>455</v>
      </c>
      <c r="J121" s="89">
        <v>0</v>
      </c>
      <c r="K121" s="23">
        <v>13</v>
      </c>
      <c r="L121" s="436">
        <f t="shared" si="56"/>
        <v>35</v>
      </c>
      <c r="M121" s="90">
        <v>46104</v>
      </c>
      <c r="N121" s="90">
        <v>46100</v>
      </c>
      <c r="O121" s="91"/>
      <c r="P121" s="87" t="s">
        <v>5974</v>
      </c>
      <c r="Q121" s="91"/>
      <c r="R121" s="452">
        <v>46386</v>
      </c>
      <c r="S121" s="453" t="s">
        <v>77</v>
      </c>
      <c r="T121" s="453" t="s">
        <v>5975</v>
      </c>
      <c r="U121" s="87" t="s">
        <v>5871</v>
      </c>
      <c r="V121" s="91"/>
      <c r="W121" s="91"/>
      <c r="X121" s="114" t="s">
        <v>5872</v>
      </c>
      <c r="Y121" s="139" t="s">
        <v>5873</v>
      </c>
      <c r="Z121" s="116">
        <v>1.5</v>
      </c>
      <c r="AA121" s="117">
        <f t="shared" si="53"/>
        <v>682.5</v>
      </c>
      <c r="AB121" s="469"/>
      <c r="AC121" s="23" t="s">
        <v>5868</v>
      </c>
      <c r="AD121" s="467" t="s">
        <v>128</v>
      </c>
      <c r="AE121" s="467"/>
      <c r="AF121" s="23"/>
      <c r="AG121" s="483">
        <f t="shared" si="54"/>
        <v>-455</v>
      </c>
      <c r="AH121" s="16"/>
      <c r="AI121" s="470"/>
      <c r="AJ121" s="155">
        <f t="shared" si="55"/>
        <v>455</v>
      </c>
      <c r="AK121" s="155">
        <f>AJ121</f>
        <v>455</v>
      </c>
      <c r="AL121" s="175"/>
      <c r="AM121" s="88"/>
      <c r="AN121" s="88"/>
      <c r="AO121" s="486">
        <f>I121</f>
        <v>455</v>
      </c>
      <c r="AP121" s="628"/>
      <c r="AQ121" s="175">
        <f>I121</f>
        <v>455</v>
      </c>
      <c r="AR121" s="486"/>
      <c r="AS121" s="628"/>
      <c r="AT121" s="629"/>
      <c r="AU121" s="628"/>
      <c r="AV121" s="628"/>
      <c r="AW121" s="628"/>
      <c r="AX121" s="514"/>
      <c r="AY121" s="181"/>
      <c r="AZ121" s="181">
        <f>I121/13</f>
        <v>35</v>
      </c>
      <c r="BA121" s="181"/>
      <c r="BB121" s="181"/>
      <c r="BC121" s="181"/>
      <c r="BD121" s="181"/>
      <c r="BE121" s="181"/>
      <c r="BF121" s="181"/>
      <c r="BG121" s="181"/>
      <c r="BH121" s="181"/>
      <c r="BI121" s="181"/>
      <c r="BJ121" s="181"/>
      <c r="BK121" s="181"/>
      <c r="BL121" s="181"/>
      <c r="BM121" s="181"/>
      <c r="BN121" s="181"/>
      <c r="BQ121" s="3">
        <f t="shared" si="52"/>
        <v>745873</v>
      </c>
    </row>
    <row r="122" s="3" customFormat="1" ht="36" hidden="1" customHeight="1" spans="1:69">
      <c r="A122" s="18">
        <v>46017</v>
      </c>
      <c r="B122" s="75" t="s">
        <v>5866</v>
      </c>
      <c r="C122" s="76" t="s">
        <v>934</v>
      </c>
      <c r="D122" s="21">
        <v>4500190102</v>
      </c>
      <c r="E122" s="114">
        <v>5000002099</v>
      </c>
      <c r="F122" s="21" t="s">
        <v>5876</v>
      </c>
      <c r="G122" s="23" t="s">
        <v>5868</v>
      </c>
      <c r="H122" s="24" t="s">
        <v>5869</v>
      </c>
      <c r="I122" s="575">
        <v>3900</v>
      </c>
      <c r="J122" s="89">
        <v>0</v>
      </c>
      <c r="K122" s="23">
        <v>13</v>
      </c>
      <c r="L122" s="436">
        <f t="shared" si="56"/>
        <v>300</v>
      </c>
      <c r="M122" s="90">
        <v>46104</v>
      </c>
      <c r="N122" s="90">
        <v>46100</v>
      </c>
      <c r="O122" s="91"/>
      <c r="P122" s="87" t="s">
        <v>5974</v>
      </c>
      <c r="Q122" s="91"/>
      <c r="R122" s="452">
        <v>46386</v>
      </c>
      <c r="S122" s="453" t="s">
        <v>77</v>
      </c>
      <c r="T122" s="453" t="s">
        <v>5975</v>
      </c>
      <c r="U122" s="87" t="s">
        <v>5871</v>
      </c>
      <c r="V122" s="91"/>
      <c r="W122" s="91"/>
      <c r="X122" s="114" t="s">
        <v>5872</v>
      </c>
      <c r="Y122" s="139" t="s">
        <v>5873</v>
      </c>
      <c r="Z122" s="116">
        <v>1.5</v>
      </c>
      <c r="AA122" s="117">
        <f t="shared" si="53"/>
        <v>5850</v>
      </c>
      <c r="AB122" s="469"/>
      <c r="AC122" s="23" t="s">
        <v>5868</v>
      </c>
      <c r="AD122" s="467" t="s">
        <v>128</v>
      </c>
      <c r="AE122" s="467"/>
      <c r="AF122" s="23"/>
      <c r="AG122" s="483">
        <f t="shared" si="54"/>
        <v>-3900</v>
      </c>
      <c r="AH122" s="16"/>
      <c r="AI122" s="470"/>
      <c r="AJ122" s="155">
        <f t="shared" si="55"/>
        <v>3900</v>
      </c>
      <c r="AK122" s="155">
        <f>AJ122</f>
        <v>3900</v>
      </c>
      <c r="AL122" s="175"/>
      <c r="AM122" s="88"/>
      <c r="AN122" s="88"/>
      <c r="AO122" s="486">
        <f>I122</f>
        <v>3900</v>
      </c>
      <c r="AP122" s="628"/>
      <c r="AQ122" s="175">
        <f>I122</f>
        <v>3900</v>
      </c>
      <c r="AR122" s="486"/>
      <c r="AS122" s="628"/>
      <c r="AT122" s="629"/>
      <c r="AU122" s="628"/>
      <c r="AV122" s="628"/>
      <c r="AW122" s="628"/>
      <c r="AX122" s="514"/>
      <c r="AY122" s="181"/>
      <c r="AZ122" s="181">
        <f>I122/13</f>
        <v>300</v>
      </c>
      <c r="BA122" s="181"/>
      <c r="BB122" s="181"/>
      <c r="BC122" s="181"/>
      <c r="BD122" s="181"/>
      <c r="BE122" s="181"/>
      <c r="BF122" s="181"/>
      <c r="BG122" s="181"/>
      <c r="BH122" s="181"/>
      <c r="BI122" s="181"/>
      <c r="BJ122" s="181"/>
      <c r="BK122" s="181"/>
      <c r="BL122" s="181"/>
      <c r="BM122" s="181"/>
      <c r="BN122" s="181"/>
      <c r="BQ122" s="3">
        <f t="shared" si="52"/>
        <v>749773</v>
      </c>
    </row>
    <row r="123" s="3" customFormat="1" ht="36" hidden="1" customHeight="1" spans="1:69">
      <c r="A123" s="18">
        <v>46031</v>
      </c>
      <c r="B123" s="75" t="s">
        <v>4976</v>
      </c>
      <c r="C123" s="76" t="s">
        <v>117</v>
      </c>
      <c r="D123" s="555">
        <v>4500191086</v>
      </c>
      <c r="E123" s="1693" t="s">
        <v>5976</v>
      </c>
      <c r="F123" s="21" t="s">
        <v>5977</v>
      </c>
      <c r="G123" s="23" t="s">
        <v>4979</v>
      </c>
      <c r="H123" s="24" t="s">
        <v>4980</v>
      </c>
      <c r="I123" s="88">
        <v>960</v>
      </c>
      <c r="J123" s="89">
        <v>0</v>
      </c>
      <c r="K123" s="23">
        <v>16</v>
      </c>
      <c r="L123" s="436">
        <f t="shared" si="56"/>
        <v>60</v>
      </c>
      <c r="M123" s="90">
        <v>46104</v>
      </c>
      <c r="N123" s="90">
        <v>46100</v>
      </c>
      <c r="O123" s="576" t="s">
        <v>5978</v>
      </c>
      <c r="P123" s="91"/>
      <c r="Q123" s="91"/>
      <c r="R123" s="91" t="s">
        <v>1102</v>
      </c>
      <c r="S123" s="91" t="s">
        <v>123</v>
      </c>
      <c r="T123" s="453" t="s">
        <v>5938</v>
      </c>
      <c r="U123" s="91" t="s">
        <v>4983</v>
      </c>
      <c r="V123" s="91"/>
      <c r="W123" s="91"/>
      <c r="X123" s="114" t="s">
        <v>5160</v>
      </c>
      <c r="Y123" s="139" t="s">
        <v>634</v>
      </c>
      <c r="Z123" s="116">
        <v>0.9059</v>
      </c>
      <c r="AA123" s="117">
        <f t="shared" si="53"/>
        <v>869.664</v>
      </c>
      <c r="AB123" s="469"/>
      <c r="AC123" s="23" t="s">
        <v>4979</v>
      </c>
      <c r="AD123" s="467" t="s">
        <v>128</v>
      </c>
      <c r="AE123" s="467"/>
      <c r="AF123" s="23"/>
      <c r="AG123" s="483">
        <f t="shared" si="54"/>
        <v>-960</v>
      </c>
      <c r="AH123" s="23" t="s">
        <v>4335</v>
      </c>
      <c r="AI123" s="470"/>
      <c r="AJ123" s="155">
        <f t="shared" si="55"/>
        <v>960</v>
      </c>
      <c r="AK123" s="618"/>
      <c r="AL123" s="175">
        <f t="shared" ref="AL123:AL130" si="57">I123</f>
        <v>960</v>
      </c>
      <c r="AM123" s="486"/>
      <c r="AN123" s="486"/>
      <c r="AO123" s="486"/>
      <c r="AP123" s="436">
        <f t="shared" ref="AP123:AP130" si="58">I123</f>
        <v>960</v>
      </c>
      <c r="AQ123" s="624"/>
      <c r="AR123" s="486"/>
      <c r="AS123" s="436">
        <f t="shared" ref="AS123:AS130" si="59">AP123-AT123</f>
        <v>866</v>
      </c>
      <c r="AT123" s="505">
        <f t="shared" ref="AT123:AT130" si="60">I123*(1-(1/48))/10</f>
        <v>94</v>
      </c>
      <c r="AU123" s="628"/>
      <c r="AV123" s="628"/>
      <c r="AW123" s="628"/>
      <c r="AX123" s="514"/>
      <c r="AY123" s="181"/>
      <c r="AZ123" s="181"/>
      <c r="BA123" s="181"/>
      <c r="BB123" s="181"/>
      <c r="BC123" s="181">
        <f t="shared" ref="BC123:BC129" si="61">I123/16</f>
        <v>60</v>
      </c>
      <c r="BD123" s="181"/>
      <c r="BE123" s="181"/>
      <c r="BF123" s="181"/>
      <c r="BG123" s="181"/>
      <c r="BH123" s="181"/>
      <c r="BI123" s="181"/>
      <c r="BJ123" s="181"/>
      <c r="BK123" s="181"/>
      <c r="BL123" s="181"/>
      <c r="BM123" s="181"/>
      <c r="BN123" s="181"/>
      <c r="BQ123" s="3">
        <f t="shared" si="52"/>
        <v>750733</v>
      </c>
    </row>
    <row r="124" s="3" customFormat="1" ht="36" hidden="1" customHeight="1" spans="1:69">
      <c r="A124" s="18">
        <v>46031</v>
      </c>
      <c r="B124" s="75" t="s">
        <v>4976</v>
      </c>
      <c r="C124" s="76" t="s">
        <v>117</v>
      </c>
      <c r="D124" s="555">
        <v>4500191086</v>
      </c>
      <c r="E124" s="1693" t="s">
        <v>5979</v>
      </c>
      <c r="F124" s="21" t="s">
        <v>5980</v>
      </c>
      <c r="G124" s="23" t="s">
        <v>4979</v>
      </c>
      <c r="H124" s="24" t="s">
        <v>4980</v>
      </c>
      <c r="I124" s="88">
        <v>960</v>
      </c>
      <c r="J124" s="89">
        <v>0</v>
      </c>
      <c r="K124" s="23">
        <v>16</v>
      </c>
      <c r="L124" s="436">
        <f t="shared" si="56"/>
        <v>60</v>
      </c>
      <c r="M124" s="90">
        <v>46104</v>
      </c>
      <c r="N124" s="90">
        <v>46100</v>
      </c>
      <c r="O124" s="576" t="s">
        <v>5981</v>
      </c>
      <c r="P124" s="91"/>
      <c r="Q124" s="91"/>
      <c r="R124" s="91" t="s">
        <v>1102</v>
      </c>
      <c r="S124" s="91" t="s">
        <v>123</v>
      </c>
      <c r="T124" s="453" t="s">
        <v>5938</v>
      </c>
      <c r="U124" s="91" t="s">
        <v>4983</v>
      </c>
      <c r="V124" s="91"/>
      <c r="W124" s="91"/>
      <c r="X124" s="114" t="s">
        <v>5160</v>
      </c>
      <c r="Y124" s="139" t="s">
        <v>634</v>
      </c>
      <c r="Z124" s="116">
        <v>0.9059</v>
      </c>
      <c r="AA124" s="117">
        <f t="shared" si="53"/>
        <v>869.664</v>
      </c>
      <c r="AB124" s="469"/>
      <c r="AC124" s="23" t="s">
        <v>4979</v>
      </c>
      <c r="AD124" s="467" t="s">
        <v>128</v>
      </c>
      <c r="AE124" s="467"/>
      <c r="AF124" s="23"/>
      <c r="AG124" s="483">
        <f t="shared" si="54"/>
        <v>-960</v>
      </c>
      <c r="AH124" s="23" t="s">
        <v>4335</v>
      </c>
      <c r="AI124" s="470"/>
      <c r="AJ124" s="155">
        <f t="shared" si="55"/>
        <v>960</v>
      </c>
      <c r="AK124" s="618"/>
      <c r="AL124" s="175">
        <f t="shared" si="57"/>
        <v>960</v>
      </c>
      <c r="AM124" s="486"/>
      <c r="AN124" s="486"/>
      <c r="AO124" s="486"/>
      <c r="AP124" s="436">
        <f t="shared" si="58"/>
        <v>960</v>
      </c>
      <c r="AQ124" s="624"/>
      <c r="AR124" s="486"/>
      <c r="AS124" s="436">
        <f t="shared" si="59"/>
        <v>866</v>
      </c>
      <c r="AT124" s="505">
        <f t="shared" si="60"/>
        <v>94</v>
      </c>
      <c r="AU124" s="628"/>
      <c r="AV124" s="628"/>
      <c r="AW124" s="628"/>
      <c r="AX124" s="514"/>
      <c r="AY124" s="181"/>
      <c r="AZ124" s="181"/>
      <c r="BA124" s="181"/>
      <c r="BB124" s="181"/>
      <c r="BC124" s="181">
        <f t="shared" si="61"/>
        <v>60</v>
      </c>
      <c r="BD124" s="181"/>
      <c r="BE124" s="181"/>
      <c r="BF124" s="181"/>
      <c r="BG124" s="181"/>
      <c r="BH124" s="181"/>
      <c r="BI124" s="181"/>
      <c r="BJ124" s="181"/>
      <c r="BK124" s="181"/>
      <c r="BL124" s="181"/>
      <c r="BM124" s="181"/>
      <c r="BN124" s="181"/>
      <c r="BQ124" s="3">
        <f t="shared" ref="BQ124:BQ139" si="62">AJ124+BQ123</f>
        <v>751693</v>
      </c>
    </row>
    <row r="125" s="3" customFormat="1" ht="36" hidden="1" customHeight="1" spans="1:69">
      <c r="A125" s="18">
        <v>46031</v>
      </c>
      <c r="B125" s="75" t="s">
        <v>4976</v>
      </c>
      <c r="C125" s="76" t="s">
        <v>117</v>
      </c>
      <c r="D125" s="555">
        <v>4500191086</v>
      </c>
      <c r="E125" s="1693" t="s">
        <v>5982</v>
      </c>
      <c r="F125" s="21" t="s">
        <v>5983</v>
      </c>
      <c r="G125" s="23" t="s">
        <v>4979</v>
      </c>
      <c r="H125" s="24" t="s">
        <v>4980</v>
      </c>
      <c r="I125" s="88">
        <v>960</v>
      </c>
      <c r="J125" s="89">
        <v>0</v>
      </c>
      <c r="K125" s="23">
        <v>16</v>
      </c>
      <c r="L125" s="436">
        <f t="shared" si="56"/>
        <v>60</v>
      </c>
      <c r="M125" s="90">
        <v>46104</v>
      </c>
      <c r="N125" s="90">
        <v>46100</v>
      </c>
      <c r="O125" s="576" t="s">
        <v>5984</v>
      </c>
      <c r="P125" s="91"/>
      <c r="Q125" s="91"/>
      <c r="R125" s="91" t="s">
        <v>1102</v>
      </c>
      <c r="S125" s="91" t="s">
        <v>123</v>
      </c>
      <c r="T125" s="453" t="s">
        <v>5938</v>
      </c>
      <c r="U125" s="91" t="s">
        <v>4983</v>
      </c>
      <c r="V125" s="91"/>
      <c r="W125" s="91"/>
      <c r="X125" s="114" t="s">
        <v>5160</v>
      </c>
      <c r="Y125" s="139" t="s">
        <v>634</v>
      </c>
      <c r="Z125" s="116">
        <v>0.9059</v>
      </c>
      <c r="AA125" s="117">
        <f t="shared" si="53"/>
        <v>869.664</v>
      </c>
      <c r="AB125" s="469"/>
      <c r="AC125" s="23" t="s">
        <v>4979</v>
      </c>
      <c r="AD125" s="467" t="s">
        <v>128</v>
      </c>
      <c r="AE125" s="467"/>
      <c r="AF125" s="23"/>
      <c r="AG125" s="483">
        <f t="shared" si="54"/>
        <v>-960</v>
      </c>
      <c r="AH125" s="23" t="s">
        <v>4335</v>
      </c>
      <c r="AI125" s="470"/>
      <c r="AJ125" s="155">
        <f t="shared" si="55"/>
        <v>960</v>
      </c>
      <c r="AK125" s="618"/>
      <c r="AL125" s="175">
        <f t="shared" si="57"/>
        <v>960</v>
      </c>
      <c r="AM125" s="486"/>
      <c r="AN125" s="486"/>
      <c r="AO125" s="486"/>
      <c r="AP125" s="436">
        <f t="shared" si="58"/>
        <v>960</v>
      </c>
      <c r="AQ125" s="624"/>
      <c r="AR125" s="486"/>
      <c r="AS125" s="436">
        <f t="shared" si="59"/>
        <v>866</v>
      </c>
      <c r="AT125" s="505">
        <f t="shared" si="60"/>
        <v>94</v>
      </c>
      <c r="AU125" s="628"/>
      <c r="AV125" s="628"/>
      <c r="AW125" s="628"/>
      <c r="AX125" s="514"/>
      <c r="AY125" s="181"/>
      <c r="AZ125" s="181"/>
      <c r="BA125" s="181"/>
      <c r="BB125" s="181"/>
      <c r="BC125" s="181">
        <f t="shared" si="61"/>
        <v>60</v>
      </c>
      <c r="BD125" s="181"/>
      <c r="BE125" s="181"/>
      <c r="BF125" s="181"/>
      <c r="BG125" s="181"/>
      <c r="BH125" s="181"/>
      <c r="BI125" s="181"/>
      <c r="BJ125" s="181"/>
      <c r="BK125" s="181"/>
      <c r="BL125" s="181"/>
      <c r="BM125" s="181"/>
      <c r="BN125" s="181"/>
      <c r="BQ125" s="3">
        <f t="shared" si="62"/>
        <v>752653</v>
      </c>
    </row>
    <row r="126" s="3" customFormat="1" ht="36" hidden="1" customHeight="1" spans="1:69">
      <c r="A126" s="18">
        <v>46031</v>
      </c>
      <c r="B126" s="75" t="s">
        <v>4976</v>
      </c>
      <c r="C126" s="76" t="s">
        <v>117</v>
      </c>
      <c r="D126" s="555">
        <v>4500191088</v>
      </c>
      <c r="E126" s="1693" t="s">
        <v>5985</v>
      </c>
      <c r="F126" s="21" t="s">
        <v>5986</v>
      </c>
      <c r="G126" s="23" t="s">
        <v>4979</v>
      </c>
      <c r="H126" s="24" t="s">
        <v>4980</v>
      </c>
      <c r="I126" s="88">
        <v>960</v>
      </c>
      <c r="J126" s="89">
        <v>0</v>
      </c>
      <c r="K126" s="23">
        <v>16</v>
      </c>
      <c r="L126" s="436">
        <f t="shared" si="56"/>
        <v>60</v>
      </c>
      <c r="M126" s="90">
        <v>46107</v>
      </c>
      <c r="N126" s="90">
        <v>46104</v>
      </c>
      <c r="O126" s="576" t="s">
        <v>5981</v>
      </c>
      <c r="P126" s="91"/>
      <c r="Q126" s="91"/>
      <c r="R126" s="91" t="s">
        <v>1102</v>
      </c>
      <c r="S126" s="91" t="s">
        <v>123</v>
      </c>
      <c r="T126" s="453" t="s">
        <v>5938</v>
      </c>
      <c r="U126" s="91" t="s">
        <v>4983</v>
      </c>
      <c r="V126" s="91"/>
      <c r="W126" s="91"/>
      <c r="X126" s="114" t="s">
        <v>5160</v>
      </c>
      <c r="Y126" s="139" t="s">
        <v>634</v>
      </c>
      <c r="Z126" s="116">
        <v>0.9059</v>
      </c>
      <c r="AA126" s="117">
        <f t="shared" si="53"/>
        <v>869.664</v>
      </c>
      <c r="AB126" s="469"/>
      <c r="AC126" s="23" t="s">
        <v>4979</v>
      </c>
      <c r="AD126" s="467" t="s">
        <v>128</v>
      </c>
      <c r="AE126" s="467"/>
      <c r="AF126" s="23"/>
      <c r="AG126" s="483">
        <f t="shared" si="54"/>
        <v>-960</v>
      </c>
      <c r="AH126" s="23" t="s">
        <v>4335</v>
      </c>
      <c r="AI126" s="470"/>
      <c r="AJ126" s="155">
        <f t="shared" si="55"/>
        <v>960</v>
      </c>
      <c r="AK126" s="618"/>
      <c r="AL126" s="175">
        <f t="shared" si="57"/>
        <v>960</v>
      </c>
      <c r="AM126" s="486"/>
      <c r="AN126" s="486"/>
      <c r="AO126" s="486"/>
      <c r="AP126" s="436">
        <f t="shared" si="58"/>
        <v>960</v>
      </c>
      <c r="AQ126" s="624"/>
      <c r="AR126" s="486"/>
      <c r="AS126" s="436">
        <f t="shared" si="59"/>
        <v>866</v>
      </c>
      <c r="AT126" s="505">
        <f t="shared" si="60"/>
        <v>94</v>
      </c>
      <c r="AU126" s="628"/>
      <c r="AV126" s="628"/>
      <c r="AW126" s="628"/>
      <c r="AX126" s="514"/>
      <c r="AY126" s="181"/>
      <c r="AZ126" s="181"/>
      <c r="BA126" s="181"/>
      <c r="BB126" s="181"/>
      <c r="BC126" s="181">
        <f t="shared" si="61"/>
        <v>60</v>
      </c>
      <c r="BD126" s="181"/>
      <c r="BE126" s="181"/>
      <c r="BF126" s="181"/>
      <c r="BG126" s="181"/>
      <c r="BH126" s="181"/>
      <c r="BI126" s="181"/>
      <c r="BJ126" s="181"/>
      <c r="BK126" s="181"/>
      <c r="BL126" s="181"/>
      <c r="BM126" s="181"/>
      <c r="BN126" s="181"/>
      <c r="BQ126" s="3">
        <f t="shared" si="62"/>
        <v>753613</v>
      </c>
    </row>
    <row r="127" s="3" customFormat="1" ht="36" hidden="1" customHeight="1" spans="1:69">
      <c r="A127" s="18">
        <v>46031</v>
      </c>
      <c r="B127" s="75" t="s">
        <v>4976</v>
      </c>
      <c r="C127" s="76" t="s">
        <v>117</v>
      </c>
      <c r="D127" s="555">
        <v>4500191088</v>
      </c>
      <c r="E127" s="1693" t="s">
        <v>5987</v>
      </c>
      <c r="F127" s="21" t="s">
        <v>5988</v>
      </c>
      <c r="G127" s="23" t="s">
        <v>4979</v>
      </c>
      <c r="H127" s="24" t="s">
        <v>4980</v>
      </c>
      <c r="I127" s="88">
        <v>960</v>
      </c>
      <c r="J127" s="89">
        <v>0</v>
      </c>
      <c r="K127" s="23">
        <v>16</v>
      </c>
      <c r="L127" s="436">
        <f t="shared" si="56"/>
        <v>60</v>
      </c>
      <c r="M127" s="90">
        <v>46107</v>
      </c>
      <c r="N127" s="90">
        <v>46104</v>
      </c>
      <c r="O127" s="576" t="s">
        <v>5981</v>
      </c>
      <c r="P127" s="91"/>
      <c r="Q127" s="91"/>
      <c r="R127" s="91" t="s">
        <v>1102</v>
      </c>
      <c r="S127" s="91" t="s">
        <v>123</v>
      </c>
      <c r="T127" s="453" t="s">
        <v>5938</v>
      </c>
      <c r="U127" s="91" t="s">
        <v>4983</v>
      </c>
      <c r="V127" s="91"/>
      <c r="W127" s="91"/>
      <c r="X127" s="114" t="s">
        <v>5160</v>
      </c>
      <c r="Y127" s="139" t="s">
        <v>634</v>
      </c>
      <c r="Z127" s="116">
        <v>0.9059</v>
      </c>
      <c r="AA127" s="117">
        <f t="shared" si="53"/>
        <v>869.664</v>
      </c>
      <c r="AB127" s="469"/>
      <c r="AC127" s="23" t="s">
        <v>4979</v>
      </c>
      <c r="AD127" s="467" t="s">
        <v>128</v>
      </c>
      <c r="AE127" s="467"/>
      <c r="AF127" s="23"/>
      <c r="AG127" s="483">
        <f t="shared" si="54"/>
        <v>-960</v>
      </c>
      <c r="AH127" s="23" t="s">
        <v>4335</v>
      </c>
      <c r="AI127" s="470"/>
      <c r="AJ127" s="155">
        <f t="shared" si="55"/>
        <v>960</v>
      </c>
      <c r="AK127" s="618"/>
      <c r="AL127" s="175">
        <f t="shared" si="57"/>
        <v>960</v>
      </c>
      <c r="AM127" s="486"/>
      <c r="AN127" s="486"/>
      <c r="AO127" s="486"/>
      <c r="AP127" s="436">
        <f t="shared" si="58"/>
        <v>960</v>
      </c>
      <c r="AQ127" s="624"/>
      <c r="AR127" s="486"/>
      <c r="AS127" s="436">
        <f t="shared" si="59"/>
        <v>866</v>
      </c>
      <c r="AT127" s="505">
        <f t="shared" si="60"/>
        <v>94</v>
      </c>
      <c r="AU127" s="628"/>
      <c r="AV127" s="628"/>
      <c r="AW127" s="628"/>
      <c r="AX127" s="514"/>
      <c r="AY127" s="181"/>
      <c r="AZ127" s="181"/>
      <c r="BA127" s="181"/>
      <c r="BB127" s="181"/>
      <c r="BC127" s="181">
        <f t="shared" si="61"/>
        <v>60</v>
      </c>
      <c r="BD127" s="181"/>
      <c r="BE127" s="181"/>
      <c r="BF127" s="181"/>
      <c r="BG127" s="181"/>
      <c r="BH127" s="181"/>
      <c r="BI127" s="181"/>
      <c r="BJ127" s="181"/>
      <c r="BK127" s="181"/>
      <c r="BL127" s="181"/>
      <c r="BM127" s="181"/>
      <c r="BN127" s="181"/>
      <c r="BQ127" s="3">
        <f t="shared" si="62"/>
        <v>754573</v>
      </c>
    </row>
    <row r="128" s="3" customFormat="1" ht="36" hidden="1" customHeight="1" spans="1:69">
      <c r="A128" s="18">
        <v>46031</v>
      </c>
      <c r="B128" s="75" t="s">
        <v>4976</v>
      </c>
      <c r="C128" s="76" t="s">
        <v>117</v>
      </c>
      <c r="D128" s="555">
        <v>4500191088</v>
      </c>
      <c r="E128" s="1693" t="s">
        <v>5989</v>
      </c>
      <c r="F128" s="21" t="s">
        <v>5990</v>
      </c>
      <c r="G128" s="23" t="s">
        <v>4979</v>
      </c>
      <c r="H128" s="24" t="s">
        <v>4980</v>
      </c>
      <c r="I128" s="88">
        <v>960</v>
      </c>
      <c r="J128" s="89">
        <v>0</v>
      </c>
      <c r="K128" s="23">
        <v>16</v>
      </c>
      <c r="L128" s="436">
        <f t="shared" si="56"/>
        <v>60</v>
      </c>
      <c r="M128" s="90">
        <v>46107</v>
      </c>
      <c r="N128" s="90">
        <v>46104</v>
      </c>
      <c r="O128" s="576" t="s">
        <v>5981</v>
      </c>
      <c r="P128" s="91"/>
      <c r="Q128" s="91"/>
      <c r="R128" s="91" t="s">
        <v>1102</v>
      </c>
      <c r="S128" s="91" t="s">
        <v>123</v>
      </c>
      <c r="T128" s="453" t="s">
        <v>5938</v>
      </c>
      <c r="U128" s="91" t="s">
        <v>4983</v>
      </c>
      <c r="V128" s="91"/>
      <c r="W128" s="91"/>
      <c r="X128" s="114" t="s">
        <v>5160</v>
      </c>
      <c r="Y128" s="139" t="s">
        <v>634</v>
      </c>
      <c r="Z128" s="116">
        <v>0.9059</v>
      </c>
      <c r="AA128" s="117">
        <f t="shared" si="53"/>
        <v>869.664</v>
      </c>
      <c r="AB128" s="469"/>
      <c r="AC128" s="23" t="s">
        <v>4979</v>
      </c>
      <c r="AD128" s="467" t="s">
        <v>128</v>
      </c>
      <c r="AE128" s="467"/>
      <c r="AF128" s="23"/>
      <c r="AG128" s="483">
        <f t="shared" si="54"/>
        <v>-960</v>
      </c>
      <c r="AH128" s="23" t="s">
        <v>4335</v>
      </c>
      <c r="AI128" s="470"/>
      <c r="AJ128" s="155">
        <f t="shared" si="55"/>
        <v>960</v>
      </c>
      <c r="AK128" s="618"/>
      <c r="AL128" s="175">
        <f t="shared" si="57"/>
        <v>960</v>
      </c>
      <c r="AM128" s="486"/>
      <c r="AN128" s="486"/>
      <c r="AO128" s="486"/>
      <c r="AP128" s="436">
        <f t="shared" si="58"/>
        <v>960</v>
      </c>
      <c r="AQ128" s="624"/>
      <c r="AR128" s="486"/>
      <c r="AS128" s="436">
        <f t="shared" si="59"/>
        <v>866</v>
      </c>
      <c r="AT128" s="505">
        <f t="shared" si="60"/>
        <v>94</v>
      </c>
      <c r="AU128" s="628"/>
      <c r="AV128" s="628"/>
      <c r="AW128" s="628"/>
      <c r="AX128" s="514"/>
      <c r="AY128" s="181"/>
      <c r="AZ128" s="181"/>
      <c r="BA128" s="181"/>
      <c r="BB128" s="181"/>
      <c r="BC128" s="181">
        <f t="shared" si="61"/>
        <v>60</v>
      </c>
      <c r="BD128" s="181"/>
      <c r="BE128" s="181"/>
      <c r="BF128" s="181"/>
      <c r="BG128" s="181"/>
      <c r="BH128" s="181"/>
      <c r="BI128" s="181"/>
      <c r="BJ128" s="181"/>
      <c r="BK128" s="181"/>
      <c r="BL128" s="181"/>
      <c r="BM128" s="181"/>
      <c r="BN128" s="181"/>
      <c r="BQ128" s="3">
        <f t="shared" si="62"/>
        <v>755533</v>
      </c>
    </row>
    <row r="129" s="3" customFormat="1" ht="36" hidden="1" customHeight="1" spans="1:69">
      <c r="A129" s="18">
        <v>46031</v>
      </c>
      <c r="B129" s="75" t="s">
        <v>4976</v>
      </c>
      <c r="C129" s="76" t="s">
        <v>117</v>
      </c>
      <c r="D129" s="555">
        <v>4500191088</v>
      </c>
      <c r="E129" s="1693" t="s">
        <v>5991</v>
      </c>
      <c r="F129" s="21" t="s">
        <v>5992</v>
      </c>
      <c r="G129" s="23" t="s">
        <v>4979</v>
      </c>
      <c r="H129" s="24" t="s">
        <v>4980</v>
      </c>
      <c r="I129" s="88">
        <v>960</v>
      </c>
      <c r="J129" s="89">
        <v>0</v>
      </c>
      <c r="K129" s="23">
        <v>16</v>
      </c>
      <c r="L129" s="436">
        <f t="shared" si="56"/>
        <v>60</v>
      </c>
      <c r="M129" s="90">
        <v>46107</v>
      </c>
      <c r="N129" s="90">
        <v>46104</v>
      </c>
      <c r="O129" s="576" t="s">
        <v>5984</v>
      </c>
      <c r="P129" s="91"/>
      <c r="Q129" s="91"/>
      <c r="R129" s="91" t="s">
        <v>1102</v>
      </c>
      <c r="S129" s="91" t="s">
        <v>123</v>
      </c>
      <c r="T129" s="453" t="s">
        <v>5938</v>
      </c>
      <c r="U129" s="91" t="s">
        <v>4983</v>
      </c>
      <c r="V129" s="91"/>
      <c r="W129" s="91"/>
      <c r="X129" s="114" t="s">
        <v>5160</v>
      </c>
      <c r="Y129" s="139" t="s">
        <v>634</v>
      </c>
      <c r="Z129" s="116">
        <v>0.9059</v>
      </c>
      <c r="AA129" s="117">
        <f t="shared" si="53"/>
        <v>869.664</v>
      </c>
      <c r="AB129" s="469"/>
      <c r="AC129" s="23" t="s">
        <v>4979</v>
      </c>
      <c r="AD129" s="467" t="s">
        <v>128</v>
      </c>
      <c r="AE129" s="467"/>
      <c r="AF129" s="23"/>
      <c r="AG129" s="483">
        <f t="shared" si="54"/>
        <v>-960</v>
      </c>
      <c r="AH129" s="23" t="s">
        <v>4335</v>
      </c>
      <c r="AI129" s="470"/>
      <c r="AJ129" s="155">
        <f t="shared" si="55"/>
        <v>960</v>
      </c>
      <c r="AK129" s="618"/>
      <c r="AL129" s="175">
        <f t="shared" si="57"/>
        <v>960</v>
      </c>
      <c r="AM129" s="486"/>
      <c r="AN129" s="486"/>
      <c r="AO129" s="486"/>
      <c r="AP129" s="436">
        <f t="shared" si="58"/>
        <v>960</v>
      </c>
      <c r="AQ129" s="624"/>
      <c r="AR129" s="486"/>
      <c r="AS129" s="436">
        <f t="shared" si="59"/>
        <v>866</v>
      </c>
      <c r="AT129" s="505">
        <f t="shared" si="60"/>
        <v>94</v>
      </c>
      <c r="AU129" s="628"/>
      <c r="AV129" s="628"/>
      <c r="AW129" s="628"/>
      <c r="AX129" s="514"/>
      <c r="AY129" s="181"/>
      <c r="AZ129" s="181"/>
      <c r="BA129" s="181"/>
      <c r="BB129" s="181"/>
      <c r="BC129" s="181">
        <f t="shared" si="61"/>
        <v>60</v>
      </c>
      <c r="BD129" s="181"/>
      <c r="BE129" s="181"/>
      <c r="BF129" s="181"/>
      <c r="BG129" s="181"/>
      <c r="BH129" s="181"/>
      <c r="BI129" s="181"/>
      <c r="BJ129" s="181"/>
      <c r="BK129" s="181"/>
      <c r="BL129" s="181"/>
      <c r="BM129" s="181"/>
      <c r="BN129" s="181"/>
      <c r="BQ129" s="3">
        <f t="shared" si="62"/>
        <v>756493</v>
      </c>
    </row>
    <row r="130" s="402" customFormat="1" ht="36" customHeight="1" spans="1:69">
      <c r="A130" s="18">
        <v>46055</v>
      </c>
      <c r="B130" s="636" t="s">
        <v>5993</v>
      </c>
      <c r="C130" s="76" t="s">
        <v>351</v>
      </c>
      <c r="D130" s="432">
        <v>4500191753</v>
      </c>
      <c r="E130" s="637"/>
      <c r="F130" s="432" t="s">
        <v>5994</v>
      </c>
      <c r="G130" s="23" t="s">
        <v>4988</v>
      </c>
      <c r="H130" s="24" t="s">
        <v>4989</v>
      </c>
      <c r="I130" s="575">
        <v>1500</v>
      </c>
      <c r="J130" s="89">
        <v>0</v>
      </c>
      <c r="K130" s="23">
        <v>25</v>
      </c>
      <c r="L130" s="436">
        <f t="shared" si="56"/>
        <v>60</v>
      </c>
      <c r="M130" s="90">
        <v>46111</v>
      </c>
      <c r="N130" s="90">
        <v>46107</v>
      </c>
      <c r="O130" s="91"/>
      <c r="P130" s="91"/>
      <c r="Q130" s="91"/>
      <c r="R130" s="452" t="s">
        <v>3332</v>
      </c>
      <c r="S130" s="453" t="s">
        <v>77</v>
      </c>
      <c r="T130" s="447" t="s">
        <v>5995</v>
      </c>
      <c r="U130" s="91"/>
      <c r="V130" s="91"/>
      <c r="W130" s="91"/>
      <c r="X130" s="114" t="s">
        <v>5996</v>
      </c>
      <c r="Y130" s="139" t="s">
        <v>521</v>
      </c>
      <c r="Z130" s="116">
        <v>1.4515</v>
      </c>
      <c r="AA130" s="117">
        <f t="shared" si="53"/>
        <v>2177.25</v>
      </c>
      <c r="AB130" s="88"/>
      <c r="AC130" s="470" t="s">
        <v>4988</v>
      </c>
      <c r="AD130" s="467" t="s">
        <v>128</v>
      </c>
      <c r="AE130" s="467"/>
      <c r="AF130" s="23"/>
      <c r="AG130" s="483">
        <f t="shared" ref="AG130:AG142" si="63">AF130-I130</f>
        <v>-1500</v>
      </c>
      <c r="AH130" s="224"/>
      <c r="AI130" s="470"/>
      <c r="AJ130" s="155">
        <f t="shared" si="55"/>
        <v>1500</v>
      </c>
      <c r="AK130" s="155"/>
      <c r="AL130" s="175">
        <f t="shared" si="57"/>
        <v>1500</v>
      </c>
      <c r="AM130" s="88"/>
      <c r="AN130" s="88"/>
      <c r="AO130" s="88"/>
      <c r="AP130" s="436">
        <f t="shared" ref="AP130:AP138" si="64">I130</f>
        <v>1500</v>
      </c>
      <c r="AQ130" s="436"/>
      <c r="AR130" s="88"/>
      <c r="AS130" s="436">
        <f t="shared" ref="AS130:AS142" si="65">AP130-AT130</f>
        <v>1353.125</v>
      </c>
      <c r="AT130" s="505">
        <f t="shared" ref="AT130:AT138" si="66">I130*(1-(1/48))/10</f>
        <v>146.875</v>
      </c>
      <c r="AU130" s="628"/>
      <c r="AV130" s="628"/>
      <c r="AW130" s="628"/>
      <c r="AX130" s="514"/>
      <c r="AY130" s="181"/>
      <c r="AZ130" s="181"/>
      <c r="BA130" s="181">
        <f>I130/25</f>
        <v>60</v>
      </c>
      <c r="BB130" s="181"/>
      <c r="BC130" s="181"/>
      <c r="BD130" s="181"/>
      <c r="BE130" s="181"/>
      <c r="BF130" s="181"/>
      <c r="BG130" s="181"/>
      <c r="BH130" s="181"/>
      <c r="BI130" s="181"/>
      <c r="BJ130" s="181"/>
      <c r="BK130" s="181"/>
      <c r="BL130" s="181"/>
      <c r="BM130" s="181"/>
      <c r="BN130" s="181"/>
      <c r="BQ130" s="402">
        <f t="shared" si="62"/>
        <v>757993</v>
      </c>
    </row>
    <row r="131" s="3" customFormat="1" ht="36" hidden="1" customHeight="1" spans="1:69">
      <c r="A131" s="18">
        <v>46042</v>
      </c>
      <c r="B131" s="75" t="s">
        <v>5997</v>
      </c>
      <c r="C131" s="76" t="s">
        <v>3188</v>
      </c>
      <c r="D131" s="21">
        <v>4500191880</v>
      </c>
      <c r="E131" s="114"/>
      <c r="F131" s="21" t="s">
        <v>5998</v>
      </c>
      <c r="G131" s="23" t="s">
        <v>4974</v>
      </c>
      <c r="H131" s="24" t="s">
        <v>5205</v>
      </c>
      <c r="I131" s="88">
        <v>200</v>
      </c>
      <c r="J131" s="89">
        <v>0</v>
      </c>
      <c r="K131" s="23">
        <v>50</v>
      </c>
      <c r="L131" s="436">
        <f t="shared" si="56"/>
        <v>4</v>
      </c>
      <c r="M131" s="90">
        <v>46112</v>
      </c>
      <c r="N131" s="90">
        <v>46108</v>
      </c>
      <c r="O131" s="91"/>
      <c r="P131" s="91"/>
      <c r="Q131" s="91"/>
      <c r="R131" s="91">
        <v>46045</v>
      </c>
      <c r="S131" s="91" t="s">
        <v>77</v>
      </c>
      <c r="T131" s="453" t="s">
        <v>5999</v>
      </c>
      <c r="U131" s="91"/>
      <c r="V131" s="91"/>
      <c r="W131" s="91"/>
      <c r="X131" s="114" t="s">
        <v>6000</v>
      </c>
      <c r="Y131" s="139" t="s">
        <v>618</v>
      </c>
      <c r="Z131" s="116">
        <v>1.4584</v>
      </c>
      <c r="AA131" s="117">
        <f t="shared" si="53"/>
        <v>291.68</v>
      </c>
      <c r="AB131" s="469"/>
      <c r="AC131" s="23" t="s">
        <v>5391</v>
      </c>
      <c r="AD131" s="467" t="s">
        <v>128</v>
      </c>
      <c r="AE131" s="467"/>
      <c r="AF131" s="23"/>
      <c r="AG131" s="483">
        <f t="shared" si="63"/>
        <v>-200</v>
      </c>
      <c r="AH131" s="23" t="s">
        <v>4335</v>
      </c>
      <c r="AI131" s="470"/>
      <c r="AJ131" s="155">
        <f t="shared" si="55"/>
        <v>200</v>
      </c>
      <c r="AK131" s="618"/>
      <c r="AL131" s="175"/>
      <c r="AM131" s="486">
        <f>I131</f>
        <v>200</v>
      </c>
      <c r="AN131" s="486"/>
      <c r="AO131" s="486"/>
      <c r="AP131" s="436">
        <f t="shared" si="64"/>
        <v>200</v>
      </c>
      <c r="AQ131" s="624"/>
      <c r="AR131" s="486"/>
      <c r="AS131" s="436">
        <f t="shared" si="65"/>
        <v>180.416666666667</v>
      </c>
      <c r="AT131" s="505">
        <f t="shared" si="66"/>
        <v>19.5833333333333</v>
      </c>
      <c r="AU131" s="628"/>
      <c r="AV131" s="628"/>
      <c r="AW131" s="628"/>
      <c r="AX131" s="514"/>
      <c r="AY131" s="181"/>
      <c r="AZ131" s="181"/>
      <c r="BA131" s="181"/>
      <c r="BB131" s="181">
        <f>I131/25</f>
        <v>8</v>
      </c>
      <c r="BC131" s="181"/>
      <c r="BD131" s="181"/>
      <c r="BE131" s="181"/>
      <c r="BF131" s="181"/>
      <c r="BG131" s="181"/>
      <c r="BH131" s="181"/>
      <c r="BI131" s="181"/>
      <c r="BJ131" s="181"/>
      <c r="BK131" s="181"/>
      <c r="BL131" s="181"/>
      <c r="BM131" s="181"/>
      <c r="BN131" s="181"/>
      <c r="BQ131" s="3">
        <f t="shared" si="62"/>
        <v>758193</v>
      </c>
    </row>
    <row r="132" s="402" customFormat="1" ht="36" hidden="1" customHeight="1" spans="1:69">
      <c r="A132" s="18">
        <v>46055</v>
      </c>
      <c r="B132" s="75" t="s">
        <v>4976</v>
      </c>
      <c r="C132" s="76" t="s">
        <v>117</v>
      </c>
      <c r="D132" s="21">
        <v>4500192878</v>
      </c>
      <c r="E132" s="1693" t="s">
        <v>6001</v>
      </c>
      <c r="F132" s="21" t="s">
        <v>6002</v>
      </c>
      <c r="G132" s="23" t="s">
        <v>4979</v>
      </c>
      <c r="H132" s="24" t="s">
        <v>4980</v>
      </c>
      <c r="I132" s="88">
        <v>960</v>
      </c>
      <c r="J132" s="89">
        <v>0</v>
      </c>
      <c r="K132" s="23">
        <v>16</v>
      </c>
      <c r="L132" s="436">
        <f t="shared" si="56"/>
        <v>60</v>
      </c>
      <c r="M132" s="90">
        <v>46112</v>
      </c>
      <c r="N132" s="90">
        <v>46108</v>
      </c>
      <c r="O132" s="576" t="s">
        <v>6003</v>
      </c>
      <c r="P132" s="91"/>
      <c r="Q132" s="91"/>
      <c r="R132" s="91" t="s">
        <v>1102</v>
      </c>
      <c r="S132" s="91" t="s">
        <v>123</v>
      </c>
      <c r="T132" s="453" t="s">
        <v>6004</v>
      </c>
      <c r="U132" s="91" t="s">
        <v>4983</v>
      </c>
      <c r="V132" s="91"/>
      <c r="W132" s="91"/>
      <c r="X132" s="114" t="s">
        <v>5841</v>
      </c>
      <c r="Y132" s="139" t="s">
        <v>634</v>
      </c>
      <c r="Z132" s="116">
        <v>0.9059</v>
      </c>
      <c r="AA132" s="117">
        <f t="shared" si="53"/>
        <v>869.664</v>
      </c>
      <c r="AB132" s="469"/>
      <c r="AC132" s="23" t="s">
        <v>4979</v>
      </c>
      <c r="AD132" s="467" t="s">
        <v>128</v>
      </c>
      <c r="AE132" s="467"/>
      <c r="AF132" s="23"/>
      <c r="AG132" s="483">
        <f t="shared" si="63"/>
        <v>-960</v>
      </c>
      <c r="AH132" s="23"/>
      <c r="AI132" s="470"/>
      <c r="AJ132" s="155">
        <f t="shared" si="55"/>
        <v>960</v>
      </c>
      <c r="AK132" s="618"/>
      <c r="AL132" s="175">
        <f>I132</f>
        <v>960</v>
      </c>
      <c r="AM132" s="486"/>
      <c r="AN132" s="486"/>
      <c r="AO132" s="486"/>
      <c r="AP132" s="436">
        <f t="shared" si="64"/>
        <v>960</v>
      </c>
      <c r="AQ132" s="624"/>
      <c r="AR132" s="486"/>
      <c r="AS132" s="436">
        <f t="shared" si="65"/>
        <v>866</v>
      </c>
      <c r="AT132" s="505">
        <f t="shared" si="66"/>
        <v>94</v>
      </c>
      <c r="AU132" s="628"/>
      <c r="AV132" s="628"/>
      <c r="AW132" s="628"/>
      <c r="AX132" s="514"/>
      <c r="AY132" s="181"/>
      <c r="AZ132" s="181"/>
      <c r="BA132" s="181"/>
      <c r="BB132" s="181"/>
      <c r="BC132" s="181">
        <f t="shared" ref="BC132:BC136" si="67">I132/16</f>
        <v>60</v>
      </c>
      <c r="BD132" s="181"/>
      <c r="BE132" s="181"/>
      <c r="BF132" s="181"/>
      <c r="BG132" s="181"/>
      <c r="BH132" s="181"/>
      <c r="BI132" s="181"/>
      <c r="BJ132" s="181"/>
      <c r="BK132" s="181"/>
      <c r="BL132" s="181"/>
      <c r="BM132" s="181"/>
      <c r="BN132" s="181"/>
      <c r="BQ132" s="402">
        <f t="shared" si="62"/>
        <v>759153</v>
      </c>
    </row>
    <row r="133" s="402" customFormat="1" ht="36" hidden="1" customHeight="1" spans="1:69">
      <c r="A133" s="18">
        <v>46055</v>
      </c>
      <c r="B133" s="75" t="s">
        <v>4976</v>
      </c>
      <c r="C133" s="76" t="s">
        <v>117</v>
      </c>
      <c r="D133" s="21">
        <v>4500192878</v>
      </c>
      <c r="E133" s="114">
        <v>938210344</v>
      </c>
      <c r="F133" s="21" t="s">
        <v>6005</v>
      </c>
      <c r="G133" s="23" t="s">
        <v>4979</v>
      </c>
      <c r="H133" s="24" t="s">
        <v>4980</v>
      </c>
      <c r="I133" s="88">
        <v>960</v>
      </c>
      <c r="J133" s="89">
        <v>0</v>
      </c>
      <c r="K133" s="23">
        <v>16</v>
      </c>
      <c r="L133" s="436">
        <f t="shared" si="56"/>
        <v>60</v>
      </c>
      <c r="M133" s="90">
        <v>46112</v>
      </c>
      <c r="N133" s="90">
        <v>46108</v>
      </c>
      <c r="O133" s="576" t="s">
        <v>6003</v>
      </c>
      <c r="P133" s="91"/>
      <c r="Q133" s="91"/>
      <c r="R133" s="91" t="s">
        <v>1102</v>
      </c>
      <c r="S133" s="91" t="s">
        <v>123</v>
      </c>
      <c r="T133" s="453" t="s">
        <v>6004</v>
      </c>
      <c r="U133" s="91" t="s">
        <v>4983</v>
      </c>
      <c r="V133" s="91"/>
      <c r="W133" s="91"/>
      <c r="X133" s="114" t="s">
        <v>5841</v>
      </c>
      <c r="Y133" s="139" t="s">
        <v>634</v>
      </c>
      <c r="Z133" s="116">
        <v>0.9059</v>
      </c>
      <c r="AA133" s="117">
        <f t="shared" si="53"/>
        <v>869.664</v>
      </c>
      <c r="AB133" s="469"/>
      <c r="AC133" s="23" t="s">
        <v>4979</v>
      </c>
      <c r="AD133" s="467" t="s">
        <v>128</v>
      </c>
      <c r="AE133" s="467"/>
      <c r="AF133" s="23"/>
      <c r="AG133" s="483">
        <f t="shared" si="63"/>
        <v>-960</v>
      </c>
      <c r="AH133" s="23"/>
      <c r="AI133" s="470"/>
      <c r="AJ133" s="155">
        <f t="shared" si="55"/>
        <v>960</v>
      </c>
      <c r="AK133" s="618"/>
      <c r="AL133" s="175">
        <f>I133</f>
        <v>960</v>
      </c>
      <c r="AM133" s="486"/>
      <c r="AN133" s="486"/>
      <c r="AO133" s="486"/>
      <c r="AP133" s="436">
        <f t="shared" si="64"/>
        <v>960</v>
      </c>
      <c r="AQ133" s="624"/>
      <c r="AR133" s="486"/>
      <c r="AS133" s="436">
        <f t="shared" si="65"/>
        <v>866</v>
      </c>
      <c r="AT133" s="505">
        <f t="shared" si="66"/>
        <v>94</v>
      </c>
      <c r="AU133" s="628"/>
      <c r="AV133" s="628"/>
      <c r="AW133" s="628"/>
      <c r="AX133" s="514"/>
      <c r="AY133" s="181"/>
      <c r="AZ133" s="181"/>
      <c r="BA133" s="181"/>
      <c r="BB133" s="181"/>
      <c r="BC133" s="181">
        <f t="shared" si="67"/>
        <v>60</v>
      </c>
      <c r="BD133" s="181"/>
      <c r="BE133" s="181"/>
      <c r="BF133" s="181"/>
      <c r="BG133" s="181"/>
      <c r="BH133" s="181"/>
      <c r="BI133" s="181"/>
      <c r="BJ133" s="181"/>
      <c r="BK133" s="181"/>
      <c r="BL133" s="181"/>
      <c r="BM133" s="181"/>
      <c r="BN133" s="181"/>
      <c r="BQ133" s="402">
        <f t="shared" si="62"/>
        <v>760113</v>
      </c>
    </row>
    <row r="134" s="402" customFormat="1" ht="36" hidden="1" customHeight="1" spans="1:69">
      <c r="A134" s="18">
        <v>46055</v>
      </c>
      <c r="B134" s="75" t="s">
        <v>4976</v>
      </c>
      <c r="C134" s="76" t="s">
        <v>117</v>
      </c>
      <c r="D134" s="21">
        <v>4500192878</v>
      </c>
      <c r="E134" s="1693" t="s">
        <v>6006</v>
      </c>
      <c r="F134" s="21" t="s">
        <v>6007</v>
      </c>
      <c r="G134" s="23" t="s">
        <v>4979</v>
      </c>
      <c r="H134" s="24" t="s">
        <v>4980</v>
      </c>
      <c r="I134" s="88">
        <v>960</v>
      </c>
      <c r="J134" s="89">
        <v>0</v>
      </c>
      <c r="K134" s="23">
        <v>16</v>
      </c>
      <c r="L134" s="436">
        <f t="shared" si="56"/>
        <v>60</v>
      </c>
      <c r="M134" s="90">
        <v>46112</v>
      </c>
      <c r="N134" s="90">
        <v>46108</v>
      </c>
      <c r="O134" s="576" t="s">
        <v>6003</v>
      </c>
      <c r="P134" s="91"/>
      <c r="Q134" s="91"/>
      <c r="R134" s="91" t="s">
        <v>1102</v>
      </c>
      <c r="S134" s="91" t="s">
        <v>123</v>
      </c>
      <c r="T134" s="453" t="s">
        <v>6004</v>
      </c>
      <c r="U134" s="91" t="s">
        <v>4983</v>
      </c>
      <c r="V134" s="91"/>
      <c r="W134" s="91"/>
      <c r="X134" s="114" t="s">
        <v>5841</v>
      </c>
      <c r="Y134" s="139" t="s">
        <v>634</v>
      </c>
      <c r="Z134" s="116">
        <v>0.9059</v>
      </c>
      <c r="AA134" s="117">
        <f t="shared" si="53"/>
        <v>869.664</v>
      </c>
      <c r="AB134" s="469"/>
      <c r="AC134" s="23" t="s">
        <v>4979</v>
      </c>
      <c r="AD134" s="467" t="s">
        <v>128</v>
      </c>
      <c r="AE134" s="467"/>
      <c r="AF134" s="23"/>
      <c r="AG134" s="483">
        <f t="shared" si="63"/>
        <v>-960</v>
      </c>
      <c r="AH134" s="23"/>
      <c r="AI134" s="470"/>
      <c r="AJ134" s="155">
        <f t="shared" si="55"/>
        <v>960</v>
      </c>
      <c r="AK134" s="618"/>
      <c r="AL134" s="175">
        <f>I134</f>
        <v>960</v>
      </c>
      <c r="AM134" s="486"/>
      <c r="AN134" s="486"/>
      <c r="AO134" s="486"/>
      <c r="AP134" s="436">
        <f t="shared" si="64"/>
        <v>960</v>
      </c>
      <c r="AQ134" s="624"/>
      <c r="AR134" s="486"/>
      <c r="AS134" s="436">
        <f t="shared" si="65"/>
        <v>866</v>
      </c>
      <c r="AT134" s="505">
        <f t="shared" si="66"/>
        <v>94</v>
      </c>
      <c r="AU134" s="628"/>
      <c r="AV134" s="628"/>
      <c r="AW134" s="628"/>
      <c r="AX134" s="514"/>
      <c r="AY134" s="181"/>
      <c r="AZ134" s="181"/>
      <c r="BA134" s="181"/>
      <c r="BB134" s="181"/>
      <c r="BC134" s="181">
        <f t="shared" si="67"/>
        <v>60</v>
      </c>
      <c r="BD134" s="181"/>
      <c r="BE134" s="181"/>
      <c r="BF134" s="181"/>
      <c r="BG134" s="181"/>
      <c r="BH134" s="181"/>
      <c r="BI134" s="181"/>
      <c r="BJ134" s="181"/>
      <c r="BK134" s="181"/>
      <c r="BL134" s="181"/>
      <c r="BM134" s="181"/>
      <c r="BN134" s="181"/>
      <c r="BQ134" s="402">
        <f t="shared" si="62"/>
        <v>761073</v>
      </c>
    </row>
    <row r="135" s="402" customFormat="1" ht="36" hidden="1" customHeight="1" spans="1:69">
      <c r="A135" s="18">
        <v>46055</v>
      </c>
      <c r="B135" s="75" t="s">
        <v>4976</v>
      </c>
      <c r="C135" s="76" t="s">
        <v>117</v>
      </c>
      <c r="D135" s="21">
        <v>4500192878</v>
      </c>
      <c r="E135" s="1693" t="s">
        <v>6008</v>
      </c>
      <c r="F135" s="21" t="s">
        <v>6009</v>
      </c>
      <c r="G135" s="23" t="s">
        <v>4979</v>
      </c>
      <c r="H135" s="24" t="s">
        <v>4980</v>
      </c>
      <c r="I135" s="88">
        <v>960</v>
      </c>
      <c r="J135" s="89">
        <v>0</v>
      </c>
      <c r="K135" s="23">
        <v>16</v>
      </c>
      <c r="L135" s="436">
        <f t="shared" si="56"/>
        <v>60</v>
      </c>
      <c r="M135" s="90">
        <v>46112</v>
      </c>
      <c r="N135" s="90">
        <v>46108</v>
      </c>
      <c r="O135" s="576" t="s">
        <v>6003</v>
      </c>
      <c r="P135" s="91"/>
      <c r="Q135" s="91"/>
      <c r="R135" s="91" t="s">
        <v>1102</v>
      </c>
      <c r="S135" s="91" t="s">
        <v>123</v>
      </c>
      <c r="T135" s="453" t="s">
        <v>6004</v>
      </c>
      <c r="U135" s="91" t="s">
        <v>4983</v>
      </c>
      <c r="V135" s="91"/>
      <c r="W135" s="91"/>
      <c r="X135" s="114" t="s">
        <v>5841</v>
      </c>
      <c r="Y135" s="139" t="s">
        <v>634</v>
      </c>
      <c r="Z135" s="116">
        <v>0.9059</v>
      </c>
      <c r="AA135" s="117">
        <f t="shared" si="53"/>
        <v>869.664</v>
      </c>
      <c r="AB135" s="469"/>
      <c r="AC135" s="23" t="s">
        <v>4979</v>
      </c>
      <c r="AD135" s="467" t="s">
        <v>128</v>
      </c>
      <c r="AE135" s="467"/>
      <c r="AF135" s="23"/>
      <c r="AG135" s="483">
        <f t="shared" si="63"/>
        <v>-960</v>
      </c>
      <c r="AH135" s="23"/>
      <c r="AI135" s="470"/>
      <c r="AJ135" s="155">
        <f t="shared" si="55"/>
        <v>960</v>
      </c>
      <c r="AK135" s="618"/>
      <c r="AL135" s="175">
        <f>I135</f>
        <v>960</v>
      </c>
      <c r="AM135" s="486"/>
      <c r="AN135" s="486"/>
      <c r="AO135" s="486"/>
      <c r="AP135" s="436">
        <f t="shared" si="64"/>
        <v>960</v>
      </c>
      <c r="AQ135" s="624"/>
      <c r="AR135" s="486"/>
      <c r="AS135" s="436">
        <f t="shared" si="65"/>
        <v>866</v>
      </c>
      <c r="AT135" s="505">
        <f t="shared" si="66"/>
        <v>94</v>
      </c>
      <c r="AU135" s="628"/>
      <c r="AV135" s="628"/>
      <c r="AW135" s="628"/>
      <c r="AX135" s="514"/>
      <c r="AY135" s="181"/>
      <c r="AZ135" s="181"/>
      <c r="BA135" s="181"/>
      <c r="BB135" s="181"/>
      <c r="BC135" s="181">
        <f t="shared" si="67"/>
        <v>60</v>
      </c>
      <c r="BD135" s="181"/>
      <c r="BE135" s="181"/>
      <c r="BF135" s="181"/>
      <c r="BG135" s="181"/>
      <c r="BH135" s="181"/>
      <c r="BI135" s="181"/>
      <c r="BJ135" s="181"/>
      <c r="BK135" s="181"/>
      <c r="BL135" s="181"/>
      <c r="BM135" s="181"/>
      <c r="BN135" s="181"/>
      <c r="BQ135" s="402">
        <f t="shared" si="62"/>
        <v>762033</v>
      </c>
    </row>
    <row r="136" s="402" customFormat="1" ht="36" hidden="1" customHeight="1" spans="1:69">
      <c r="A136" s="18">
        <v>46055</v>
      </c>
      <c r="B136" s="75" t="s">
        <v>4976</v>
      </c>
      <c r="C136" s="76" t="s">
        <v>117</v>
      </c>
      <c r="D136" s="21">
        <v>4500192878</v>
      </c>
      <c r="E136" s="1693" t="s">
        <v>6010</v>
      </c>
      <c r="F136" s="21" t="s">
        <v>6011</v>
      </c>
      <c r="G136" s="23" t="s">
        <v>4979</v>
      </c>
      <c r="H136" s="24" t="s">
        <v>4980</v>
      </c>
      <c r="I136" s="88">
        <v>960</v>
      </c>
      <c r="J136" s="89">
        <v>0</v>
      </c>
      <c r="K136" s="23">
        <v>16</v>
      </c>
      <c r="L136" s="436">
        <f t="shared" si="56"/>
        <v>60</v>
      </c>
      <c r="M136" s="90">
        <v>46112</v>
      </c>
      <c r="N136" s="90">
        <v>46108</v>
      </c>
      <c r="O136" s="576" t="s">
        <v>6003</v>
      </c>
      <c r="P136" s="91"/>
      <c r="Q136" s="91"/>
      <c r="R136" s="91" t="s">
        <v>1102</v>
      </c>
      <c r="S136" s="91" t="s">
        <v>123</v>
      </c>
      <c r="T136" s="453" t="s">
        <v>6004</v>
      </c>
      <c r="U136" s="91" t="s">
        <v>4983</v>
      </c>
      <c r="V136" s="91"/>
      <c r="W136" s="91"/>
      <c r="X136" s="114" t="s">
        <v>5841</v>
      </c>
      <c r="Y136" s="139" t="s">
        <v>634</v>
      </c>
      <c r="Z136" s="116">
        <v>0.9059</v>
      </c>
      <c r="AA136" s="117">
        <f t="shared" si="53"/>
        <v>869.664</v>
      </c>
      <c r="AB136" s="469"/>
      <c r="AC136" s="23" t="s">
        <v>4979</v>
      </c>
      <c r="AD136" s="467" t="s">
        <v>128</v>
      </c>
      <c r="AE136" s="467"/>
      <c r="AF136" s="23"/>
      <c r="AG136" s="483">
        <f t="shared" si="63"/>
        <v>-960</v>
      </c>
      <c r="AH136" s="23"/>
      <c r="AI136" s="470"/>
      <c r="AJ136" s="155">
        <f t="shared" si="55"/>
        <v>960</v>
      </c>
      <c r="AK136" s="618"/>
      <c r="AL136" s="175">
        <f>I136</f>
        <v>960</v>
      </c>
      <c r="AM136" s="486"/>
      <c r="AN136" s="486"/>
      <c r="AO136" s="486"/>
      <c r="AP136" s="436">
        <f t="shared" si="64"/>
        <v>960</v>
      </c>
      <c r="AQ136" s="624"/>
      <c r="AR136" s="486"/>
      <c r="AS136" s="436">
        <f t="shared" si="65"/>
        <v>866</v>
      </c>
      <c r="AT136" s="505">
        <f t="shared" si="66"/>
        <v>94</v>
      </c>
      <c r="AU136" s="628"/>
      <c r="AV136" s="628"/>
      <c r="AW136" s="628"/>
      <c r="AX136" s="514"/>
      <c r="AY136" s="181"/>
      <c r="AZ136" s="181"/>
      <c r="BA136" s="181"/>
      <c r="BB136" s="181"/>
      <c r="BC136" s="181">
        <f t="shared" si="67"/>
        <v>60</v>
      </c>
      <c r="BD136" s="181"/>
      <c r="BE136" s="181"/>
      <c r="BF136" s="181"/>
      <c r="BG136" s="181"/>
      <c r="BH136" s="181"/>
      <c r="BI136" s="181"/>
      <c r="BJ136" s="181"/>
      <c r="BK136" s="181"/>
      <c r="BL136" s="181"/>
      <c r="BM136" s="181"/>
      <c r="BN136" s="181"/>
      <c r="BQ136" s="402">
        <f>AJ136+BQ135</f>
        <v>762993</v>
      </c>
    </row>
    <row r="137" s="403" customFormat="1" ht="36" customHeight="1" spans="1:66">
      <c r="A137" s="638">
        <v>46078</v>
      </c>
      <c r="B137" s="639" t="s">
        <v>116</v>
      </c>
      <c r="C137" s="640" t="s">
        <v>117</v>
      </c>
      <c r="D137" s="641">
        <v>4500194132</v>
      </c>
      <c r="E137" s="223" t="s">
        <v>6012</v>
      </c>
      <c r="F137" s="641" t="s">
        <v>6013</v>
      </c>
      <c r="G137" s="642" t="s">
        <v>4988</v>
      </c>
      <c r="H137" s="643" t="s">
        <v>4989</v>
      </c>
      <c r="I137" s="650">
        <v>50000</v>
      </c>
      <c r="J137" s="651">
        <v>0</v>
      </c>
      <c r="K137" s="652">
        <v>25</v>
      </c>
      <c r="L137" s="653">
        <f>I137/K137</f>
        <v>2000</v>
      </c>
      <c r="M137" s="654">
        <v>46113</v>
      </c>
      <c r="N137" s="654">
        <f>M137-4</f>
        <v>46109</v>
      </c>
      <c r="O137" s="655"/>
      <c r="P137" s="655"/>
      <c r="Q137" s="655"/>
      <c r="R137" s="655"/>
      <c r="S137" s="655"/>
      <c r="T137" s="660"/>
      <c r="U137" s="655"/>
      <c r="V137" s="655"/>
      <c r="W137" s="655"/>
      <c r="X137" s="223" t="s">
        <v>6014</v>
      </c>
      <c r="Y137" s="665" t="s">
        <v>126</v>
      </c>
      <c r="Z137" s="666">
        <v>0.8485</v>
      </c>
      <c r="AA137" s="667">
        <f>Z137*I137</f>
        <v>42425</v>
      </c>
      <c r="AB137" s="668"/>
      <c r="AC137" s="642"/>
      <c r="AD137" s="669"/>
      <c r="AE137" s="669"/>
      <c r="AF137" s="642"/>
      <c r="AG137" s="642"/>
      <c r="AH137" s="642"/>
      <c r="AI137" s="672"/>
      <c r="AJ137" s="673">
        <f>I137</f>
        <v>50000</v>
      </c>
      <c r="AK137" s="674"/>
      <c r="AL137" s="675"/>
      <c r="AM137" s="676"/>
      <c r="AN137" s="676"/>
      <c r="AO137" s="676"/>
      <c r="AP137" s="681"/>
      <c r="AQ137" s="682"/>
      <c r="AR137" s="403"/>
      <c r="AS137" s="681"/>
      <c r="AT137" s="683"/>
      <c r="AU137" s="684"/>
      <c r="AV137" s="684"/>
      <c r="AW137" s="684"/>
      <c r="AX137" s="688"/>
      <c r="AY137" s="689"/>
      <c r="AZ137" s="689"/>
      <c r="BA137" s="689"/>
      <c r="BB137" s="689"/>
      <c r="BC137" s="689"/>
      <c r="BD137" s="689"/>
      <c r="BE137" s="689"/>
      <c r="BF137" s="689"/>
      <c r="BG137" s="689"/>
      <c r="BH137" s="689"/>
      <c r="BI137" s="689"/>
      <c r="BJ137" s="689"/>
      <c r="BK137" s="689"/>
      <c r="BL137" s="689"/>
      <c r="BM137" s="689"/>
      <c r="BN137" s="689"/>
    </row>
    <row r="138" s="402" customFormat="1" ht="36" hidden="1" customHeight="1" spans="1:69">
      <c r="A138" s="18">
        <v>46055</v>
      </c>
      <c r="B138" s="75" t="s">
        <v>5141</v>
      </c>
      <c r="C138" s="76" t="s">
        <v>117</v>
      </c>
      <c r="D138" s="21">
        <v>4500192693</v>
      </c>
      <c r="E138" s="114" t="s">
        <v>6015</v>
      </c>
      <c r="F138" s="21" t="s">
        <v>6016</v>
      </c>
      <c r="G138" s="23" t="s">
        <v>4970</v>
      </c>
      <c r="H138" s="24" t="s">
        <v>5144</v>
      </c>
      <c r="I138" s="575">
        <v>10140</v>
      </c>
      <c r="J138" s="89">
        <v>0</v>
      </c>
      <c r="K138" s="23">
        <v>52</v>
      </c>
      <c r="L138" s="436">
        <f>I138/K138</f>
        <v>195</v>
      </c>
      <c r="M138" s="90">
        <v>46115</v>
      </c>
      <c r="N138" s="90">
        <v>46111</v>
      </c>
      <c r="O138" s="91"/>
      <c r="P138" s="91"/>
      <c r="Q138" s="91"/>
      <c r="R138" s="452">
        <v>46059</v>
      </c>
      <c r="S138" s="452" t="s">
        <v>123</v>
      </c>
      <c r="T138" s="91" t="s">
        <v>6017</v>
      </c>
      <c r="U138" s="91"/>
      <c r="V138" s="91"/>
      <c r="W138" s="91"/>
      <c r="X138" s="114" t="s">
        <v>5862</v>
      </c>
      <c r="Y138" s="139" t="s">
        <v>283</v>
      </c>
      <c r="Z138" s="116">
        <v>0.8403</v>
      </c>
      <c r="AA138" s="117">
        <f>Z138*I138</f>
        <v>8520.642</v>
      </c>
      <c r="AB138" s="88"/>
      <c r="AC138" s="23" t="s">
        <v>4970</v>
      </c>
      <c r="AD138" s="467" t="s">
        <v>128</v>
      </c>
      <c r="AE138" s="467"/>
      <c r="AF138" s="23"/>
      <c r="AG138" s="483">
        <f>AF138-I138</f>
        <v>-10140</v>
      </c>
      <c r="AH138" s="23"/>
      <c r="AI138" s="470"/>
      <c r="AJ138" s="155">
        <f>I138</f>
        <v>10140</v>
      </c>
      <c r="AK138" s="155"/>
      <c r="AL138" s="175">
        <f>I138</f>
        <v>10140</v>
      </c>
      <c r="AM138" s="486"/>
      <c r="AN138" s="486"/>
      <c r="AO138" s="486"/>
      <c r="AP138" s="436">
        <f>I138</f>
        <v>10140</v>
      </c>
      <c r="AQ138" s="685"/>
      <c r="AR138" s="3"/>
      <c r="AS138" s="436">
        <f>AP138-AT138</f>
        <v>9147.125</v>
      </c>
      <c r="AT138" s="505">
        <f>I138*(1-(1/48))/10</f>
        <v>992.875</v>
      </c>
      <c r="AU138" s="628"/>
      <c r="AV138" s="486"/>
      <c r="AW138" s="486"/>
      <c r="AX138" s="181">
        <f>I138/13</f>
        <v>780</v>
      </c>
      <c r="AY138" s="181"/>
      <c r="AZ138" s="181"/>
      <c r="BA138" s="181"/>
      <c r="BB138" s="181"/>
      <c r="BC138" s="181"/>
      <c r="BD138" s="181"/>
      <c r="BE138" s="181"/>
      <c r="BF138" s="181"/>
      <c r="BG138" s="181"/>
      <c r="BH138" s="181"/>
      <c r="BI138" s="181"/>
      <c r="BJ138" s="181"/>
      <c r="BK138" s="181"/>
      <c r="BL138" s="181"/>
      <c r="BM138" s="181"/>
      <c r="BN138" s="181"/>
      <c r="BQ138" s="402">
        <f>AJ138+BQ136</f>
        <v>773133</v>
      </c>
    </row>
    <row r="139" s="402" customFormat="1" ht="36" hidden="1" customHeight="1" spans="1:69">
      <c r="A139" s="18">
        <v>46057</v>
      </c>
      <c r="B139" s="75" t="s">
        <v>916</v>
      </c>
      <c r="C139" s="76" t="s">
        <v>917</v>
      </c>
      <c r="D139" s="21">
        <v>4500193066</v>
      </c>
      <c r="E139" s="114" t="s">
        <v>6018</v>
      </c>
      <c r="F139" s="21" t="s">
        <v>6019</v>
      </c>
      <c r="G139" s="23" t="s">
        <v>4974</v>
      </c>
      <c r="H139" s="24" t="s">
        <v>5205</v>
      </c>
      <c r="I139" s="88">
        <v>5000</v>
      </c>
      <c r="J139" s="89">
        <v>0</v>
      </c>
      <c r="K139" s="23">
        <v>50</v>
      </c>
      <c r="L139" s="436">
        <f>I139/K139</f>
        <v>100</v>
      </c>
      <c r="M139" s="90">
        <v>46115</v>
      </c>
      <c r="N139" s="90">
        <v>46111</v>
      </c>
      <c r="O139" s="91"/>
      <c r="P139" s="91"/>
      <c r="Q139" s="91"/>
      <c r="R139" s="91" t="s">
        <v>3332</v>
      </c>
      <c r="S139" s="91" t="s">
        <v>77</v>
      </c>
      <c r="T139" s="453" t="s">
        <v>6020</v>
      </c>
      <c r="U139" s="91"/>
      <c r="V139" s="91"/>
      <c r="W139" s="91"/>
      <c r="X139" s="114" t="s">
        <v>6021</v>
      </c>
      <c r="Y139" s="139" t="s">
        <v>618</v>
      </c>
      <c r="Z139" s="116">
        <v>1.4485</v>
      </c>
      <c r="AA139" s="117">
        <f>Z139*I139</f>
        <v>7242.5</v>
      </c>
      <c r="AB139" s="469"/>
      <c r="AC139" s="425" t="s">
        <v>4974</v>
      </c>
      <c r="AD139" s="467" t="s">
        <v>128</v>
      </c>
      <c r="AE139" s="467"/>
      <c r="AF139" s="23"/>
      <c r="AG139" s="483">
        <f>AF139-I139</f>
        <v>-5000</v>
      </c>
      <c r="AH139" s="23"/>
      <c r="AI139" s="470"/>
      <c r="AJ139" s="155">
        <f>I139</f>
        <v>5000</v>
      </c>
      <c r="AK139" s="618"/>
      <c r="AL139" s="489">
        <f>I139</f>
        <v>5000</v>
      </c>
      <c r="AM139" s="437"/>
      <c r="AN139" s="437"/>
      <c r="AO139" s="437"/>
      <c r="AP139" s="439">
        <f>I139</f>
        <v>5000</v>
      </c>
      <c r="AQ139" s="439"/>
      <c r="AR139" s="437"/>
      <c r="AS139" s="439">
        <f>AP139-AT139</f>
        <v>4510.41666666667</v>
      </c>
      <c r="AT139" s="504">
        <f>I139*(1-(1/48))/10</f>
        <v>489.583333333333</v>
      </c>
      <c r="AU139" s="628"/>
      <c r="AV139" s="628"/>
      <c r="AW139" s="628"/>
      <c r="AX139" s="514"/>
      <c r="AY139" s="181"/>
      <c r="AZ139" s="181"/>
      <c r="BA139" s="512">
        <f>I139/25</f>
        <v>200</v>
      </c>
      <c r="BB139" s="181"/>
      <c r="BC139" s="181"/>
      <c r="BD139" s="181"/>
      <c r="BE139" s="181"/>
      <c r="BF139" s="181"/>
      <c r="BG139" s="181"/>
      <c r="BH139" s="181"/>
      <c r="BI139" s="181"/>
      <c r="BJ139" s="181"/>
      <c r="BK139" s="181"/>
      <c r="BL139" s="181"/>
      <c r="BM139" s="181"/>
      <c r="BN139" s="181"/>
      <c r="BQ139" s="402">
        <f>AJ139+BQ138</f>
        <v>778133</v>
      </c>
    </row>
    <row r="140" s="403" customFormat="1" ht="36" customHeight="1" spans="1:66">
      <c r="A140" s="638">
        <v>46078</v>
      </c>
      <c r="B140" s="639" t="s">
        <v>116</v>
      </c>
      <c r="C140" s="640" t="s">
        <v>117</v>
      </c>
      <c r="D140" s="641">
        <v>4500194133</v>
      </c>
      <c r="E140" s="223" t="s">
        <v>6022</v>
      </c>
      <c r="F140" s="641" t="s">
        <v>6023</v>
      </c>
      <c r="G140" s="642" t="s">
        <v>4988</v>
      </c>
      <c r="H140" s="643" t="s">
        <v>4989</v>
      </c>
      <c r="I140" s="650">
        <v>50000</v>
      </c>
      <c r="J140" s="651">
        <v>0</v>
      </c>
      <c r="K140" s="652">
        <v>25</v>
      </c>
      <c r="L140" s="653">
        <f>I140/K140</f>
        <v>2000</v>
      </c>
      <c r="M140" s="654">
        <v>46118</v>
      </c>
      <c r="N140" s="654">
        <v>46114</v>
      </c>
      <c r="O140" s="655"/>
      <c r="P140" s="655"/>
      <c r="Q140" s="655"/>
      <c r="R140" s="655"/>
      <c r="S140" s="655"/>
      <c r="T140" s="661"/>
      <c r="U140" s="655"/>
      <c r="V140" s="655"/>
      <c r="W140" s="655"/>
      <c r="X140" s="223" t="s">
        <v>6014</v>
      </c>
      <c r="Y140" s="665" t="s">
        <v>126</v>
      </c>
      <c r="Z140" s="666">
        <v>0.8485</v>
      </c>
      <c r="AA140" s="667">
        <f>Z140*I140</f>
        <v>42425</v>
      </c>
      <c r="AB140" s="668"/>
      <c r="AC140" s="642"/>
      <c r="AD140" s="669"/>
      <c r="AE140" s="669"/>
      <c r="AF140" s="642"/>
      <c r="AG140" s="642"/>
      <c r="AH140" s="642"/>
      <c r="AI140" s="672"/>
      <c r="AJ140" s="673">
        <f>I140</f>
        <v>50000</v>
      </c>
      <c r="AK140" s="674"/>
      <c r="AL140" s="675"/>
      <c r="AM140" s="677"/>
      <c r="AN140" s="677"/>
      <c r="AO140" s="677"/>
      <c r="AP140" s="681"/>
      <c r="AQ140" s="681"/>
      <c r="AR140" s="677"/>
      <c r="AS140" s="681"/>
      <c r="AT140" s="683"/>
      <c r="AU140" s="686"/>
      <c r="AV140" s="684"/>
      <c r="AW140" s="684"/>
      <c r="AX140" s="690"/>
      <c r="AY140" s="689"/>
      <c r="AZ140" s="689"/>
      <c r="BA140" s="689"/>
      <c r="BB140" s="689"/>
      <c r="BC140" s="689"/>
      <c r="BD140" s="689"/>
      <c r="BE140" s="689"/>
      <c r="BF140" s="689"/>
      <c r="BG140" s="689"/>
      <c r="BH140" s="689"/>
      <c r="BI140" s="689"/>
      <c r="BJ140" s="689"/>
      <c r="BK140" s="689"/>
      <c r="BL140" s="689"/>
      <c r="BM140" s="689"/>
      <c r="BN140" s="689"/>
    </row>
    <row r="141" s="403" customFormat="1" ht="36" hidden="1" customHeight="1" spans="1:66">
      <c r="A141" s="638">
        <v>46078</v>
      </c>
      <c r="B141" s="639" t="s">
        <v>6024</v>
      </c>
      <c r="C141" s="644" t="s">
        <v>3662</v>
      </c>
      <c r="D141" s="641">
        <v>4500194168</v>
      </c>
      <c r="E141" s="223"/>
      <c r="F141" s="641" t="s">
        <v>6025</v>
      </c>
      <c r="G141" s="642" t="s">
        <v>4974</v>
      </c>
      <c r="H141" s="643" t="s">
        <v>5205</v>
      </c>
      <c r="I141" s="656">
        <v>250</v>
      </c>
      <c r="J141" s="651">
        <v>0</v>
      </c>
      <c r="K141" s="652">
        <v>50</v>
      </c>
      <c r="L141" s="653">
        <f>I141/K141</f>
        <v>5</v>
      </c>
      <c r="M141" s="654">
        <v>46122</v>
      </c>
      <c r="N141" s="654">
        <v>46118</v>
      </c>
      <c r="O141" s="655"/>
      <c r="P141" s="655"/>
      <c r="Q141" s="655"/>
      <c r="R141" s="655"/>
      <c r="S141" s="655"/>
      <c r="T141" s="661"/>
      <c r="U141" s="655"/>
      <c r="V141" s="655"/>
      <c r="W141" s="655"/>
      <c r="X141" s="223" t="s">
        <v>6026</v>
      </c>
      <c r="Y141" s="665" t="s">
        <v>618</v>
      </c>
      <c r="Z141" s="666">
        <v>1.4584</v>
      </c>
      <c r="AA141" s="667">
        <f>Z141*I141</f>
        <v>364.6</v>
      </c>
      <c r="AB141" s="668"/>
      <c r="AC141" s="642"/>
      <c r="AD141" s="669"/>
      <c r="AE141" s="669"/>
      <c r="AF141" s="642"/>
      <c r="AG141" s="642"/>
      <c r="AH141" s="642"/>
      <c r="AI141" s="672"/>
      <c r="AJ141" s="673">
        <f>I141</f>
        <v>250</v>
      </c>
      <c r="AK141" s="674"/>
      <c r="AL141" s="675"/>
      <c r="AM141" s="677"/>
      <c r="AN141" s="677"/>
      <c r="AO141" s="677"/>
      <c r="AP141" s="681"/>
      <c r="AQ141" s="681"/>
      <c r="AR141" s="677"/>
      <c r="AS141" s="681"/>
      <c r="AT141" s="683"/>
      <c r="AU141" s="686"/>
      <c r="AV141" s="684"/>
      <c r="AW141" s="684"/>
      <c r="AX141" s="690"/>
      <c r="AY141" s="689"/>
      <c r="AZ141" s="689"/>
      <c r="BA141" s="689"/>
      <c r="BB141" s="689"/>
      <c r="BC141" s="689"/>
      <c r="BD141" s="689"/>
      <c r="BE141" s="689"/>
      <c r="BF141" s="689"/>
      <c r="BG141" s="689"/>
      <c r="BH141" s="689"/>
      <c r="BI141" s="689"/>
      <c r="BJ141" s="689"/>
      <c r="BK141" s="689"/>
      <c r="BL141" s="689"/>
      <c r="BM141" s="689"/>
      <c r="BN141" s="689"/>
    </row>
    <row r="142" s="402" customFormat="1" ht="36" hidden="1" customHeight="1" spans="1:69">
      <c r="A142" s="18">
        <v>46058</v>
      </c>
      <c r="B142" s="75" t="s">
        <v>3926</v>
      </c>
      <c r="C142" s="76" t="s">
        <v>351</v>
      </c>
      <c r="D142" s="21">
        <v>4500193215</v>
      </c>
      <c r="E142" s="114" t="s">
        <v>6027</v>
      </c>
      <c r="F142" s="21" t="s">
        <v>6028</v>
      </c>
      <c r="G142" s="23" t="s">
        <v>5092</v>
      </c>
      <c r="H142" s="24" t="s">
        <v>5093</v>
      </c>
      <c r="I142" s="88">
        <v>12</v>
      </c>
      <c r="J142" s="89">
        <v>0</v>
      </c>
      <c r="K142" s="23">
        <v>12</v>
      </c>
      <c r="L142" s="436">
        <f>I142/K142</f>
        <v>1</v>
      </c>
      <c r="M142" s="90">
        <v>46127</v>
      </c>
      <c r="N142" s="90">
        <v>46123</v>
      </c>
      <c r="O142" s="91"/>
      <c r="P142" s="91"/>
      <c r="Q142" s="91"/>
      <c r="R142" s="452">
        <v>46058</v>
      </c>
      <c r="S142" s="453" t="s">
        <v>123</v>
      </c>
      <c r="T142" s="454" t="s">
        <v>4437</v>
      </c>
      <c r="U142" s="91"/>
      <c r="V142" s="91"/>
      <c r="W142" s="91"/>
      <c r="X142" s="114" t="s">
        <v>5476</v>
      </c>
      <c r="Y142" s="91" t="s">
        <v>396</v>
      </c>
      <c r="Z142" s="116">
        <v>3.1175</v>
      </c>
      <c r="AA142" s="117">
        <f>Z142*I142</f>
        <v>37.41</v>
      </c>
      <c r="AB142" s="469"/>
      <c r="AC142" s="470" t="s">
        <v>5098</v>
      </c>
      <c r="AD142" s="467" t="s">
        <v>128</v>
      </c>
      <c r="AE142" s="467"/>
      <c r="AF142" s="23"/>
      <c r="AG142" s="483">
        <f>AF142-I142</f>
        <v>-12</v>
      </c>
      <c r="AH142" s="23"/>
      <c r="AI142" s="470"/>
      <c r="AJ142" s="155">
        <f>I142*2</f>
        <v>24</v>
      </c>
      <c r="AK142" s="155"/>
      <c r="AL142" s="175"/>
      <c r="AM142" s="88"/>
      <c r="AN142" s="88">
        <f>I142*2</f>
        <v>24</v>
      </c>
      <c r="AO142" s="88"/>
      <c r="AP142" s="436">
        <f>I142*2</f>
        <v>24</v>
      </c>
      <c r="AQ142" s="436"/>
      <c r="AR142" s="88"/>
      <c r="AS142" s="436">
        <f>AP142-AT142</f>
        <v>21.65</v>
      </c>
      <c r="AT142" s="505">
        <f>I142*(1-(1/48))/10*2</f>
        <v>2.35</v>
      </c>
      <c r="AU142" s="436"/>
      <c r="AV142" s="486"/>
      <c r="AW142" s="486"/>
      <c r="AX142" s="514"/>
      <c r="AY142" s="181"/>
      <c r="AZ142" s="181"/>
      <c r="BA142" s="181"/>
      <c r="BB142" s="181"/>
      <c r="BC142" s="181"/>
      <c r="BD142" s="181"/>
      <c r="BE142" s="181"/>
      <c r="BF142" s="181"/>
      <c r="BG142" s="181"/>
      <c r="BH142" s="181"/>
      <c r="BI142" s="181"/>
      <c r="BJ142" s="181"/>
      <c r="BK142" s="181"/>
      <c r="BL142" s="181"/>
      <c r="BM142" s="181">
        <f>I142</f>
        <v>12</v>
      </c>
      <c r="BN142" s="181">
        <f>I142</f>
        <v>12</v>
      </c>
      <c r="BQ142" s="402">
        <f>AJ142+BQ139</f>
        <v>778157</v>
      </c>
    </row>
    <row r="143" s="402" customFormat="1" ht="36" hidden="1" customHeight="1" spans="1:69">
      <c r="A143" s="18">
        <v>46058</v>
      </c>
      <c r="B143" s="75" t="s">
        <v>3926</v>
      </c>
      <c r="C143" s="76" t="s">
        <v>351</v>
      </c>
      <c r="D143" s="21">
        <v>4500193215</v>
      </c>
      <c r="E143" s="114" t="s">
        <v>6029</v>
      </c>
      <c r="F143" s="21" t="s">
        <v>6030</v>
      </c>
      <c r="G143" s="23" t="s">
        <v>5092</v>
      </c>
      <c r="H143" s="24" t="s">
        <v>5093</v>
      </c>
      <c r="I143" s="88">
        <v>12</v>
      </c>
      <c r="J143" s="89">
        <v>0</v>
      </c>
      <c r="K143" s="23">
        <v>12</v>
      </c>
      <c r="L143" s="436">
        <f>I143/K143</f>
        <v>1</v>
      </c>
      <c r="M143" s="90">
        <v>46127</v>
      </c>
      <c r="N143" s="90">
        <v>46123</v>
      </c>
      <c r="O143" s="91"/>
      <c r="P143" s="91"/>
      <c r="Q143" s="91"/>
      <c r="R143" s="452">
        <v>46058</v>
      </c>
      <c r="S143" s="453" t="s">
        <v>123</v>
      </c>
      <c r="T143" s="454" t="s">
        <v>4437</v>
      </c>
      <c r="U143" s="91"/>
      <c r="V143" s="91"/>
      <c r="W143" s="91"/>
      <c r="X143" s="114" t="s">
        <v>5476</v>
      </c>
      <c r="Y143" s="91" t="s">
        <v>396</v>
      </c>
      <c r="Z143" s="116">
        <v>3.1175</v>
      </c>
      <c r="AA143" s="117">
        <f>Z143*I143</f>
        <v>37.41</v>
      </c>
      <c r="AB143" s="469"/>
      <c r="AC143" s="470" t="s">
        <v>5098</v>
      </c>
      <c r="AD143" s="467" t="s">
        <v>128</v>
      </c>
      <c r="AE143" s="467"/>
      <c r="AF143" s="23"/>
      <c r="AG143" s="483">
        <f>AF143-I143</f>
        <v>-12</v>
      </c>
      <c r="AH143" s="23"/>
      <c r="AI143" s="470"/>
      <c r="AJ143" s="155">
        <f>I143*2</f>
        <v>24</v>
      </c>
      <c r="AK143" s="155"/>
      <c r="AL143" s="175"/>
      <c r="AM143" s="88"/>
      <c r="AN143" s="88">
        <f>I143*2</f>
        <v>24</v>
      </c>
      <c r="AO143" s="88"/>
      <c r="AP143" s="436">
        <f>I143*2</f>
        <v>24</v>
      </c>
      <c r="AQ143" s="436"/>
      <c r="AR143" s="88"/>
      <c r="AS143" s="436">
        <f>AP143-AT143</f>
        <v>21.65</v>
      </c>
      <c r="AT143" s="505">
        <f>I143*(1-(1/48))/10*2</f>
        <v>2.35</v>
      </c>
      <c r="AU143" s="436"/>
      <c r="AV143" s="486"/>
      <c r="AW143" s="486"/>
      <c r="AX143" s="514"/>
      <c r="AY143" s="181"/>
      <c r="AZ143" s="181"/>
      <c r="BA143" s="181"/>
      <c r="BB143" s="181"/>
      <c r="BC143" s="181"/>
      <c r="BD143" s="181"/>
      <c r="BE143" s="181"/>
      <c r="BF143" s="181"/>
      <c r="BG143" s="181"/>
      <c r="BH143" s="181"/>
      <c r="BI143" s="181"/>
      <c r="BJ143" s="181"/>
      <c r="BK143" s="181"/>
      <c r="BL143" s="181"/>
      <c r="BM143" s="181">
        <f>I143</f>
        <v>12</v>
      </c>
      <c r="BN143" s="181">
        <f>I143</f>
        <v>12</v>
      </c>
      <c r="BQ143" s="402">
        <f>AJ143+BQ142</f>
        <v>778181</v>
      </c>
    </row>
    <row r="144" s="402" customFormat="1" ht="36" hidden="1" customHeight="1" spans="1:69">
      <c r="A144" s="18">
        <v>46058</v>
      </c>
      <c r="B144" s="75" t="s">
        <v>3926</v>
      </c>
      <c r="C144" s="76" t="s">
        <v>351</v>
      </c>
      <c r="D144" s="21">
        <v>4500193215</v>
      </c>
      <c r="E144" s="114" t="s">
        <v>6031</v>
      </c>
      <c r="F144" s="21" t="s">
        <v>6032</v>
      </c>
      <c r="G144" s="23" t="s">
        <v>5092</v>
      </c>
      <c r="H144" s="24" t="s">
        <v>5093</v>
      </c>
      <c r="I144" s="88">
        <v>12</v>
      </c>
      <c r="J144" s="89">
        <v>0</v>
      </c>
      <c r="K144" s="23">
        <v>12</v>
      </c>
      <c r="L144" s="436">
        <f>I144/K144</f>
        <v>1</v>
      </c>
      <c r="M144" s="90">
        <v>46127</v>
      </c>
      <c r="N144" s="90">
        <v>46123</v>
      </c>
      <c r="O144" s="91"/>
      <c r="P144" s="91"/>
      <c r="Q144" s="91"/>
      <c r="R144" s="452">
        <v>46058</v>
      </c>
      <c r="S144" s="453" t="s">
        <v>123</v>
      </c>
      <c r="T144" s="454" t="s">
        <v>4437</v>
      </c>
      <c r="U144" s="91"/>
      <c r="V144" s="91"/>
      <c r="W144" s="91"/>
      <c r="X144" s="114" t="s">
        <v>5476</v>
      </c>
      <c r="Y144" s="91" t="s">
        <v>396</v>
      </c>
      <c r="Z144" s="116">
        <v>3.1175</v>
      </c>
      <c r="AA144" s="117">
        <f>Z144*I144</f>
        <v>37.41</v>
      </c>
      <c r="AB144" s="469"/>
      <c r="AC144" s="470" t="s">
        <v>5098</v>
      </c>
      <c r="AD144" s="467" t="s">
        <v>128</v>
      </c>
      <c r="AE144" s="467"/>
      <c r="AF144" s="23"/>
      <c r="AG144" s="483">
        <f>AF144-I144</f>
        <v>-12</v>
      </c>
      <c r="AH144" s="23"/>
      <c r="AI144" s="470"/>
      <c r="AJ144" s="155">
        <f>I144*2</f>
        <v>24</v>
      </c>
      <c r="AK144" s="155"/>
      <c r="AL144" s="175"/>
      <c r="AM144" s="88"/>
      <c r="AN144" s="88">
        <f>I144*2</f>
        <v>24</v>
      </c>
      <c r="AO144" s="88"/>
      <c r="AP144" s="436">
        <f>I144*2</f>
        <v>24</v>
      </c>
      <c r="AQ144" s="436"/>
      <c r="AR144" s="88"/>
      <c r="AS144" s="436">
        <f>AP144-AT144</f>
        <v>21.65</v>
      </c>
      <c r="AT144" s="505">
        <f>I144*(1-(1/48))/10*2</f>
        <v>2.35</v>
      </c>
      <c r="AU144" s="436"/>
      <c r="AV144" s="486"/>
      <c r="AW144" s="486"/>
      <c r="AX144" s="514"/>
      <c r="AY144" s="181"/>
      <c r="AZ144" s="181"/>
      <c r="BA144" s="181"/>
      <c r="BB144" s="181"/>
      <c r="BC144" s="181"/>
      <c r="BD144" s="181"/>
      <c r="BE144" s="181"/>
      <c r="BF144" s="181"/>
      <c r="BG144" s="181"/>
      <c r="BH144" s="181"/>
      <c r="BI144" s="181"/>
      <c r="BJ144" s="181"/>
      <c r="BK144" s="181"/>
      <c r="BL144" s="181"/>
      <c r="BM144" s="181">
        <f>I144</f>
        <v>12</v>
      </c>
      <c r="BN144" s="181">
        <f>I144</f>
        <v>12</v>
      </c>
      <c r="BQ144" s="402">
        <f>AJ144+BQ143</f>
        <v>778205</v>
      </c>
    </row>
    <row r="145" s="402" customFormat="1" ht="36" hidden="1" customHeight="1" spans="1:69">
      <c r="A145" s="18">
        <v>46058</v>
      </c>
      <c r="B145" s="75" t="s">
        <v>3926</v>
      </c>
      <c r="C145" s="76" t="s">
        <v>351</v>
      </c>
      <c r="D145" s="21">
        <v>4500193215</v>
      </c>
      <c r="E145" s="114" t="s">
        <v>6033</v>
      </c>
      <c r="F145" s="21" t="s">
        <v>6034</v>
      </c>
      <c r="G145" s="23" t="s">
        <v>5092</v>
      </c>
      <c r="H145" s="24" t="s">
        <v>5093</v>
      </c>
      <c r="I145" s="88">
        <v>12</v>
      </c>
      <c r="J145" s="89">
        <v>0</v>
      </c>
      <c r="K145" s="23">
        <v>12</v>
      </c>
      <c r="L145" s="436">
        <f>I145/K145</f>
        <v>1</v>
      </c>
      <c r="M145" s="90">
        <v>46127</v>
      </c>
      <c r="N145" s="90">
        <v>46123</v>
      </c>
      <c r="O145" s="91"/>
      <c r="P145" s="91"/>
      <c r="Q145" s="91"/>
      <c r="R145" s="452">
        <v>46058</v>
      </c>
      <c r="S145" s="453" t="s">
        <v>123</v>
      </c>
      <c r="T145" s="454" t="s">
        <v>4437</v>
      </c>
      <c r="U145" s="91"/>
      <c r="V145" s="91"/>
      <c r="W145" s="91"/>
      <c r="X145" s="114" t="s">
        <v>5476</v>
      </c>
      <c r="Y145" s="91" t="s">
        <v>396</v>
      </c>
      <c r="Z145" s="116">
        <v>3.1175</v>
      </c>
      <c r="AA145" s="117">
        <f>Z145*I145</f>
        <v>37.41</v>
      </c>
      <c r="AB145" s="469"/>
      <c r="AC145" s="470" t="s">
        <v>5098</v>
      </c>
      <c r="AD145" s="467" t="s">
        <v>128</v>
      </c>
      <c r="AE145" s="467"/>
      <c r="AF145" s="23"/>
      <c r="AG145" s="483">
        <f>AF145-I145</f>
        <v>-12</v>
      </c>
      <c r="AH145" s="23"/>
      <c r="AI145" s="470"/>
      <c r="AJ145" s="155">
        <f>I145*2</f>
        <v>24</v>
      </c>
      <c r="AK145" s="155"/>
      <c r="AL145" s="175"/>
      <c r="AM145" s="88"/>
      <c r="AN145" s="88">
        <f>I145*2</f>
        <v>24</v>
      </c>
      <c r="AO145" s="88"/>
      <c r="AP145" s="436">
        <f>I145*2</f>
        <v>24</v>
      </c>
      <c r="AQ145" s="436"/>
      <c r="AR145" s="88"/>
      <c r="AS145" s="436">
        <f>AP145-AT145</f>
        <v>21.65</v>
      </c>
      <c r="AT145" s="505">
        <f>I145*(1-(1/48))/10*2</f>
        <v>2.35</v>
      </c>
      <c r="AU145" s="436"/>
      <c r="AV145" s="486"/>
      <c r="AW145" s="486"/>
      <c r="AX145" s="514"/>
      <c r="AY145" s="181"/>
      <c r="AZ145" s="181"/>
      <c r="BA145" s="181"/>
      <c r="BB145" s="181"/>
      <c r="BC145" s="181"/>
      <c r="BD145" s="181"/>
      <c r="BE145" s="181"/>
      <c r="BF145" s="181"/>
      <c r="BG145" s="181"/>
      <c r="BH145" s="181"/>
      <c r="BI145" s="181"/>
      <c r="BJ145" s="181"/>
      <c r="BK145" s="181"/>
      <c r="BL145" s="181"/>
      <c r="BM145" s="181">
        <f>I145</f>
        <v>12</v>
      </c>
      <c r="BN145" s="181">
        <f>I145</f>
        <v>12</v>
      </c>
      <c r="BQ145" s="402">
        <f>AJ145+BQ144</f>
        <v>778229</v>
      </c>
    </row>
    <row r="146" s="3" customFormat="1" ht="36" hidden="1" customHeight="1" spans="1:69">
      <c r="A146" s="645"/>
      <c r="B146" s="75"/>
      <c r="C146" s="76"/>
      <c r="D146" s="21"/>
      <c r="E146" s="646"/>
      <c r="F146" s="21"/>
      <c r="G146" s="23"/>
      <c r="H146" s="24"/>
      <c r="I146" s="88"/>
      <c r="J146" s="89"/>
      <c r="K146" s="23"/>
      <c r="L146" s="88"/>
      <c r="M146" s="90"/>
      <c r="N146" s="90"/>
      <c r="O146" s="91"/>
      <c r="P146" s="91"/>
      <c r="Q146" s="91"/>
      <c r="R146" s="91"/>
      <c r="S146" s="91"/>
      <c r="T146" s="91"/>
      <c r="U146" s="91"/>
      <c r="V146" s="91"/>
      <c r="W146" s="91"/>
      <c r="X146" s="114"/>
      <c r="Y146" s="91"/>
      <c r="Z146" s="116"/>
      <c r="AA146" s="117"/>
      <c r="AB146" s="88"/>
      <c r="AC146" s="470"/>
      <c r="AD146" s="23"/>
      <c r="AE146" s="23"/>
      <c r="AF146" s="472"/>
      <c r="AG146" s="472"/>
      <c r="AH146" s="23"/>
      <c r="AI146" s="470"/>
      <c r="AJ146" s="155"/>
      <c r="AK146" s="618"/>
      <c r="AL146" s="628"/>
      <c r="AM146" s="628"/>
      <c r="AN146" s="628"/>
      <c r="AO146" s="628"/>
      <c r="AP146" s="628"/>
      <c r="AQ146" s="628"/>
      <c r="AR146" s="628"/>
      <c r="AS146" s="628"/>
      <c r="AT146" s="628"/>
      <c r="AU146" s="628"/>
      <c r="AV146" s="628"/>
      <c r="AW146" s="628"/>
      <c r="AX146" s="514"/>
      <c r="AY146" s="181"/>
      <c r="AZ146" s="181"/>
      <c r="BA146" s="181"/>
      <c r="BB146" s="181"/>
      <c r="BC146" s="181"/>
      <c r="BD146" s="181"/>
      <c r="BE146" s="181"/>
      <c r="BF146" s="181"/>
      <c r="BG146" s="181"/>
      <c r="BH146" s="181"/>
      <c r="BI146" s="181"/>
      <c r="BJ146" s="181"/>
      <c r="BK146" s="181"/>
      <c r="BL146" s="181"/>
      <c r="BM146" s="181"/>
      <c r="BN146" s="181"/>
      <c r="BO146" s="200"/>
      <c r="BQ146" s="402">
        <f>AJ146+BQ145</f>
        <v>778229</v>
      </c>
    </row>
    <row r="147" s="3" customFormat="1" ht="36" hidden="1" customHeight="1" spans="1:69">
      <c r="A147" s="74"/>
      <c r="B147" s="75"/>
      <c r="C147" s="76"/>
      <c r="D147" s="77"/>
      <c r="E147" s="114"/>
      <c r="F147" s="77"/>
      <c r="G147" s="23"/>
      <c r="H147" s="24"/>
      <c r="I147" s="88"/>
      <c r="J147" s="89"/>
      <c r="K147" s="23"/>
      <c r="L147" s="88"/>
      <c r="M147" s="90"/>
      <c r="N147" s="90"/>
      <c r="O147" s="91"/>
      <c r="P147" s="91"/>
      <c r="Q147" s="91"/>
      <c r="R147" s="91"/>
      <c r="S147" s="662"/>
      <c r="T147" s="662"/>
      <c r="U147" s="662"/>
      <c r="V147" s="662"/>
      <c r="W147" s="662"/>
      <c r="X147" s="114"/>
      <c r="Y147" s="91"/>
      <c r="Z147" s="116"/>
      <c r="AA147" s="117"/>
      <c r="AB147" s="88"/>
      <c r="AC147" s="470"/>
      <c r="AD147" s="23"/>
      <c r="AE147" s="23"/>
      <c r="AF147" s="472"/>
      <c r="AG147" s="472"/>
      <c r="AH147" s="23"/>
      <c r="AI147" s="470"/>
      <c r="AJ147" s="155"/>
      <c r="AK147" s="155"/>
      <c r="AL147" s="88"/>
      <c r="AM147" s="88"/>
      <c r="AN147" s="88"/>
      <c r="AO147" s="88"/>
      <c r="AP147" s="175"/>
      <c r="AQ147" s="175"/>
      <c r="AR147" s="175"/>
      <c r="AS147" s="175"/>
      <c r="AT147" s="175"/>
      <c r="AU147" s="175"/>
      <c r="AV147" s="175"/>
      <c r="AW147" s="175"/>
      <c r="AX147" s="181"/>
      <c r="AY147" s="181"/>
      <c r="AZ147" s="181"/>
      <c r="BA147" s="181"/>
      <c r="BB147" s="181"/>
      <c r="BC147" s="181"/>
      <c r="BD147" s="181"/>
      <c r="BE147" s="181"/>
      <c r="BF147" s="181"/>
      <c r="BG147" s="181"/>
      <c r="BH147" s="181"/>
      <c r="BI147" s="181"/>
      <c r="BJ147" s="181"/>
      <c r="BK147" s="181"/>
      <c r="BL147" s="181"/>
      <c r="BM147" s="181"/>
      <c r="BN147" s="181"/>
      <c r="BO147" s="200"/>
      <c r="BQ147" s="3">
        <f>AJ147+BQ146</f>
        <v>778229</v>
      </c>
    </row>
    <row r="148" s="3" customFormat="1" ht="36" customHeight="1" spans="1:66">
      <c r="A148" s="647"/>
      <c r="B148" s="75"/>
      <c r="C148" s="76"/>
      <c r="D148" s="77"/>
      <c r="E148" s="114"/>
      <c r="F148" s="77"/>
      <c r="G148" s="23"/>
      <c r="H148" s="24"/>
      <c r="I148" s="88"/>
      <c r="J148" s="89"/>
      <c r="K148" s="23"/>
      <c r="L148" s="88"/>
      <c r="M148" s="90"/>
      <c r="N148" s="90"/>
      <c r="O148" s="87"/>
      <c r="P148" s="91"/>
      <c r="Q148" s="91"/>
      <c r="R148" s="91"/>
      <c r="S148" s="663"/>
      <c r="T148" s="663"/>
      <c r="U148" s="663"/>
      <c r="V148" s="663"/>
      <c r="W148" s="663"/>
      <c r="X148" s="114"/>
      <c r="Y148" s="139"/>
      <c r="Z148" s="116"/>
      <c r="AA148" s="117"/>
      <c r="AB148" s="88"/>
      <c r="AC148" s="470"/>
      <c r="AD148" s="23"/>
      <c r="AE148" s="23"/>
      <c r="AF148" s="472"/>
      <c r="AG148" s="472"/>
      <c r="AH148" s="23"/>
      <c r="AI148" s="470"/>
      <c r="AJ148" s="155"/>
      <c r="AK148" s="155"/>
      <c r="AL148" s="175"/>
      <c r="AM148" s="175"/>
      <c r="AN148" s="175"/>
      <c r="AO148" s="175"/>
      <c r="AP148" s="88"/>
      <c r="AQ148" s="88"/>
      <c r="AR148" s="88"/>
      <c r="AS148" s="88"/>
      <c r="AT148" s="88"/>
      <c r="AU148" s="88"/>
      <c r="AV148" s="88"/>
      <c r="AW148" s="88"/>
      <c r="AX148" s="181"/>
      <c r="AY148" s="181"/>
      <c r="AZ148" s="181"/>
      <c r="BA148" s="181"/>
      <c r="BB148" s="181"/>
      <c r="BC148" s="181"/>
      <c r="BD148" s="181"/>
      <c r="BE148" s="181"/>
      <c r="BF148" s="181"/>
      <c r="BG148" s="181"/>
      <c r="BH148" s="181"/>
      <c r="BI148" s="181"/>
      <c r="BJ148" s="181"/>
      <c r="BK148" s="181"/>
      <c r="BL148" s="181"/>
      <c r="BM148" s="181"/>
      <c r="BN148" s="181"/>
    </row>
    <row r="149" s="3" customFormat="1" ht="36" customHeight="1" spans="1:66">
      <c r="A149" s="647"/>
      <c r="B149" s="75"/>
      <c r="C149" s="76"/>
      <c r="D149" s="77"/>
      <c r="E149" s="114"/>
      <c r="F149" s="77"/>
      <c r="G149" s="23"/>
      <c r="H149" s="24"/>
      <c r="I149" s="88"/>
      <c r="J149" s="89"/>
      <c r="K149" s="23"/>
      <c r="L149" s="88"/>
      <c r="M149" s="90"/>
      <c r="N149" s="90"/>
      <c r="O149" s="87"/>
      <c r="P149" s="91"/>
      <c r="Q149" s="91"/>
      <c r="R149" s="91"/>
      <c r="S149" s="663"/>
      <c r="T149" s="663"/>
      <c r="U149" s="663"/>
      <c r="V149" s="663"/>
      <c r="W149" s="663"/>
      <c r="X149" s="114"/>
      <c r="Y149" s="139"/>
      <c r="Z149" s="116"/>
      <c r="AA149" s="117"/>
      <c r="AB149" s="88"/>
      <c r="AC149" s="470"/>
      <c r="AD149" s="23"/>
      <c r="AE149" s="23"/>
      <c r="AF149" s="472"/>
      <c r="AG149" s="472"/>
      <c r="AH149" s="23"/>
      <c r="AI149" s="470"/>
      <c r="AJ149" s="155"/>
      <c r="AK149" s="155"/>
      <c r="AL149" s="175"/>
      <c r="AM149" s="175"/>
      <c r="AN149" s="175"/>
      <c r="AO149" s="175"/>
      <c r="AP149" s="88"/>
      <c r="AQ149" s="88"/>
      <c r="AR149" s="88"/>
      <c r="AS149" s="88"/>
      <c r="AT149" s="88"/>
      <c r="AU149" s="88"/>
      <c r="AV149" s="88"/>
      <c r="AW149" s="88"/>
      <c r="AX149" s="181"/>
      <c r="AY149" s="181"/>
      <c r="AZ149" s="181"/>
      <c r="BA149" s="181"/>
      <c r="BB149" s="181"/>
      <c r="BC149" s="181"/>
      <c r="BD149" s="181"/>
      <c r="BE149" s="181"/>
      <c r="BF149" s="181"/>
      <c r="BG149" s="181"/>
      <c r="BH149" s="181"/>
      <c r="BI149" s="181"/>
      <c r="BJ149" s="181"/>
      <c r="BK149" s="181"/>
      <c r="BL149" s="181"/>
      <c r="BM149" s="181"/>
      <c r="BN149" s="181"/>
    </row>
    <row r="150" s="3" customFormat="1" ht="36" customHeight="1" spans="1:66">
      <c r="A150" s="647"/>
      <c r="B150" s="75"/>
      <c r="C150" s="76"/>
      <c r="D150" s="77"/>
      <c r="E150" s="114"/>
      <c r="F150" s="77"/>
      <c r="G150" s="23"/>
      <c r="H150" s="24"/>
      <c r="I150" s="88"/>
      <c r="J150" s="89"/>
      <c r="K150" s="23"/>
      <c r="L150" s="88"/>
      <c r="M150" s="90"/>
      <c r="N150" s="90"/>
      <c r="O150" s="87"/>
      <c r="P150" s="91"/>
      <c r="Q150" s="91"/>
      <c r="R150" s="91"/>
      <c r="S150" s="663"/>
      <c r="T150" s="663"/>
      <c r="U150" s="663"/>
      <c r="V150" s="663"/>
      <c r="W150" s="663"/>
      <c r="X150" s="114"/>
      <c r="Y150" s="139"/>
      <c r="Z150" s="116"/>
      <c r="AA150" s="117"/>
      <c r="AB150" s="88"/>
      <c r="AC150" s="470"/>
      <c r="AD150" s="23"/>
      <c r="AE150" s="23"/>
      <c r="AF150" s="472"/>
      <c r="AG150" s="472"/>
      <c r="AH150" s="23"/>
      <c r="AI150" s="470"/>
      <c r="AJ150" s="155"/>
      <c r="AK150" s="155"/>
      <c r="AL150" s="175"/>
      <c r="AM150" s="175"/>
      <c r="AN150" s="175"/>
      <c r="AO150" s="175"/>
      <c r="AP150" s="88"/>
      <c r="AQ150" s="88"/>
      <c r="AR150" s="88"/>
      <c r="AS150" s="88"/>
      <c r="AT150" s="88"/>
      <c r="AU150" s="88"/>
      <c r="AV150" s="88"/>
      <c r="AW150" s="88"/>
      <c r="AX150" s="181"/>
      <c r="AY150" s="181"/>
      <c r="AZ150" s="181"/>
      <c r="BA150" s="181"/>
      <c r="BB150" s="181"/>
      <c r="BC150" s="181"/>
      <c r="BD150" s="181"/>
      <c r="BE150" s="181"/>
      <c r="BF150" s="181"/>
      <c r="BG150" s="181"/>
      <c r="BH150" s="181"/>
      <c r="BI150" s="181"/>
      <c r="BJ150" s="181"/>
      <c r="BK150" s="181"/>
      <c r="BL150" s="181"/>
      <c r="BM150" s="181"/>
      <c r="BN150" s="181"/>
    </row>
    <row r="151" s="3" customFormat="1" ht="36" customHeight="1" spans="1:66">
      <c r="A151" s="647"/>
      <c r="B151" s="75"/>
      <c r="C151" s="76"/>
      <c r="D151" s="77"/>
      <c r="E151" s="114"/>
      <c r="F151" s="77"/>
      <c r="G151" s="23"/>
      <c r="H151" s="24"/>
      <c r="I151" s="88"/>
      <c r="J151" s="89"/>
      <c r="K151" s="23"/>
      <c r="L151" s="88"/>
      <c r="M151" s="90"/>
      <c r="N151" s="90"/>
      <c r="O151" s="87"/>
      <c r="P151" s="91"/>
      <c r="Q151" s="91"/>
      <c r="R151" s="91"/>
      <c r="S151" s="663"/>
      <c r="T151" s="663"/>
      <c r="U151" s="663"/>
      <c r="V151" s="663"/>
      <c r="W151" s="663"/>
      <c r="X151" s="114"/>
      <c r="Y151" s="139"/>
      <c r="Z151" s="116"/>
      <c r="AA151" s="117"/>
      <c r="AB151" s="88"/>
      <c r="AC151" s="470"/>
      <c r="AD151" s="23"/>
      <c r="AE151" s="23"/>
      <c r="AF151" s="472"/>
      <c r="AG151" s="472"/>
      <c r="AH151" s="23"/>
      <c r="AI151" s="470"/>
      <c r="AJ151" s="155"/>
      <c r="AK151" s="155"/>
      <c r="AL151" s="175"/>
      <c r="AM151" s="175"/>
      <c r="AN151" s="175"/>
      <c r="AO151" s="175"/>
      <c r="AP151" s="88"/>
      <c r="AQ151" s="88"/>
      <c r="AR151" s="88"/>
      <c r="AS151" s="88"/>
      <c r="AT151" s="88"/>
      <c r="AU151" s="88"/>
      <c r="AV151" s="88"/>
      <c r="AW151" s="88"/>
      <c r="AX151" s="181"/>
      <c r="AY151" s="181"/>
      <c r="AZ151" s="181"/>
      <c r="BA151" s="181"/>
      <c r="BB151" s="181"/>
      <c r="BC151" s="181"/>
      <c r="BD151" s="181"/>
      <c r="BE151" s="181"/>
      <c r="BF151" s="181"/>
      <c r="BG151" s="181"/>
      <c r="BH151" s="181"/>
      <c r="BI151" s="181"/>
      <c r="BJ151" s="181"/>
      <c r="BK151" s="181"/>
      <c r="BL151" s="181"/>
      <c r="BM151" s="181"/>
      <c r="BN151" s="181"/>
    </row>
    <row r="152" s="3" customFormat="1" ht="36" customHeight="1" spans="1:66">
      <c r="A152" s="647"/>
      <c r="B152" s="75"/>
      <c r="C152" s="76"/>
      <c r="D152" s="77"/>
      <c r="E152" s="114"/>
      <c r="F152" s="77"/>
      <c r="G152" s="23"/>
      <c r="H152" s="24"/>
      <c r="I152" s="88"/>
      <c r="J152" s="89"/>
      <c r="K152" s="23"/>
      <c r="L152" s="88"/>
      <c r="M152" s="90"/>
      <c r="N152" s="90"/>
      <c r="O152" s="87"/>
      <c r="P152" s="91"/>
      <c r="Q152" s="91"/>
      <c r="R152" s="91"/>
      <c r="S152" s="663"/>
      <c r="T152" s="663"/>
      <c r="U152" s="663"/>
      <c r="V152" s="663"/>
      <c r="W152" s="663"/>
      <c r="X152" s="114"/>
      <c r="Y152" s="139"/>
      <c r="Z152" s="116"/>
      <c r="AA152" s="117"/>
      <c r="AB152" s="88"/>
      <c r="AC152" s="470"/>
      <c r="AD152" s="23"/>
      <c r="AE152" s="23"/>
      <c r="AF152" s="472"/>
      <c r="AG152" s="472"/>
      <c r="AH152" s="23"/>
      <c r="AI152" s="470"/>
      <c r="AJ152" s="155"/>
      <c r="AK152" s="155"/>
      <c r="AL152" s="175"/>
      <c r="AM152" s="175"/>
      <c r="AN152" s="175"/>
      <c r="AO152" s="175"/>
      <c r="AP152" s="88"/>
      <c r="AQ152" s="88"/>
      <c r="AR152" s="88"/>
      <c r="AS152" s="88"/>
      <c r="AT152" s="88"/>
      <c r="AU152" s="88"/>
      <c r="AV152" s="88"/>
      <c r="AW152" s="88"/>
      <c r="AX152" s="181"/>
      <c r="AY152" s="181"/>
      <c r="AZ152" s="181"/>
      <c r="BA152" s="181"/>
      <c r="BB152" s="181"/>
      <c r="BC152" s="181"/>
      <c r="BD152" s="181"/>
      <c r="BE152" s="181"/>
      <c r="BF152" s="181"/>
      <c r="BG152" s="181"/>
      <c r="BH152" s="181"/>
      <c r="BI152" s="181"/>
      <c r="BJ152" s="181"/>
      <c r="BK152" s="181"/>
      <c r="BL152" s="181"/>
      <c r="BM152" s="181"/>
      <c r="BN152" s="181"/>
    </row>
    <row r="153" s="3" customFormat="1" ht="26.25" customHeight="1" spans="1:66">
      <c r="A153" s="404"/>
      <c r="B153" s="1"/>
      <c r="C153" s="405"/>
      <c r="E153" s="1"/>
      <c r="F153" s="1"/>
      <c r="H153" s="648"/>
      <c r="I153" s="657"/>
      <c r="M153" s="658"/>
      <c r="N153" s="658"/>
      <c r="O153" s="405"/>
      <c r="P153" s="405"/>
      <c r="Q153" s="405"/>
      <c r="R153" s="658"/>
      <c r="S153" s="658"/>
      <c r="T153" s="405"/>
      <c r="U153" s="405"/>
      <c r="V153" s="405"/>
      <c r="W153" s="405"/>
      <c r="X153" s="664"/>
      <c r="Z153" s="670"/>
      <c r="AA153" s="671"/>
      <c r="AB153" s="408"/>
      <c r="AC153" s="408"/>
      <c r="AD153" s="408"/>
      <c r="AE153" s="408"/>
      <c r="AF153" s="409"/>
      <c r="AG153" s="409"/>
      <c r="AH153" s="408"/>
      <c r="AI153" s="408"/>
      <c r="AJ153" s="657"/>
      <c r="AK153" s="657"/>
      <c r="AL153" s="657"/>
      <c r="AM153" s="657"/>
      <c r="AN153" s="657"/>
      <c r="AO153" s="657"/>
      <c r="AP153" s="657"/>
      <c r="AQ153" s="657"/>
      <c r="AR153" s="657"/>
      <c r="AS153" s="657"/>
      <c r="AT153" s="657"/>
      <c r="AU153" s="657"/>
      <c r="AV153" s="657"/>
      <c r="AW153" s="657"/>
      <c r="AX153" s="657"/>
      <c r="AY153" s="657"/>
      <c r="AZ153" s="657"/>
      <c r="BA153" s="657"/>
      <c r="BB153" s="657"/>
      <c r="BC153" s="657"/>
      <c r="BD153" s="657"/>
      <c r="BE153" s="657"/>
      <c r="BF153" s="657"/>
      <c r="BG153" s="657"/>
      <c r="BH153" s="657"/>
      <c r="BI153" s="657"/>
      <c r="BJ153" s="657"/>
      <c r="BK153" s="657"/>
      <c r="BL153" s="657"/>
      <c r="BM153" s="657"/>
      <c r="BN153" s="657"/>
    </row>
    <row r="154" s="3" customFormat="1" ht="26.25" customHeight="1" spans="1:70">
      <c r="A154" s="404"/>
      <c r="B154" s="1"/>
      <c r="C154" s="405"/>
      <c r="E154" s="1"/>
      <c r="F154" s="1"/>
      <c r="G154" s="3" t="s">
        <v>5877</v>
      </c>
      <c r="H154" s="648" t="s">
        <v>3401</v>
      </c>
      <c r="I154" s="657">
        <f>SUM(I4:I152)</f>
        <v>390792</v>
      </c>
      <c r="M154" s="658"/>
      <c r="N154" s="658"/>
      <c r="O154" s="405"/>
      <c r="P154" s="405"/>
      <c r="Q154" s="405"/>
      <c r="R154" s="658"/>
      <c r="S154" s="658"/>
      <c r="T154" s="405"/>
      <c r="U154" s="405"/>
      <c r="V154" s="405"/>
      <c r="W154" s="405"/>
      <c r="X154" s="406"/>
      <c r="Z154" s="670"/>
      <c r="AA154" s="671">
        <f>SUM(AA4:AA152)*7.75</f>
        <v>3574924.96155</v>
      </c>
      <c r="AB154" s="408"/>
      <c r="AC154" s="408"/>
      <c r="AD154" s="408"/>
      <c r="AE154" s="408"/>
      <c r="AF154" s="409"/>
      <c r="AG154" s="409"/>
      <c r="AH154" s="408"/>
      <c r="AI154" s="408"/>
      <c r="AJ154" s="678">
        <f>SUM(AJ4:AJ152)+AJ156</f>
        <v>878479</v>
      </c>
      <c r="AK154" s="678">
        <f t="shared" ref="AK154:BN154" si="68">SUM(AK4:AK152)+AK156</f>
        <v>21359</v>
      </c>
      <c r="AL154" s="678">
        <f t="shared" si="68"/>
        <v>565052</v>
      </c>
      <c r="AM154" s="678">
        <f t="shared" si="68"/>
        <v>149000</v>
      </c>
      <c r="AN154" s="678">
        <f t="shared" si="68"/>
        <v>42840</v>
      </c>
      <c r="AO154" s="678">
        <f t="shared" si="68"/>
        <v>21359</v>
      </c>
      <c r="AP154" s="678">
        <f t="shared" si="68"/>
        <v>756770</v>
      </c>
      <c r="AQ154" s="678">
        <f t="shared" si="68"/>
        <v>21359</v>
      </c>
      <c r="AR154" s="678">
        <f t="shared" si="68"/>
        <v>309625</v>
      </c>
      <c r="AS154" s="678">
        <f t="shared" si="68"/>
        <v>408055.295833333</v>
      </c>
      <c r="AT154" s="678">
        <f t="shared" si="68"/>
        <v>39089.7041666667</v>
      </c>
      <c r="AU154" s="678">
        <f t="shared" si="68"/>
        <v>107958.722916667</v>
      </c>
      <c r="AV154" s="678">
        <f t="shared" si="68"/>
        <v>2886</v>
      </c>
      <c r="AW154" s="678">
        <f t="shared" si="68"/>
        <v>21750</v>
      </c>
      <c r="AX154" s="678">
        <f t="shared" si="68"/>
        <v>8649</v>
      </c>
      <c r="AY154" s="678">
        <f t="shared" si="68"/>
        <v>1913</v>
      </c>
      <c r="AZ154" s="678">
        <f t="shared" si="68"/>
        <v>1643</v>
      </c>
      <c r="BA154" s="678">
        <f t="shared" si="68"/>
        <v>9203</v>
      </c>
      <c r="BB154" s="678">
        <f t="shared" si="68"/>
        <v>3419</v>
      </c>
      <c r="BC154" s="678">
        <f t="shared" si="68"/>
        <v>8357</v>
      </c>
      <c r="BD154" s="678">
        <f t="shared" si="68"/>
        <v>7240</v>
      </c>
      <c r="BE154" s="678">
        <f t="shared" si="68"/>
        <v>0</v>
      </c>
      <c r="BF154" s="678">
        <f t="shared" si="68"/>
        <v>0</v>
      </c>
      <c r="BG154" s="678">
        <f t="shared" si="68"/>
        <v>158</v>
      </c>
      <c r="BH154" s="678">
        <f t="shared" si="68"/>
        <v>158</v>
      </c>
      <c r="BI154" s="678">
        <f t="shared" si="68"/>
        <v>0</v>
      </c>
      <c r="BJ154" s="678">
        <f t="shared" si="68"/>
        <v>0</v>
      </c>
      <c r="BK154" s="678">
        <f t="shared" si="68"/>
        <v>467</v>
      </c>
      <c r="BL154" s="678">
        <f t="shared" si="68"/>
        <v>467</v>
      </c>
      <c r="BM154" s="678">
        <f t="shared" si="68"/>
        <v>21420</v>
      </c>
      <c r="BN154" s="678">
        <f t="shared" si="68"/>
        <v>21420</v>
      </c>
      <c r="BQ154" s="3">
        <f>'77773的生产MA'!O4</f>
        <v>878479</v>
      </c>
      <c r="BR154" s="3">
        <f>BQ154-BQ147</f>
        <v>100250</v>
      </c>
    </row>
    <row r="155" ht="17" customHeight="1" spans="3:49">
      <c r="C155" s="405"/>
      <c r="M155" s="658"/>
      <c r="N155" s="658"/>
      <c r="P155" s="405"/>
      <c r="Q155" s="405"/>
      <c r="R155" s="658"/>
      <c r="S155" s="658"/>
      <c r="Z155" s="670"/>
      <c r="AL155" s="405"/>
      <c r="AM155" s="679"/>
      <c r="AN155" s="405"/>
      <c r="AO155" s="405"/>
      <c r="AP155" s="405"/>
      <c r="AQ155" s="405"/>
      <c r="AR155" s="405"/>
      <c r="AS155" s="405"/>
      <c r="AT155" s="405"/>
      <c r="AU155" s="405"/>
      <c r="AV155" s="405"/>
      <c r="AW155" s="405"/>
    </row>
    <row r="156" ht="26.25" customHeight="1" spans="3:66">
      <c r="C156" s="405"/>
      <c r="F156" s="649" t="s">
        <v>4469</v>
      </c>
      <c r="M156" s="658"/>
      <c r="N156" s="658"/>
      <c r="P156" s="405"/>
      <c r="Q156" s="405"/>
      <c r="R156" s="658"/>
      <c r="S156" s="658"/>
      <c r="Z156" s="670"/>
      <c r="AI156" s="408" t="s">
        <v>6035</v>
      </c>
      <c r="AJ156" s="408">
        <v>485010</v>
      </c>
      <c r="AK156" s="408">
        <v>0</v>
      </c>
      <c r="AL156" s="408">
        <v>373261</v>
      </c>
      <c r="AM156" s="408">
        <v>74641</v>
      </c>
      <c r="AN156" s="408">
        <v>37008</v>
      </c>
      <c r="AO156" s="408">
        <v>0</v>
      </c>
      <c r="AP156" s="408">
        <v>484910</v>
      </c>
      <c r="AQ156" s="408">
        <v>0</v>
      </c>
      <c r="AR156" s="408">
        <v>309625</v>
      </c>
      <c r="AS156" s="408">
        <v>162765.9625</v>
      </c>
      <c r="AT156" s="408">
        <v>12519.0375</v>
      </c>
      <c r="AU156" s="408">
        <v>81879</v>
      </c>
      <c r="AV156" s="408">
        <v>2886</v>
      </c>
      <c r="AW156" s="408">
        <v>3250</v>
      </c>
      <c r="AX156" s="408">
        <v>5446</v>
      </c>
      <c r="AY156" s="408">
        <v>1325</v>
      </c>
      <c r="AZ156" s="408">
        <v>0</v>
      </c>
      <c r="BA156" s="408">
        <v>7113</v>
      </c>
      <c r="BB156" s="408">
        <v>970</v>
      </c>
      <c r="BC156" s="408">
        <v>5477</v>
      </c>
      <c r="BD156" s="408">
        <v>7240</v>
      </c>
      <c r="BE156" s="408">
        <v>0</v>
      </c>
      <c r="BF156" s="408">
        <v>0</v>
      </c>
      <c r="BG156" s="408">
        <v>150</v>
      </c>
      <c r="BH156" s="408">
        <v>150</v>
      </c>
      <c r="BI156" s="408">
        <v>0</v>
      </c>
      <c r="BJ156" s="408">
        <v>0</v>
      </c>
      <c r="BK156" s="408">
        <v>384</v>
      </c>
      <c r="BL156" s="408">
        <v>384</v>
      </c>
      <c r="BM156" s="408">
        <v>18504</v>
      </c>
      <c r="BN156" s="408">
        <v>18504</v>
      </c>
    </row>
    <row r="157" ht="26.25" customHeight="1" spans="3:66">
      <c r="C157" s="405"/>
      <c r="F157" s="649"/>
      <c r="M157" s="658"/>
      <c r="N157" s="658"/>
      <c r="P157" s="405"/>
      <c r="Q157" s="405"/>
      <c r="R157" s="658"/>
      <c r="S157" s="658"/>
      <c r="Z157" s="670"/>
      <c r="AJ157" s="175">
        <f>SUM(AJ3:AJ152)</f>
        <v>393469</v>
      </c>
      <c r="AK157" s="175">
        <f t="shared" ref="AK157:BN157" si="69">SUM(AK3:AK152)</f>
        <v>21359</v>
      </c>
      <c r="AL157" s="175">
        <f t="shared" si="69"/>
        <v>191791</v>
      </c>
      <c r="AM157" s="175">
        <f t="shared" si="69"/>
        <v>74359</v>
      </c>
      <c r="AN157" s="175">
        <f t="shared" si="69"/>
        <v>5832</v>
      </c>
      <c r="AO157" s="175">
        <f t="shared" si="69"/>
        <v>21359</v>
      </c>
      <c r="AP157" s="175">
        <f t="shared" si="69"/>
        <v>271860</v>
      </c>
      <c r="AQ157" s="175">
        <f t="shared" si="69"/>
        <v>21359</v>
      </c>
      <c r="AR157" s="175">
        <f t="shared" si="69"/>
        <v>0</v>
      </c>
      <c r="AS157" s="175">
        <f t="shared" si="69"/>
        <v>245289.333333333</v>
      </c>
      <c r="AT157" s="175">
        <f t="shared" si="69"/>
        <v>26570.6666666667</v>
      </c>
      <c r="AU157" s="175">
        <f t="shared" si="69"/>
        <v>26079.7229166667</v>
      </c>
      <c r="AV157" s="175">
        <f t="shared" si="69"/>
        <v>0</v>
      </c>
      <c r="AW157" s="175">
        <f t="shared" si="69"/>
        <v>18500</v>
      </c>
      <c r="AX157" s="175">
        <f t="shared" si="69"/>
        <v>3203</v>
      </c>
      <c r="AY157" s="175">
        <f t="shared" si="69"/>
        <v>588</v>
      </c>
      <c r="AZ157" s="175">
        <f t="shared" si="69"/>
        <v>1643</v>
      </c>
      <c r="BA157" s="175">
        <f t="shared" si="69"/>
        <v>2090</v>
      </c>
      <c r="BB157" s="175">
        <f t="shared" si="69"/>
        <v>2449</v>
      </c>
      <c r="BC157" s="175">
        <f t="shared" si="69"/>
        <v>2880</v>
      </c>
      <c r="BD157" s="175">
        <f t="shared" si="69"/>
        <v>0</v>
      </c>
      <c r="BE157" s="175">
        <f t="shared" si="69"/>
        <v>0</v>
      </c>
      <c r="BF157" s="175">
        <f t="shared" si="69"/>
        <v>0</v>
      </c>
      <c r="BG157" s="175">
        <f t="shared" si="69"/>
        <v>8</v>
      </c>
      <c r="BH157" s="175">
        <f t="shared" si="69"/>
        <v>8</v>
      </c>
      <c r="BI157" s="175">
        <f t="shared" si="69"/>
        <v>0</v>
      </c>
      <c r="BJ157" s="175">
        <f t="shared" si="69"/>
        <v>0</v>
      </c>
      <c r="BK157" s="175">
        <f t="shared" si="69"/>
        <v>83</v>
      </c>
      <c r="BL157" s="175">
        <f t="shared" si="69"/>
        <v>83</v>
      </c>
      <c r="BM157" s="175">
        <f t="shared" si="69"/>
        <v>2916</v>
      </c>
      <c r="BN157" s="175">
        <f t="shared" si="69"/>
        <v>2916</v>
      </c>
    </row>
    <row r="158" ht="26.25" customHeight="1" spans="3:49">
      <c r="C158" s="405"/>
      <c r="M158" s="658"/>
      <c r="N158" s="658"/>
      <c r="P158" s="405"/>
      <c r="Q158" s="405"/>
      <c r="R158" s="658"/>
      <c r="S158" s="658"/>
      <c r="Z158" s="670"/>
      <c r="AL158" s="405"/>
      <c r="AM158" s="679"/>
      <c r="AN158" s="405"/>
      <c r="AO158" s="405"/>
      <c r="AP158" s="687"/>
      <c r="AQ158" s="687"/>
      <c r="AR158" s="657"/>
      <c r="AS158" s="405"/>
      <c r="AT158" s="405"/>
      <c r="AU158" s="405"/>
      <c r="AV158" s="405"/>
      <c r="AW158" s="405"/>
    </row>
    <row r="159" s="2" customFormat="1" ht="36" customHeight="1" spans="1:69">
      <c r="A159" s="11">
        <v>46026</v>
      </c>
      <c r="B159" s="26" t="s">
        <v>116</v>
      </c>
      <c r="C159" s="27" t="s">
        <v>117</v>
      </c>
      <c r="D159" s="14">
        <v>4500190566</v>
      </c>
      <c r="E159" s="29" t="s">
        <v>6036</v>
      </c>
      <c r="F159" s="14" t="s">
        <v>6037</v>
      </c>
      <c r="G159" s="16" t="s">
        <v>4988</v>
      </c>
      <c r="H159" s="17" t="s">
        <v>4989</v>
      </c>
      <c r="I159" s="659">
        <v>18075</v>
      </c>
      <c r="J159" s="85">
        <v>0</v>
      </c>
      <c r="K159" s="16">
        <v>25</v>
      </c>
      <c r="L159" s="210">
        <f>I159/K159</f>
        <v>723</v>
      </c>
      <c r="M159" s="86">
        <v>46087</v>
      </c>
      <c r="N159" s="86" t="s">
        <v>6038</v>
      </c>
      <c r="O159" s="87" t="s">
        <v>6039</v>
      </c>
      <c r="P159" s="87"/>
      <c r="Q159" s="87"/>
      <c r="R159" s="216">
        <v>46035</v>
      </c>
      <c r="S159" s="222" t="s">
        <v>123</v>
      </c>
      <c r="T159" s="87" t="s">
        <v>3351</v>
      </c>
      <c r="U159" s="87"/>
      <c r="V159" s="87"/>
      <c r="W159" s="87"/>
      <c r="X159" s="29" t="s">
        <v>6014</v>
      </c>
      <c r="Y159" s="138" t="s">
        <v>126</v>
      </c>
      <c r="Z159" s="111">
        <v>0.8549</v>
      </c>
      <c r="AA159" s="112">
        <f>Z159*I159</f>
        <v>15452.3175</v>
      </c>
      <c r="AB159" s="84"/>
      <c r="AC159" s="150" t="s">
        <v>4988</v>
      </c>
      <c r="AD159" s="224" t="s">
        <v>128</v>
      </c>
      <c r="AE159" s="224"/>
      <c r="AF159" s="16"/>
      <c r="AG159" s="16">
        <f>AF159-I159</f>
        <v>-18075</v>
      </c>
      <c r="AH159" s="16" t="s">
        <v>4335</v>
      </c>
      <c r="AI159" s="150"/>
      <c r="AJ159" s="152">
        <f>I159</f>
        <v>18075</v>
      </c>
      <c r="AK159" s="152"/>
      <c r="AL159" s="173">
        <f>I159</f>
        <v>18075</v>
      </c>
      <c r="AM159" s="84"/>
      <c r="AN159" s="84"/>
      <c r="AO159" s="84"/>
      <c r="AP159" s="210">
        <f>I159</f>
        <v>18075</v>
      </c>
      <c r="AQ159" s="210"/>
      <c r="AR159" s="84"/>
      <c r="AS159" s="210">
        <f>AP159-AT159</f>
        <v>16305.15625</v>
      </c>
      <c r="AT159" s="234">
        <f>I159*(1-(1/48))/10</f>
        <v>1769.84375</v>
      </c>
      <c r="AU159" s="173"/>
      <c r="AV159" s="178"/>
      <c r="AW159" s="178"/>
      <c r="AX159" s="184"/>
      <c r="AY159" s="180"/>
      <c r="AZ159" s="180"/>
      <c r="BA159" s="180">
        <f>I159/25</f>
        <v>723</v>
      </c>
      <c r="BB159" s="180"/>
      <c r="BC159" s="180"/>
      <c r="BD159" s="180"/>
      <c r="BE159" s="180"/>
      <c r="BF159" s="180"/>
      <c r="BG159" s="180"/>
      <c r="BH159" s="180"/>
      <c r="BI159" s="180"/>
      <c r="BJ159" s="180"/>
      <c r="BK159" s="180"/>
      <c r="BL159" s="180"/>
      <c r="BM159" s="180"/>
      <c r="BN159" s="180"/>
      <c r="BQ159" s="2">
        <f>AJ159+BQ109</f>
        <v>725307</v>
      </c>
    </row>
    <row r="160" s="2" customFormat="1" ht="36" customHeight="1" spans="1:69">
      <c r="A160" s="11">
        <v>46026</v>
      </c>
      <c r="B160" s="26" t="s">
        <v>116</v>
      </c>
      <c r="C160" s="27" t="s">
        <v>117</v>
      </c>
      <c r="D160" s="14">
        <v>4500190568</v>
      </c>
      <c r="E160" s="29" t="s">
        <v>6040</v>
      </c>
      <c r="F160" s="14" t="s">
        <v>6041</v>
      </c>
      <c r="G160" s="16" t="s">
        <v>4988</v>
      </c>
      <c r="H160" s="17" t="s">
        <v>4989</v>
      </c>
      <c r="I160" s="659">
        <v>24925</v>
      </c>
      <c r="J160" s="85">
        <v>0</v>
      </c>
      <c r="K160" s="16">
        <v>25</v>
      </c>
      <c r="L160" s="210">
        <f>I160/K160</f>
        <v>997</v>
      </c>
      <c r="M160" s="86">
        <v>46100</v>
      </c>
      <c r="N160" s="86" t="s">
        <v>6038</v>
      </c>
      <c r="O160" s="87" t="s">
        <v>6039</v>
      </c>
      <c r="P160" s="87"/>
      <c r="Q160" s="87"/>
      <c r="R160" s="216" t="s">
        <v>3332</v>
      </c>
      <c r="S160" s="222" t="s">
        <v>123</v>
      </c>
      <c r="T160" s="87" t="s">
        <v>3351</v>
      </c>
      <c r="U160" s="87"/>
      <c r="V160" s="87"/>
      <c r="W160" s="87"/>
      <c r="X160" s="29" t="s">
        <v>6014</v>
      </c>
      <c r="Y160" s="138" t="s">
        <v>126</v>
      </c>
      <c r="Z160" s="111">
        <v>0.8501</v>
      </c>
      <c r="AA160" s="112">
        <f>Z160*I160</f>
        <v>21188.7425</v>
      </c>
      <c r="AB160" s="84"/>
      <c r="AC160" s="150" t="s">
        <v>4988</v>
      </c>
      <c r="AD160" s="224" t="s">
        <v>128</v>
      </c>
      <c r="AE160" s="224"/>
      <c r="AF160" s="16"/>
      <c r="AG160" s="16">
        <f>AF160-I160</f>
        <v>-24925</v>
      </c>
      <c r="AH160" s="16"/>
      <c r="AI160" s="150"/>
      <c r="AJ160" s="152">
        <f>I160</f>
        <v>24925</v>
      </c>
      <c r="AK160" s="152"/>
      <c r="AL160" s="173">
        <f>I160</f>
        <v>24925</v>
      </c>
      <c r="AM160" s="84"/>
      <c r="AN160" s="84"/>
      <c r="AO160" s="162"/>
      <c r="AP160" s="210">
        <f>I160</f>
        <v>24925</v>
      </c>
      <c r="AQ160" s="173"/>
      <c r="AR160" s="84"/>
      <c r="AS160" s="210">
        <f>AP160-AT160</f>
        <v>22484.4270833333</v>
      </c>
      <c r="AT160" s="234">
        <f>I160*(1-(1/48))/10</f>
        <v>2440.57291666667</v>
      </c>
      <c r="AU160" s="178"/>
      <c r="AV160" s="178"/>
      <c r="AW160" s="178"/>
      <c r="AX160" s="184"/>
      <c r="AY160" s="180"/>
      <c r="AZ160" s="180"/>
      <c r="BA160" s="180">
        <f>I160/25</f>
        <v>997</v>
      </c>
      <c r="BB160" s="180"/>
      <c r="BC160" s="180"/>
      <c r="BD160" s="180"/>
      <c r="BE160" s="180"/>
      <c r="BF160" s="180"/>
      <c r="BG160" s="180"/>
      <c r="BH160" s="180"/>
      <c r="BI160" s="180"/>
      <c r="BJ160" s="180"/>
      <c r="BK160" s="180"/>
      <c r="BL160" s="180"/>
      <c r="BM160" s="180"/>
      <c r="BN160" s="180"/>
      <c r="BQ160" s="2">
        <f>AJ160+BQ116</f>
        <v>750681</v>
      </c>
    </row>
    <row r="161" ht="26.25" customHeight="1" spans="3:66">
      <c r="C161" s="405"/>
      <c r="M161" s="658"/>
      <c r="N161" s="658"/>
      <c r="P161" s="405"/>
      <c r="Q161" s="405"/>
      <c r="R161" s="658"/>
      <c r="S161" s="658"/>
      <c r="Z161" s="670"/>
      <c r="AI161" s="680" t="s">
        <v>4380</v>
      </c>
      <c r="AJ161" s="408">
        <f>SUM(AJ3:AJ106)+AJ156</f>
        <v>709764</v>
      </c>
      <c r="AL161" s="408"/>
      <c r="AM161" s="408"/>
      <c r="AN161" s="408"/>
      <c r="AO161" s="408"/>
      <c r="AP161" s="408"/>
      <c r="AQ161" s="408"/>
      <c r="AR161" s="408"/>
      <c r="AS161" s="408"/>
      <c r="AT161" s="408"/>
      <c r="AU161" s="408"/>
      <c r="AV161" s="408"/>
      <c r="AW161" s="408"/>
      <c r="AX161" s="408"/>
      <c r="AY161" s="408"/>
      <c r="AZ161" s="408"/>
      <c r="BA161" s="408"/>
      <c r="BB161" s="408"/>
      <c r="BC161" s="408"/>
      <c r="BD161" s="408"/>
      <c r="BE161" s="408"/>
      <c r="BF161" s="408"/>
      <c r="BG161" s="408"/>
      <c r="BH161" s="408"/>
      <c r="BI161" s="408"/>
      <c r="BJ161" s="408"/>
      <c r="BK161" s="408"/>
      <c r="BL161" s="408"/>
      <c r="BM161" s="408"/>
      <c r="BN161" s="408"/>
    </row>
    <row r="162" ht="26.25" customHeight="1" spans="3:49">
      <c r="C162" s="405"/>
      <c r="M162" s="658"/>
      <c r="N162" s="658"/>
      <c r="P162" s="405"/>
      <c r="Q162" s="405"/>
      <c r="R162" s="658"/>
      <c r="S162" s="658"/>
      <c r="Z162" s="670"/>
      <c r="AL162" s="405"/>
      <c r="AM162" s="679"/>
      <c r="AN162" s="405"/>
      <c r="AO162" s="405"/>
      <c r="AP162" s="405"/>
      <c r="AQ162" s="405"/>
      <c r="AR162" s="405"/>
      <c r="AS162" s="405"/>
      <c r="AT162" s="405"/>
      <c r="AU162" s="405"/>
      <c r="AV162" s="405"/>
      <c r="AW162" s="405"/>
    </row>
    <row r="163" ht="26.25" customHeight="1" spans="3:49">
      <c r="C163" s="405"/>
      <c r="M163" s="658"/>
      <c r="N163" s="658"/>
      <c r="P163" s="405"/>
      <c r="Q163" s="405"/>
      <c r="R163" s="658"/>
      <c r="S163" s="658"/>
      <c r="Z163" s="670"/>
      <c r="AL163" s="405"/>
      <c r="AM163" s="679"/>
      <c r="AN163" s="405"/>
      <c r="AO163" s="405"/>
      <c r="AP163" s="405"/>
      <c r="AQ163" s="405"/>
      <c r="AR163" s="405"/>
      <c r="AS163" s="405"/>
      <c r="AT163" s="405"/>
      <c r="AU163" s="405"/>
      <c r="AV163" s="405"/>
      <c r="AW163" s="405"/>
    </row>
    <row r="164" ht="26.25" customHeight="1" spans="3:49">
      <c r="C164" s="405"/>
      <c r="M164" s="658"/>
      <c r="N164" s="658"/>
      <c r="P164" s="405"/>
      <c r="Q164" s="405"/>
      <c r="R164" s="658"/>
      <c r="S164" s="658"/>
      <c r="Z164" s="670"/>
      <c r="AL164" s="405"/>
      <c r="AM164" s="679"/>
      <c r="AN164" s="405"/>
      <c r="AO164" s="405"/>
      <c r="AP164" s="405"/>
      <c r="AQ164" s="405"/>
      <c r="AR164" s="405"/>
      <c r="AS164" s="405"/>
      <c r="AT164" s="405"/>
      <c r="AU164" s="405"/>
      <c r="AV164" s="405"/>
      <c r="AW164" s="405"/>
    </row>
    <row r="165" ht="26.25" customHeight="1" spans="3:49">
      <c r="C165" s="405"/>
      <c r="M165" s="658"/>
      <c r="N165" s="658"/>
      <c r="P165" s="405"/>
      <c r="Q165" s="405"/>
      <c r="R165" s="658"/>
      <c r="S165" s="658"/>
      <c r="Z165" s="670"/>
      <c r="AL165" s="405"/>
      <c r="AM165" s="679"/>
      <c r="AN165" s="405"/>
      <c r="AO165" s="405"/>
      <c r="AP165" s="405"/>
      <c r="AQ165" s="405"/>
      <c r="AR165" s="405"/>
      <c r="AS165" s="405"/>
      <c r="AT165" s="405"/>
      <c r="AU165" s="405"/>
      <c r="AV165" s="405"/>
      <c r="AW165" s="405"/>
    </row>
    <row r="166" ht="26.25" customHeight="1" spans="3:49">
      <c r="C166" s="405"/>
      <c r="M166" s="658"/>
      <c r="N166" s="658" t="s">
        <v>5879</v>
      </c>
      <c r="P166" s="405"/>
      <c r="Q166" s="405"/>
      <c r="R166" s="658"/>
      <c r="S166" s="658"/>
      <c r="Z166" s="670"/>
      <c r="AL166" s="405"/>
      <c r="AM166" s="679"/>
      <c r="AN166" s="405"/>
      <c r="AO166" s="405"/>
      <c r="AP166" s="405"/>
      <c r="AQ166" s="405"/>
      <c r="AR166" s="405"/>
      <c r="AS166" s="405"/>
      <c r="AT166" s="405"/>
      <c r="AU166" s="405"/>
      <c r="AV166" s="405"/>
      <c r="AW166" s="405"/>
    </row>
    <row r="167" ht="26.25" customHeight="1" spans="3:49">
      <c r="C167" s="405"/>
      <c r="M167" s="658"/>
      <c r="N167" s="658"/>
      <c r="P167" s="405"/>
      <c r="Q167" s="405"/>
      <c r="R167" s="658"/>
      <c r="S167" s="658"/>
      <c r="Z167" s="670"/>
      <c r="AL167" s="405"/>
      <c r="AM167" s="679"/>
      <c r="AN167" s="405"/>
      <c r="AO167" s="405"/>
      <c r="AP167" s="405"/>
      <c r="AQ167" s="405"/>
      <c r="AR167" s="405"/>
      <c r="AS167" s="405"/>
      <c r="AT167" s="405"/>
      <c r="AU167" s="405"/>
      <c r="AV167" s="405"/>
      <c r="AW167" s="405"/>
    </row>
    <row r="168" ht="26.25" customHeight="1" spans="3:49">
      <c r="C168" s="405"/>
      <c r="M168" s="658"/>
      <c r="N168" s="658"/>
      <c r="P168" s="405"/>
      <c r="Q168" s="405"/>
      <c r="R168" s="658"/>
      <c r="S168" s="658"/>
      <c r="Z168" s="670"/>
      <c r="AL168" s="405"/>
      <c r="AM168" s="679"/>
      <c r="AN168" s="405"/>
      <c r="AO168" s="405"/>
      <c r="AP168" s="405"/>
      <c r="AQ168" s="405"/>
      <c r="AR168" s="405"/>
      <c r="AS168" s="405"/>
      <c r="AT168" s="405"/>
      <c r="AU168" s="405"/>
      <c r="AV168" s="405"/>
      <c r="AW168" s="405"/>
    </row>
    <row r="169" ht="26.25" customHeight="1" spans="3:49">
      <c r="C169" s="405"/>
      <c r="M169" s="658"/>
      <c r="N169" s="658"/>
      <c r="P169" s="405"/>
      <c r="Q169" s="405"/>
      <c r="R169" s="658"/>
      <c r="S169" s="658"/>
      <c r="Z169" s="670"/>
      <c r="AL169" s="405"/>
      <c r="AM169" s="679"/>
      <c r="AN169" s="405"/>
      <c r="AO169" s="405"/>
      <c r="AP169" s="405"/>
      <c r="AQ169" s="405"/>
      <c r="AR169" s="405"/>
      <c r="AS169" s="405"/>
      <c r="AT169" s="405"/>
      <c r="AU169" s="405"/>
      <c r="AV169" s="405"/>
      <c r="AW169" s="405"/>
    </row>
    <row r="170" ht="26.25" customHeight="1" spans="3:49">
      <c r="C170" s="405"/>
      <c r="M170" s="658"/>
      <c r="N170" s="658"/>
      <c r="P170" s="405"/>
      <c r="Q170" s="405"/>
      <c r="R170" s="658"/>
      <c r="S170" s="658"/>
      <c r="Z170" s="670"/>
      <c r="AL170" s="405"/>
      <c r="AM170" s="679"/>
      <c r="AN170" s="405"/>
      <c r="AO170" s="405"/>
      <c r="AP170" s="405"/>
      <c r="AQ170" s="405"/>
      <c r="AR170" s="405"/>
      <c r="AS170" s="405"/>
      <c r="AT170" s="405"/>
      <c r="AU170" s="405"/>
      <c r="AV170" s="405"/>
      <c r="AW170" s="405"/>
    </row>
    <row r="171" ht="26.25" customHeight="1" spans="3:49">
      <c r="C171" s="405"/>
      <c r="M171" s="658"/>
      <c r="N171" s="658"/>
      <c r="P171" s="405"/>
      <c r="Q171" s="405"/>
      <c r="R171" s="658"/>
      <c r="S171" s="658"/>
      <c r="Z171" s="670"/>
      <c r="AL171" s="405"/>
      <c r="AM171" s="679"/>
      <c r="AN171" s="405"/>
      <c r="AO171" s="405"/>
      <c r="AP171" s="405"/>
      <c r="AQ171" s="405"/>
      <c r="AR171" s="405"/>
      <c r="AS171" s="405"/>
      <c r="AT171" s="405"/>
      <c r="AU171" s="405"/>
      <c r="AV171" s="405"/>
      <c r="AW171" s="405"/>
    </row>
    <row r="172" ht="26.25" customHeight="1" spans="3:49">
      <c r="C172" s="405"/>
      <c r="M172" s="658"/>
      <c r="N172" s="658"/>
      <c r="P172" s="405"/>
      <c r="Q172" s="405"/>
      <c r="R172" s="658"/>
      <c r="S172" s="658"/>
      <c r="Z172" s="670"/>
      <c r="AL172" s="405"/>
      <c r="AM172" s="679"/>
      <c r="AN172" s="405"/>
      <c r="AO172" s="405"/>
      <c r="AP172" s="405"/>
      <c r="AQ172" s="405"/>
      <c r="AR172" s="405"/>
      <c r="AS172" s="405"/>
      <c r="AT172" s="405"/>
      <c r="AU172" s="405"/>
      <c r="AV172" s="405"/>
      <c r="AW172" s="405"/>
    </row>
    <row r="173" ht="26.25" customHeight="1" spans="3:49">
      <c r="C173" s="405"/>
      <c r="M173" s="658"/>
      <c r="N173" s="658"/>
      <c r="P173" s="405"/>
      <c r="Q173" s="405"/>
      <c r="R173" s="658"/>
      <c r="S173" s="658"/>
      <c r="Z173" s="670"/>
      <c r="AL173" s="405"/>
      <c r="AM173" s="679"/>
      <c r="AN173" s="405"/>
      <c r="AO173" s="405"/>
      <c r="AP173" s="405"/>
      <c r="AQ173" s="405"/>
      <c r="AR173" s="405"/>
      <c r="AS173" s="405"/>
      <c r="AT173" s="405"/>
      <c r="AU173" s="405"/>
      <c r="AV173" s="405"/>
      <c r="AW173" s="405"/>
    </row>
    <row r="174" ht="26.25" customHeight="1" spans="3:49">
      <c r="C174" s="405"/>
      <c r="M174" s="658"/>
      <c r="N174" s="658"/>
      <c r="P174" s="405"/>
      <c r="Q174" s="405"/>
      <c r="R174" s="658"/>
      <c r="S174" s="658"/>
      <c r="Z174" s="670"/>
      <c r="AL174" s="405"/>
      <c r="AM174" s="679"/>
      <c r="AN174" s="405"/>
      <c r="AO174" s="405"/>
      <c r="AP174" s="405"/>
      <c r="AQ174" s="405"/>
      <c r="AR174" s="405"/>
      <c r="AS174" s="405"/>
      <c r="AT174" s="405"/>
      <c r="AU174" s="405"/>
      <c r="AV174" s="405"/>
      <c r="AW174" s="405"/>
    </row>
    <row r="175" ht="26.25" customHeight="1" spans="3:49">
      <c r="C175" s="405"/>
      <c r="M175" s="658"/>
      <c r="N175" s="658"/>
      <c r="P175" s="405"/>
      <c r="Q175" s="405"/>
      <c r="R175" s="658"/>
      <c r="S175" s="658"/>
      <c r="Z175" s="670"/>
      <c r="AL175" s="405"/>
      <c r="AM175" s="679"/>
      <c r="AN175" s="405"/>
      <c r="AO175" s="405"/>
      <c r="AP175" s="405"/>
      <c r="AQ175" s="405"/>
      <c r="AR175" s="405"/>
      <c r="AS175" s="405"/>
      <c r="AT175" s="405"/>
      <c r="AU175" s="405"/>
      <c r="AV175" s="405"/>
      <c r="AW175" s="405"/>
    </row>
    <row r="176" ht="26.25" customHeight="1" spans="3:49">
      <c r="C176" s="405"/>
      <c r="M176" s="658"/>
      <c r="N176" s="658"/>
      <c r="P176" s="405"/>
      <c r="Q176" s="405"/>
      <c r="R176" s="658"/>
      <c r="S176" s="658"/>
      <c r="Z176" s="670"/>
      <c r="AL176" s="405"/>
      <c r="AM176" s="679"/>
      <c r="AN176" s="405"/>
      <c r="AO176" s="405"/>
      <c r="AP176" s="405"/>
      <c r="AQ176" s="405"/>
      <c r="AR176" s="405"/>
      <c r="AS176" s="405"/>
      <c r="AT176" s="405"/>
      <c r="AU176" s="405"/>
      <c r="AV176" s="405"/>
      <c r="AW176" s="405"/>
    </row>
    <row r="177" ht="26.25" customHeight="1" spans="3:49">
      <c r="C177" s="405"/>
      <c r="M177" s="658"/>
      <c r="N177" s="658"/>
      <c r="P177" s="405"/>
      <c r="Q177" s="405"/>
      <c r="R177" s="658"/>
      <c r="S177" s="658"/>
      <c r="Z177" s="670"/>
      <c r="AL177" s="405"/>
      <c r="AM177" s="679"/>
      <c r="AN177" s="405"/>
      <c r="AO177" s="405"/>
      <c r="AP177" s="405"/>
      <c r="AQ177" s="405"/>
      <c r="AR177" s="405"/>
      <c r="AS177" s="405"/>
      <c r="AT177" s="405"/>
      <c r="AU177" s="405"/>
      <c r="AV177" s="405"/>
      <c r="AW177" s="405"/>
    </row>
    <row r="178" ht="26.25" customHeight="1" spans="3:49">
      <c r="C178" s="405"/>
      <c r="M178" s="658"/>
      <c r="N178" s="658"/>
      <c r="P178" s="405"/>
      <c r="Q178" s="405"/>
      <c r="R178" s="658"/>
      <c r="S178" s="658"/>
      <c r="Z178" s="670"/>
      <c r="AL178" s="405"/>
      <c r="AM178" s="679"/>
      <c r="AN178" s="405"/>
      <c r="AO178" s="405"/>
      <c r="AP178" s="405"/>
      <c r="AQ178" s="405"/>
      <c r="AR178" s="405"/>
      <c r="AS178" s="405"/>
      <c r="AT178" s="405"/>
      <c r="AU178" s="405"/>
      <c r="AV178" s="405"/>
      <c r="AW178" s="405"/>
    </row>
    <row r="179" ht="26.25" customHeight="1" spans="3:49">
      <c r="C179" s="405"/>
      <c r="M179" s="658"/>
      <c r="N179" s="658"/>
      <c r="P179" s="405"/>
      <c r="Q179" s="405"/>
      <c r="R179" s="658"/>
      <c r="S179" s="658"/>
      <c r="AL179" s="405"/>
      <c r="AM179" s="679"/>
      <c r="AN179" s="405"/>
      <c r="AO179" s="405"/>
      <c r="AP179" s="405"/>
      <c r="AQ179" s="405"/>
      <c r="AR179" s="405"/>
      <c r="AS179" s="405"/>
      <c r="AT179" s="405"/>
      <c r="AU179" s="405"/>
      <c r="AV179" s="405"/>
      <c r="AW179" s="405"/>
    </row>
    <row r="180" ht="26.25" customHeight="1" spans="3:49">
      <c r="C180" s="405"/>
      <c r="M180" s="658"/>
      <c r="N180" s="658"/>
      <c r="P180" s="405"/>
      <c r="Q180" s="405"/>
      <c r="R180" s="658"/>
      <c r="S180" s="658"/>
      <c r="AL180" s="405"/>
      <c r="AM180" s="679"/>
      <c r="AN180" s="405"/>
      <c r="AO180" s="405"/>
      <c r="AP180" s="405"/>
      <c r="AQ180" s="405"/>
      <c r="AR180" s="405"/>
      <c r="AS180" s="405"/>
      <c r="AT180" s="405"/>
      <c r="AU180" s="405"/>
      <c r="AV180" s="405"/>
      <c r="AW180" s="405"/>
    </row>
    <row r="181" ht="26.25" customHeight="1" spans="3:49">
      <c r="C181" s="405"/>
      <c r="M181" s="658"/>
      <c r="N181" s="658"/>
      <c r="P181" s="405"/>
      <c r="Q181" s="405"/>
      <c r="R181" s="658"/>
      <c r="S181" s="658"/>
      <c r="AL181" s="405"/>
      <c r="AM181" s="679"/>
      <c r="AN181" s="405"/>
      <c r="AO181" s="405"/>
      <c r="AP181" s="405"/>
      <c r="AQ181" s="405"/>
      <c r="AR181" s="405"/>
      <c r="AS181" s="405"/>
      <c r="AT181" s="405"/>
      <c r="AU181" s="405"/>
      <c r="AV181" s="405"/>
      <c r="AW181" s="405"/>
    </row>
    <row r="182" ht="26.25" customHeight="1" spans="3:17">
      <c r="C182" s="405"/>
      <c r="M182" s="658"/>
      <c r="N182" s="658"/>
      <c r="P182" s="405"/>
      <c r="Q182" s="405"/>
    </row>
    <row r="183" ht="26.25" customHeight="1" spans="3:17">
      <c r="C183" s="405"/>
      <c r="M183" s="658"/>
      <c r="N183" s="658"/>
      <c r="P183" s="405"/>
      <c r="Q183" s="405"/>
    </row>
    <row r="184" ht="26.25" customHeight="1" spans="3:17">
      <c r="C184" s="405"/>
      <c r="M184" s="658"/>
      <c r="N184" s="658"/>
      <c r="P184" s="405"/>
      <c r="Q184" s="405"/>
    </row>
    <row r="185" ht="26.25" customHeight="1" spans="3:17">
      <c r="C185" s="405"/>
      <c r="M185" s="658"/>
      <c r="N185" s="658"/>
      <c r="P185" s="405"/>
      <c r="Q185" s="405"/>
    </row>
    <row r="186" ht="26.25" customHeight="1" spans="3:17">
      <c r="C186" s="405"/>
      <c r="M186" s="658"/>
      <c r="N186" s="658"/>
      <c r="P186" s="405"/>
      <c r="Q186" s="405"/>
    </row>
    <row r="187" ht="26.25" customHeight="1" spans="3:17">
      <c r="C187" s="405"/>
      <c r="M187" s="658"/>
      <c r="N187" s="658"/>
      <c r="P187" s="405"/>
      <c r="Q187" s="405"/>
    </row>
    <row r="188" ht="26.25" customHeight="1" spans="3:17">
      <c r="C188" s="405"/>
      <c r="M188" s="658"/>
      <c r="N188" s="658"/>
      <c r="P188" s="405"/>
      <c r="Q188" s="405"/>
    </row>
    <row r="189" ht="26.25" customHeight="1" spans="3:17">
      <c r="C189" s="405"/>
      <c r="M189" s="658"/>
      <c r="N189" s="658"/>
      <c r="P189" s="405"/>
      <c r="Q189" s="405"/>
    </row>
    <row r="190" ht="26.25" customHeight="1" spans="3:17">
      <c r="C190" s="405"/>
      <c r="M190" s="658"/>
      <c r="N190" s="658"/>
      <c r="P190" s="405"/>
      <c r="Q190" s="405"/>
    </row>
    <row r="191" ht="26.25" customHeight="1" spans="3:17">
      <c r="C191" s="405"/>
      <c r="M191" s="658"/>
      <c r="N191" s="658"/>
      <c r="P191" s="405"/>
      <c r="Q191" s="405"/>
    </row>
    <row r="192" ht="26.25" customHeight="1" spans="3:17">
      <c r="C192" s="405"/>
      <c r="M192" s="658"/>
      <c r="N192" s="658"/>
      <c r="P192" s="405"/>
      <c r="Q192" s="405"/>
    </row>
    <row r="193" ht="26.25" customHeight="1" spans="3:17">
      <c r="C193" s="405"/>
      <c r="M193" s="658"/>
      <c r="N193" s="658"/>
      <c r="P193" s="405"/>
      <c r="Q193" s="405"/>
    </row>
    <row r="194" ht="26.25" customHeight="1" spans="14:16">
      <c r="N194" s="658"/>
      <c r="P194" s="405"/>
    </row>
    <row r="195" ht="26.25" customHeight="1" spans="14:16">
      <c r="N195" s="658"/>
      <c r="P195" s="405"/>
    </row>
    <row r="196" ht="26.25" customHeight="1" spans="14:16">
      <c r="N196" s="658"/>
      <c r="P196" s="405"/>
    </row>
    <row r="197" ht="26.25" customHeight="1" spans="14:16">
      <c r="N197" s="658"/>
      <c r="P197" s="405"/>
    </row>
    <row r="198" ht="26.25" customHeight="1" spans="14:16">
      <c r="N198" s="658"/>
      <c r="P198" s="405"/>
    </row>
    <row r="199" ht="26.25" customHeight="1" spans="14:16">
      <c r="N199" s="658"/>
      <c r="P199" s="405"/>
    </row>
    <row r="200" ht="26.25" customHeight="1" spans="14:16">
      <c r="N200" s="658"/>
      <c r="P200" s="405"/>
    </row>
    <row r="201" ht="26.25" customHeight="1" spans="14:16">
      <c r="N201" s="658"/>
      <c r="P201" s="405"/>
    </row>
    <row r="202" ht="26.25" customHeight="1" spans="14:16">
      <c r="N202" s="658"/>
      <c r="P202" s="405"/>
    </row>
    <row r="203" ht="26.25" customHeight="1" spans="14:16">
      <c r="N203" s="658"/>
      <c r="P203" s="405"/>
    </row>
    <row r="204" ht="26.25" customHeight="1" spans="14:16">
      <c r="N204" s="658"/>
      <c r="P204" s="405"/>
    </row>
    <row r="205" ht="26.25" customHeight="1" spans="14:16">
      <c r="N205" s="658"/>
      <c r="P205" s="405"/>
    </row>
    <row r="206" ht="26.25" customHeight="1" spans="14:16">
      <c r="N206" s="658"/>
      <c r="P206" s="405"/>
    </row>
    <row r="207" ht="26.25" customHeight="1" spans="14:16">
      <c r="N207" s="658"/>
      <c r="P207" s="405"/>
    </row>
    <row r="208" ht="26.25" customHeight="1" spans="14:16">
      <c r="N208" s="658"/>
      <c r="P208" s="405"/>
    </row>
    <row r="209" ht="26.25" customHeight="1" spans="14:16">
      <c r="N209" s="658"/>
      <c r="P209" s="405"/>
    </row>
    <row r="210" ht="26.25" customHeight="1" spans="14:16">
      <c r="N210" s="658"/>
      <c r="P210" s="405"/>
    </row>
    <row r="211" ht="26.25" customHeight="1" spans="14:16">
      <c r="N211" s="658"/>
      <c r="P211" s="405"/>
    </row>
    <row r="212" ht="26.25" customHeight="1" spans="14:16">
      <c r="N212" s="658"/>
      <c r="P212" s="405"/>
    </row>
    <row r="213" ht="26.25" customHeight="1" spans="14:16">
      <c r="N213" s="658"/>
      <c r="P213" s="405"/>
    </row>
    <row r="214" ht="26.25" customHeight="1" spans="14:16">
      <c r="N214" s="658"/>
      <c r="P214" s="405"/>
    </row>
    <row r="215" ht="26.25" customHeight="1" spans="14:16">
      <c r="N215" s="658"/>
      <c r="P215" s="405"/>
    </row>
    <row r="216" ht="26.25" customHeight="1" spans="14:16">
      <c r="N216" s="658"/>
      <c r="P216" s="405"/>
    </row>
    <row r="217" ht="26.25" customHeight="1" spans="14:16">
      <c r="N217" s="658"/>
      <c r="P217" s="405"/>
    </row>
    <row r="218" ht="26.25" customHeight="1" spans="14:16">
      <c r="N218" s="658"/>
      <c r="P218" s="405"/>
    </row>
    <row r="219" ht="26.25" customHeight="1" spans="14:16">
      <c r="N219" s="658"/>
      <c r="P219" s="405"/>
    </row>
    <row r="220" ht="26.25" customHeight="1" spans="14:16">
      <c r="N220" s="658"/>
      <c r="P220" s="405"/>
    </row>
    <row r="221" ht="26.25" customHeight="1" spans="14:16">
      <c r="N221" s="658"/>
      <c r="P221" s="405"/>
    </row>
    <row r="222" ht="26.25" customHeight="1" spans="14:16">
      <c r="N222" s="658"/>
      <c r="P222" s="405"/>
    </row>
    <row r="223" ht="26.25" customHeight="1" spans="14:16">
      <c r="N223" s="658"/>
      <c r="P223" s="405"/>
    </row>
    <row r="224" ht="26.25" customHeight="1" spans="14:16">
      <c r="N224" s="658"/>
      <c r="P224" s="405"/>
    </row>
    <row r="225" ht="26.25" customHeight="1" spans="14:16">
      <c r="N225" s="658"/>
      <c r="P225" s="405"/>
    </row>
    <row r="226" ht="26.25" customHeight="1" spans="14:16">
      <c r="N226" s="658"/>
      <c r="P226" s="405"/>
    </row>
    <row r="227" ht="26.25" customHeight="1" spans="14:16">
      <c r="N227" s="658"/>
      <c r="P227" s="405"/>
    </row>
    <row r="228" ht="26.25" customHeight="1" spans="14:16">
      <c r="N228" s="658"/>
      <c r="P228" s="405"/>
    </row>
    <row r="229" ht="26.25" customHeight="1" spans="14:16">
      <c r="N229" s="658"/>
      <c r="P229" s="405"/>
    </row>
    <row r="230" ht="26.25" customHeight="1" spans="14:16">
      <c r="N230" s="658"/>
      <c r="P230" s="405"/>
    </row>
    <row r="231" ht="26.25" customHeight="1" spans="14:16">
      <c r="N231" s="658"/>
      <c r="P231" s="405"/>
    </row>
    <row r="232" ht="26.25" customHeight="1" spans="14:16">
      <c r="N232" s="658"/>
      <c r="P232" s="405"/>
    </row>
    <row r="233" ht="26.25" customHeight="1" spans="14:16">
      <c r="N233" s="658"/>
      <c r="P233" s="405"/>
    </row>
    <row r="234" ht="26.25" customHeight="1" spans="14:16">
      <c r="N234" s="658"/>
      <c r="P234" s="405"/>
    </row>
    <row r="235" ht="26.25" customHeight="1" spans="14:16">
      <c r="N235" s="658"/>
      <c r="P235" s="405"/>
    </row>
    <row r="236" ht="26.25" customHeight="1" spans="14:16">
      <c r="N236" s="658"/>
      <c r="P236" s="405"/>
    </row>
    <row r="237" ht="26.25" customHeight="1" spans="14:16">
      <c r="N237" s="658"/>
      <c r="P237" s="405"/>
    </row>
    <row r="238" ht="26.25" customHeight="1" spans="14:16">
      <c r="N238" s="658"/>
      <c r="P238" s="405"/>
    </row>
    <row r="239" ht="26.25" customHeight="1" spans="14:16">
      <c r="N239" s="658"/>
      <c r="P239" s="405"/>
    </row>
    <row r="240" ht="26.25" customHeight="1" spans="14:16">
      <c r="N240" s="658"/>
      <c r="P240" s="405"/>
    </row>
    <row r="241" ht="26.25" customHeight="1" spans="14:16">
      <c r="N241" s="658"/>
      <c r="P241" s="405"/>
    </row>
    <row r="242" ht="26.25" customHeight="1" spans="14:16">
      <c r="N242" s="658"/>
      <c r="P242" s="405"/>
    </row>
    <row r="243" ht="26.25" customHeight="1" spans="14:16">
      <c r="N243" s="658"/>
      <c r="P243" s="405"/>
    </row>
    <row r="244" ht="26.25" customHeight="1" spans="14:16">
      <c r="N244" s="658"/>
      <c r="P244" s="405"/>
    </row>
    <row r="245" ht="26.25" customHeight="1" spans="14:16">
      <c r="N245" s="658"/>
      <c r="P245" s="405"/>
    </row>
    <row r="246" ht="26.25" customHeight="1" spans="14:16">
      <c r="N246" s="658"/>
      <c r="P246" s="405"/>
    </row>
    <row r="247" ht="26.25" customHeight="1" spans="14:16">
      <c r="N247" s="658"/>
      <c r="P247" s="405"/>
    </row>
    <row r="248" ht="26.25" customHeight="1" spans="14:16">
      <c r="N248" s="658"/>
      <c r="P248" s="405"/>
    </row>
    <row r="249" ht="26.25" customHeight="1" spans="14:16">
      <c r="N249" s="658"/>
      <c r="P249" s="405"/>
    </row>
    <row r="250" ht="26.25" customHeight="1" spans="14:16">
      <c r="N250" s="658"/>
      <c r="P250" s="405"/>
    </row>
    <row r="251" ht="26.25" customHeight="1" spans="14:16">
      <c r="N251" s="658"/>
      <c r="P251" s="405"/>
    </row>
    <row r="252" ht="26.25" customHeight="1" spans="14:16">
      <c r="N252" s="658"/>
      <c r="P252" s="405"/>
    </row>
    <row r="253" ht="26.25" customHeight="1" spans="14:16">
      <c r="N253" s="658"/>
      <c r="P253" s="405"/>
    </row>
    <row r="254" ht="26.25" customHeight="1" spans="14:16">
      <c r="N254" s="658"/>
      <c r="P254" s="405"/>
    </row>
    <row r="255" ht="26.25" customHeight="1" spans="14:16">
      <c r="N255" s="658"/>
      <c r="P255" s="405"/>
    </row>
    <row r="256" ht="26.25" customHeight="1" spans="14:16">
      <c r="N256" s="658"/>
      <c r="P256" s="405"/>
    </row>
    <row r="257" ht="26.25" customHeight="1" spans="14:16">
      <c r="N257" s="658"/>
      <c r="P257" s="405"/>
    </row>
    <row r="258" ht="26.25" customHeight="1" spans="14:16">
      <c r="N258" s="658"/>
      <c r="P258" s="405"/>
    </row>
    <row r="259" ht="26.25" customHeight="1" spans="14:16">
      <c r="N259" s="658"/>
      <c r="P259" s="405"/>
    </row>
    <row r="260" ht="26.25" customHeight="1" spans="14:16">
      <c r="N260" s="658"/>
      <c r="P260" s="405"/>
    </row>
    <row r="261" ht="26.25" customHeight="1" spans="14:16">
      <c r="N261" s="658"/>
      <c r="P261" s="405"/>
    </row>
    <row r="262" ht="26.25" customHeight="1" spans="14:16">
      <c r="N262" s="658"/>
      <c r="P262" s="405"/>
    </row>
    <row r="263" ht="26.25" customHeight="1" spans="14:16">
      <c r="N263" s="658"/>
      <c r="P263" s="405"/>
    </row>
    <row r="264" ht="26.25" customHeight="1" spans="14:16">
      <c r="N264" s="658"/>
      <c r="P264" s="405"/>
    </row>
    <row r="265" ht="26.25" customHeight="1" spans="14:16">
      <c r="N265" s="658"/>
      <c r="P265" s="405"/>
    </row>
    <row r="266" ht="26.25" customHeight="1" spans="14:16">
      <c r="N266" s="658"/>
      <c r="P266" s="405"/>
    </row>
    <row r="267" ht="26.25" customHeight="1" spans="14:16">
      <c r="N267" s="658"/>
      <c r="P267" s="405"/>
    </row>
    <row r="268" ht="26.25" customHeight="1" spans="14:16">
      <c r="N268" s="658"/>
      <c r="P268" s="405"/>
    </row>
    <row r="269" ht="26.25" customHeight="1" spans="14:16">
      <c r="N269" s="658"/>
      <c r="P269" s="405"/>
    </row>
    <row r="270" ht="26.25" customHeight="1" spans="14:16">
      <c r="N270" s="658"/>
      <c r="P270" s="405"/>
    </row>
    <row r="271" ht="26.25" customHeight="1" spans="14:16">
      <c r="N271" s="658"/>
      <c r="P271" s="405"/>
    </row>
    <row r="272" ht="26.25" customHeight="1" spans="14:16">
      <c r="N272" s="658"/>
      <c r="P272" s="405"/>
    </row>
    <row r="273" ht="26.25" customHeight="1" spans="14:16">
      <c r="N273" s="658"/>
      <c r="P273" s="405"/>
    </row>
    <row r="274" ht="26.25" customHeight="1" spans="14:16">
      <c r="N274" s="658"/>
      <c r="P274" s="405"/>
    </row>
    <row r="275" ht="26.25" customHeight="1" spans="14:16">
      <c r="N275" s="658"/>
      <c r="P275" s="405"/>
    </row>
    <row r="276" ht="26.25" customHeight="1" spans="14:16">
      <c r="N276" s="658"/>
      <c r="P276" s="405"/>
    </row>
    <row r="277" ht="26.25" customHeight="1" spans="14:16">
      <c r="N277" s="658"/>
      <c r="P277" s="405"/>
    </row>
    <row r="278" ht="26.25" customHeight="1" spans="14:16">
      <c r="N278" s="658"/>
      <c r="P278" s="405"/>
    </row>
    <row r="279" ht="26.25" customHeight="1" spans="14:16">
      <c r="N279" s="658"/>
      <c r="P279" s="405"/>
    </row>
    <row r="280" ht="26.25" customHeight="1" spans="14:16">
      <c r="N280" s="658"/>
      <c r="P280" s="405"/>
    </row>
    <row r="281" ht="26.25" customHeight="1" spans="14:16">
      <c r="N281" s="658"/>
      <c r="P281" s="405"/>
    </row>
    <row r="282" ht="26.25" customHeight="1" spans="14:16">
      <c r="N282" s="658"/>
      <c r="P282" s="405"/>
    </row>
    <row r="283" ht="26.25" customHeight="1" spans="14:16">
      <c r="N283" s="658"/>
      <c r="P283" s="405"/>
    </row>
    <row r="284" ht="26.25" customHeight="1" spans="14:16">
      <c r="N284" s="658"/>
      <c r="P284" s="405"/>
    </row>
    <row r="285" ht="26.25" customHeight="1" spans="14:16">
      <c r="N285" s="658"/>
      <c r="P285" s="405"/>
    </row>
    <row r="286" ht="26.25" customHeight="1" spans="14:16">
      <c r="N286" s="658"/>
      <c r="P286" s="405"/>
    </row>
    <row r="287" ht="26.25" customHeight="1" spans="14:16">
      <c r="N287" s="658"/>
      <c r="P287" s="405"/>
    </row>
    <row r="288" ht="26.25" customHeight="1" spans="14:16">
      <c r="N288" s="658"/>
      <c r="P288" s="405"/>
    </row>
    <row r="289" ht="26.25" customHeight="1" spans="14:16">
      <c r="N289" s="658"/>
      <c r="P289" s="405"/>
    </row>
    <row r="290" ht="26.25" customHeight="1" spans="14:16">
      <c r="N290" s="658"/>
      <c r="P290" s="405"/>
    </row>
    <row r="291" ht="26.25" customHeight="1" spans="14:16">
      <c r="N291" s="658"/>
      <c r="P291" s="405"/>
    </row>
    <row r="292" ht="26.25" customHeight="1" spans="14:16">
      <c r="N292" s="658"/>
      <c r="P292" s="405"/>
    </row>
    <row r="293" ht="26.25" customHeight="1" spans="14:16">
      <c r="N293" s="658"/>
      <c r="P293" s="405"/>
    </row>
    <row r="294" ht="26.25" customHeight="1" spans="14:16">
      <c r="N294" s="658"/>
      <c r="P294" s="405"/>
    </row>
    <row r="295" ht="26.25" customHeight="1" spans="14:16">
      <c r="N295" s="658"/>
      <c r="P295" s="405"/>
    </row>
    <row r="296" ht="26.25" customHeight="1" spans="14:16">
      <c r="N296" s="658"/>
      <c r="P296" s="405"/>
    </row>
    <row r="297" ht="26.25" customHeight="1" spans="14:16">
      <c r="N297" s="658"/>
      <c r="P297" s="405"/>
    </row>
    <row r="298" ht="26.25" customHeight="1" spans="14:16">
      <c r="N298" s="658"/>
      <c r="P298" s="405"/>
    </row>
    <row r="299" ht="26.25" customHeight="1" spans="14:16">
      <c r="N299" s="658"/>
      <c r="P299" s="405"/>
    </row>
    <row r="300" ht="26.25" customHeight="1" spans="14:16">
      <c r="N300" s="658"/>
      <c r="P300" s="405"/>
    </row>
    <row r="301" ht="26.25" customHeight="1" spans="14:16">
      <c r="N301" s="658"/>
      <c r="P301" s="405"/>
    </row>
    <row r="302" ht="26.25" customHeight="1" spans="14:16">
      <c r="N302" s="658"/>
      <c r="P302" s="405"/>
    </row>
    <row r="303" ht="26.25" customHeight="1" spans="14:16">
      <c r="N303" s="658"/>
      <c r="P303" s="405"/>
    </row>
    <row r="304" ht="26.25" customHeight="1" spans="14:16">
      <c r="N304" s="658"/>
      <c r="P304" s="405"/>
    </row>
    <row r="305" ht="26.25" customHeight="1" spans="14:16">
      <c r="N305" s="658"/>
      <c r="P305" s="405"/>
    </row>
    <row r="306" ht="26.25" customHeight="1" spans="14:16">
      <c r="N306" s="658"/>
      <c r="P306" s="405"/>
    </row>
    <row r="307" ht="26.25" customHeight="1" spans="14:16">
      <c r="N307" s="658"/>
      <c r="P307" s="405"/>
    </row>
    <row r="308" ht="26.25" customHeight="1" spans="14:16">
      <c r="N308" s="658"/>
      <c r="P308" s="405"/>
    </row>
    <row r="309" ht="26.25" customHeight="1" spans="14:16">
      <c r="N309" s="658"/>
      <c r="P309" s="405"/>
    </row>
    <row r="310" ht="26.25" customHeight="1" spans="14:16">
      <c r="N310" s="658"/>
      <c r="P310" s="405"/>
    </row>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sheetData>
  <autoFilter xmlns:etc="http://www.wps.cn/officeDocument/2017/etCustomData" ref="A2:BR147" etc:filterBottomFollowUsedRange="0">
    <filterColumn colId="6">
      <filters>
        <filter val="77773GQ2-S002"/>
      </filters>
    </filterColumn>
    <extLst/>
  </autoFilter>
  <mergeCells count="7">
    <mergeCell ref="AL1:AM1"/>
    <mergeCell ref="AP1:AQ1"/>
    <mergeCell ref="AR1:AS1"/>
    <mergeCell ref="AX1:AZ1"/>
    <mergeCell ref="BA1:BB1"/>
    <mergeCell ref="BE1:BL1"/>
    <mergeCell ref="BM1:BN1"/>
  </mergeCells>
  <conditionalFormatting sqref="R3:W3">
    <cfRule type="cellIs" dxfId="0" priority="984" operator="equal">
      <formula>"欠"</formula>
    </cfRule>
  </conditionalFormatting>
  <conditionalFormatting sqref="R4">
    <cfRule type="containsText" dxfId="1" priority="818" operator="between" text="欠">
      <formula>NOT(ISERROR(SEARCH("欠",R4)))</formula>
    </cfRule>
    <cfRule type="cellIs" dxfId="0" priority="819" operator="equal">
      <formula>"欠"</formula>
    </cfRule>
  </conditionalFormatting>
  <conditionalFormatting sqref="S4">
    <cfRule type="containsText" dxfId="1" priority="822" operator="between" text="欠">
      <formula>NOT(ISERROR(SEARCH("欠",S4)))</formula>
    </cfRule>
    <cfRule type="cellIs" dxfId="0" priority="823" operator="equal">
      <formula>"欠"</formula>
    </cfRule>
  </conditionalFormatting>
  <conditionalFormatting sqref="T4">
    <cfRule type="containsText" dxfId="1" priority="820" operator="between" text="欠">
      <formula>NOT(ISERROR(SEARCH("欠",T4)))</formula>
    </cfRule>
    <cfRule type="cellIs" dxfId="0" priority="821" operator="equal">
      <formula>"欠"</formula>
    </cfRule>
  </conditionalFormatting>
  <conditionalFormatting sqref="U4">
    <cfRule type="cellIs" dxfId="0" priority="873" operator="equal">
      <formula>"欠"</formula>
    </cfRule>
  </conditionalFormatting>
  <conditionalFormatting sqref="V4">
    <cfRule type="cellIs" dxfId="0" priority="874" operator="equal">
      <formula>"欠"</formula>
    </cfRule>
  </conditionalFormatting>
  <conditionalFormatting sqref="W4">
    <cfRule type="cellIs" dxfId="0" priority="866" operator="equal">
      <formula>"欠"</formula>
    </cfRule>
  </conditionalFormatting>
  <conditionalFormatting sqref="R7">
    <cfRule type="containsText" dxfId="1" priority="693" operator="between" text="欠">
      <formula>NOT(ISERROR(SEARCH("欠",R7)))</formula>
    </cfRule>
    <cfRule type="cellIs" dxfId="0" priority="694" operator="equal">
      <formula>"欠"</formula>
    </cfRule>
  </conditionalFormatting>
  <conditionalFormatting sqref="S7">
    <cfRule type="containsText" dxfId="1" priority="692" operator="between" text="欠">
      <formula>NOT(ISERROR(SEARCH("欠",S7)))</formula>
    </cfRule>
  </conditionalFormatting>
  <conditionalFormatting sqref="T7">
    <cfRule type="containsText" dxfId="1" priority="434" operator="between" text="欠">
      <formula>NOT(ISERROR(SEARCH("欠",T7)))</formula>
    </cfRule>
  </conditionalFormatting>
  <conditionalFormatting sqref="U7">
    <cfRule type="cellIs" dxfId="0" priority="948" operator="equal">
      <formula>"欠"</formula>
    </cfRule>
  </conditionalFormatting>
  <conditionalFormatting sqref="R8">
    <cfRule type="containsText" dxfId="1" priority="420" operator="between" text="欠">
      <formula>NOT(ISERROR(SEARCH("欠",R8)))</formula>
    </cfRule>
    <cfRule type="cellIs" dxfId="0" priority="421" operator="equal">
      <formula>"欠"</formula>
    </cfRule>
  </conditionalFormatting>
  <conditionalFormatting sqref="S8">
    <cfRule type="containsText" dxfId="1" priority="422" operator="between" text="欠">
      <formula>NOT(ISERROR(SEARCH("欠",S8)))</formula>
    </cfRule>
    <cfRule type="cellIs" dxfId="0" priority="423" operator="equal">
      <formula>"欠"</formula>
    </cfRule>
  </conditionalFormatting>
  <conditionalFormatting sqref="T8">
    <cfRule type="containsText" dxfId="1" priority="418" operator="between" text="欠">
      <formula>NOT(ISERROR(SEARCH("欠",T8)))</formula>
    </cfRule>
    <cfRule type="cellIs" dxfId="0" priority="419" operator="equal">
      <formula>"欠"</formula>
    </cfRule>
  </conditionalFormatting>
  <conditionalFormatting sqref="V11:W11">
    <cfRule type="cellIs" dxfId="0" priority="787" operator="equal">
      <formula>"欠"</formula>
    </cfRule>
  </conditionalFormatting>
  <conditionalFormatting sqref="R15">
    <cfRule type="containsText" dxfId="1" priority="678" operator="between" text="欠">
      <formula>NOT(ISERROR(SEARCH("欠",R15)))</formula>
    </cfRule>
    <cfRule type="cellIs" dxfId="0" priority="679" operator="equal">
      <formula>"欠"</formula>
    </cfRule>
  </conditionalFormatting>
  <conditionalFormatting sqref="S15">
    <cfRule type="cellIs" dxfId="0" priority="676" operator="equal">
      <formula>"欠"</formula>
    </cfRule>
    <cfRule type="containsText" dxfId="1" priority="677" operator="between" text="欠">
      <formula>NOT(ISERROR(SEARCH("欠",S15)))</formula>
    </cfRule>
  </conditionalFormatting>
  <conditionalFormatting sqref="T15">
    <cfRule type="cellIs" dxfId="0" priority="674" operator="equal">
      <formula>"欠"</formula>
    </cfRule>
    <cfRule type="containsText" dxfId="1" priority="675" operator="between" text="欠">
      <formula>NOT(ISERROR(SEARCH("欠",T15)))</formula>
    </cfRule>
  </conditionalFormatting>
  <conditionalFormatting sqref="R16">
    <cfRule type="containsText" dxfId="1" priority="585" operator="between" text="欠">
      <formula>NOT(ISERROR(SEARCH("欠",R16)))</formula>
    </cfRule>
    <cfRule type="cellIs" dxfId="0" priority="586" operator="equal">
      <formula>"欠"</formula>
    </cfRule>
  </conditionalFormatting>
  <conditionalFormatting sqref="R28">
    <cfRule type="containsText" dxfId="1" priority="211" operator="between" text="欠">
      <formula>NOT(ISERROR(SEARCH("欠",R28)))</formula>
    </cfRule>
    <cfRule type="cellIs" dxfId="0" priority="212" operator="equal">
      <formula>"欠"</formula>
    </cfRule>
  </conditionalFormatting>
  <conditionalFormatting sqref="R29">
    <cfRule type="containsText" dxfId="1" priority="615" operator="between" text="欠">
      <formula>NOT(ISERROR(SEARCH("欠",R29)))</formula>
    </cfRule>
    <cfRule type="cellIs" dxfId="0" priority="616" operator="equal">
      <formula>"欠"</formula>
    </cfRule>
  </conditionalFormatting>
  <conditionalFormatting sqref="T29">
    <cfRule type="containsText" dxfId="1" priority="735" operator="between" text="欠">
      <formula>NOT(ISERROR(SEARCH("欠",T29)))</formula>
    </cfRule>
    <cfRule type="cellIs" dxfId="0" priority="736" operator="equal">
      <formula>"欠"</formula>
    </cfRule>
  </conditionalFormatting>
  <conditionalFormatting sqref="U29">
    <cfRule type="cellIs" dxfId="0" priority="710" operator="equal">
      <formula>"欠"</formula>
    </cfRule>
  </conditionalFormatting>
  <conditionalFormatting sqref="R31">
    <cfRule type="containsText" dxfId="1" priority="928" operator="between" text="欠">
      <formula>NOT(ISERROR(SEARCH("欠",R31)))</formula>
    </cfRule>
    <cfRule type="cellIs" dxfId="0" priority="929" operator="equal">
      <formula>"欠"</formula>
    </cfRule>
  </conditionalFormatting>
  <conditionalFormatting sqref="S31">
    <cfRule type="containsText" dxfId="1" priority="740" operator="between" text="欠">
      <formula>NOT(ISERROR(SEARCH("欠",S31)))</formula>
    </cfRule>
    <cfRule type="cellIs" dxfId="0" priority="741" operator="equal">
      <formula>"欠"</formula>
    </cfRule>
  </conditionalFormatting>
  <conditionalFormatting sqref="T31">
    <cfRule type="containsText" dxfId="1" priority="944" operator="between" text="欠">
      <formula>NOT(ISERROR(SEARCH("欠",T31)))</formula>
    </cfRule>
    <cfRule type="cellIs" dxfId="0" priority="945" operator="equal">
      <formula>"欠"</formula>
    </cfRule>
  </conditionalFormatting>
  <conditionalFormatting sqref="U31">
    <cfRule type="cellIs" dxfId="0" priority="568" operator="equal">
      <formula>"欠"</formula>
    </cfRule>
  </conditionalFormatting>
  <conditionalFormatting sqref="T35">
    <cfRule type="containsText" dxfId="1" priority="527" operator="between" text="欠">
      <formula>NOT(ISERROR(SEARCH("欠",T35)))</formula>
    </cfRule>
    <cfRule type="cellIs" dxfId="0" priority="528" operator="equal">
      <formula>"欠"</formula>
    </cfRule>
  </conditionalFormatting>
  <conditionalFormatting sqref="V35">
    <cfRule type="cellIs" dxfId="0" priority="483" operator="equal">
      <formula>"欠"</formula>
    </cfRule>
  </conditionalFormatting>
  <conditionalFormatting sqref="R36">
    <cfRule type="containsText" dxfId="1" priority="450" operator="between" text="欠">
      <formula>NOT(ISERROR(SEARCH("欠",R36)))</formula>
    </cfRule>
    <cfRule type="cellIs" dxfId="0" priority="451" operator="equal">
      <formula>"欠"</formula>
    </cfRule>
  </conditionalFormatting>
  <conditionalFormatting sqref="T36">
    <cfRule type="containsText" dxfId="1" priority="445" operator="between" text="欠">
      <formula>NOT(ISERROR(SEARCH("欠",T36)))</formula>
    </cfRule>
    <cfRule type="cellIs" dxfId="0" priority="446" operator="equal">
      <formula>"欠"</formula>
    </cfRule>
  </conditionalFormatting>
  <conditionalFormatting sqref="U36">
    <cfRule type="cellIs" dxfId="0" priority="447" operator="equal">
      <formula>"欠"</formula>
    </cfRule>
  </conditionalFormatting>
  <conditionalFormatting sqref="V36:W36">
    <cfRule type="cellIs" dxfId="0" priority="452" operator="equal">
      <formula>"欠"</formula>
    </cfRule>
  </conditionalFormatting>
  <conditionalFormatting sqref="R37">
    <cfRule type="containsText" dxfId="1" priority="685" operator="between" text="欠">
      <formula>NOT(ISERROR(SEARCH("欠",R37)))</formula>
    </cfRule>
    <cfRule type="cellIs" dxfId="0" priority="686" operator="equal">
      <formula>"欠"</formula>
    </cfRule>
  </conditionalFormatting>
  <conditionalFormatting sqref="R38">
    <cfRule type="containsText" dxfId="1" priority="576" operator="between" text="欠">
      <formula>NOT(ISERROR(SEARCH("欠",R38)))</formula>
    </cfRule>
    <cfRule type="containsText" dxfId="1" priority="577" operator="between" text="欠">
      <formula>NOT(ISERROR(SEARCH("欠",R38)))</formula>
    </cfRule>
    <cfRule type="cellIs" dxfId="0" priority="578" operator="equal">
      <formula>"欠"</formula>
    </cfRule>
  </conditionalFormatting>
  <conditionalFormatting sqref="T38">
    <cfRule type="containsText" dxfId="1" priority="595" operator="between" text="欠">
      <formula>NOT(ISERROR(SEARCH("欠",T38)))</formula>
    </cfRule>
    <cfRule type="cellIs" dxfId="0" priority="596" operator="equal">
      <formula>"欠"</formula>
    </cfRule>
  </conditionalFormatting>
  <conditionalFormatting sqref="T39">
    <cfRule type="containsText" dxfId="1" priority="619" operator="between" text="欠">
      <formula>NOT(ISERROR(SEARCH("欠",T39)))</formula>
    </cfRule>
    <cfRule type="cellIs" dxfId="0" priority="620" operator="equal">
      <formula>"欠"</formula>
    </cfRule>
  </conditionalFormatting>
  <conditionalFormatting sqref="R40">
    <cfRule type="containsText" dxfId="1" priority="798" operator="between" text="欠">
      <formula>NOT(ISERROR(SEARCH("欠",R40)))</formula>
    </cfRule>
    <cfRule type="cellIs" dxfId="0" priority="799" operator="equal">
      <formula>"欠"</formula>
    </cfRule>
  </conditionalFormatting>
  <conditionalFormatting sqref="S40">
    <cfRule type="cellIs" dxfId="0" priority="802" operator="equal">
      <formula>"欠"</formula>
    </cfRule>
    <cfRule type="containsText" dxfId="1" priority="803" operator="between" text="欠">
      <formula>NOT(ISERROR(SEARCH("欠",S40)))</formula>
    </cfRule>
  </conditionalFormatting>
  <conditionalFormatting sqref="T41">
    <cfRule type="containsText" dxfId="1" priority="537" operator="between" text="欠">
      <formula>NOT(ISERROR(SEARCH("欠",T41)))</formula>
    </cfRule>
    <cfRule type="cellIs" dxfId="0" priority="538" operator="equal">
      <formula>"欠"</formula>
    </cfRule>
  </conditionalFormatting>
  <conditionalFormatting sqref="V41">
    <cfRule type="cellIs" dxfId="0" priority="536" operator="equal">
      <formula>"欠"</formula>
    </cfRule>
  </conditionalFormatting>
  <conditionalFormatting sqref="U47">
    <cfRule type="cellIs" dxfId="0" priority="411" operator="equal">
      <formula>"欠"</formula>
    </cfRule>
  </conditionalFormatting>
  <conditionalFormatting sqref="V47:W47">
    <cfRule type="cellIs" dxfId="0" priority="414" operator="equal">
      <formula>"欠"</formula>
    </cfRule>
  </conditionalFormatting>
  <conditionalFormatting sqref="U48">
    <cfRule type="cellIs" dxfId="0" priority="402" operator="equal">
      <formula>"欠"</formula>
    </cfRule>
  </conditionalFormatting>
  <conditionalFormatting sqref="V48:W48">
    <cfRule type="cellIs" dxfId="0" priority="405" operator="equal">
      <formula>"欠"</formula>
    </cfRule>
  </conditionalFormatting>
  <conditionalFormatting sqref="R52">
    <cfRule type="containsText" dxfId="1" priority="518" operator="between" text="欠">
      <formula>NOT(ISERROR(SEARCH("欠",R52)))</formula>
    </cfRule>
    <cfRule type="containsText" dxfId="1" priority="519" operator="between" text="欠">
      <formula>NOT(ISERROR(SEARCH("欠",R52)))</formula>
    </cfRule>
    <cfRule type="cellIs" dxfId="0" priority="520" operator="equal">
      <formula>"欠"</formula>
    </cfRule>
  </conditionalFormatting>
  <conditionalFormatting sqref="V52">
    <cfRule type="cellIs" dxfId="0" priority="514" operator="equal">
      <formula>"欠"</formula>
    </cfRule>
  </conditionalFormatting>
  <conditionalFormatting sqref="S53">
    <cfRule type="containsText" dxfId="1" priority="431" operator="between" text="欠">
      <formula>NOT(ISERROR(SEARCH("欠",S53)))</formula>
    </cfRule>
    <cfRule type="cellIs" dxfId="0" priority="432" operator="equal">
      <formula>"欠"</formula>
    </cfRule>
    <cfRule type="containsText" dxfId="1" priority="433" operator="between" text="欠">
      <formula>NOT(ISERROR(SEARCH("欠",S53)))</formula>
    </cfRule>
  </conditionalFormatting>
  <conditionalFormatting sqref="T54">
    <cfRule type="cellIs" dxfId="0" priority="195" operator="equal">
      <formula>"欠"</formula>
    </cfRule>
    <cfRule type="containsText" dxfId="1" priority="196" operator="between" text="欠">
      <formula>NOT(ISERROR(SEARCH("欠",T54)))</formula>
    </cfRule>
  </conditionalFormatting>
  <conditionalFormatting sqref="R57">
    <cfRule type="containsText" dxfId="1" priority="457" operator="between" text="欠">
      <formula>NOT(ISERROR(SEARCH("欠",R57)))</formula>
    </cfRule>
    <cfRule type="containsText" dxfId="1" priority="458" operator="between" text="欠">
      <formula>NOT(ISERROR(SEARCH("欠",R57)))</formula>
    </cfRule>
    <cfRule type="cellIs" dxfId="0" priority="459" operator="equal">
      <formula>"欠"</formula>
    </cfRule>
  </conditionalFormatting>
  <conditionalFormatting sqref="S57">
    <cfRule type="containsText" dxfId="1" priority="426" operator="between" text="欠">
      <formula>NOT(ISERROR(SEARCH("欠",S57)))</formula>
    </cfRule>
    <cfRule type="cellIs" dxfId="0" priority="427" operator="equal">
      <formula>"欠"</formula>
    </cfRule>
  </conditionalFormatting>
  <conditionalFormatting sqref="T57">
    <cfRule type="containsText" dxfId="1" priority="424" operator="between" text="欠">
      <formula>NOT(ISERROR(SEARCH("欠",T57)))</formula>
    </cfRule>
    <cfRule type="cellIs" dxfId="0" priority="425" operator="equal">
      <formula>"欠"</formula>
    </cfRule>
  </conditionalFormatting>
  <conditionalFormatting sqref="V57">
    <cfRule type="cellIs" dxfId="0" priority="453" operator="equal">
      <formula>"欠"</formula>
    </cfRule>
  </conditionalFormatting>
  <conditionalFormatting sqref="S59">
    <cfRule type="containsText" dxfId="1" priority="324" operator="between" text="欠">
      <formula>NOT(ISERROR(SEARCH("欠",S59)))</formula>
    </cfRule>
    <cfRule type="cellIs" dxfId="0" priority="325" operator="equal">
      <formula>"欠"</formula>
    </cfRule>
  </conditionalFormatting>
  <conditionalFormatting sqref="T59">
    <cfRule type="containsText" dxfId="1" priority="322" operator="between" text="欠">
      <formula>NOT(ISERROR(SEARCH("欠",T59)))</formula>
    </cfRule>
    <cfRule type="cellIs" dxfId="0" priority="323" operator="equal">
      <formula>"欠"</formula>
    </cfRule>
  </conditionalFormatting>
  <conditionalFormatting sqref="R61">
    <cfRule type="containsText" dxfId="1" priority="329" operator="between" text="欠">
      <formula>NOT(ISERROR(SEARCH("欠",R61)))</formula>
    </cfRule>
    <cfRule type="containsText" dxfId="1" priority="330" operator="between" text="欠">
      <formula>NOT(ISERROR(SEARCH("欠",R61)))</formula>
    </cfRule>
    <cfRule type="cellIs" dxfId="0" priority="331" operator="equal">
      <formula>"欠"</formula>
    </cfRule>
  </conditionalFormatting>
  <conditionalFormatting sqref="S61">
    <cfRule type="containsText" dxfId="1" priority="326" operator="between" text="欠">
      <formula>NOT(ISERROR(SEARCH("欠",S61)))</formula>
    </cfRule>
    <cfRule type="cellIs" dxfId="0" priority="327" operator="equal">
      <formula>"欠"</formula>
    </cfRule>
    <cfRule type="containsText" dxfId="1" priority="328" operator="between" text="欠">
      <formula>NOT(ISERROR(SEARCH("欠",S61)))</formula>
    </cfRule>
  </conditionalFormatting>
  <conditionalFormatting sqref="T61">
    <cfRule type="cellIs" dxfId="0" priority="349" operator="equal">
      <formula>"欠"</formula>
    </cfRule>
    <cfRule type="containsText" dxfId="1" priority="350" operator="between" text="欠">
      <formula>NOT(ISERROR(SEARCH("欠",T61)))</formula>
    </cfRule>
  </conditionalFormatting>
  <conditionalFormatting sqref="U61">
    <cfRule type="cellIs" dxfId="0" priority="355" operator="equal">
      <formula>"欠"</formula>
    </cfRule>
  </conditionalFormatting>
  <conditionalFormatting sqref="V61">
    <cfRule type="cellIs" dxfId="0" priority="347" operator="equal">
      <formula>"欠"</formula>
    </cfRule>
  </conditionalFormatting>
  <conditionalFormatting sqref="W61">
    <cfRule type="cellIs" dxfId="0" priority="348" operator="equal">
      <formula>"欠"</formula>
    </cfRule>
  </conditionalFormatting>
  <conditionalFormatting sqref="V62">
    <cfRule type="cellIs" dxfId="0" priority="384" operator="equal">
      <formula>"欠"</formula>
    </cfRule>
  </conditionalFormatting>
  <conditionalFormatting sqref="V63">
    <cfRule type="cellIs" dxfId="0" priority="364" operator="equal">
      <formula>"欠"</formula>
    </cfRule>
  </conditionalFormatting>
  <conditionalFormatting sqref="R64">
    <cfRule type="containsText" dxfId="1" priority="292" operator="between" text="欠">
      <formula>NOT(ISERROR(SEARCH("欠",R64)))</formula>
    </cfRule>
    <cfRule type="cellIs" dxfId="0" priority="293" operator="equal">
      <formula>"欠"</formula>
    </cfRule>
  </conditionalFormatting>
  <conditionalFormatting sqref="S64">
    <cfRule type="containsText" dxfId="1" priority="294" operator="between" text="欠">
      <formula>NOT(ISERROR(SEARCH("欠",S64)))</formula>
    </cfRule>
  </conditionalFormatting>
  <conditionalFormatting sqref="T64">
    <cfRule type="containsText" dxfId="1" priority="288" operator="between" text="欠">
      <formula>NOT(ISERROR(SEARCH("欠",T64)))</formula>
    </cfRule>
    <cfRule type="cellIs" dxfId="0" priority="289" operator="equal">
      <formula>"欠"</formula>
    </cfRule>
  </conditionalFormatting>
  <conditionalFormatting sqref="U64">
    <cfRule type="cellIs" dxfId="0" priority="313" operator="equal">
      <formula>"欠"</formula>
    </cfRule>
  </conditionalFormatting>
  <conditionalFormatting sqref="V64">
    <cfRule type="cellIs" dxfId="0" priority="305" operator="equal">
      <formula>"欠"</formula>
    </cfRule>
  </conditionalFormatting>
  <conditionalFormatting sqref="W64">
    <cfRule type="cellIs" dxfId="0" priority="306" operator="equal">
      <formula>"欠"</formula>
    </cfRule>
  </conditionalFormatting>
  <conditionalFormatting sqref="V65">
    <cfRule type="cellIs" dxfId="0" priority="486" operator="equal">
      <formula>"欠"</formula>
    </cfRule>
  </conditionalFormatting>
  <conditionalFormatting sqref="W65">
    <cfRule type="cellIs" dxfId="0" priority="495" operator="equal">
      <formula>"欠"</formula>
    </cfRule>
  </conditionalFormatting>
  <conditionalFormatting sqref="V66">
    <cfRule type="cellIs" dxfId="0" priority="485" operator="equal">
      <formula>"欠"</formula>
    </cfRule>
  </conditionalFormatting>
  <conditionalFormatting sqref="W66">
    <cfRule type="cellIs" dxfId="0" priority="494" operator="equal">
      <formula>"欠"</formula>
    </cfRule>
  </conditionalFormatting>
  <conditionalFormatting sqref="R70">
    <cfRule type="containsText" dxfId="1" priority="439" operator="between" text="欠">
      <formula>NOT(ISERROR(SEARCH("欠",R70)))</formula>
    </cfRule>
    <cfRule type="containsText" dxfId="1" priority="440" operator="between" text="欠">
      <formula>NOT(ISERROR(SEARCH("欠",R70)))</formula>
    </cfRule>
    <cfRule type="cellIs" dxfId="0" priority="441" operator="equal">
      <formula>"欠"</formula>
    </cfRule>
  </conditionalFormatting>
  <conditionalFormatting sqref="S70">
    <cfRule type="containsText" dxfId="1" priority="442" operator="between" text="欠">
      <formula>NOT(ISERROR(SEARCH("欠",S70)))</formula>
    </cfRule>
    <cfRule type="cellIs" dxfId="0" priority="443" operator="equal">
      <formula>"欠"</formula>
    </cfRule>
    <cfRule type="containsText" dxfId="1" priority="444" operator="between" text="欠">
      <formula>NOT(ISERROR(SEARCH("欠",S70)))</formula>
    </cfRule>
  </conditionalFormatting>
  <conditionalFormatting sqref="T70">
    <cfRule type="containsText" dxfId="1" priority="437" operator="between" text="欠">
      <formula>NOT(ISERROR(SEARCH("欠",T70)))</formula>
    </cfRule>
    <cfRule type="cellIs" dxfId="0" priority="438" operator="equal">
      <formula>"欠"</formula>
    </cfRule>
  </conditionalFormatting>
  <conditionalFormatting sqref="V70">
    <cfRule type="cellIs" dxfId="0" priority="473" operator="equal">
      <formula>"欠"</formula>
    </cfRule>
  </conditionalFormatting>
  <conditionalFormatting sqref="V71">
    <cfRule type="cellIs" dxfId="0" priority="556" operator="equal">
      <formula>"欠"</formula>
    </cfRule>
  </conditionalFormatting>
  <conditionalFormatting sqref="V76">
    <cfRule type="cellIs" dxfId="0" priority="394" operator="equal">
      <formula>"欠"</formula>
    </cfRule>
  </conditionalFormatting>
  <conditionalFormatting sqref="V77">
    <cfRule type="cellIs" dxfId="0" priority="374" operator="equal">
      <formula>"欠"</formula>
    </cfRule>
  </conditionalFormatting>
  <conditionalFormatting sqref="R78">
    <cfRule type="containsText" dxfId="1" priority="239" operator="between" text="欠">
      <formula>NOT(ISERROR(SEARCH("欠",R78)))</formula>
    </cfRule>
    <cfRule type="cellIs" dxfId="0" priority="240" operator="equal">
      <formula>"欠"</formula>
    </cfRule>
  </conditionalFormatting>
  <conditionalFormatting sqref="T78">
    <cfRule type="containsText" dxfId="1" priority="225" operator="between" text="欠">
      <formula>NOT(ISERROR(SEARCH("欠",T78)))</formula>
    </cfRule>
  </conditionalFormatting>
  <conditionalFormatting sqref="U78">
    <cfRule type="cellIs" dxfId="0" priority="279" operator="equal">
      <formula>"欠"</formula>
    </cfRule>
  </conditionalFormatting>
  <conditionalFormatting sqref="R79">
    <cfRule type="containsText" dxfId="1" priority="213" operator="between" text="欠">
      <formula>NOT(ISERROR(SEARCH("欠",R79)))</formula>
    </cfRule>
    <cfRule type="cellIs" dxfId="0" priority="214" operator="equal">
      <formula>"欠"</formula>
    </cfRule>
  </conditionalFormatting>
  <conditionalFormatting sqref="S79">
    <cfRule type="containsText" dxfId="1" priority="217" operator="between" text="欠">
      <formula>NOT(ISERROR(SEARCH("欠",S79)))</formula>
    </cfRule>
  </conditionalFormatting>
  <conditionalFormatting sqref="T79">
    <cfRule type="containsText" dxfId="1" priority="204" operator="between" text="欠">
      <formula>NOT(ISERROR(SEARCH("欠",T79)))</formula>
    </cfRule>
    <cfRule type="cellIs" dxfId="0" priority="205" operator="equal">
      <formula>"欠"</formula>
    </cfRule>
    <cfRule type="containsText" dxfId="1" priority="206" operator="between" text="欠">
      <formula>NOT(ISERROR(SEARCH("欠",T79)))</formula>
    </cfRule>
  </conditionalFormatting>
  <conditionalFormatting sqref="U79">
    <cfRule type="cellIs" dxfId="0" priority="224" operator="equal">
      <formula>"欠"</formula>
    </cfRule>
  </conditionalFormatting>
  <conditionalFormatting sqref="V79">
    <cfRule type="cellIs" dxfId="0" priority="222" operator="equal">
      <formula>"欠"</formula>
    </cfRule>
  </conditionalFormatting>
  <conditionalFormatting sqref="W79">
    <cfRule type="cellIs" dxfId="0" priority="223" operator="equal">
      <formula>"欠"</formula>
    </cfRule>
  </conditionalFormatting>
  <conditionalFormatting sqref="S85">
    <cfRule type="containsText" dxfId="1" priority="286" operator="between" text="欠">
      <formula>NOT(ISERROR(SEARCH("欠",S85)))</formula>
    </cfRule>
    <cfRule type="cellIs" dxfId="0" priority="287" operator="equal">
      <formula>"欠"</formula>
    </cfRule>
  </conditionalFormatting>
  <conditionalFormatting sqref="U87">
    <cfRule type="cellIs" dxfId="0" priority="260" operator="equal">
      <formula>"欠"</formula>
    </cfRule>
  </conditionalFormatting>
  <conditionalFormatting sqref="V87">
    <cfRule type="cellIs" dxfId="0" priority="256" operator="equal">
      <formula>"欠"</formula>
    </cfRule>
  </conditionalFormatting>
  <conditionalFormatting sqref="W87">
    <cfRule type="cellIs" dxfId="0" priority="257" operator="equal">
      <formula>"欠"</formula>
    </cfRule>
  </conditionalFormatting>
  <conditionalFormatting sqref="R88">
    <cfRule type="containsText" dxfId="1" priority="265" operator="between" text="欠">
      <formula>NOT(ISERROR(SEARCH("欠",R88)))</formula>
    </cfRule>
    <cfRule type="containsText" dxfId="1" priority="266" operator="between" text="欠">
      <formula>NOT(ISERROR(SEARCH("欠",R88)))</formula>
    </cfRule>
    <cfRule type="cellIs" dxfId="0" priority="267" operator="equal">
      <formula>"欠"</formula>
    </cfRule>
  </conditionalFormatting>
  <conditionalFormatting sqref="S88">
    <cfRule type="containsText" dxfId="1" priority="268" operator="between" text="欠">
      <formula>NOT(ISERROR(SEARCH("欠",S88)))</formula>
    </cfRule>
    <cfRule type="cellIs" dxfId="0" priority="269" operator="equal">
      <formula>"欠"</formula>
    </cfRule>
    <cfRule type="containsText" dxfId="1" priority="270" operator="between" text="欠">
      <formula>NOT(ISERROR(SEARCH("欠",S88)))</formula>
    </cfRule>
  </conditionalFormatting>
  <conditionalFormatting sqref="T88">
    <cfRule type="containsText" dxfId="1" priority="261" operator="between" text="欠">
      <formula>NOT(ISERROR(SEARCH("欠",T88)))</formula>
    </cfRule>
    <cfRule type="cellIs" dxfId="0" priority="262" operator="equal">
      <formula>"欠"</formula>
    </cfRule>
  </conditionalFormatting>
  <conditionalFormatting sqref="U88">
    <cfRule type="cellIs" dxfId="0" priority="264" operator="equal">
      <formula>"欠"</formula>
    </cfRule>
  </conditionalFormatting>
  <conditionalFormatting sqref="V88:W88">
    <cfRule type="cellIs" dxfId="0" priority="263" operator="equal">
      <formula>"欠"</formula>
    </cfRule>
  </conditionalFormatting>
  <conditionalFormatting sqref="U89">
    <cfRule type="cellIs" dxfId="0" priority="245" operator="equal">
      <formula>"欠"</formula>
    </cfRule>
  </conditionalFormatting>
  <conditionalFormatting sqref="V89:W89">
    <cfRule type="cellIs" dxfId="0" priority="244" operator="equal">
      <formula>"欠"</formula>
    </cfRule>
  </conditionalFormatting>
  <conditionalFormatting sqref="U108:W108">
    <cfRule type="cellIs" dxfId="0" priority="203" operator="equal">
      <formula>"欠"</formula>
    </cfRule>
  </conditionalFormatting>
  <conditionalFormatting sqref="R109">
    <cfRule type="containsText" dxfId="1" priority="163" operator="between" text="欠">
      <formula>NOT(ISERROR(SEARCH("欠",R109)))</formula>
    </cfRule>
    <cfRule type="cellIs" dxfId="0" priority="164" operator="equal">
      <formula>"欠"</formula>
    </cfRule>
  </conditionalFormatting>
  <conditionalFormatting sqref="T109">
    <cfRule type="cellIs" dxfId="0" priority="161" operator="equal">
      <formula>"欠"</formula>
    </cfRule>
    <cfRule type="containsText" dxfId="1" priority="162" operator="between" text="欠">
      <formula>NOT(ISERROR(SEARCH("欠",T109)))</formula>
    </cfRule>
  </conditionalFormatting>
  <conditionalFormatting sqref="U109">
    <cfRule type="cellIs" dxfId="0" priority="165" operator="equal">
      <formula>"欠"</formula>
    </cfRule>
  </conditionalFormatting>
  <conditionalFormatting sqref="V109">
    <cfRule type="cellIs" dxfId="0" priority="159" operator="equal">
      <formula>"欠"</formula>
    </cfRule>
  </conditionalFormatting>
  <conditionalFormatting sqref="W109">
    <cfRule type="cellIs" dxfId="0" priority="160" operator="equal">
      <formula>"欠"</formula>
    </cfRule>
  </conditionalFormatting>
  <conditionalFormatting sqref="AH109">
    <cfRule type="containsText" dxfId="1" priority="120" operator="between" text="欠">
      <formula>NOT(ISERROR(SEARCH("欠",AH109)))</formula>
    </cfRule>
    <cfRule type="cellIs" dxfId="0" priority="119" operator="equal">
      <formula>"欠"</formula>
    </cfRule>
  </conditionalFormatting>
  <conditionalFormatting sqref="AH111">
    <cfRule type="cellIs" dxfId="0" priority="118" operator="equal">
      <formula>"欠"</formula>
    </cfRule>
    <cfRule type="containsText" dxfId="1" priority="117" operator="between" text="欠">
      <formula>NOT(ISERROR(SEARCH("欠",AH111)))</formula>
    </cfRule>
  </conditionalFormatting>
  <conditionalFormatting sqref="V114">
    <cfRule type="cellIs" dxfId="0" priority="167" operator="equal">
      <formula>"欠"</formula>
    </cfRule>
  </conditionalFormatting>
  <conditionalFormatting sqref="V115">
    <cfRule type="cellIs" dxfId="0" priority="166" operator="equal">
      <formula>"欠"</formula>
    </cfRule>
  </conditionalFormatting>
  <conditionalFormatting sqref="R116">
    <cfRule type="containsText" dxfId="1" priority="152" operator="between" text="欠">
      <formula>NOT(ISERROR(SEARCH("欠",R116)))</formula>
    </cfRule>
    <cfRule type="cellIs" dxfId="0" priority="153" operator="equal">
      <formula>"欠"</formula>
    </cfRule>
  </conditionalFormatting>
  <conditionalFormatting sqref="T116">
    <cfRule type="containsText" dxfId="1" priority="150" operator="between" text="欠">
      <formula>NOT(ISERROR(SEARCH("欠",T116)))</formula>
    </cfRule>
    <cfRule type="cellIs" dxfId="0" priority="151" operator="equal">
      <formula>"欠"</formula>
    </cfRule>
  </conditionalFormatting>
  <conditionalFormatting sqref="U116:W116">
    <cfRule type="cellIs" dxfId="0" priority="156" operator="equal">
      <formula>"欠"</formula>
    </cfRule>
  </conditionalFormatting>
  <conditionalFormatting sqref="R117">
    <cfRule type="containsText" dxfId="1" priority="131" operator="between" text="欠">
      <formula>NOT(ISERROR(SEARCH("欠",R117)))</formula>
    </cfRule>
    <cfRule type="cellIs" dxfId="0" priority="132" operator="equal">
      <formula>"欠"</formula>
    </cfRule>
  </conditionalFormatting>
  <conditionalFormatting sqref="S117">
    <cfRule type="cellIs" dxfId="0" priority="134" operator="equal">
      <formula>"欠"</formula>
    </cfRule>
    <cfRule type="containsText" dxfId="1" priority="135" operator="between" text="欠">
      <formula>NOT(ISERROR(SEARCH("欠",S117)))</formula>
    </cfRule>
  </conditionalFormatting>
  <conditionalFormatting sqref="T117">
    <cfRule type="containsText" dxfId="1" priority="129" operator="between" text="欠">
      <formula>NOT(ISERROR(SEARCH("欠",T117)))</formula>
    </cfRule>
    <cfRule type="cellIs" dxfId="0" priority="130" operator="equal">
      <formula>"欠"</formula>
    </cfRule>
  </conditionalFormatting>
  <conditionalFormatting sqref="U117:W117">
    <cfRule type="cellIs" dxfId="0" priority="133" operator="equal">
      <formula>"欠"</formula>
    </cfRule>
  </conditionalFormatting>
  <conditionalFormatting sqref="R118">
    <cfRule type="cellIs" dxfId="0" priority="122" operator="equal">
      <formula>"欠"</formula>
    </cfRule>
    <cfRule type="containsText" dxfId="1" priority="121" operator="between" text="欠">
      <formula>NOT(ISERROR(SEARCH("欠",R118)))</formula>
    </cfRule>
  </conditionalFormatting>
  <conditionalFormatting sqref="T118">
    <cfRule type="containsText" dxfId="1" priority="124" operator="between" text="欠">
      <formula>NOT(ISERROR(SEARCH("欠",T118)))</formula>
    </cfRule>
    <cfRule type="cellIs" dxfId="0" priority="123" operator="equal">
      <formula>"欠"</formula>
    </cfRule>
  </conditionalFormatting>
  <conditionalFormatting sqref="V118">
    <cfRule type="cellIs" dxfId="0" priority="127" operator="equal">
      <formula>"欠"</formula>
    </cfRule>
  </conditionalFormatting>
  <conditionalFormatting sqref="R130">
    <cfRule type="cellIs" dxfId="0" priority="66" operator="equal">
      <formula>"欠"</formula>
    </cfRule>
    <cfRule type="containsText" dxfId="1" priority="65" operator="between" text="欠">
      <formula>NOT(ISERROR(SEARCH("欠",R130)))</formula>
    </cfRule>
  </conditionalFormatting>
  <conditionalFormatting sqref="U130">
    <cfRule type="cellIs" dxfId="0" priority="64" operator="equal">
      <formula>"欠"</formula>
    </cfRule>
  </conditionalFormatting>
  <conditionalFormatting sqref="V130:W130">
    <cfRule type="cellIs" dxfId="0" priority="63" operator="equal">
      <formula>"欠"</formula>
    </cfRule>
  </conditionalFormatting>
  <conditionalFormatting sqref="R131">
    <cfRule type="containsText" dxfId="1" priority="114" operator="between" text="欠">
      <formula>NOT(ISERROR(SEARCH("欠",R131)))</formula>
    </cfRule>
    <cfRule type="cellIs" dxfId="0" priority="115" operator="equal">
      <formula>"欠"</formula>
    </cfRule>
  </conditionalFormatting>
  <conditionalFormatting sqref="T131">
    <cfRule type="cellIs" dxfId="0" priority="110" operator="equal">
      <formula>"欠"</formula>
    </cfRule>
    <cfRule type="containsText" dxfId="1" priority="111" operator="between" text="欠">
      <formula>NOT(ISERROR(SEARCH("欠",T131)))</formula>
    </cfRule>
  </conditionalFormatting>
  <conditionalFormatting sqref="U131">
    <cfRule type="cellIs" dxfId="0" priority="116" operator="equal">
      <formula>"欠"</formula>
    </cfRule>
  </conditionalFormatting>
  <conditionalFormatting sqref="V131:W131">
    <cfRule type="cellIs" dxfId="0" priority="109" operator="equal">
      <formula>"欠"</formula>
    </cfRule>
  </conditionalFormatting>
  <conditionalFormatting sqref="V132:W132">
    <cfRule type="cellIs" dxfId="0" priority="73" operator="equal">
      <formula>"欠"</formula>
    </cfRule>
  </conditionalFormatting>
  <conditionalFormatting sqref="V133:W133">
    <cfRule type="cellIs" dxfId="0" priority="72" operator="equal">
      <formula>"欠"</formula>
    </cfRule>
  </conditionalFormatting>
  <conditionalFormatting sqref="V134:W134">
    <cfRule type="cellIs" dxfId="0" priority="71" operator="equal">
      <formula>"欠"</formula>
    </cfRule>
  </conditionalFormatting>
  <conditionalFormatting sqref="V135:W135">
    <cfRule type="cellIs" dxfId="0" priority="70" operator="equal">
      <formula>"欠"</formula>
    </cfRule>
  </conditionalFormatting>
  <conditionalFormatting sqref="R138">
    <cfRule type="containsText" dxfId="1" priority="55" operator="between" text="欠">
      <formula>NOT(ISERROR(SEARCH("欠",R138)))</formula>
    </cfRule>
    <cfRule type="cellIs" dxfId="0" priority="56" operator="equal">
      <formula>"欠"</formula>
    </cfRule>
  </conditionalFormatting>
  <conditionalFormatting sqref="U138">
    <cfRule type="cellIs" dxfId="0" priority="60" operator="equal">
      <formula>"欠"</formula>
    </cfRule>
  </conditionalFormatting>
  <conditionalFormatting sqref="V138:W138">
    <cfRule type="cellIs" dxfId="0" priority="59" operator="equal">
      <formula>"欠"</formula>
    </cfRule>
  </conditionalFormatting>
  <conditionalFormatting sqref="V142">
    <cfRule type="cellIs" dxfId="0" priority="26" operator="equal">
      <formula>"欠"</formula>
    </cfRule>
  </conditionalFormatting>
  <conditionalFormatting sqref="V143">
    <cfRule type="cellIs" dxfId="0" priority="25" operator="equal">
      <formula>"欠"</formula>
    </cfRule>
  </conditionalFormatting>
  <conditionalFormatting sqref="V144">
    <cfRule type="cellIs" dxfId="0" priority="24" operator="equal">
      <formula>"欠"</formula>
    </cfRule>
  </conditionalFormatting>
  <conditionalFormatting sqref="V145">
    <cfRule type="cellIs" dxfId="0" priority="23" operator="equal">
      <formula>"欠"</formula>
    </cfRule>
  </conditionalFormatting>
  <conditionalFormatting sqref="S146">
    <cfRule type="cellIs" dxfId="0" priority="1367" operator="equal">
      <formula>"欠"</formula>
    </cfRule>
  </conditionalFormatting>
  <conditionalFormatting sqref="T146:W146">
    <cfRule type="cellIs" dxfId="0" priority="1366" operator="equal">
      <formula>"欠"</formula>
    </cfRule>
  </conditionalFormatting>
  <conditionalFormatting sqref="R147">
    <cfRule type="cellIs" dxfId="0" priority="1362" operator="equal">
      <formula>"欠"</formula>
    </cfRule>
  </conditionalFormatting>
  <conditionalFormatting sqref="S147">
    <cfRule type="containsText" dxfId="1" priority="1349" operator="between" text="欠">
      <formula>NOT(ISERROR(SEARCH("欠",S147)))</formula>
    </cfRule>
  </conditionalFormatting>
  <conditionalFormatting sqref="T147:W147">
    <cfRule type="containsText" dxfId="1" priority="1348" operator="between" text="欠">
      <formula>NOT(ISERROR(SEARCH("欠",T147)))</formula>
    </cfRule>
  </conditionalFormatting>
  <conditionalFormatting sqref="R47:R48">
    <cfRule type="containsText" dxfId="1" priority="398" operator="between" text="欠">
      <formula>NOT(ISERROR(SEARCH("欠",R47)))</formula>
    </cfRule>
    <cfRule type="cellIs" dxfId="0" priority="399" operator="equal">
      <formula>"欠"</formula>
    </cfRule>
  </conditionalFormatting>
  <conditionalFormatting sqref="R53:R54">
    <cfRule type="containsText" dxfId="1" priority="428" operator="between" text="欠">
      <formula>NOT(ISERROR(SEARCH("欠",R53)))</formula>
    </cfRule>
    <cfRule type="containsText" dxfId="1" priority="429" operator="between" text="欠">
      <formula>NOT(ISERROR(SEARCH("欠",R53)))</formula>
    </cfRule>
    <cfRule type="cellIs" dxfId="0" priority="430" operator="equal">
      <formula>"欠"</formula>
    </cfRule>
  </conditionalFormatting>
  <conditionalFormatting sqref="R59:R60">
    <cfRule type="containsText" dxfId="1" priority="320" operator="between" text="欠">
      <formula>NOT(ISERROR(SEARCH("欠",R59)))</formula>
    </cfRule>
    <cfRule type="cellIs" dxfId="0" priority="321" operator="equal">
      <formula>"欠"</formula>
    </cfRule>
  </conditionalFormatting>
  <conditionalFormatting sqref="R62:R63">
    <cfRule type="containsText" dxfId="1" priority="343" operator="between" text="欠">
      <formula>NOT(ISERROR(SEARCH("欠",R62)))</formula>
    </cfRule>
    <cfRule type="cellIs" dxfId="0" priority="344" operator="equal">
      <formula>"欠"</formula>
    </cfRule>
  </conditionalFormatting>
  <conditionalFormatting sqref="R73:R77">
    <cfRule type="containsText" dxfId="1" priority="335" operator="between" text="欠">
      <formula>NOT(ISERROR(SEARCH("欠",R73)))</formula>
    </cfRule>
    <cfRule type="containsText" dxfId="1" priority="336" operator="between" text="欠">
      <formula>NOT(ISERROR(SEARCH("欠",R73)))</formula>
    </cfRule>
    <cfRule type="cellIs" dxfId="0" priority="337" operator="equal">
      <formula>"欠"</formula>
    </cfRule>
  </conditionalFormatting>
  <conditionalFormatting sqref="R80:R83">
    <cfRule type="containsText" dxfId="1" priority="314" operator="between" text="欠">
      <formula>NOT(ISERROR(SEARCH("欠",R80)))</formula>
    </cfRule>
    <cfRule type="cellIs" dxfId="0" priority="315" operator="equal">
      <formula>"欠"</formula>
    </cfRule>
  </conditionalFormatting>
  <conditionalFormatting sqref="R114:R115">
    <cfRule type="containsText" dxfId="1" priority="143" operator="between" text="欠">
      <formula>NOT(ISERROR(SEARCH("欠",R114)))</formula>
    </cfRule>
    <cfRule type="cellIs" dxfId="0" priority="144" operator="equal">
      <formula>"欠"</formula>
    </cfRule>
  </conditionalFormatting>
  <conditionalFormatting sqref="R119:R122">
    <cfRule type="containsText" dxfId="1" priority="233" operator="between" text="欠">
      <formula>NOT(ISERROR(SEARCH("欠",R119)))</formula>
    </cfRule>
    <cfRule type="cellIs" dxfId="0" priority="234" operator="equal">
      <formula>"欠"</formula>
    </cfRule>
  </conditionalFormatting>
  <conditionalFormatting sqref="R132:R137">
    <cfRule type="containsText" dxfId="1" priority="51" operator="between" text="欠">
      <formula>NOT(ISERROR(SEARCH("欠",R132)))</formula>
    </cfRule>
    <cfRule type="cellIs" dxfId="0" priority="52" operator="equal">
      <formula>"欠"</formula>
    </cfRule>
  </conditionalFormatting>
  <conditionalFormatting sqref="R139:R141">
    <cfRule type="containsText" dxfId="1" priority="44" operator="between" text="欠">
      <formula>NOT(ISERROR(SEARCH("欠",R139)))</formula>
    </cfRule>
    <cfRule type="cellIs" dxfId="0" priority="45" operator="equal">
      <formula>"欠"</formula>
    </cfRule>
  </conditionalFormatting>
  <conditionalFormatting sqref="R142:R145">
    <cfRule type="containsText" dxfId="1" priority="5" operator="between" text="欠">
      <formula>NOT(ISERROR(SEARCH("欠",R142)))</formula>
    </cfRule>
    <cfRule type="cellIs" dxfId="0" priority="6" operator="equal">
      <formula>"欠"</formula>
    </cfRule>
  </conditionalFormatting>
  <conditionalFormatting sqref="R148:R152">
    <cfRule type="cellIs" dxfId="0" priority="1214" operator="equal">
      <formula>"欠"</formula>
    </cfRule>
  </conditionalFormatting>
  <conditionalFormatting sqref="S62:S63">
    <cfRule type="cellIs" dxfId="0" priority="341" operator="equal">
      <formula>"欠"</formula>
    </cfRule>
    <cfRule type="containsText" dxfId="1" priority="342" operator="between" text="欠">
      <formula>NOT(ISERROR(SEARCH("欠",S62)))</formula>
    </cfRule>
  </conditionalFormatting>
  <conditionalFormatting sqref="S107:S109">
    <cfRule type="cellIs" dxfId="0" priority="191" operator="equal">
      <formula>"欠"</formula>
    </cfRule>
    <cfRule type="containsText" dxfId="1" priority="192" operator="between" text="欠">
      <formula>NOT(ISERROR(SEARCH("欠",S107)))</formula>
    </cfRule>
  </conditionalFormatting>
  <conditionalFormatting sqref="S119:S122">
    <cfRule type="cellIs" dxfId="0" priority="231" operator="equal">
      <formula>"欠"</formula>
    </cfRule>
    <cfRule type="containsText" dxfId="1" priority="232" operator="between" text="欠">
      <formula>NOT(ISERROR(SEARCH("欠",S119)))</formula>
    </cfRule>
  </conditionalFormatting>
  <conditionalFormatting sqref="S132:S137">
    <cfRule type="containsText" dxfId="1" priority="49" operator="between" text="欠">
      <formula>NOT(ISERROR(SEARCH("欠",S132)))</formula>
    </cfRule>
    <cfRule type="cellIs" dxfId="0" priority="50" operator="equal">
      <formula>"欠"</formula>
    </cfRule>
  </conditionalFormatting>
  <conditionalFormatting sqref="S142:S145">
    <cfRule type="cellIs" dxfId="0" priority="3" operator="equal">
      <formula>"欠"</formula>
    </cfRule>
    <cfRule type="containsText" dxfId="1" priority="4" operator="between" text="欠">
      <formula>NOT(ISERROR(SEARCH("欠",S142)))</formula>
    </cfRule>
  </conditionalFormatting>
  <conditionalFormatting sqref="S148:S152">
    <cfRule type="cellIs" dxfId="0" priority="1212" operator="equal">
      <formula>"欠"</formula>
    </cfRule>
    <cfRule type="containsText" dxfId="1" priority="1213" operator="between" text="欠">
      <formula>NOT(ISERROR(SEARCH("欠",S148)))</formula>
    </cfRule>
  </conditionalFormatting>
  <conditionalFormatting sqref="T13:T14">
    <cfRule type="containsText" dxfId="1" priority="435" operator="between" text="欠">
      <formula>NOT(ISERROR(SEARCH("欠",T13)))</formula>
    </cfRule>
    <cfRule type="cellIs" dxfId="0" priority="436" operator="equal">
      <formula>"欠"</formula>
    </cfRule>
  </conditionalFormatting>
  <conditionalFormatting sqref="T47:T48">
    <cfRule type="containsText" dxfId="1" priority="409" operator="between" text="欠">
      <formula>NOT(ISERROR(SEARCH("欠",T47)))</formula>
    </cfRule>
    <cfRule type="cellIs" dxfId="0" priority="410" operator="equal">
      <formula>"欠"</formula>
    </cfRule>
  </conditionalFormatting>
  <conditionalFormatting sqref="T49:T50">
    <cfRule type="cellIs" dxfId="0" priority="837" operator="equal">
      <formula>"欠"</formula>
    </cfRule>
    <cfRule type="containsText" dxfId="1" priority="838" operator="between" text="欠">
      <formula>NOT(ISERROR(SEARCH("欠",T49)))</formula>
    </cfRule>
  </conditionalFormatting>
  <conditionalFormatting sqref="T52:T53">
    <cfRule type="containsText" dxfId="1" priority="515" operator="between" text="欠">
      <formula>NOT(ISERROR(SEARCH("欠",T52)))</formula>
    </cfRule>
    <cfRule type="cellIs" dxfId="0" priority="516" operator="equal">
      <formula>"欠"</formula>
    </cfRule>
  </conditionalFormatting>
  <conditionalFormatting sqref="T55:T56">
    <cfRule type="containsText" dxfId="1" priority="604" operator="between" text="欠">
      <formula>NOT(ISERROR(SEARCH("欠",T55)))</formula>
    </cfRule>
    <cfRule type="cellIs" dxfId="0" priority="605" operator="equal">
      <formula>"欠"</formula>
    </cfRule>
  </conditionalFormatting>
  <conditionalFormatting sqref="T62:T63">
    <cfRule type="containsText" dxfId="1" priority="345" operator="between" text="欠">
      <formula>NOT(ISERROR(SEARCH("欠",T62)))</formula>
    </cfRule>
    <cfRule type="cellIs" dxfId="0" priority="346" operator="equal">
      <formula>"欠"</formula>
    </cfRule>
  </conditionalFormatting>
  <conditionalFormatting sqref="T73:T77">
    <cfRule type="containsText" dxfId="1" priority="332" operator="between" text="欠">
      <formula>NOT(ISERROR(SEARCH("欠",T73)))</formula>
    </cfRule>
    <cfRule type="cellIs" dxfId="0" priority="333" operator="equal">
      <formula>"欠"</formula>
    </cfRule>
    <cfRule type="containsText" dxfId="1" priority="334" operator="between" text="欠">
      <formula>NOT(ISERROR(SEARCH("欠",T73)))</formula>
    </cfRule>
  </conditionalFormatting>
  <conditionalFormatting sqref="T114:T115">
    <cfRule type="cellIs" dxfId="0" priority="145" operator="equal">
      <formula>"欠"</formula>
    </cfRule>
    <cfRule type="containsText" dxfId="1" priority="146" operator="between" text="欠">
      <formula>NOT(ISERROR(SEARCH("欠",T114)))</formula>
    </cfRule>
  </conditionalFormatting>
  <conditionalFormatting sqref="T119:T122">
    <cfRule type="cellIs" dxfId="0" priority="235" operator="equal">
      <formula>"欠"</formula>
    </cfRule>
    <cfRule type="containsText" dxfId="1" priority="236" operator="between" text="欠">
      <formula>NOT(ISERROR(SEARCH("欠",T119)))</formula>
    </cfRule>
  </conditionalFormatting>
  <conditionalFormatting sqref="T132:T137">
    <cfRule type="cellIs" dxfId="0" priority="47" operator="equal">
      <formula>"欠"</formula>
    </cfRule>
    <cfRule type="containsText" dxfId="1" priority="48" operator="between" text="欠">
      <formula>NOT(ISERROR(SEARCH("欠",T132)))</formula>
    </cfRule>
  </conditionalFormatting>
  <conditionalFormatting sqref="T139:T141">
    <cfRule type="cellIs" dxfId="0" priority="40" operator="equal">
      <formula>"欠"</formula>
    </cfRule>
    <cfRule type="containsText" dxfId="1" priority="41" operator="between" text="欠">
      <formula>NOT(ISERROR(SEARCH("欠",T139)))</formula>
    </cfRule>
  </conditionalFormatting>
  <conditionalFormatting sqref="T142:T145">
    <cfRule type="cellIs" dxfId="0" priority="1" operator="equal">
      <formula>"欠"</formula>
    </cfRule>
    <cfRule type="containsText" dxfId="1" priority="2" operator="between" text="欠">
      <formula>NOT(ISERROR(SEARCH("欠",T142)))</formula>
    </cfRule>
  </conditionalFormatting>
  <conditionalFormatting sqref="U73:U75">
    <cfRule type="cellIs" dxfId="0" priority="302" operator="equal">
      <formula>"欠"</formula>
    </cfRule>
  </conditionalFormatting>
  <conditionalFormatting sqref="U112:U113">
    <cfRule type="cellIs" dxfId="0" priority="187" operator="equal">
      <formula>"欠"</formula>
    </cfRule>
  </conditionalFormatting>
  <conditionalFormatting sqref="U132:U137">
    <cfRule type="cellIs" dxfId="0" priority="53" operator="equal">
      <formula>"欠"</formula>
    </cfRule>
  </conditionalFormatting>
  <conditionalFormatting sqref="U139:U141">
    <cfRule type="cellIs" dxfId="0" priority="46" operator="equal">
      <formula>"欠"</formula>
    </cfRule>
  </conditionalFormatting>
  <conditionalFormatting sqref="V49:V51">
    <cfRule type="cellIs" dxfId="0" priority="661" operator="equal">
      <formula>"欠"</formula>
    </cfRule>
  </conditionalFormatting>
  <conditionalFormatting sqref="V53:V54">
    <cfRule type="cellIs" dxfId="0" priority="463" operator="equal">
      <formula>"欠"</formula>
    </cfRule>
  </conditionalFormatting>
  <conditionalFormatting sqref="W49:W51">
    <cfRule type="cellIs" dxfId="0" priority="844" operator="equal">
      <formula>"欠"</formula>
    </cfRule>
  </conditionalFormatting>
  <conditionalFormatting sqref="R1:W2 R161:W65447 R154:W158">
    <cfRule type="cellIs" dxfId="0" priority="1373" operator="equal">
      <formula>"欠"</formula>
    </cfRule>
  </conditionalFormatting>
  <conditionalFormatting sqref="R3:T3 S13:S14 S41 S35 S56 S47:S48 R146:T152">
    <cfRule type="containsText" dxfId="1" priority="981" operator="between" text="欠">
      <formula>NOT(ISERROR(SEARCH("欠",R3)))</formula>
    </cfRule>
  </conditionalFormatting>
  <conditionalFormatting sqref="R5 R12 R17:R23 R123:R129 R65:R69 R58 R90:R105 R85 R42:R46 R107:R108">
    <cfRule type="containsText" dxfId="1" priority="952" operator="between" text="欠">
      <formula>NOT(ISERROR(SEARCH("欠",R5)))</formula>
    </cfRule>
    <cfRule type="cellIs" dxfId="0" priority="953" operator="equal">
      <formula>"欠"</formula>
    </cfRule>
  </conditionalFormatting>
  <conditionalFormatting sqref="V5:W5 U6:W6 U8:W10 U11 U13:W15 V17:W23 U26:W27 U37:W37 V40:W40 U32:W32 U49:U51 W30 V33:W34 U30 V86:W86 R146 R153:W153">
    <cfRule type="cellIs" dxfId="0" priority="1372" operator="equal">
      <formula>"欠"</formula>
    </cfRule>
  </conditionalFormatting>
  <conditionalFormatting sqref="S5 S12 S17:S23 S65:S69 S123:S129 S90:S105 S58 S42:S46">
    <cfRule type="containsText" dxfId="1" priority="950" operator="between" text="欠">
      <formula>NOT(ISERROR(SEARCH("欠",S5)))</formula>
    </cfRule>
    <cfRule type="cellIs" dxfId="0" priority="951" operator="equal">
      <formula>"欠"</formula>
    </cfRule>
  </conditionalFormatting>
  <conditionalFormatting sqref="T5 T12 T17:T23 T42:T46 T65:T69 T90:T105 T58 T123:T129 T85 T107:T108">
    <cfRule type="cellIs" dxfId="0" priority="831" operator="equal">
      <formula>"欠"</formula>
    </cfRule>
    <cfRule type="containsText" dxfId="1" priority="832" operator="between" text="欠">
      <formula>NOT(ISERROR(SEARCH("欠",T5)))</formula>
    </cfRule>
  </conditionalFormatting>
  <conditionalFormatting sqref="U5 U12 U16:U25 U58:U60 U42:U46 U33:U34 U65:U69 U90:U105 U85:U86 U123:U129 U40 U107">
    <cfRule type="cellIs" dxfId="0" priority="954" operator="equal">
      <formula>"欠"</formula>
    </cfRule>
  </conditionalFormatting>
  <conditionalFormatting sqref="R6 R9:R11 R33:R34 R86">
    <cfRule type="containsText" dxfId="1" priority="971" operator="between" text="欠">
      <formula>NOT(ISERROR(SEARCH("欠",R6)))</formula>
    </cfRule>
    <cfRule type="cellIs" dxfId="0" priority="972" operator="equal">
      <formula>"欠"</formula>
    </cfRule>
  </conditionalFormatting>
  <conditionalFormatting sqref="S6 S9:S11 S29 S86">
    <cfRule type="cellIs" dxfId="0" priority="969" operator="equal">
      <formula>"欠"</formula>
    </cfRule>
    <cfRule type="containsText" dxfId="1" priority="970" operator="between" text="欠">
      <formula>NOT(ISERROR(SEARCH("欠",S6)))</formula>
    </cfRule>
  </conditionalFormatting>
  <conditionalFormatting sqref="T6 T9:T11">
    <cfRule type="cellIs" dxfId="0" priority="967" operator="equal">
      <formula>"欠"</formula>
    </cfRule>
    <cfRule type="containsText" dxfId="1" priority="968" operator="between" text="欠">
      <formula>NOT(ISERROR(SEARCH("欠",T6)))</formula>
    </cfRule>
  </conditionalFormatting>
  <conditionalFormatting sqref="V7:W7 V31:W31">
    <cfRule type="cellIs" dxfId="0" priority="949" operator="equal">
      <formula>"欠"</formula>
    </cfRule>
  </conditionalFormatting>
  <conditionalFormatting sqref="V12:W12 V29:W29 V30">
    <cfRule type="cellIs" dxfId="0" priority="711" operator="equal">
      <formula>"欠"</formula>
    </cfRule>
  </conditionalFormatting>
  <conditionalFormatting sqref="R13:R14 R24:R25 R71">
    <cfRule type="containsText" dxfId="1" priority="888" operator="between" text="欠">
      <formula>NOT(ISERROR(SEARCH("欠",R13)))</formula>
    </cfRule>
    <cfRule type="cellIs" dxfId="0" priority="889" operator="equal">
      <formula>"欠"</formula>
    </cfRule>
  </conditionalFormatting>
  <conditionalFormatting sqref="S13:S14 S56 S35 S47:S48 S41">
    <cfRule type="cellIs" dxfId="0" priority="1369" operator="equal">
      <formula>"欠"</formula>
    </cfRule>
  </conditionalFormatting>
  <conditionalFormatting sqref="S16 S72">
    <cfRule type="cellIs" dxfId="0" priority="583" operator="equal">
      <formula>"欠"</formula>
    </cfRule>
    <cfRule type="containsText" dxfId="1" priority="584" operator="between" text="欠">
      <formula>NOT(ISERROR(SEARCH("欠",S16)))</formula>
    </cfRule>
  </conditionalFormatting>
  <conditionalFormatting sqref="T16 T72">
    <cfRule type="containsText" dxfId="1" priority="662" operator="between" text="欠">
      <formula>NOT(ISERROR(SEARCH("欠",T16)))</formula>
    </cfRule>
    <cfRule type="cellIs" dxfId="0" priority="663" operator="equal">
      <formula>"欠"</formula>
    </cfRule>
  </conditionalFormatting>
  <conditionalFormatting sqref="V16:W16 V24:W25">
    <cfRule type="cellIs" dxfId="0" priority="943" operator="equal">
      <formula>"欠"</formula>
    </cfRule>
  </conditionalFormatting>
  <conditionalFormatting sqref="S24:S25 S71">
    <cfRule type="cellIs" dxfId="0" priority="903" operator="equal">
      <formula>"欠"</formula>
    </cfRule>
  </conditionalFormatting>
  <conditionalFormatting sqref="S24:T25 T86 T33:T34 T40 S71:T71">
    <cfRule type="containsText" dxfId="1" priority="900" operator="between" text="欠">
      <formula>NOT(ISERROR(SEARCH("欠",S24)))</formula>
    </cfRule>
  </conditionalFormatting>
  <conditionalFormatting sqref="T24:T25 T86 T33:T34 T40 T71">
    <cfRule type="cellIs" dxfId="0" priority="901" operator="equal">
      <formula>"欠"</formula>
    </cfRule>
  </conditionalFormatting>
  <conditionalFormatting sqref="R26:R27 R30 R32 R49:R51">
    <cfRule type="containsText" dxfId="1" priority="936" operator="between" text="欠">
      <formula>NOT(ISERROR(SEARCH("欠",R26)))</formula>
    </cfRule>
    <cfRule type="cellIs" dxfId="0" priority="937" operator="equal">
      <formula>"欠"</formula>
    </cfRule>
  </conditionalFormatting>
  <conditionalFormatting sqref="S26:S27 S49:S50 S30">
    <cfRule type="cellIs" dxfId="0" priority="808" operator="equal">
      <formula>"欠"</formula>
    </cfRule>
    <cfRule type="containsText" dxfId="1" priority="809" operator="between" text="欠">
      <formula>NOT(ISERROR(SEARCH("欠",S26)))</formula>
    </cfRule>
  </conditionalFormatting>
  <conditionalFormatting sqref="T26:T27 T30">
    <cfRule type="cellIs" dxfId="0" priority="806" operator="equal">
      <formula>"欠"</formula>
    </cfRule>
    <cfRule type="containsText" dxfId="1" priority="807" operator="between" text="欠">
      <formula>NOT(ISERROR(SEARCH("欠",T26)))</formula>
    </cfRule>
  </conditionalFormatting>
  <conditionalFormatting sqref="S28 S51">
    <cfRule type="cellIs" dxfId="0" priority="207" operator="equal">
      <formula>"欠"</formula>
    </cfRule>
    <cfRule type="containsText" dxfId="1" priority="208" operator="between" text="欠">
      <formula>NOT(ISERROR(SEARCH("欠",S28)))</formula>
    </cfRule>
  </conditionalFormatting>
  <conditionalFormatting sqref="T28 T51">
    <cfRule type="cellIs" dxfId="0" priority="209" operator="equal">
      <formula>"欠"</formula>
    </cfRule>
    <cfRule type="containsText" dxfId="1" priority="210" operator="between" text="欠">
      <formula>NOT(ISERROR(SEARCH("欠",T28)))</formula>
    </cfRule>
  </conditionalFormatting>
  <conditionalFormatting sqref="U28:W28 U38:W38">
    <cfRule type="cellIs" dxfId="0" priority="603" operator="equal">
      <formula>"欠"</formula>
    </cfRule>
  </conditionalFormatting>
  <conditionalFormatting sqref="S32:S34 S37:S38">
    <cfRule type="cellIs" dxfId="0" priority="683" operator="equal">
      <formula>"欠"</formula>
    </cfRule>
    <cfRule type="containsText" dxfId="1" priority="684" operator="between" text="欠">
      <formula>NOT(ISERROR(SEARCH("欠",S32)))</formula>
    </cfRule>
  </conditionalFormatting>
  <conditionalFormatting sqref="T32 T37">
    <cfRule type="cellIs" dxfId="0" priority="681" operator="equal">
      <formula>"欠"</formula>
    </cfRule>
    <cfRule type="containsText" dxfId="1" priority="682" operator="between" text="欠">
      <formula>NOT(ISERROR(SEARCH("欠",T32)))</formula>
    </cfRule>
  </conditionalFormatting>
  <conditionalFormatting sqref="R35 R41">
    <cfRule type="containsText" dxfId="1" priority="540" operator="between" text="欠">
      <formula>NOT(ISERROR(SEARCH("欠",R35)))</formula>
    </cfRule>
    <cfRule type="containsText" dxfId="1" priority="541" operator="between" text="欠">
      <formula>NOT(ISERROR(SEARCH("欠",R35)))</formula>
    </cfRule>
    <cfRule type="cellIs" dxfId="0" priority="542" operator="equal">
      <formula>"欠"</formula>
    </cfRule>
  </conditionalFormatting>
  <conditionalFormatting sqref="U35 W35">
    <cfRule type="cellIs" dxfId="0" priority="529" operator="equal">
      <formula>"欠"</formula>
    </cfRule>
  </conditionalFormatting>
  <conditionalFormatting sqref="S52 S36 S55 S39">
    <cfRule type="containsText" dxfId="1" priority="624" operator="between" text="欠">
      <formula>NOT(ISERROR(SEARCH("欠",S36)))</formula>
    </cfRule>
    <cfRule type="cellIs" dxfId="0" priority="625" operator="equal">
      <formula>"欠"</formula>
    </cfRule>
    <cfRule type="containsText" dxfId="1" priority="626" operator="between" text="欠">
      <formula>NOT(ISERROR(SEARCH("欠",S36)))</formula>
    </cfRule>
  </conditionalFormatting>
  <conditionalFormatting sqref="R55:R56 R39">
    <cfRule type="containsText" dxfId="1" priority="621" operator="between" text="欠">
      <formula>NOT(ISERROR(SEARCH("欠",R39)))</formula>
    </cfRule>
    <cfRule type="containsText" dxfId="1" priority="622" operator="between" text="欠">
      <formula>NOT(ISERROR(SEARCH("欠",R39)))</formula>
    </cfRule>
    <cfRule type="cellIs" dxfId="0" priority="623" operator="equal">
      <formula>"欠"</formula>
    </cfRule>
  </conditionalFormatting>
  <conditionalFormatting sqref="U39:W39 V42:W46">
    <cfRule type="cellIs" dxfId="0" priority="660" operator="equal">
      <formula>"欠"</formula>
    </cfRule>
  </conditionalFormatting>
  <conditionalFormatting sqref="U41 W41">
    <cfRule type="cellIs" dxfId="0" priority="539" operator="equal">
      <formula>"欠"</formula>
    </cfRule>
  </conditionalFormatting>
  <conditionalFormatting sqref="U52 W52">
    <cfRule type="cellIs" dxfId="0" priority="517" operator="equal">
      <formula>"欠"</formula>
    </cfRule>
  </conditionalFormatting>
  <conditionalFormatting sqref="U53:U54 W53:W54">
    <cfRule type="cellIs" dxfId="0" priority="466" operator="equal">
      <formula>"欠"</formula>
    </cfRule>
  </conditionalFormatting>
  <conditionalFormatting sqref="S54 S116">
    <cfRule type="cellIs" dxfId="0" priority="193" operator="equal">
      <formula>"欠"</formula>
    </cfRule>
    <cfRule type="containsText" dxfId="1" priority="194" operator="between" text="欠">
      <formula>NOT(ISERROR(SEARCH("欠",S54)))</formula>
    </cfRule>
  </conditionalFormatting>
  <conditionalFormatting sqref="W58:W60 W55:W56 U55:U56">
    <cfRule type="cellIs" dxfId="0" priority="612" operator="equal">
      <formula>"欠"</formula>
    </cfRule>
  </conditionalFormatting>
  <conditionalFormatting sqref="V58:V60 V55:V56">
    <cfRule type="cellIs" dxfId="0" priority="575" operator="equal">
      <formula>"欠"</formula>
    </cfRule>
  </conditionalFormatting>
  <conditionalFormatting sqref="U57 W57">
    <cfRule type="cellIs" dxfId="0" priority="456" operator="equal">
      <formula>"欠"</formula>
    </cfRule>
  </conditionalFormatting>
  <conditionalFormatting sqref="S60 S80:S84">
    <cfRule type="containsText" dxfId="1" priority="318" operator="between" text="欠">
      <formula>NOT(ISERROR(SEARCH("欠",S60)))</formula>
    </cfRule>
    <cfRule type="cellIs" dxfId="0" priority="319" operator="equal">
      <formula>"欠"</formula>
    </cfRule>
  </conditionalFormatting>
  <conditionalFormatting sqref="T60 T80:T84">
    <cfRule type="containsText" dxfId="1" priority="316" operator="between" text="欠">
      <formula>NOT(ISERROR(SEARCH("欠",T60)))</formula>
    </cfRule>
    <cfRule type="cellIs" dxfId="0" priority="317" operator="equal">
      <formula>"欠"</formula>
    </cfRule>
  </conditionalFormatting>
  <conditionalFormatting sqref="U62 W62">
    <cfRule type="cellIs" dxfId="0" priority="385" operator="equal">
      <formula>"欠"</formula>
    </cfRule>
  </conditionalFormatting>
  <conditionalFormatting sqref="U63 W63">
    <cfRule type="cellIs" dxfId="0" priority="365" operator="equal">
      <formula>"欠"</formula>
    </cfRule>
  </conditionalFormatting>
  <conditionalFormatting sqref="W67:W69 W72 U72 W80:W85 U80:U84">
    <cfRule type="cellIs" dxfId="0" priority="493" operator="equal">
      <formula>"欠"</formula>
    </cfRule>
  </conditionalFormatting>
  <conditionalFormatting sqref="V67:V69 V72 V80:V85">
    <cfRule type="cellIs" dxfId="0" priority="484" operator="equal">
      <formula>"欠"</formula>
    </cfRule>
  </conditionalFormatting>
  <conditionalFormatting sqref="U70 W70">
    <cfRule type="cellIs" dxfId="0" priority="476" operator="equal">
      <formula>"欠"</formula>
    </cfRule>
  </conditionalFormatting>
  <conditionalFormatting sqref="U71 W71">
    <cfRule type="cellIs" dxfId="0" priority="559" operator="equal">
      <formula>"欠"</formula>
    </cfRule>
  </conditionalFormatting>
  <conditionalFormatting sqref="R72 R84">
    <cfRule type="containsText" dxfId="1" priority="496" operator="between" text="欠">
      <formula>NOT(ISERROR(SEARCH("欠",R72)))</formula>
    </cfRule>
    <cfRule type="containsText" dxfId="1" priority="499" operator="between" text="欠">
      <formula>NOT(ISERROR(SEARCH("欠",R72)))</formula>
    </cfRule>
    <cfRule type="cellIs" dxfId="0" priority="502" operator="equal">
      <formula>"欠"</formula>
    </cfRule>
  </conditionalFormatting>
  <conditionalFormatting sqref="S78 S73 S75">
    <cfRule type="containsText" dxfId="1" priority="241" operator="between" text="欠">
      <formula>NOT(ISERROR(SEARCH("欠",S73)))</formula>
    </cfRule>
  </conditionalFormatting>
  <conditionalFormatting sqref="V73:W75">
    <cfRule type="cellIs" dxfId="0" priority="301" operator="equal">
      <formula>"欠"</formula>
    </cfRule>
  </conditionalFormatting>
  <conditionalFormatting sqref="S76:S77 S74">
    <cfRule type="containsText" dxfId="1" priority="338" operator="between" text="欠">
      <formula>NOT(ISERROR(SEARCH("欠",S74)))</formula>
    </cfRule>
    <cfRule type="cellIs" dxfId="0" priority="339" operator="equal">
      <formula>"欠"</formula>
    </cfRule>
    <cfRule type="containsText" dxfId="1" priority="340" operator="between" text="欠">
      <formula>NOT(ISERROR(SEARCH("欠",S74)))</formula>
    </cfRule>
  </conditionalFormatting>
  <conditionalFormatting sqref="U76 W76">
    <cfRule type="cellIs" dxfId="0" priority="395" operator="equal">
      <formula>"欠"</formula>
    </cfRule>
  </conditionalFormatting>
  <conditionalFormatting sqref="U77 W77">
    <cfRule type="cellIs" dxfId="0" priority="375" operator="equal">
      <formula>"欠"</formula>
    </cfRule>
  </conditionalFormatting>
  <conditionalFormatting sqref="V78 V90:V99 V107">
    <cfRule type="cellIs" dxfId="0" priority="275" operator="equal">
      <formula>"欠"</formula>
    </cfRule>
  </conditionalFormatting>
  <conditionalFormatting sqref="W78 W90:W99 W107">
    <cfRule type="cellIs" dxfId="0" priority="276" operator="equal">
      <formula>"欠"</formula>
    </cfRule>
  </conditionalFormatting>
  <conditionalFormatting sqref="R87 R89">
    <cfRule type="containsText" dxfId="1" priority="228" operator="between" text="欠">
      <formula>NOT(ISERROR(SEARCH("欠",R87)))</formula>
    </cfRule>
    <cfRule type="cellIs" dxfId="0" priority="229" operator="equal">
      <formula>"欠"</formula>
    </cfRule>
  </conditionalFormatting>
  <conditionalFormatting sqref="S87 S89">
    <cfRule type="containsText" dxfId="1" priority="230" operator="between" text="欠">
      <formula>NOT(ISERROR(SEARCH("欠",S87)))</formula>
    </cfRule>
  </conditionalFormatting>
  <conditionalFormatting sqref="T87 T89">
    <cfRule type="containsText" dxfId="1" priority="226" operator="between" text="欠">
      <formula>NOT(ISERROR(SEARCH("欠",T87)))</formula>
    </cfRule>
    <cfRule type="cellIs" dxfId="0" priority="227" operator="equal">
      <formula>"欠"</formula>
    </cfRule>
  </conditionalFormatting>
  <conditionalFormatting sqref="V112:W113 V100:W105">
    <cfRule type="cellIs" dxfId="0" priority="186" operator="equal">
      <formula>"欠"</formula>
    </cfRule>
  </conditionalFormatting>
  <conditionalFormatting sqref="R106 R110:R113 R159:R160">
    <cfRule type="containsText" dxfId="1" priority="579" operator="between" text="欠">
      <formula>NOT(ISERROR(SEARCH("欠",R106)))</formula>
    </cfRule>
    <cfRule type="cellIs" dxfId="0" priority="580" operator="equal">
      <formula>"欠"</formula>
    </cfRule>
  </conditionalFormatting>
  <conditionalFormatting sqref="S106 S111:S113 S130 S159:S160">
    <cfRule type="cellIs" dxfId="0" priority="934" operator="equal">
      <formula>"欠"</formula>
    </cfRule>
    <cfRule type="containsText" dxfId="1" priority="935" operator="between" text="欠">
      <formula>NOT(ISERROR(SEARCH("欠",S106)))</formula>
    </cfRule>
  </conditionalFormatting>
  <conditionalFormatting sqref="T106 T110:T111 T138 T159:T160">
    <cfRule type="containsText" dxfId="1" priority="587" operator="between" text="欠">
      <formula>NOT(ISERROR(SEARCH("欠",T106)))</formula>
    </cfRule>
    <cfRule type="cellIs" dxfId="0" priority="588" operator="equal">
      <formula>"欠"</formula>
    </cfRule>
  </conditionalFormatting>
  <conditionalFormatting sqref="U106 U119:U122 U110:U111 U159:U160">
    <cfRule type="cellIs" dxfId="0" priority="592" operator="equal">
      <formula>"欠"</formula>
    </cfRule>
  </conditionalFormatting>
  <conditionalFormatting sqref="V106:W106 V119:W129 V110:W111 V159:W160">
    <cfRule type="cellIs" dxfId="0" priority="591" operator="equal">
      <formula>"欠"</formula>
    </cfRule>
  </conditionalFormatting>
  <conditionalFormatting sqref="S110 S138">
    <cfRule type="containsText" dxfId="1" priority="190" operator="between" text="欠">
      <formula>NOT(ISERROR(SEARCH("欠",S110)))</formula>
    </cfRule>
  </conditionalFormatting>
  <conditionalFormatting sqref="T112:T113 T130">
    <cfRule type="containsText" dxfId="1" priority="180" operator="between" text="欠">
      <formula>NOT(ISERROR(SEARCH("欠",T112)))</formula>
    </cfRule>
    <cfRule type="cellIs" dxfId="0" priority="181" operator="equal">
      <formula>"欠"</formula>
    </cfRule>
  </conditionalFormatting>
  <conditionalFormatting sqref="S118 S114:S115">
    <cfRule type="cellIs" dxfId="0" priority="147" operator="equal">
      <formula>"欠"</formula>
    </cfRule>
    <cfRule type="containsText" dxfId="1" priority="148" operator="between" text="欠">
      <formula>NOT(ISERROR(SEARCH("欠",S114)))</formula>
    </cfRule>
  </conditionalFormatting>
  <conditionalFormatting sqref="U114 W114">
    <cfRule type="cellIs" dxfId="0" priority="169" operator="equal">
      <formula>"欠"</formula>
    </cfRule>
  </conditionalFormatting>
  <conditionalFormatting sqref="U115 W115">
    <cfRule type="cellIs" dxfId="0" priority="168" operator="equal">
      <formula>"欠"</formula>
    </cfRule>
  </conditionalFormatting>
  <conditionalFormatting sqref="U118 W118">
    <cfRule type="cellIs" dxfId="0" priority="128" operator="equal">
      <formula>"欠"</formula>
    </cfRule>
  </conditionalFormatting>
  <conditionalFormatting sqref="S131 S139:S141">
    <cfRule type="containsText" dxfId="1" priority="112" operator="between" text="欠">
      <formula>NOT(ISERROR(SEARCH("欠",S131)))</formula>
    </cfRule>
    <cfRule type="cellIs" dxfId="0" priority="113" operator="equal">
      <formula>"欠"</formula>
    </cfRule>
  </conditionalFormatting>
  <conditionalFormatting sqref="V136:W137">
    <cfRule type="cellIs" dxfId="0" priority="69" operator="equal">
      <formula>"欠"</formula>
    </cfRule>
  </conditionalFormatting>
  <conditionalFormatting sqref="V139:W141">
    <cfRule type="cellIs" dxfId="0" priority="39" operator="equal">
      <formula>"欠"</formula>
    </cfRule>
  </conditionalFormatting>
  <conditionalFormatting sqref="U142 W142">
    <cfRule type="cellIs" dxfId="0" priority="30" operator="equal">
      <formula>"欠"</formula>
    </cfRule>
  </conditionalFormatting>
  <conditionalFormatting sqref="U143 W143">
    <cfRule type="cellIs" dxfId="0" priority="29" operator="equal">
      <formula>"欠"</formula>
    </cfRule>
  </conditionalFormatting>
  <conditionalFormatting sqref="U144 W144">
    <cfRule type="cellIs" dxfId="0" priority="28" operator="equal">
      <formula>"欠"</formula>
    </cfRule>
  </conditionalFormatting>
  <conditionalFormatting sqref="U145 W145">
    <cfRule type="cellIs" dxfId="0" priority="27" operator="equal">
      <formula>"欠"</formula>
    </cfRule>
  </conditionalFormatting>
  <conditionalFormatting sqref="T148:W152">
    <cfRule type="cellIs" dxfId="0" priority="1203" operator="equal">
      <formula>"欠"</formula>
    </cfRule>
    <cfRule type="containsText" dxfId="1" priority="1204" operator="between" text="欠">
      <formula>NOT(ISERROR(SEARCH("欠",T148)))</formula>
    </cfRule>
  </conditionalFormatting>
  <dataValidations count="1">
    <dataValidation type="list" allowBlank="1" showInputMessage="1" showErrorMessage="1" sqref="S28:S51 S142:S145">
      <formula1>"有,无"</formula1>
    </dataValidation>
  </dataValidations>
  <pageMargins left="0" right="0.0791666666666667" top="0.388888888888889" bottom="0.509027777777778" header="0.5" footer="0.5"/>
  <pageSetup paperSize="9" scale="13" orientation="portrait" horizontalDpi="600"/>
  <headerFooter alignWithMargins="0" scaleWithDoc="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8"/>
  <sheetViews>
    <sheetView workbookViewId="0">
      <selection activeCell="N20" sqref="N20"/>
    </sheetView>
  </sheetViews>
  <sheetFormatPr defaultColWidth="8.64166666666667" defaultRowHeight="14.25" customHeight="1"/>
  <cols>
    <col min="1" max="1" width="20.2" style="331" customWidth="1"/>
    <col min="2" max="2" width="25.8916666666667" style="332" customWidth="1"/>
    <col min="3" max="3" width="7.5" style="332" customWidth="1"/>
    <col min="4" max="7" width="14.8916666666667" style="333" customWidth="1"/>
    <col min="8" max="12" width="14.8916666666667" style="333" hidden="1" customWidth="1"/>
    <col min="13" max="13" width="14.8916666666667" style="334" customWidth="1"/>
    <col min="14" max="14" width="36.725" style="332" customWidth="1"/>
    <col min="15" max="15" width="13.7916666666667" style="330" customWidth="1"/>
    <col min="16" max="16" width="9.65" style="328" customWidth="1"/>
    <col min="17" max="16384" width="8.64166666666667" style="328"/>
  </cols>
  <sheetData>
    <row r="1" s="328" customFormat="1" customHeight="1" spans="1:15">
      <c r="A1" s="335"/>
      <c r="B1" s="336" t="s">
        <v>4487</v>
      </c>
      <c r="C1" s="336"/>
      <c r="D1" s="337" t="s">
        <v>6042</v>
      </c>
      <c r="E1" s="338" t="s">
        <v>6043</v>
      </c>
      <c r="F1" s="338" t="s">
        <v>6044</v>
      </c>
      <c r="G1" s="338" t="s">
        <v>6045</v>
      </c>
      <c r="H1" s="338" t="s">
        <v>6045</v>
      </c>
      <c r="I1" s="338" t="s">
        <v>6045</v>
      </c>
      <c r="J1" s="338" t="s">
        <v>6045</v>
      </c>
      <c r="K1" s="338" t="s">
        <v>6045</v>
      </c>
      <c r="L1" s="338" t="s">
        <v>6045</v>
      </c>
      <c r="M1" s="372" t="s">
        <v>4499</v>
      </c>
      <c r="N1" s="373"/>
      <c r="O1" s="330"/>
    </row>
    <row r="2" s="328" customFormat="1" customHeight="1" spans="1:15">
      <c r="A2" s="335"/>
      <c r="B2" s="336" t="s">
        <v>4500</v>
      </c>
      <c r="C2" s="336"/>
      <c r="D2" s="339">
        <v>45887</v>
      </c>
      <c r="E2" s="340">
        <v>45947</v>
      </c>
      <c r="F2" s="340">
        <v>46058</v>
      </c>
      <c r="G2" s="340"/>
      <c r="H2" s="340"/>
      <c r="I2" s="340"/>
      <c r="J2" s="340"/>
      <c r="K2" s="340"/>
      <c r="L2" s="340"/>
      <c r="M2" s="339"/>
      <c r="N2" s="373"/>
      <c r="O2" s="330"/>
    </row>
    <row r="3" s="328" customFormat="1" customHeight="1" spans="1:16">
      <c r="A3" s="335"/>
      <c r="B3" s="336" t="s">
        <v>4501</v>
      </c>
      <c r="C3" s="336"/>
      <c r="D3" s="339">
        <v>45938</v>
      </c>
      <c r="E3" s="340">
        <v>45992</v>
      </c>
      <c r="F3" s="340">
        <v>46111</v>
      </c>
      <c r="G3" s="340"/>
      <c r="H3" s="340"/>
      <c r="I3" s="340"/>
      <c r="J3" s="340"/>
      <c r="K3" s="340"/>
      <c r="L3" s="340"/>
      <c r="M3" s="339"/>
      <c r="N3" s="374" t="s">
        <v>4505</v>
      </c>
      <c r="O3" s="375" t="s">
        <v>6046</v>
      </c>
      <c r="P3" s="375" t="s">
        <v>6047</v>
      </c>
    </row>
    <row r="4" s="328" customFormat="1" ht="15" customHeight="1" spans="1:16">
      <c r="A4" s="335"/>
      <c r="B4" s="341" t="s">
        <v>6048</v>
      </c>
      <c r="C4" s="341"/>
      <c r="D4" s="342">
        <v>500000</v>
      </c>
      <c r="E4" s="342">
        <v>400000</v>
      </c>
      <c r="F4" s="342">
        <v>200000</v>
      </c>
      <c r="G4" s="342"/>
      <c r="H4" s="342"/>
      <c r="I4" s="342"/>
      <c r="J4" s="342"/>
      <c r="K4" s="342"/>
      <c r="L4" s="342"/>
      <c r="M4" s="376">
        <f>SUM(D4:L4)</f>
        <v>1100000</v>
      </c>
      <c r="N4" s="374"/>
      <c r="O4" s="377">
        <f>'77773二代'!AJ154</f>
        <v>878479</v>
      </c>
      <c r="P4" s="377">
        <f t="shared" ref="P4:P8" si="0">M4-O4</f>
        <v>221521</v>
      </c>
    </row>
    <row r="5" s="328" customFormat="1" customHeight="1" spans="1:16">
      <c r="A5" s="343" t="s">
        <v>4506</v>
      </c>
      <c r="B5" s="344"/>
      <c r="C5" s="344" t="s">
        <v>4507</v>
      </c>
      <c r="D5" s="345">
        <f t="shared" ref="D5:L5" si="1">D4</f>
        <v>500000</v>
      </c>
      <c r="E5" s="345">
        <f t="shared" si="1"/>
        <v>400000</v>
      </c>
      <c r="F5" s="345">
        <f t="shared" si="1"/>
        <v>200000</v>
      </c>
      <c r="G5" s="345">
        <f t="shared" si="1"/>
        <v>0</v>
      </c>
      <c r="H5" s="345">
        <f t="shared" si="1"/>
        <v>0</v>
      </c>
      <c r="I5" s="345">
        <f t="shared" si="1"/>
        <v>0</v>
      </c>
      <c r="J5" s="345">
        <f t="shared" si="1"/>
        <v>0</v>
      </c>
      <c r="K5" s="345">
        <f t="shared" si="1"/>
        <v>0</v>
      </c>
      <c r="L5" s="345">
        <f t="shared" si="1"/>
        <v>0</v>
      </c>
      <c r="M5" s="345">
        <f>SUM(M4:M4)</f>
        <v>1100000</v>
      </c>
      <c r="N5" s="378"/>
      <c r="O5" s="379"/>
      <c r="P5" s="375"/>
    </row>
    <row r="6" s="328" customFormat="1" ht="35.25" customHeight="1" spans="1:16">
      <c r="A6" s="346" t="s">
        <v>6049</v>
      </c>
      <c r="B6" s="347" t="s">
        <v>6050</v>
      </c>
      <c r="C6" s="341"/>
      <c r="D6" s="342">
        <v>30000</v>
      </c>
      <c r="E6" s="342">
        <v>20000</v>
      </c>
      <c r="F6" s="342"/>
      <c r="G6" s="342"/>
      <c r="H6" s="342"/>
      <c r="I6" s="342"/>
      <c r="J6" s="342"/>
      <c r="K6" s="342"/>
      <c r="L6" s="342"/>
      <c r="M6" s="376">
        <f t="shared" ref="M6:M10" si="2">SUM(D6:K6)</f>
        <v>50000</v>
      </c>
      <c r="N6" s="380" t="s">
        <v>6051</v>
      </c>
      <c r="O6" s="377">
        <f>'77773二代'!BB154+'77773二代'!BA154+'77773二代'!BC154</f>
        <v>20979</v>
      </c>
      <c r="P6" s="377">
        <f t="shared" si="0"/>
        <v>29021</v>
      </c>
    </row>
    <row r="7" s="328" customFormat="1" customHeight="1" spans="1:16">
      <c r="A7" s="343" t="s">
        <v>4511</v>
      </c>
      <c r="B7" s="344"/>
      <c r="C7" s="344" t="s">
        <v>4512</v>
      </c>
      <c r="D7" s="345">
        <f t="shared" ref="D7:K7" si="3">D6</f>
        <v>30000</v>
      </c>
      <c r="E7" s="345">
        <f t="shared" si="3"/>
        <v>20000</v>
      </c>
      <c r="F7" s="345">
        <f t="shared" si="3"/>
        <v>0</v>
      </c>
      <c r="G7" s="345">
        <f t="shared" si="3"/>
        <v>0</v>
      </c>
      <c r="H7" s="345">
        <f t="shared" si="3"/>
        <v>0</v>
      </c>
      <c r="I7" s="345">
        <f t="shared" si="3"/>
        <v>0</v>
      </c>
      <c r="J7" s="345">
        <f t="shared" si="3"/>
        <v>0</v>
      </c>
      <c r="K7" s="345">
        <f t="shared" si="3"/>
        <v>0</v>
      </c>
      <c r="L7" s="345"/>
      <c r="M7" s="345">
        <f>SUM(M6:M6)</f>
        <v>50000</v>
      </c>
      <c r="N7" s="378"/>
      <c r="O7" s="375"/>
      <c r="P7" s="375"/>
    </row>
    <row r="8" s="328" customFormat="1" ht="20" customHeight="1" spans="1:16">
      <c r="A8" s="346" t="s">
        <v>6052</v>
      </c>
      <c r="B8" s="348" t="s">
        <v>6053</v>
      </c>
      <c r="C8" s="349"/>
      <c r="D8" s="350">
        <v>300</v>
      </c>
      <c r="E8" s="350">
        <v>300</v>
      </c>
      <c r="F8" s="350">
        <v>300</v>
      </c>
      <c r="G8" s="350"/>
      <c r="H8" s="350"/>
      <c r="I8" s="350"/>
      <c r="J8" s="350"/>
      <c r="K8" s="342"/>
      <c r="L8" s="342"/>
      <c r="M8" s="376">
        <f t="shared" si="2"/>
        <v>900</v>
      </c>
      <c r="N8" s="381" t="s">
        <v>4515</v>
      </c>
      <c r="O8" s="377">
        <f>'77773二代'!BF154+'77773二代'!BH154+'77773二代'!BJ154+'77773二代'!BL154</f>
        <v>625</v>
      </c>
      <c r="P8" s="377">
        <f t="shared" si="0"/>
        <v>275</v>
      </c>
    </row>
    <row r="9" s="328" customFormat="1" ht="20" customHeight="1" spans="1:16">
      <c r="A9" s="346" t="s">
        <v>6054</v>
      </c>
      <c r="B9" s="347" t="s">
        <v>6055</v>
      </c>
      <c r="C9" s="349"/>
      <c r="D9" s="350">
        <v>300</v>
      </c>
      <c r="E9" s="350">
        <v>300</v>
      </c>
      <c r="F9" s="350">
        <v>300</v>
      </c>
      <c r="G9" s="350"/>
      <c r="H9" s="350"/>
      <c r="I9" s="350"/>
      <c r="J9" s="350"/>
      <c r="K9" s="342"/>
      <c r="L9" s="342"/>
      <c r="M9" s="376">
        <f t="shared" si="2"/>
        <v>900</v>
      </c>
      <c r="N9" s="382"/>
      <c r="O9" s="377">
        <f>O8</f>
        <v>625</v>
      </c>
      <c r="P9" s="377">
        <f t="shared" ref="P9:P12" si="4">M9-O9</f>
        <v>275</v>
      </c>
    </row>
    <row r="10" s="328" customFormat="1" ht="20" customHeight="1" spans="1:16">
      <c r="A10" s="346" t="s">
        <v>6056</v>
      </c>
      <c r="B10" s="347" t="s">
        <v>6057</v>
      </c>
      <c r="C10" s="349"/>
      <c r="D10" s="350">
        <v>300</v>
      </c>
      <c r="E10" s="350">
        <v>300</v>
      </c>
      <c r="F10" s="350">
        <v>300</v>
      </c>
      <c r="G10" s="350"/>
      <c r="H10" s="350"/>
      <c r="I10" s="350"/>
      <c r="J10" s="350"/>
      <c r="K10" s="342"/>
      <c r="L10" s="342"/>
      <c r="M10" s="376">
        <f t="shared" si="2"/>
        <v>900</v>
      </c>
      <c r="N10" s="383"/>
      <c r="O10" s="377">
        <f>O9</f>
        <v>625</v>
      </c>
      <c r="P10" s="377">
        <f t="shared" si="4"/>
        <v>275</v>
      </c>
    </row>
    <row r="11" s="328" customFormat="1" customHeight="1" spans="1:16">
      <c r="A11" s="343" t="s">
        <v>4506</v>
      </c>
      <c r="B11" s="344"/>
      <c r="C11" s="344" t="s">
        <v>4522</v>
      </c>
      <c r="D11" s="351">
        <f t="shared" ref="D11:L11" si="5">D8</f>
        <v>300</v>
      </c>
      <c r="E11" s="351">
        <f t="shared" si="5"/>
        <v>300</v>
      </c>
      <c r="F11" s="351">
        <f t="shared" si="5"/>
        <v>300</v>
      </c>
      <c r="G11" s="351">
        <f t="shared" si="5"/>
        <v>0</v>
      </c>
      <c r="H11" s="351">
        <f t="shared" si="5"/>
        <v>0</v>
      </c>
      <c r="I11" s="351">
        <f t="shared" si="5"/>
        <v>0</v>
      </c>
      <c r="J11" s="351">
        <f t="shared" si="5"/>
        <v>0</v>
      </c>
      <c r="K11" s="351">
        <f t="shared" si="5"/>
        <v>0</v>
      </c>
      <c r="L11" s="351">
        <f t="shared" si="5"/>
        <v>0</v>
      </c>
      <c r="M11" s="345">
        <f>SUM(M10:M10)</f>
        <v>900</v>
      </c>
      <c r="N11" s="378"/>
      <c r="O11" s="375"/>
      <c r="P11" s="375"/>
    </row>
    <row r="12" s="328" customFormat="1" ht="15" customHeight="1" spans="1:16">
      <c r="A12" s="346" t="s">
        <v>6052</v>
      </c>
      <c r="B12" s="348" t="s">
        <v>6053</v>
      </c>
      <c r="C12" s="349">
        <v>0.0979166666666667</v>
      </c>
      <c r="D12" s="350">
        <f t="shared" ref="D12:D22" si="6">ROUNDUP(D$4*$C12,0)</f>
        <v>48959</v>
      </c>
      <c r="E12" s="350">
        <v>39167</v>
      </c>
      <c r="F12" s="350">
        <v>19584</v>
      </c>
      <c r="G12" s="350"/>
      <c r="H12" s="350"/>
      <c r="I12" s="350"/>
      <c r="J12" s="350"/>
      <c r="K12" s="350"/>
      <c r="L12" s="350"/>
      <c r="M12" s="376">
        <f>SUM(D12:L12)</f>
        <v>107710</v>
      </c>
      <c r="N12" s="347"/>
      <c r="O12" s="377">
        <f>O$4*C12</f>
        <v>86017.7354166667</v>
      </c>
      <c r="P12" s="377">
        <f t="shared" si="4"/>
        <v>21692.2645833333</v>
      </c>
    </row>
    <row r="13" s="328" customFormat="1" ht="15" customHeight="1" spans="1:16">
      <c r="A13" s="346" t="s">
        <v>6058</v>
      </c>
      <c r="B13" s="347" t="s">
        <v>6059</v>
      </c>
      <c r="C13" s="349">
        <v>0.0979166666666667</v>
      </c>
      <c r="D13" s="350">
        <f t="shared" si="6"/>
        <v>48959</v>
      </c>
      <c r="E13" s="350">
        <v>39167</v>
      </c>
      <c r="F13" s="350">
        <v>19584</v>
      </c>
      <c r="G13" s="350"/>
      <c r="H13" s="350"/>
      <c r="I13" s="350"/>
      <c r="J13" s="350"/>
      <c r="K13" s="350"/>
      <c r="L13" s="350"/>
      <c r="M13" s="376">
        <f t="shared" ref="M13:M22" si="7">SUM(D13:K13)</f>
        <v>107710</v>
      </c>
      <c r="N13" s="347"/>
      <c r="O13" s="377">
        <f t="shared" ref="O13:O22" si="8">O$4*C13</f>
        <v>86017.7354166667</v>
      </c>
      <c r="P13" s="377">
        <f t="shared" ref="P13:P22" si="9">M13-O13</f>
        <v>21692.2645833333</v>
      </c>
    </row>
    <row r="14" s="328" customFormat="1" ht="15" customHeight="1" spans="1:16">
      <c r="A14" s="346" t="s">
        <v>6054</v>
      </c>
      <c r="B14" s="347" t="s">
        <v>6055</v>
      </c>
      <c r="C14" s="349">
        <v>0.0979166666666667</v>
      </c>
      <c r="D14" s="350">
        <f t="shared" si="6"/>
        <v>48959</v>
      </c>
      <c r="E14" s="350">
        <v>39167</v>
      </c>
      <c r="F14" s="350">
        <v>19584</v>
      </c>
      <c r="G14" s="350"/>
      <c r="H14" s="350"/>
      <c r="I14" s="350"/>
      <c r="J14" s="350"/>
      <c r="K14" s="350"/>
      <c r="L14" s="350"/>
      <c r="M14" s="376">
        <f t="shared" si="7"/>
        <v>107710</v>
      </c>
      <c r="N14" s="347"/>
      <c r="O14" s="377">
        <f t="shared" si="8"/>
        <v>86017.7354166667</v>
      </c>
      <c r="P14" s="377">
        <f t="shared" si="9"/>
        <v>21692.2645833333</v>
      </c>
    </row>
    <row r="15" s="328" customFormat="1" ht="15" customHeight="1" spans="1:16">
      <c r="A15" s="346" t="s">
        <v>6049</v>
      </c>
      <c r="B15" s="347" t="s">
        <v>6050</v>
      </c>
      <c r="C15" s="349">
        <v>0.0979166666666667</v>
      </c>
      <c r="D15" s="350">
        <f t="shared" si="6"/>
        <v>48959</v>
      </c>
      <c r="E15" s="350">
        <v>39167</v>
      </c>
      <c r="F15" s="350">
        <v>19584</v>
      </c>
      <c r="G15" s="350"/>
      <c r="H15" s="350"/>
      <c r="I15" s="350"/>
      <c r="J15" s="350"/>
      <c r="K15" s="350"/>
      <c r="L15" s="350"/>
      <c r="M15" s="376">
        <f t="shared" si="7"/>
        <v>107710</v>
      </c>
      <c r="N15" s="347"/>
      <c r="O15" s="377">
        <f t="shared" si="8"/>
        <v>86017.7354166667</v>
      </c>
      <c r="P15" s="377">
        <f t="shared" si="9"/>
        <v>21692.2645833333</v>
      </c>
    </row>
    <row r="16" s="328" customFormat="1" ht="15" customHeight="1" spans="1:16">
      <c r="A16" s="346" t="s">
        <v>6060</v>
      </c>
      <c r="B16" s="347" t="s">
        <v>6061</v>
      </c>
      <c r="C16" s="349">
        <v>0.0208333333333333</v>
      </c>
      <c r="D16" s="350">
        <f t="shared" si="6"/>
        <v>10417</v>
      </c>
      <c r="E16" s="350">
        <v>8334</v>
      </c>
      <c r="F16" s="350">
        <v>4167</v>
      </c>
      <c r="G16" s="350"/>
      <c r="H16" s="350"/>
      <c r="I16" s="350"/>
      <c r="J16" s="350"/>
      <c r="K16" s="350"/>
      <c r="L16" s="350"/>
      <c r="M16" s="376">
        <f t="shared" si="7"/>
        <v>22918</v>
      </c>
      <c r="N16" s="347"/>
      <c r="O16" s="377">
        <f t="shared" si="8"/>
        <v>18301.6458333333</v>
      </c>
      <c r="P16" s="377">
        <f t="shared" si="9"/>
        <v>4616.35416666669</v>
      </c>
    </row>
    <row r="17" s="328" customFormat="1" ht="15" customHeight="1" spans="1:16">
      <c r="A17" s="346" t="s">
        <v>6062</v>
      </c>
      <c r="B17" s="347" t="s">
        <v>6063</v>
      </c>
      <c r="C17" s="349">
        <v>0.0979166666666667</v>
      </c>
      <c r="D17" s="350">
        <f t="shared" si="6"/>
        <v>48959</v>
      </c>
      <c r="E17" s="350">
        <v>39167</v>
      </c>
      <c r="F17" s="350">
        <v>19584</v>
      </c>
      <c r="G17" s="350"/>
      <c r="H17" s="350"/>
      <c r="I17" s="350"/>
      <c r="J17" s="350"/>
      <c r="K17" s="350"/>
      <c r="L17" s="350"/>
      <c r="M17" s="376">
        <f t="shared" si="7"/>
        <v>107710</v>
      </c>
      <c r="N17" s="347"/>
      <c r="O17" s="377">
        <f t="shared" si="8"/>
        <v>86017.7354166667</v>
      </c>
      <c r="P17" s="377">
        <f t="shared" si="9"/>
        <v>21692.2645833333</v>
      </c>
    </row>
    <row r="18" s="328" customFormat="1" ht="15" customHeight="1" spans="1:16">
      <c r="A18" s="346" t="s">
        <v>6064</v>
      </c>
      <c r="B18" s="347" t="s">
        <v>6065</v>
      </c>
      <c r="C18" s="349">
        <v>0.0979166666666667</v>
      </c>
      <c r="D18" s="350">
        <f t="shared" si="6"/>
        <v>48959</v>
      </c>
      <c r="E18" s="350">
        <v>39167</v>
      </c>
      <c r="F18" s="350">
        <v>19584</v>
      </c>
      <c r="G18" s="350"/>
      <c r="H18" s="350"/>
      <c r="I18" s="350"/>
      <c r="J18" s="350"/>
      <c r="K18" s="350"/>
      <c r="L18" s="350"/>
      <c r="M18" s="376">
        <f t="shared" si="7"/>
        <v>107710</v>
      </c>
      <c r="N18" s="347"/>
      <c r="O18" s="377">
        <f t="shared" si="8"/>
        <v>86017.7354166667</v>
      </c>
      <c r="P18" s="377">
        <f t="shared" si="9"/>
        <v>21692.2645833333</v>
      </c>
    </row>
    <row r="19" s="328" customFormat="1" ht="15" customHeight="1" spans="1:16">
      <c r="A19" s="346" t="s">
        <v>6056</v>
      </c>
      <c r="B19" s="347" t="s">
        <v>6057</v>
      </c>
      <c r="C19" s="349">
        <v>0.0979166666666667</v>
      </c>
      <c r="D19" s="350">
        <f t="shared" si="6"/>
        <v>48959</v>
      </c>
      <c r="E19" s="350">
        <v>39167</v>
      </c>
      <c r="F19" s="350">
        <v>19584</v>
      </c>
      <c r="G19" s="350"/>
      <c r="H19" s="350"/>
      <c r="I19" s="350"/>
      <c r="J19" s="350"/>
      <c r="K19" s="350"/>
      <c r="L19" s="350"/>
      <c r="M19" s="376">
        <f t="shared" si="7"/>
        <v>107710</v>
      </c>
      <c r="N19" s="347"/>
      <c r="O19" s="377">
        <f t="shared" si="8"/>
        <v>86017.7354166667</v>
      </c>
      <c r="P19" s="377">
        <f t="shared" si="9"/>
        <v>21692.2645833333</v>
      </c>
    </row>
    <row r="20" s="328" customFormat="1" ht="15" customHeight="1" spans="1:16">
      <c r="A20" s="346" t="s">
        <v>6066</v>
      </c>
      <c r="B20" s="347" t="s">
        <v>6067</v>
      </c>
      <c r="C20" s="349">
        <v>0.0979166666666667</v>
      </c>
      <c r="D20" s="350">
        <f t="shared" si="6"/>
        <v>48959</v>
      </c>
      <c r="E20" s="350">
        <v>39167</v>
      </c>
      <c r="F20" s="350">
        <v>19584</v>
      </c>
      <c r="G20" s="350"/>
      <c r="H20" s="350"/>
      <c r="I20" s="350"/>
      <c r="J20" s="350"/>
      <c r="K20" s="350"/>
      <c r="L20" s="350"/>
      <c r="M20" s="376">
        <f t="shared" si="7"/>
        <v>107710</v>
      </c>
      <c r="N20" s="347"/>
      <c r="O20" s="377">
        <f t="shared" si="8"/>
        <v>86017.7354166667</v>
      </c>
      <c r="P20" s="377">
        <f t="shared" si="9"/>
        <v>21692.2645833333</v>
      </c>
    </row>
    <row r="21" s="328" customFormat="1" ht="15" customHeight="1" spans="1:16">
      <c r="A21" s="346" t="s">
        <v>6068</v>
      </c>
      <c r="B21" s="347" t="s">
        <v>6069</v>
      </c>
      <c r="C21" s="349">
        <v>0.0979166666666667</v>
      </c>
      <c r="D21" s="350">
        <f t="shared" si="6"/>
        <v>48959</v>
      </c>
      <c r="E21" s="350">
        <v>39167</v>
      </c>
      <c r="F21" s="350">
        <v>19584</v>
      </c>
      <c r="G21" s="350"/>
      <c r="H21" s="350"/>
      <c r="I21" s="350"/>
      <c r="J21" s="350"/>
      <c r="K21" s="350"/>
      <c r="L21" s="350"/>
      <c r="M21" s="376">
        <f t="shared" si="7"/>
        <v>107710</v>
      </c>
      <c r="N21" s="347"/>
      <c r="O21" s="377">
        <f t="shared" si="8"/>
        <v>86017.7354166667</v>
      </c>
      <c r="P21" s="377">
        <f t="shared" si="9"/>
        <v>21692.2645833333</v>
      </c>
    </row>
    <row r="22" s="328" customFormat="1" ht="15" customHeight="1" spans="1:16">
      <c r="A22" s="346" t="s">
        <v>6070</v>
      </c>
      <c r="B22" s="347" t="s">
        <v>6071</v>
      </c>
      <c r="C22" s="349">
        <v>0.0979166666666667</v>
      </c>
      <c r="D22" s="350">
        <f t="shared" si="6"/>
        <v>48959</v>
      </c>
      <c r="E22" s="350">
        <v>39167</v>
      </c>
      <c r="F22" s="350">
        <v>19584</v>
      </c>
      <c r="G22" s="350"/>
      <c r="H22" s="350"/>
      <c r="I22" s="350"/>
      <c r="J22" s="350"/>
      <c r="K22" s="350"/>
      <c r="L22" s="350"/>
      <c r="M22" s="376">
        <f t="shared" si="7"/>
        <v>107710</v>
      </c>
      <c r="N22" s="347"/>
      <c r="O22" s="377">
        <f t="shared" si="8"/>
        <v>86017.7354166667</v>
      </c>
      <c r="P22" s="377">
        <f t="shared" si="9"/>
        <v>21692.2645833333</v>
      </c>
    </row>
    <row r="23" s="328" customFormat="1" customHeight="1" spans="1:15">
      <c r="A23" s="343"/>
      <c r="B23" s="344"/>
      <c r="C23" s="352" t="s">
        <v>4499</v>
      </c>
      <c r="D23" s="345">
        <f t="shared" ref="D23:M23" si="10">SUM(D12:D22)</f>
        <v>500007</v>
      </c>
      <c r="E23" s="345">
        <f t="shared" si="10"/>
        <v>400004</v>
      </c>
      <c r="F23" s="345">
        <f t="shared" si="10"/>
        <v>200007</v>
      </c>
      <c r="G23" s="345">
        <f t="shared" si="10"/>
        <v>0</v>
      </c>
      <c r="H23" s="345">
        <f t="shared" si="10"/>
        <v>0</v>
      </c>
      <c r="I23" s="345">
        <f t="shared" si="10"/>
        <v>0</v>
      </c>
      <c r="J23" s="345">
        <f t="shared" si="10"/>
        <v>0</v>
      </c>
      <c r="K23" s="345">
        <f t="shared" si="10"/>
        <v>0</v>
      </c>
      <c r="L23" s="345">
        <f t="shared" si="10"/>
        <v>0</v>
      </c>
      <c r="M23" s="345">
        <f t="shared" si="10"/>
        <v>1100018</v>
      </c>
      <c r="N23" s="378"/>
      <c r="O23" s="330"/>
    </row>
    <row r="24" s="328" customFormat="1" spans="1:15">
      <c r="A24" s="353" t="s">
        <v>4505</v>
      </c>
      <c r="B24" s="354"/>
      <c r="C24" s="354"/>
      <c r="D24" s="355"/>
      <c r="E24" s="355"/>
      <c r="F24" s="355"/>
      <c r="G24" s="355"/>
      <c r="H24" s="355"/>
      <c r="I24" s="355"/>
      <c r="J24" s="355"/>
      <c r="K24" s="355"/>
      <c r="L24" s="355"/>
      <c r="M24" s="355"/>
      <c r="N24" s="384"/>
      <c r="O24" s="330"/>
    </row>
    <row r="25" s="329" customFormat="1" customHeight="1" spans="1:15">
      <c r="A25" s="356"/>
      <c r="B25" s="357"/>
      <c r="C25" s="358"/>
      <c r="D25" s="359"/>
      <c r="E25" s="359"/>
      <c r="F25" s="359"/>
      <c r="G25" s="359"/>
      <c r="H25" s="359"/>
      <c r="I25" s="359"/>
      <c r="J25" s="359"/>
      <c r="K25" s="359"/>
      <c r="L25" s="359"/>
      <c r="M25" s="359"/>
      <c r="N25" s="385"/>
      <c r="O25" s="386"/>
    </row>
    <row r="26" s="329" customFormat="1" hidden="1" customHeight="1" spans="1:15">
      <c r="A26" s="360" t="s">
        <v>6072</v>
      </c>
      <c r="B26" s="361"/>
      <c r="C26" s="361"/>
      <c r="D26" s="338" t="s">
        <v>4488</v>
      </c>
      <c r="E26" s="338" t="s">
        <v>4489</v>
      </c>
      <c r="F26" s="338" t="s">
        <v>4490</v>
      </c>
      <c r="G26" s="338" t="s">
        <v>4491</v>
      </c>
      <c r="H26" s="338" t="s">
        <v>4536</v>
      </c>
      <c r="I26" s="338" t="s">
        <v>6073</v>
      </c>
      <c r="J26" s="338" t="s">
        <v>4494</v>
      </c>
      <c r="K26" s="337" t="s">
        <v>4495</v>
      </c>
      <c r="L26" s="337"/>
      <c r="M26" s="372" t="s">
        <v>4499</v>
      </c>
      <c r="N26" s="387"/>
      <c r="O26" s="386"/>
    </row>
    <row r="27" s="329" customFormat="1" ht="14.15" hidden="1" customHeight="1" spans="1:14">
      <c r="A27" s="362" t="s">
        <v>4511</v>
      </c>
      <c r="B27" s="363" t="s">
        <v>4538</v>
      </c>
      <c r="C27" s="362" t="s">
        <v>4539</v>
      </c>
      <c r="D27" s="364" t="s">
        <v>4540</v>
      </c>
      <c r="E27" s="364" t="s">
        <v>4540</v>
      </c>
      <c r="F27" s="364" t="s">
        <v>4540</v>
      </c>
      <c r="G27" s="364" t="s">
        <v>4540</v>
      </c>
      <c r="H27" s="364" t="s">
        <v>4540</v>
      </c>
      <c r="I27" s="364" t="s">
        <v>4540</v>
      </c>
      <c r="J27" s="364" t="s">
        <v>4540</v>
      </c>
      <c r="K27" s="364" t="s">
        <v>4540</v>
      </c>
      <c r="L27" s="364"/>
      <c r="M27" s="364"/>
      <c r="N27" s="364"/>
    </row>
    <row r="28" s="330" customFormat="1" hidden="1" customHeight="1" spans="1:16">
      <c r="A28" s="365" t="s">
        <v>4541</v>
      </c>
      <c r="B28" s="366" t="s">
        <v>4542</v>
      </c>
      <c r="C28" s="366" t="s">
        <v>4543</v>
      </c>
      <c r="D28" s="342">
        <v>800000</v>
      </c>
      <c r="E28" s="342">
        <v>400000</v>
      </c>
      <c r="F28" s="342">
        <v>300000</v>
      </c>
      <c r="G28" s="342">
        <v>500000</v>
      </c>
      <c r="H28" s="342">
        <v>500000</v>
      </c>
      <c r="I28" s="342">
        <v>600000</v>
      </c>
      <c r="J28" s="342">
        <v>500000</v>
      </c>
      <c r="K28" s="342">
        <v>300000</v>
      </c>
      <c r="L28" s="342">
        <f>[6]配件数量!AB9</f>
        <v>220000</v>
      </c>
      <c r="M28" s="376">
        <f t="shared" ref="M28:M91" si="11">SUM(D28:K28)</f>
        <v>3900000</v>
      </c>
      <c r="N28" s="347"/>
      <c r="P28" s="328"/>
    </row>
    <row r="29" s="330" customFormat="1" hidden="1" customHeight="1" spans="1:16">
      <c r="A29" s="367"/>
      <c r="B29" s="366" t="s">
        <v>4544</v>
      </c>
      <c r="C29" s="366" t="s">
        <v>4543</v>
      </c>
      <c r="D29" s="342">
        <v>800000</v>
      </c>
      <c r="E29" s="342">
        <v>400000</v>
      </c>
      <c r="F29" s="342">
        <v>300000</v>
      </c>
      <c r="G29" s="342">
        <v>500000</v>
      </c>
      <c r="H29" s="342">
        <v>500000</v>
      </c>
      <c r="I29" s="342">
        <v>600000</v>
      </c>
      <c r="J29" s="342">
        <v>500000</v>
      </c>
      <c r="K29" s="342">
        <v>300000</v>
      </c>
      <c r="L29" s="342">
        <f>[6]配件数量!AB10</f>
        <v>220000</v>
      </c>
      <c r="M29" s="376">
        <f t="shared" si="11"/>
        <v>3900000</v>
      </c>
      <c r="N29" s="347"/>
      <c r="P29" s="328"/>
    </row>
    <row r="30" s="330" customFormat="1" hidden="1" customHeight="1" spans="1:16">
      <c r="A30" s="367"/>
      <c r="B30" s="366" t="s">
        <v>4545</v>
      </c>
      <c r="C30" s="366" t="s">
        <v>4546</v>
      </c>
      <c r="D30" s="342">
        <v>716800</v>
      </c>
      <c r="E30" s="342">
        <v>358400</v>
      </c>
      <c r="F30" s="342">
        <v>268800</v>
      </c>
      <c r="G30" s="342">
        <v>448000</v>
      </c>
      <c r="H30" s="342">
        <v>448000</v>
      </c>
      <c r="I30" s="342">
        <v>537600</v>
      </c>
      <c r="J30" s="342">
        <v>448000</v>
      </c>
      <c r="K30" s="342">
        <v>268609.661995054</v>
      </c>
      <c r="L30" s="342">
        <f>[6]配件数量!AB11</f>
        <v>197120</v>
      </c>
      <c r="M30" s="376">
        <f t="shared" si="11"/>
        <v>3494209.66199505</v>
      </c>
      <c r="N30" s="347"/>
      <c r="P30" s="328"/>
    </row>
    <row r="31" s="330" customFormat="1" hidden="1" customHeight="1" spans="1:16">
      <c r="A31" s="367"/>
      <c r="B31" s="366" t="s">
        <v>4547</v>
      </c>
      <c r="C31" s="366" t="s">
        <v>4546</v>
      </c>
      <c r="D31" s="342">
        <v>716800</v>
      </c>
      <c r="E31" s="342">
        <v>358400</v>
      </c>
      <c r="F31" s="342">
        <v>268800</v>
      </c>
      <c r="G31" s="342">
        <v>448000</v>
      </c>
      <c r="H31" s="342">
        <v>448000</v>
      </c>
      <c r="I31" s="342">
        <v>537600</v>
      </c>
      <c r="J31" s="342">
        <v>448000</v>
      </c>
      <c r="K31" s="342">
        <v>268609.661995054</v>
      </c>
      <c r="L31" s="342">
        <f>[6]配件数量!AB12</f>
        <v>197120</v>
      </c>
      <c r="M31" s="376">
        <f t="shared" si="11"/>
        <v>3494209.66199505</v>
      </c>
      <c r="N31" s="347"/>
      <c r="P31" s="328"/>
    </row>
    <row r="32" s="330" customFormat="1" hidden="1" customHeight="1" spans="1:16">
      <c r="A32" s="367"/>
      <c r="B32" s="366" t="s">
        <v>4548</v>
      </c>
      <c r="C32" s="366" t="s">
        <v>4546</v>
      </c>
      <c r="D32" s="342">
        <v>716800</v>
      </c>
      <c r="E32" s="342">
        <v>358400</v>
      </c>
      <c r="F32" s="342">
        <v>268800</v>
      </c>
      <c r="G32" s="342">
        <v>448000</v>
      </c>
      <c r="H32" s="342">
        <v>448000</v>
      </c>
      <c r="I32" s="342">
        <v>537600</v>
      </c>
      <c r="J32" s="342">
        <v>448000</v>
      </c>
      <c r="K32" s="342">
        <v>268609.661995054</v>
      </c>
      <c r="L32" s="342">
        <f>[6]配件数量!AB13</f>
        <v>197120</v>
      </c>
      <c r="M32" s="376">
        <f t="shared" si="11"/>
        <v>3494209.66199505</v>
      </c>
      <c r="N32" s="347"/>
      <c r="P32" s="328"/>
    </row>
    <row r="33" s="330" customFormat="1" hidden="1" customHeight="1" spans="1:16">
      <c r="A33" s="367"/>
      <c r="B33" s="366" t="s">
        <v>4549</v>
      </c>
      <c r="C33" s="366" t="s">
        <v>4546</v>
      </c>
      <c r="D33" s="342">
        <v>716800</v>
      </c>
      <c r="E33" s="342">
        <v>358400</v>
      </c>
      <c r="F33" s="342">
        <v>268800</v>
      </c>
      <c r="G33" s="342">
        <v>448000</v>
      </c>
      <c r="H33" s="342">
        <v>448000</v>
      </c>
      <c r="I33" s="342">
        <v>537600</v>
      </c>
      <c r="J33" s="342">
        <v>448000</v>
      </c>
      <c r="K33" s="342">
        <v>268609.661995054</v>
      </c>
      <c r="L33" s="342">
        <f>[6]配件数量!AB14</f>
        <v>197120</v>
      </c>
      <c r="M33" s="376">
        <f t="shared" si="11"/>
        <v>3494209.66199505</v>
      </c>
      <c r="N33" s="347"/>
      <c r="P33" s="328"/>
    </row>
    <row r="34" s="330" customFormat="1" hidden="1" customHeight="1" spans="1:16">
      <c r="A34" s="368"/>
      <c r="B34" s="366" t="s">
        <v>4550</v>
      </c>
      <c r="C34" s="366" t="s">
        <v>4546</v>
      </c>
      <c r="D34" s="342">
        <v>716800</v>
      </c>
      <c r="E34" s="342">
        <v>358400</v>
      </c>
      <c r="F34" s="342">
        <v>268800</v>
      </c>
      <c r="G34" s="342">
        <v>448000</v>
      </c>
      <c r="H34" s="342">
        <v>448000</v>
      </c>
      <c r="I34" s="342">
        <v>537600</v>
      </c>
      <c r="J34" s="342">
        <v>448000</v>
      </c>
      <c r="K34" s="342">
        <v>268609.661995054</v>
      </c>
      <c r="L34" s="342">
        <f>[6]配件数量!AB15</f>
        <v>197120</v>
      </c>
      <c r="M34" s="376">
        <f t="shared" si="11"/>
        <v>3494209.66199505</v>
      </c>
      <c r="N34" s="347"/>
      <c r="P34" s="328"/>
    </row>
    <row r="35" s="330" customFormat="1" hidden="1" customHeight="1" spans="1:16">
      <c r="A35" s="369" t="s">
        <v>4551</v>
      </c>
      <c r="B35" s="366" t="s">
        <v>4552</v>
      </c>
      <c r="C35" s="366" t="s">
        <v>4543</v>
      </c>
      <c r="D35" s="342">
        <v>800000</v>
      </c>
      <c r="E35" s="342">
        <v>400000</v>
      </c>
      <c r="F35" s="342">
        <v>300000</v>
      </c>
      <c r="G35" s="342">
        <v>500000</v>
      </c>
      <c r="H35" s="342">
        <v>500000</v>
      </c>
      <c r="I35" s="342">
        <v>600000</v>
      </c>
      <c r="J35" s="342">
        <v>500000</v>
      </c>
      <c r="K35" s="342">
        <v>300000</v>
      </c>
      <c r="L35" s="342">
        <f>[6]配件数量!AB16</f>
        <v>220000</v>
      </c>
      <c r="M35" s="376">
        <f t="shared" si="11"/>
        <v>3900000</v>
      </c>
      <c r="N35" s="347"/>
      <c r="P35" s="328"/>
    </row>
    <row r="36" s="330" customFormat="1" hidden="1" customHeight="1" spans="1:16">
      <c r="A36" s="370"/>
      <c r="B36" s="366" t="s">
        <v>4553</v>
      </c>
      <c r="C36" s="366" t="s">
        <v>4554</v>
      </c>
      <c r="D36" s="342">
        <v>562400</v>
      </c>
      <c r="E36" s="342">
        <v>281200</v>
      </c>
      <c r="F36" s="342">
        <v>210900</v>
      </c>
      <c r="G36" s="342">
        <v>351500</v>
      </c>
      <c r="H36" s="342">
        <v>351500</v>
      </c>
      <c r="I36" s="342">
        <v>421800</v>
      </c>
      <c r="J36" s="342">
        <v>351500</v>
      </c>
      <c r="K36" s="342">
        <v>210356.438582028</v>
      </c>
      <c r="L36" s="342">
        <f>[6]配件数量!AB17</f>
        <v>154660</v>
      </c>
      <c r="M36" s="376">
        <f t="shared" si="11"/>
        <v>2741156.43858203</v>
      </c>
      <c r="N36" s="347"/>
      <c r="P36" s="328"/>
    </row>
    <row r="37" s="330" customFormat="1" hidden="1" customHeight="1" spans="1:16">
      <c r="A37" s="370"/>
      <c r="B37" s="366" t="s">
        <v>4555</v>
      </c>
      <c r="C37" s="366" t="s">
        <v>4556</v>
      </c>
      <c r="D37" s="342">
        <v>426080</v>
      </c>
      <c r="E37" s="342">
        <v>213040</v>
      </c>
      <c r="F37" s="342">
        <v>159780</v>
      </c>
      <c r="G37" s="342">
        <v>266300</v>
      </c>
      <c r="H37" s="342">
        <v>266300</v>
      </c>
      <c r="I37" s="342">
        <v>319560</v>
      </c>
      <c r="J37" s="342">
        <v>266300</v>
      </c>
      <c r="K37" s="342">
        <v>158924.577081616</v>
      </c>
      <c r="L37" s="342">
        <f>[6]配件数量!AB18</f>
        <v>117172</v>
      </c>
      <c r="M37" s="376">
        <f t="shared" si="11"/>
        <v>2076284.57708162</v>
      </c>
      <c r="N37" s="347"/>
      <c r="P37" s="328"/>
    </row>
    <row r="38" s="330" customFormat="1" hidden="1" customHeight="1" spans="1:16">
      <c r="A38" s="370"/>
      <c r="B38" s="366" t="s">
        <v>4557</v>
      </c>
      <c r="C38" s="366" t="s">
        <v>4558</v>
      </c>
      <c r="D38" s="342">
        <v>159600</v>
      </c>
      <c r="E38" s="342">
        <v>79800</v>
      </c>
      <c r="F38" s="342">
        <v>59850</v>
      </c>
      <c r="G38" s="342">
        <v>99750</v>
      </c>
      <c r="H38" s="342">
        <v>99750</v>
      </c>
      <c r="I38" s="342">
        <v>119700</v>
      </c>
      <c r="J38" s="342">
        <v>99750</v>
      </c>
      <c r="K38" s="342">
        <v>60215.1195383347</v>
      </c>
      <c r="L38" s="342">
        <f>[6]配件数量!AB19</f>
        <v>43890</v>
      </c>
      <c r="M38" s="376">
        <f t="shared" si="11"/>
        <v>778415.119538335</v>
      </c>
      <c r="N38" s="347"/>
      <c r="P38" s="328"/>
    </row>
    <row r="39" s="330" customFormat="1" hidden="1" customHeight="1" spans="1:16">
      <c r="A39" s="370"/>
      <c r="B39" s="366" t="s">
        <v>4559</v>
      </c>
      <c r="C39" s="366" t="s">
        <v>4560</v>
      </c>
      <c r="D39" s="342">
        <v>136320</v>
      </c>
      <c r="E39" s="342">
        <v>68160</v>
      </c>
      <c r="F39" s="342">
        <v>51120</v>
      </c>
      <c r="G39" s="342">
        <v>85200</v>
      </c>
      <c r="H39" s="342">
        <v>85200</v>
      </c>
      <c r="I39" s="342">
        <v>102240</v>
      </c>
      <c r="J39" s="342">
        <v>85200</v>
      </c>
      <c r="K39" s="342">
        <v>51431.8615004122</v>
      </c>
      <c r="L39" s="342">
        <f>[6]配件数量!AB20</f>
        <v>37488</v>
      </c>
      <c r="M39" s="376">
        <f t="shared" si="11"/>
        <v>664871.861500412</v>
      </c>
      <c r="N39" s="347"/>
      <c r="P39" s="328"/>
    </row>
    <row r="40" s="330" customFormat="1" hidden="1" customHeight="1" spans="1:16">
      <c r="A40" s="371"/>
      <c r="B40" s="366" t="s">
        <v>4561</v>
      </c>
      <c r="C40" s="366" t="s">
        <v>4533</v>
      </c>
      <c r="D40" s="342">
        <v>71200</v>
      </c>
      <c r="E40" s="342">
        <v>35600</v>
      </c>
      <c r="F40" s="342">
        <v>26700</v>
      </c>
      <c r="G40" s="342">
        <v>44500</v>
      </c>
      <c r="H40" s="342">
        <v>44500</v>
      </c>
      <c r="I40" s="342">
        <v>53400</v>
      </c>
      <c r="J40" s="342">
        <v>44500</v>
      </c>
      <c r="K40" s="342">
        <v>26862.8854080791</v>
      </c>
      <c r="L40" s="342">
        <f>[6]配件数量!AB21</f>
        <v>19580</v>
      </c>
      <c r="M40" s="376">
        <f t="shared" si="11"/>
        <v>347262.885408079</v>
      </c>
      <c r="N40" s="347"/>
      <c r="P40" s="328"/>
    </row>
    <row r="41" s="330" customFormat="1" hidden="1" customHeight="1" spans="1:16">
      <c r="A41" s="369" t="s">
        <v>4562</v>
      </c>
      <c r="B41" s="366" t="s">
        <v>4563</v>
      </c>
      <c r="C41" s="366" t="s">
        <v>4523</v>
      </c>
      <c r="D41" s="342">
        <v>83200</v>
      </c>
      <c r="E41" s="342">
        <v>41600</v>
      </c>
      <c r="F41" s="342">
        <v>31200</v>
      </c>
      <c r="G41" s="342">
        <v>52000</v>
      </c>
      <c r="H41" s="342">
        <v>52000</v>
      </c>
      <c r="I41" s="342">
        <v>62400</v>
      </c>
      <c r="J41" s="342">
        <v>52000</v>
      </c>
      <c r="K41" s="342">
        <v>31390.3380049464</v>
      </c>
      <c r="L41" s="342">
        <f>[6]配件数量!AB22</f>
        <v>22880</v>
      </c>
      <c r="M41" s="376">
        <f t="shared" si="11"/>
        <v>405790.338004946</v>
      </c>
      <c r="N41" s="347"/>
      <c r="P41" s="328"/>
    </row>
    <row r="42" s="330" customFormat="1" hidden="1" customHeight="1" spans="1:16">
      <c r="A42" s="370"/>
      <c r="B42" s="366" t="s">
        <v>4564</v>
      </c>
      <c r="C42" s="366" t="s">
        <v>4513</v>
      </c>
      <c r="D42" s="342">
        <v>83200</v>
      </c>
      <c r="E42" s="342">
        <v>41600</v>
      </c>
      <c r="F42" s="342">
        <v>31200</v>
      </c>
      <c r="G42" s="342">
        <v>52000</v>
      </c>
      <c r="H42" s="342">
        <v>52000</v>
      </c>
      <c r="I42" s="342">
        <v>62400</v>
      </c>
      <c r="J42" s="342">
        <v>52000</v>
      </c>
      <c r="K42" s="342">
        <v>31390.3380049464</v>
      </c>
      <c r="L42" s="342">
        <f>[6]配件数量!AB23</f>
        <v>22880</v>
      </c>
      <c r="M42" s="376">
        <f t="shared" si="11"/>
        <v>405790.338004946</v>
      </c>
      <c r="N42" s="347"/>
      <c r="P42" s="328"/>
    </row>
    <row r="43" s="330" customFormat="1" hidden="1" customHeight="1" spans="1:16">
      <c r="A43" s="370"/>
      <c r="B43" s="366" t="s">
        <v>4565</v>
      </c>
      <c r="C43" s="366" t="s">
        <v>4525</v>
      </c>
      <c r="D43" s="342">
        <v>76400</v>
      </c>
      <c r="E43" s="342">
        <v>38200</v>
      </c>
      <c r="F43" s="342">
        <v>28650</v>
      </c>
      <c r="G43" s="342">
        <v>47750</v>
      </c>
      <c r="H43" s="342">
        <v>47750</v>
      </c>
      <c r="I43" s="342">
        <v>57300</v>
      </c>
      <c r="J43" s="342">
        <v>47750</v>
      </c>
      <c r="K43" s="342">
        <v>28824.7815333883</v>
      </c>
      <c r="L43" s="342">
        <f>[6]配件数量!AB24</f>
        <v>21010</v>
      </c>
      <c r="M43" s="376">
        <f t="shared" si="11"/>
        <v>372624.781533388</v>
      </c>
      <c r="N43" s="347"/>
      <c r="P43" s="328"/>
    </row>
    <row r="44" s="330" customFormat="1" hidden="1" customHeight="1" spans="1:16">
      <c r="A44" s="370"/>
      <c r="B44" s="366" t="s">
        <v>4566</v>
      </c>
      <c r="C44" s="366" t="s">
        <v>4533</v>
      </c>
      <c r="D44" s="342">
        <v>71200</v>
      </c>
      <c r="E44" s="342">
        <v>35600</v>
      </c>
      <c r="F44" s="342">
        <v>26700</v>
      </c>
      <c r="G44" s="342">
        <v>44500</v>
      </c>
      <c r="H44" s="342">
        <v>44500</v>
      </c>
      <c r="I44" s="342">
        <v>53400</v>
      </c>
      <c r="J44" s="342">
        <v>44500</v>
      </c>
      <c r="K44" s="342">
        <v>26862.8854080791</v>
      </c>
      <c r="L44" s="342">
        <f>[6]配件数量!AB25</f>
        <v>19580</v>
      </c>
      <c r="M44" s="376">
        <f t="shared" si="11"/>
        <v>347262.885408079</v>
      </c>
      <c r="N44" s="347"/>
      <c r="P44" s="328"/>
    </row>
    <row r="45" s="330" customFormat="1" hidden="1" customHeight="1" spans="1:16">
      <c r="A45" s="370"/>
      <c r="B45" s="366" t="s">
        <v>4567</v>
      </c>
      <c r="C45" s="366" t="s">
        <v>4518</v>
      </c>
      <c r="D45" s="342">
        <v>83200</v>
      </c>
      <c r="E45" s="342">
        <v>41600</v>
      </c>
      <c r="F45" s="342">
        <v>31200</v>
      </c>
      <c r="G45" s="342">
        <v>52000</v>
      </c>
      <c r="H45" s="342">
        <v>52000</v>
      </c>
      <c r="I45" s="342">
        <v>62400</v>
      </c>
      <c r="J45" s="342">
        <v>52000</v>
      </c>
      <c r="K45" s="342">
        <v>31390.3380049464</v>
      </c>
      <c r="L45" s="342">
        <f>[6]配件数量!AB26</f>
        <v>22880</v>
      </c>
      <c r="M45" s="376">
        <f t="shared" si="11"/>
        <v>405790.338004946</v>
      </c>
      <c r="N45" s="347"/>
      <c r="P45" s="328"/>
    </row>
    <row r="46" s="330" customFormat="1" hidden="1" customHeight="1" spans="1:16">
      <c r="A46" s="371"/>
      <c r="B46" s="366" t="s">
        <v>4568</v>
      </c>
      <c r="C46" s="366" t="s">
        <v>4518</v>
      </c>
      <c r="D46" s="342">
        <v>83200</v>
      </c>
      <c r="E46" s="342">
        <v>41600</v>
      </c>
      <c r="F46" s="342">
        <v>31200</v>
      </c>
      <c r="G46" s="342">
        <v>52000</v>
      </c>
      <c r="H46" s="342">
        <v>52000</v>
      </c>
      <c r="I46" s="342">
        <v>62400</v>
      </c>
      <c r="J46" s="342">
        <v>52000</v>
      </c>
      <c r="K46" s="342">
        <v>31390.3380049464</v>
      </c>
      <c r="L46" s="342">
        <f>[6]配件数量!AB27</f>
        <v>22880</v>
      </c>
      <c r="M46" s="376">
        <f t="shared" si="11"/>
        <v>405790.338004946</v>
      </c>
      <c r="N46" s="347"/>
      <c r="P46" s="328"/>
    </row>
    <row r="47" s="330" customFormat="1" hidden="1" customHeight="1" spans="1:16">
      <c r="A47" s="369" t="s">
        <v>4569</v>
      </c>
      <c r="B47" s="366" t="s">
        <v>4570</v>
      </c>
      <c r="C47" s="366" t="s">
        <v>4571</v>
      </c>
      <c r="D47" s="342">
        <v>166400</v>
      </c>
      <c r="E47" s="342">
        <v>83200</v>
      </c>
      <c r="F47" s="342">
        <v>62400</v>
      </c>
      <c r="G47" s="342">
        <v>104000</v>
      </c>
      <c r="H47" s="342">
        <v>104000</v>
      </c>
      <c r="I47" s="342">
        <v>124800</v>
      </c>
      <c r="J47" s="342">
        <v>104000</v>
      </c>
      <c r="K47" s="342">
        <v>62780.6760098928</v>
      </c>
      <c r="L47" s="342">
        <f>[6]配件数量!AB28</f>
        <v>45760</v>
      </c>
      <c r="M47" s="376">
        <f t="shared" si="11"/>
        <v>811580.676009893</v>
      </c>
      <c r="N47" s="347"/>
      <c r="P47" s="328"/>
    </row>
    <row r="48" s="330" customFormat="1" hidden="1" customHeight="1" spans="1:16">
      <c r="A48" s="370"/>
      <c r="B48" s="366" t="s">
        <v>4572</v>
      </c>
      <c r="C48" s="366" t="s">
        <v>4573</v>
      </c>
      <c r="D48" s="342">
        <v>266480</v>
      </c>
      <c r="E48" s="342">
        <v>133240</v>
      </c>
      <c r="F48" s="342">
        <v>99930</v>
      </c>
      <c r="G48" s="342">
        <v>166550</v>
      </c>
      <c r="H48" s="342">
        <v>166550</v>
      </c>
      <c r="I48" s="342">
        <v>199860</v>
      </c>
      <c r="J48" s="342">
        <v>166550</v>
      </c>
      <c r="K48" s="342">
        <v>98709.4575432811</v>
      </c>
      <c r="L48" s="342">
        <f>[6]配件数量!AB29</f>
        <v>73282</v>
      </c>
      <c r="M48" s="376">
        <f t="shared" si="11"/>
        <v>1297869.45754328</v>
      </c>
      <c r="N48" s="347"/>
      <c r="P48" s="328"/>
    </row>
    <row r="49" s="330" customFormat="1" hidden="1" customHeight="1" spans="1:16">
      <c r="A49" s="370"/>
      <c r="B49" s="366" t="s">
        <v>4574</v>
      </c>
      <c r="C49" s="366" t="s">
        <v>4575</v>
      </c>
      <c r="D49" s="342">
        <v>236400</v>
      </c>
      <c r="E49" s="342">
        <v>118200</v>
      </c>
      <c r="F49" s="342">
        <v>88650</v>
      </c>
      <c r="G49" s="342">
        <v>147750</v>
      </c>
      <c r="H49" s="342">
        <v>147750</v>
      </c>
      <c r="I49" s="342">
        <v>177300</v>
      </c>
      <c r="J49" s="342">
        <v>147750</v>
      </c>
      <c r="K49" s="342">
        <v>87360.6430338005</v>
      </c>
      <c r="L49" s="342">
        <f>[6]配件数量!AB30</f>
        <v>65010</v>
      </c>
      <c r="M49" s="376">
        <f t="shared" si="11"/>
        <v>1151160.6430338</v>
      </c>
      <c r="N49" s="347"/>
      <c r="P49" s="328"/>
    </row>
    <row r="50" s="330" customFormat="1" hidden="1" customHeight="1" spans="1:16">
      <c r="A50" s="370"/>
      <c r="B50" s="366" t="s">
        <v>4576</v>
      </c>
      <c r="C50" s="366" t="s">
        <v>4518</v>
      </c>
      <c r="D50" s="342">
        <v>83200</v>
      </c>
      <c r="E50" s="342">
        <v>41600</v>
      </c>
      <c r="F50" s="342">
        <v>31200</v>
      </c>
      <c r="G50" s="342">
        <v>52000</v>
      </c>
      <c r="H50" s="342">
        <v>52000</v>
      </c>
      <c r="I50" s="342">
        <v>62400</v>
      </c>
      <c r="J50" s="342">
        <v>52000</v>
      </c>
      <c r="K50" s="342">
        <v>31390.3380049464</v>
      </c>
      <c r="L50" s="342">
        <f>[6]配件数量!AB31</f>
        <v>22880</v>
      </c>
      <c r="M50" s="376">
        <f t="shared" si="11"/>
        <v>405790.338004946</v>
      </c>
      <c r="N50" s="347"/>
      <c r="P50" s="328"/>
    </row>
    <row r="51" s="330" customFormat="1" hidden="1" customHeight="1" spans="1:16">
      <c r="A51" s="370"/>
      <c r="B51" s="366" t="s">
        <v>4577</v>
      </c>
      <c r="C51" s="366" t="s">
        <v>4516</v>
      </c>
      <c r="D51" s="342">
        <v>76400</v>
      </c>
      <c r="E51" s="342">
        <v>38200</v>
      </c>
      <c r="F51" s="342">
        <v>28650</v>
      </c>
      <c r="G51" s="342">
        <v>47750</v>
      </c>
      <c r="H51" s="342">
        <v>47750</v>
      </c>
      <c r="I51" s="342">
        <v>57300</v>
      </c>
      <c r="J51" s="342">
        <v>47750</v>
      </c>
      <c r="K51" s="342">
        <v>28824.7815333883</v>
      </c>
      <c r="L51" s="342">
        <f>[6]配件数量!AB32</f>
        <v>21010</v>
      </c>
      <c r="M51" s="376">
        <f t="shared" si="11"/>
        <v>372624.781533388</v>
      </c>
      <c r="N51" s="347"/>
      <c r="P51" s="328"/>
    </row>
    <row r="52" s="330" customFormat="1" hidden="1" customHeight="1" spans="1:16">
      <c r="A52" s="371"/>
      <c r="B52" s="366" t="s">
        <v>4578</v>
      </c>
      <c r="C52" s="366" t="s">
        <v>4529</v>
      </c>
      <c r="D52" s="342">
        <v>23680</v>
      </c>
      <c r="E52" s="342">
        <v>11840</v>
      </c>
      <c r="F52" s="342">
        <v>8880</v>
      </c>
      <c r="G52" s="342">
        <v>14800</v>
      </c>
      <c r="H52" s="342">
        <v>14800</v>
      </c>
      <c r="I52" s="342">
        <v>17760</v>
      </c>
      <c r="J52" s="342">
        <v>14800</v>
      </c>
      <c r="K52" s="342">
        <v>7104</v>
      </c>
      <c r="L52" s="342">
        <f>[6]配件数量!AB33</f>
        <v>6512</v>
      </c>
      <c r="M52" s="376">
        <f t="shared" si="11"/>
        <v>113664</v>
      </c>
      <c r="N52" s="347"/>
      <c r="P52" s="328"/>
    </row>
    <row r="53" s="330" customFormat="1" hidden="1" customHeight="1" spans="1:16">
      <c r="A53" s="369" t="s">
        <v>4579</v>
      </c>
      <c r="B53" s="366" t="s">
        <v>4580</v>
      </c>
      <c r="C53" s="366" t="s">
        <v>4581</v>
      </c>
      <c r="D53" s="342">
        <v>242800</v>
      </c>
      <c r="E53" s="342">
        <v>121400</v>
      </c>
      <c r="F53" s="342">
        <v>91050</v>
      </c>
      <c r="G53" s="342">
        <v>151750</v>
      </c>
      <c r="H53" s="342">
        <v>151750</v>
      </c>
      <c r="I53" s="342">
        <v>182100</v>
      </c>
      <c r="J53" s="342">
        <v>151750</v>
      </c>
      <c r="K53" s="342">
        <v>91605.4575432811</v>
      </c>
      <c r="L53" s="342">
        <f>[6]配件数量!AB34</f>
        <v>66770</v>
      </c>
      <c r="M53" s="376">
        <f t="shared" si="11"/>
        <v>1184205.45754328</v>
      </c>
      <c r="N53" s="347"/>
      <c r="P53" s="328"/>
    </row>
    <row r="54" s="330" customFormat="1" hidden="1" customHeight="1" spans="1:16">
      <c r="A54" s="370"/>
      <c r="B54" s="366" t="s">
        <v>4582</v>
      </c>
      <c r="C54" s="366" t="s">
        <v>4581</v>
      </c>
      <c r="D54" s="342">
        <v>242800</v>
      </c>
      <c r="E54" s="342">
        <v>121400</v>
      </c>
      <c r="F54" s="342">
        <v>91050</v>
      </c>
      <c r="G54" s="342">
        <v>151750</v>
      </c>
      <c r="H54" s="342">
        <v>151750</v>
      </c>
      <c r="I54" s="342">
        <v>182100</v>
      </c>
      <c r="J54" s="342">
        <v>151750</v>
      </c>
      <c r="K54" s="342">
        <v>91605.4575432811</v>
      </c>
      <c r="L54" s="342">
        <f>[6]配件数量!AB35</f>
        <v>66770</v>
      </c>
      <c r="M54" s="376">
        <f t="shared" si="11"/>
        <v>1184205.45754328</v>
      </c>
      <c r="N54" s="347"/>
      <c r="P54" s="328"/>
    </row>
    <row r="55" s="330" customFormat="1" hidden="1" customHeight="1" spans="1:16">
      <c r="A55" s="371"/>
      <c r="B55" s="366" t="s">
        <v>4583</v>
      </c>
      <c r="C55" s="366" t="s">
        <v>4533</v>
      </c>
      <c r="D55" s="342">
        <v>71200</v>
      </c>
      <c r="E55" s="342">
        <v>35600</v>
      </c>
      <c r="F55" s="342">
        <v>26700</v>
      </c>
      <c r="G55" s="342">
        <v>44500</v>
      </c>
      <c r="H55" s="342">
        <v>44500</v>
      </c>
      <c r="I55" s="342">
        <v>53400</v>
      </c>
      <c r="J55" s="342">
        <v>44500</v>
      </c>
      <c r="K55" s="342">
        <v>26862.8854080791</v>
      </c>
      <c r="L55" s="342">
        <f>[6]配件数量!AB36</f>
        <v>19580</v>
      </c>
      <c r="M55" s="376">
        <f t="shared" si="11"/>
        <v>347262.885408079</v>
      </c>
      <c r="N55" s="347"/>
      <c r="P55" s="328"/>
    </row>
    <row r="56" s="330" customFormat="1" hidden="1" customHeight="1" spans="1:16">
      <c r="A56" s="369" t="s">
        <v>4584</v>
      </c>
      <c r="B56" s="366" t="s">
        <v>4585</v>
      </c>
      <c r="C56" s="366" t="s">
        <v>4586</v>
      </c>
      <c r="D56" s="342">
        <v>227760</v>
      </c>
      <c r="E56" s="342">
        <v>113880</v>
      </c>
      <c r="F56" s="342">
        <v>85410</v>
      </c>
      <c r="G56" s="342">
        <v>142350</v>
      </c>
      <c r="H56" s="342">
        <v>142350</v>
      </c>
      <c r="I56" s="342">
        <v>170820</v>
      </c>
      <c r="J56" s="342">
        <v>142350</v>
      </c>
      <c r="K56" s="342">
        <v>85931.0502885408</v>
      </c>
      <c r="L56" s="342">
        <f>[6]配件数量!AB37</f>
        <v>62634</v>
      </c>
      <c r="M56" s="376">
        <f t="shared" si="11"/>
        <v>1110851.05028854</v>
      </c>
      <c r="N56" s="347"/>
      <c r="P56" s="328"/>
    </row>
    <row r="57" s="330" customFormat="1" hidden="1" customHeight="1" spans="1:16">
      <c r="A57" s="370"/>
      <c r="B57" s="366" t="s">
        <v>4587</v>
      </c>
      <c r="C57" s="366" t="s">
        <v>4586</v>
      </c>
      <c r="D57" s="342">
        <v>227760</v>
      </c>
      <c r="E57" s="342">
        <v>113880</v>
      </c>
      <c r="F57" s="342">
        <v>85410</v>
      </c>
      <c r="G57" s="342">
        <v>142350</v>
      </c>
      <c r="H57" s="342">
        <v>142350</v>
      </c>
      <c r="I57" s="342">
        <v>170820</v>
      </c>
      <c r="J57" s="342">
        <v>142350</v>
      </c>
      <c r="K57" s="342">
        <v>85931.0502885408</v>
      </c>
      <c r="L57" s="342">
        <f>[6]配件数量!AB38</f>
        <v>62634</v>
      </c>
      <c r="M57" s="376">
        <f t="shared" si="11"/>
        <v>1110851.05028854</v>
      </c>
      <c r="N57" s="347"/>
      <c r="P57" s="328"/>
    </row>
    <row r="58" s="330" customFormat="1" hidden="1" customHeight="1" spans="1:16">
      <c r="A58" s="370"/>
      <c r="B58" s="366" t="s">
        <v>4588</v>
      </c>
      <c r="C58" s="366" t="s">
        <v>4560</v>
      </c>
      <c r="D58" s="342">
        <v>136320</v>
      </c>
      <c r="E58" s="342">
        <v>68160</v>
      </c>
      <c r="F58" s="342">
        <v>51120</v>
      </c>
      <c r="G58" s="342">
        <v>85200</v>
      </c>
      <c r="H58" s="342">
        <v>85200</v>
      </c>
      <c r="I58" s="342">
        <v>102240</v>
      </c>
      <c r="J58" s="342">
        <v>85200</v>
      </c>
      <c r="K58" s="342">
        <v>51431.8615004122</v>
      </c>
      <c r="L58" s="342">
        <f>[6]配件数量!AB39</f>
        <v>37488</v>
      </c>
      <c r="M58" s="376">
        <f t="shared" si="11"/>
        <v>664871.861500412</v>
      </c>
      <c r="N58" s="347"/>
      <c r="P58" s="328"/>
    </row>
    <row r="59" s="330" customFormat="1" hidden="1" customHeight="1" spans="1:16">
      <c r="A59" s="371"/>
      <c r="B59" s="366" t="s">
        <v>4589</v>
      </c>
      <c r="C59" s="366" t="s">
        <v>4560</v>
      </c>
      <c r="D59" s="342">
        <v>136320</v>
      </c>
      <c r="E59" s="342">
        <v>68160</v>
      </c>
      <c r="F59" s="342">
        <v>51120</v>
      </c>
      <c r="G59" s="342">
        <v>85200</v>
      </c>
      <c r="H59" s="342">
        <v>85200</v>
      </c>
      <c r="I59" s="342">
        <v>102240</v>
      </c>
      <c r="J59" s="342">
        <v>85200</v>
      </c>
      <c r="K59" s="342">
        <v>51431.8615004122</v>
      </c>
      <c r="L59" s="342">
        <f>[6]配件数量!AB40</f>
        <v>37488</v>
      </c>
      <c r="M59" s="376">
        <f t="shared" si="11"/>
        <v>664871.861500412</v>
      </c>
      <c r="N59" s="347"/>
      <c r="P59" s="328"/>
    </row>
    <row r="60" s="330" customFormat="1" hidden="1" customHeight="1" spans="1:16">
      <c r="A60" s="369" t="s">
        <v>4590</v>
      </c>
      <c r="B60" s="366" t="s">
        <v>4591</v>
      </c>
      <c r="C60" s="366" t="s">
        <v>4592</v>
      </c>
      <c r="D60" s="342">
        <v>166400</v>
      </c>
      <c r="E60" s="342">
        <v>83200</v>
      </c>
      <c r="F60" s="342">
        <v>62400</v>
      </c>
      <c r="G60" s="342">
        <v>104000</v>
      </c>
      <c r="H60" s="342">
        <v>104000</v>
      </c>
      <c r="I60" s="342">
        <v>124800</v>
      </c>
      <c r="J60" s="342">
        <v>104000</v>
      </c>
      <c r="K60" s="342">
        <v>62780.6760098928</v>
      </c>
      <c r="L60" s="342">
        <f>[6]配件数量!AB41</f>
        <v>45760</v>
      </c>
      <c r="M60" s="376">
        <f t="shared" si="11"/>
        <v>811580.676009893</v>
      </c>
      <c r="N60" s="347"/>
      <c r="P60" s="328"/>
    </row>
    <row r="61" s="330" customFormat="1" hidden="1" customHeight="1" spans="1:16">
      <c r="A61" s="370"/>
      <c r="B61" s="366" t="s">
        <v>4593</v>
      </c>
      <c r="C61" s="366" t="s">
        <v>4513</v>
      </c>
      <c r="D61" s="342">
        <v>83200</v>
      </c>
      <c r="E61" s="342">
        <v>41600</v>
      </c>
      <c r="F61" s="342">
        <v>31200</v>
      </c>
      <c r="G61" s="342">
        <v>52000</v>
      </c>
      <c r="H61" s="342">
        <v>52000</v>
      </c>
      <c r="I61" s="342">
        <v>62400</v>
      </c>
      <c r="J61" s="342">
        <v>52000</v>
      </c>
      <c r="K61" s="342">
        <v>31390.3380049464</v>
      </c>
      <c r="L61" s="342">
        <f>[6]配件数量!AB42</f>
        <v>22880</v>
      </c>
      <c r="M61" s="376">
        <f t="shared" si="11"/>
        <v>405790.338004946</v>
      </c>
      <c r="N61" s="347"/>
      <c r="P61" s="328"/>
    </row>
    <row r="62" s="330" customFormat="1" hidden="1" customHeight="1" spans="1:16">
      <c r="A62" s="370"/>
      <c r="B62" s="366" t="s">
        <v>4594</v>
      </c>
      <c r="C62" s="366" t="s">
        <v>4595</v>
      </c>
      <c r="D62" s="342">
        <v>100080</v>
      </c>
      <c r="E62" s="342">
        <v>50040</v>
      </c>
      <c r="F62" s="342">
        <v>37530</v>
      </c>
      <c r="G62" s="342">
        <v>62550</v>
      </c>
      <c r="H62" s="342">
        <v>62550</v>
      </c>
      <c r="I62" s="342">
        <v>75060</v>
      </c>
      <c r="J62" s="342">
        <v>62550</v>
      </c>
      <c r="K62" s="342">
        <v>35928.7815333883</v>
      </c>
      <c r="L62" s="342">
        <f>[6]配件数量!AB43</f>
        <v>27522</v>
      </c>
      <c r="M62" s="376">
        <f t="shared" si="11"/>
        <v>486288.781533388</v>
      </c>
      <c r="N62" s="347"/>
      <c r="P62" s="328"/>
    </row>
    <row r="63" s="330" customFormat="1" hidden="1" customHeight="1" spans="1:16">
      <c r="A63" s="370"/>
      <c r="B63" s="366" t="s">
        <v>4596</v>
      </c>
      <c r="C63" s="366" t="s">
        <v>4595</v>
      </c>
      <c r="D63" s="342">
        <v>100080</v>
      </c>
      <c r="E63" s="342">
        <v>50040</v>
      </c>
      <c r="F63" s="342">
        <v>37530</v>
      </c>
      <c r="G63" s="342">
        <v>62550</v>
      </c>
      <c r="H63" s="342">
        <v>62550</v>
      </c>
      <c r="I63" s="342">
        <v>75060</v>
      </c>
      <c r="J63" s="342">
        <v>62550</v>
      </c>
      <c r="K63" s="342">
        <v>35928.7815333883</v>
      </c>
      <c r="L63" s="342">
        <f>[6]配件数量!AB44</f>
        <v>27522</v>
      </c>
      <c r="M63" s="376">
        <f t="shared" si="11"/>
        <v>486288.781533388</v>
      </c>
      <c r="N63" s="347"/>
      <c r="P63" s="328"/>
    </row>
    <row r="64" s="330" customFormat="1" hidden="1" customHeight="1" spans="1:16">
      <c r="A64" s="370"/>
      <c r="B64" s="366" t="s">
        <v>4597</v>
      </c>
      <c r="C64" s="366" t="s">
        <v>4598</v>
      </c>
      <c r="D64" s="342">
        <v>326000</v>
      </c>
      <c r="E64" s="342">
        <v>163000</v>
      </c>
      <c r="F64" s="342">
        <v>122250</v>
      </c>
      <c r="G64" s="342">
        <v>203750</v>
      </c>
      <c r="H64" s="342">
        <v>203750</v>
      </c>
      <c r="I64" s="342">
        <v>244500</v>
      </c>
      <c r="J64" s="342">
        <v>203750</v>
      </c>
      <c r="K64" s="342">
        <v>122995.795548228</v>
      </c>
      <c r="L64" s="342">
        <f>[6]配件数量!AB45</f>
        <v>89650</v>
      </c>
      <c r="M64" s="376">
        <f t="shared" si="11"/>
        <v>1589995.79554823</v>
      </c>
      <c r="N64" s="347"/>
      <c r="P64" s="328"/>
    </row>
    <row r="65" s="330" customFormat="1" hidden="1" customHeight="1" spans="1:16">
      <c r="A65" s="371"/>
      <c r="B65" s="366" t="s">
        <v>4599</v>
      </c>
      <c r="C65" s="366" t="s">
        <v>4598</v>
      </c>
      <c r="D65" s="342">
        <v>326000</v>
      </c>
      <c r="E65" s="342">
        <v>163000</v>
      </c>
      <c r="F65" s="342">
        <v>122250</v>
      </c>
      <c r="G65" s="342">
        <v>203750</v>
      </c>
      <c r="H65" s="342">
        <v>203750</v>
      </c>
      <c r="I65" s="342">
        <v>244500</v>
      </c>
      <c r="J65" s="342">
        <v>203750</v>
      </c>
      <c r="K65" s="342">
        <v>122995.795548228</v>
      </c>
      <c r="L65" s="342">
        <f>[6]配件数量!AB46</f>
        <v>89650</v>
      </c>
      <c r="M65" s="376">
        <f t="shared" si="11"/>
        <v>1589995.79554823</v>
      </c>
      <c r="N65" s="347"/>
      <c r="P65" s="328"/>
    </row>
    <row r="66" s="330" customFormat="1" hidden="1" customHeight="1" spans="1:16">
      <c r="A66" s="388" t="s">
        <v>4600</v>
      </c>
      <c r="B66" s="366" t="s">
        <v>4601</v>
      </c>
      <c r="C66" s="366" t="s">
        <v>4546</v>
      </c>
      <c r="D66" s="342">
        <v>716800</v>
      </c>
      <c r="E66" s="342">
        <v>358400</v>
      </c>
      <c r="F66" s="342">
        <v>268800</v>
      </c>
      <c r="G66" s="342">
        <v>448000</v>
      </c>
      <c r="H66" s="342">
        <v>448000</v>
      </c>
      <c r="I66" s="342">
        <v>537600</v>
      </c>
      <c r="J66" s="342">
        <v>448000</v>
      </c>
      <c r="K66" s="342">
        <v>268609.661995054</v>
      </c>
      <c r="L66" s="342">
        <f>[6]配件数量!AB47</f>
        <v>197120</v>
      </c>
      <c r="M66" s="376">
        <f t="shared" si="11"/>
        <v>3494209.66199505</v>
      </c>
      <c r="N66" s="347"/>
      <c r="P66" s="328"/>
    </row>
    <row r="67" s="330" customFormat="1" hidden="1" customHeight="1" spans="1:16">
      <c r="A67" s="369" t="s">
        <v>4602</v>
      </c>
      <c r="B67" s="366" t="s">
        <v>4603</v>
      </c>
      <c r="C67" s="366" t="s">
        <v>4523</v>
      </c>
      <c r="D67" s="342">
        <v>499200</v>
      </c>
      <c r="E67" s="342">
        <v>249600</v>
      </c>
      <c r="F67" s="342">
        <v>187200</v>
      </c>
      <c r="G67" s="342">
        <v>312000</v>
      </c>
      <c r="H67" s="342">
        <v>312000</v>
      </c>
      <c r="I67" s="342">
        <v>374400</v>
      </c>
      <c r="J67" s="342">
        <v>312000</v>
      </c>
      <c r="K67" s="342">
        <v>188342.028029678</v>
      </c>
      <c r="L67" s="342">
        <f>[6]配件数量!AB48</f>
        <v>137280</v>
      </c>
      <c r="M67" s="376">
        <f t="shared" si="11"/>
        <v>2434742.02802968</v>
      </c>
      <c r="N67" s="347"/>
      <c r="P67" s="328"/>
    </row>
    <row r="68" s="330" customFormat="1" hidden="1" customHeight="1" spans="1:16">
      <c r="A68" s="370"/>
      <c r="B68" s="366" t="s">
        <v>4604</v>
      </c>
      <c r="C68" s="366" t="s">
        <v>4523</v>
      </c>
      <c r="D68" s="342">
        <v>499200</v>
      </c>
      <c r="E68" s="342">
        <v>249600</v>
      </c>
      <c r="F68" s="342">
        <v>187200</v>
      </c>
      <c r="G68" s="342">
        <v>312000</v>
      </c>
      <c r="H68" s="342">
        <v>312000</v>
      </c>
      <c r="I68" s="342">
        <v>374400</v>
      </c>
      <c r="J68" s="342">
        <v>312000</v>
      </c>
      <c r="K68" s="342">
        <v>188342.028029678</v>
      </c>
      <c r="L68" s="342">
        <f>[6]配件数量!AB49</f>
        <v>137280</v>
      </c>
      <c r="M68" s="376">
        <f t="shared" si="11"/>
        <v>2434742.02802968</v>
      </c>
      <c r="N68" s="347"/>
      <c r="P68" s="328"/>
    </row>
    <row r="69" s="330" customFormat="1" hidden="1" customHeight="1" spans="1:16">
      <c r="A69" s="370"/>
      <c r="B69" s="366" t="s">
        <v>4605</v>
      </c>
      <c r="C69" s="366" t="s">
        <v>4523</v>
      </c>
      <c r="D69" s="342">
        <v>499200</v>
      </c>
      <c r="E69" s="342">
        <v>249600</v>
      </c>
      <c r="F69" s="342">
        <v>187200</v>
      </c>
      <c r="G69" s="342">
        <v>312000</v>
      </c>
      <c r="H69" s="342">
        <v>312000</v>
      </c>
      <c r="I69" s="342">
        <v>374400</v>
      </c>
      <c r="J69" s="342">
        <v>312000</v>
      </c>
      <c r="K69" s="342">
        <v>188342.028029678</v>
      </c>
      <c r="L69" s="342">
        <f>[6]配件数量!AB50</f>
        <v>137280</v>
      </c>
      <c r="M69" s="376">
        <f t="shared" si="11"/>
        <v>2434742.02802968</v>
      </c>
      <c r="N69" s="347"/>
      <c r="P69" s="328"/>
    </row>
    <row r="70" s="330" customFormat="1" hidden="1" customHeight="1" spans="1:16">
      <c r="A70" s="370"/>
      <c r="B70" s="366" t="s">
        <v>4606</v>
      </c>
      <c r="C70" s="366" t="s">
        <v>4513</v>
      </c>
      <c r="D70" s="342">
        <v>332800</v>
      </c>
      <c r="E70" s="342">
        <v>166400</v>
      </c>
      <c r="F70" s="342">
        <v>124800</v>
      </c>
      <c r="G70" s="342">
        <v>208000</v>
      </c>
      <c r="H70" s="342">
        <v>208000</v>
      </c>
      <c r="I70" s="342">
        <v>249600</v>
      </c>
      <c r="J70" s="342">
        <v>208000</v>
      </c>
      <c r="K70" s="342">
        <v>125561.352019786</v>
      </c>
      <c r="L70" s="342">
        <f>[6]配件数量!AB51</f>
        <v>91520</v>
      </c>
      <c r="M70" s="376">
        <f t="shared" si="11"/>
        <v>1623161.35201979</v>
      </c>
      <c r="N70" s="347"/>
      <c r="P70" s="328"/>
    </row>
    <row r="71" s="330" customFormat="1" hidden="1" customHeight="1" spans="1:16">
      <c r="A71" s="370"/>
      <c r="B71" s="366" t="s">
        <v>4607</v>
      </c>
      <c r="C71" s="366" t="s">
        <v>4520</v>
      </c>
      <c r="D71" s="342">
        <v>68160</v>
      </c>
      <c r="E71" s="342">
        <v>34080</v>
      </c>
      <c r="F71" s="342">
        <v>25560</v>
      </c>
      <c r="G71" s="342">
        <v>42600</v>
      </c>
      <c r="H71" s="342">
        <v>42600</v>
      </c>
      <c r="I71" s="342">
        <v>51120</v>
      </c>
      <c r="J71" s="342">
        <v>42600</v>
      </c>
      <c r="K71" s="342">
        <v>25715.9307502061</v>
      </c>
      <c r="L71" s="342">
        <f>[6]配件数量!AB52</f>
        <v>18744</v>
      </c>
      <c r="M71" s="376">
        <f t="shared" si="11"/>
        <v>332435.930750206</v>
      </c>
      <c r="N71" s="347"/>
      <c r="P71" s="328"/>
    </row>
    <row r="72" s="330" customFormat="1" hidden="1" customHeight="1" spans="1:16">
      <c r="A72" s="370"/>
      <c r="B72" s="366" t="s">
        <v>4608</v>
      </c>
      <c r="C72" s="366" t="s">
        <v>4520</v>
      </c>
      <c r="D72" s="342">
        <v>68160</v>
      </c>
      <c r="E72" s="342">
        <v>34080</v>
      </c>
      <c r="F72" s="342">
        <v>25560</v>
      </c>
      <c r="G72" s="342">
        <v>42600</v>
      </c>
      <c r="H72" s="342">
        <v>42600</v>
      </c>
      <c r="I72" s="342">
        <v>51120</v>
      </c>
      <c r="J72" s="342">
        <v>42600</v>
      </c>
      <c r="K72" s="342">
        <v>25715.9307502061</v>
      </c>
      <c r="L72" s="342">
        <f>[6]配件数量!AB53</f>
        <v>18744</v>
      </c>
      <c r="M72" s="376">
        <f t="shared" si="11"/>
        <v>332435.930750206</v>
      </c>
      <c r="N72" s="347"/>
      <c r="P72" s="328"/>
    </row>
    <row r="73" s="330" customFormat="1" hidden="1" customHeight="1" spans="1:16">
      <c r="A73" s="370"/>
      <c r="B73" s="366" t="s">
        <v>4609</v>
      </c>
      <c r="C73" s="366" t="s">
        <v>4520</v>
      </c>
      <c r="D73" s="342">
        <v>68160</v>
      </c>
      <c r="E73" s="342">
        <v>34080</v>
      </c>
      <c r="F73" s="342">
        <v>25560</v>
      </c>
      <c r="G73" s="342">
        <v>42600</v>
      </c>
      <c r="H73" s="342">
        <v>42600</v>
      </c>
      <c r="I73" s="342">
        <v>51120</v>
      </c>
      <c r="J73" s="342">
        <v>42600</v>
      </c>
      <c r="K73" s="342">
        <v>25715.9307502061</v>
      </c>
      <c r="L73" s="342">
        <f>[6]配件数量!AB54</f>
        <v>18744</v>
      </c>
      <c r="M73" s="376">
        <f t="shared" si="11"/>
        <v>332435.930750206</v>
      </c>
      <c r="N73" s="347"/>
      <c r="P73" s="328"/>
    </row>
    <row r="74" s="330" customFormat="1" hidden="1" customHeight="1" spans="1:16">
      <c r="A74" s="370"/>
      <c r="B74" s="366" t="s">
        <v>4610</v>
      </c>
      <c r="C74" s="366" t="s">
        <v>4523</v>
      </c>
      <c r="D74" s="342">
        <v>83200</v>
      </c>
      <c r="E74" s="342">
        <v>41600</v>
      </c>
      <c r="F74" s="342">
        <v>31200</v>
      </c>
      <c r="G74" s="342">
        <v>52000</v>
      </c>
      <c r="H74" s="342">
        <v>52000</v>
      </c>
      <c r="I74" s="342">
        <v>62400</v>
      </c>
      <c r="J74" s="342">
        <v>52000</v>
      </c>
      <c r="K74" s="342">
        <v>31390.3380049464</v>
      </c>
      <c r="L74" s="342">
        <f>[6]配件数量!AB55</f>
        <v>22880</v>
      </c>
      <c r="M74" s="376">
        <f t="shared" si="11"/>
        <v>405790.338004946</v>
      </c>
      <c r="N74" s="347"/>
      <c r="P74" s="328"/>
    </row>
    <row r="75" s="330" customFormat="1" hidden="1" customHeight="1" spans="1:16">
      <c r="A75" s="371"/>
      <c r="B75" s="366" t="s">
        <v>4611</v>
      </c>
      <c r="C75" s="366" t="s">
        <v>4516</v>
      </c>
      <c r="D75" s="342">
        <v>229200</v>
      </c>
      <c r="E75" s="342">
        <v>114600</v>
      </c>
      <c r="F75" s="342">
        <v>85950</v>
      </c>
      <c r="G75" s="342">
        <v>143250</v>
      </c>
      <c r="H75" s="342">
        <v>143250</v>
      </c>
      <c r="I75" s="342">
        <v>171900</v>
      </c>
      <c r="J75" s="342">
        <v>143250</v>
      </c>
      <c r="K75" s="342">
        <v>86474.3446001649</v>
      </c>
      <c r="L75" s="342">
        <f>[6]配件数量!AB56</f>
        <v>63030</v>
      </c>
      <c r="M75" s="376">
        <f t="shared" si="11"/>
        <v>1117874.34460016</v>
      </c>
      <c r="N75" s="347"/>
      <c r="P75" s="328"/>
    </row>
    <row r="76" s="330" customFormat="1" hidden="1" customHeight="1" spans="1:16">
      <c r="A76" s="369" t="s">
        <v>4612</v>
      </c>
      <c r="B76" s="366" t="s">
        <v>4613</v>
      </c>
      <c r="C76" s="366" t="s">
        <v>4518</v>
      </c>
      <c r="D76" s="342">
        <v>998400</v>
      </c>
      <c r="E76" s="342">
        <v>499200</v>
      </c>
      <c r="F76" s="342">
        <v>374400</v>
      </c>
      <c r="G76" s="342">
        <v>624000</v>
      </c>
      <c r="H76" s="342">
        <v>624000</v>
      </c>
      <c r="I76" s="342">
        <v>748800</v>
      </c>
      <c r="J76" s="342">
        <v>624000</v>
      </c>
      <c r="K76" s="342">
        <v>376684.056059357</v>
      </c>
      <c r="L76" s="342">
        <f>[6]配件数量!AB57</f>
        <v>274560</v>
      </c>
      <c r="M76" s="376">
        <f t="shared" si="11"/>
        <v>4869484.05605936</v>
      </c>
      <c r="N76" s="347"/>
      <c r="P76" s="328"/>
    </row>
    <row r="77" s="330" customFormat="1" hidden="1" customHeight="1" spans="1:16">
      <c r="A77" s="370"/>
      <c r="B77" s="366" t="s">
        <v>4614</v>
      </c>
      <c r="C77" s="366" t="s">
        <v>4518</v>
      </c>
      <c r="D77" s="342">
        <v>166400</v>
      </c>
      <c r="E77" s="342">
        <v>83200</v>
      </c>
      <c r="F77" s="342">
        <v>62400</v>
      </c>
      <c r="G77" s="342">
        <v>104000</v>
      </c>
      <c r="H77" s="342">
        <v>104000</v>
      </c>
      <c r="I77" s="342">
        <v>124800</v>
      </c>
      <c r="J77" s="342">
        <v>104000</v>
      </c>
      <c r="K77" s="342">
        <v>62780.6760098928</v>
      </c>
      <c r="L77" s="342">
        <f>[6]配件数量!AB58</f>
        <v>45760</v>
      </c>
      <c r="M77" s="376">
        <f t="shared" si="11"/>
        <v>811580.676009893</v>
      </c>
      <c r="N77" s="347"/>
      <c r="P77" s="328"/>
    </row>
    <row r="78" s="330" customFormat="1" hidden="1" customHeight="1" spans="1:16">
      <c r="A78" s="370"/>
      <c r="B78" s="366" t="s">
        <v>4615</v>
      </c>
      <c r="C78" s="366" t="s">
        <v>4516</v>
      </c>
      <c r="D78" s="342">
        <v>229200</v>
      </c>
      <c r="E78" s="342">
        <v>114600</v>
      </c>
      <c r="F78" s="342">
        <v>85950</v>
      </c>
      <c r="G78" s="342">
        <v>143250</v>
      </c>
      <c r="H78" s="342">
        <v>143250</v>
      </c>
      <c r="I78" s="342">
        <v>171900</v>
      </c>
      <c r="J78" s="342">
        <v>143250</v>
      </c>
      <c r="K78" s="342">
        <v>86474.3446001649</v>
      </c>
      <c r="L78" s="342">
        <f>[6]配件数量!AB59</f>
        <v>63030</v>
      </c>
      <c r="M78" s="376">
        <f t="shared" si="11"/>
        <v>1117874.34460016</v>
      </c>
      <c r="N78" s="347"/>
      <c r="P78" s="328"/>
    </row>
    <row r="79" s="330" customFormat="1" hidden="1" customHeight="1" spans="1:16">
      <c r="A79" s="370"/>
      <c r="B79" s="366" t="s">
        <v>4616</v>
      </c>
      <c r="C79" s="366" t="s">
        <v>4520</v>
      </c>
      <c r="D79" s="342">
        <v>68160</v>
      </c>
      <c r="E79" s="342">
        <v>34080</v>
      </c>
      <c r="F79" s="342">
        <v>25560</v>
      </c>
      <c r="G79" s="342">
        <v>42600</v>
      </c>
      <c r="H79" s="342">
        <v>42600</v>
      </c>
      <c r="I79" s="342">
        <v>51120</v>
      </c>
      <c r="J79" s="342">
        <v>42600</v>
      </c>
      <c r="K79" s="342">
        <v>25715.9307502061</v>
      </c>
      <c r="L79" s="342">
        <f>[6]配件数量!AB60</f>
        <v>18744</v>
      </c>
      <c r="M79" s="376">
        <f t="shared" si="11"/>
        <v>332435.930750206</v>
      </c>
      <c r="N79" s="347"/>
      <c r="P79" s="328"/>
    </row>
    <row r="80" s="330" customFormat="1" hidden="1" customHeight="1" spans="1:16">
      <c r="A80" s="370"/>
      <c r="B80" s="366" t="s">
        <v>4617</v>
      </c>
      <c r="C80" s="366" t="s">
        <v>4520</v>
      </c>
      <c r="D80" s="342">
        <v>68160</v>
      </c>
      <c r="E80" s="342">
        <v>34080</v>
      </c>
      <c r="F80" s="342">
        <v>25560</v>
      </c>
      <c r="G80" s="342">
        <v>42600</v>
      </c>
      <c r="H80" s="342">
        <v>42600</v>
      </c>
      <c r="I80" s="342">
        <v>51120</v>
      </c>
      <c r="J80" s="342">
        <v>42600</v>
      </c>
      <c r="K80" s="342">
        <v>25715.9307502061</v>
      </c>
      <c r="L80" s="342">
        <f>[6]配件数量!AB61</f>
        <v>18744</v>
      </c>
      <c r="M80" s="376">
        <f t="shared" si="11"/>
        <v>332435.930750206</v>
      </c>
      <c r="N80" s="347"/>
      <c r="P80" s="328"/>
    </row>
    <row r="81" s="330" customFormat="1" hidden="1" customHeight="1" spans="1:16">
      <c r="A81" s="370"/>
      <c r="B81" s="366" t="s">
        <v>4618</v>
      </c>
      <c r="C81" s="366" t="s">
        <v>4520</v>
      </c>
      <c r="D81" s="342">
        <v>68160</v>
      </c>
      <c r="E81" s="342">
        <v>34080</v>
      </c>
      <c r="F81" s="342">
        <v>25560</v>
      </c>
      <c r="G81" s="342">
        <v>42600</v>
      </c>
      <c r="H81" s="342">
        <v>42600</v>
      </c>
      <c r="I81" s="342">
        <v>51120</v>
      </c>
      <c r="J81" s="342">
        <v>42600</v>
      </c>
      <c r="K81" s="342">
        <v>25715.9307502061</v>
      </c>
      <c r="L81" s="342">
        <f>[6]配件数量!AB62</f>
        <v>18744</v>
      </c>
      <c r="M81" s="376">
        <f t="shared" si="11"/>
        <v>332435.930750206</v>
      </c>
      <c r="N81" s="347"/>
      <c r="P81" s="328"/>
    </row>
    <row r="82" s="330" customFormat="1" hidden="1" customHeight="1" spans="1:16">
      <c r="A82" s="370"/>
      <c r="B82" s="366" t="s">
        <v>4619</v>
      </c>
      <c r="C82" s="366" t="s">
        <v>4513</v>
      </c>
      <c r="D82" s="342">
        <v>166400</v>
      </c>
      <c r="E82" s="342">
        <v>83200</v>
      </c>
      <c r="F82" s="342">
        <v>62400</v>
      </c>
      <c r="G82" s="342">
        <v>104000</v>
      </c>
      <c r="H82" s="342">
        <v>104000</v>
      </c>
      <c r="I82" s="342">
        <v>124800</v>
      </c>
      <c r="J82" s="342">
        <v>104000</v>
      </c>
      <c r="K82" s="342">
        <v>62780.6760098928</v>
      </c>
      <c r="L82" s="342">
        <f>[6]配件数量!AB63</f>
        <v>45760</v>
      </c>
      <c r="M82" s="376">
        <f t="shared" si="11"/>
        <v>811580.676009893</v>
      </c>
      <c r="N82" s="347"/>
      <c r="P82" s="328"/>
    </row>
    <row r="83" s="330" customFormat="1" hidden="1" customHeight="1" spans="1:16">
      <c r="A83" s="370"/>
      <c r="B83" s="366" t="s">
        <v>4620</v>
      </c>
      <c r="C83" s="366" t="s">
        <v>4513</v>
      </c>
      <c r="D83" s="342">
        <v>166400</v>
      </c>
      <c r="E83" s="342">
        <v>83200</v>
      </c>
      <c r="F83" s="342">
        <v>62400</v>
      </c>
      <c r="G83" s="342">
        <v>104000</v>
      </c>
      <c r="H83" s="342">
        <v>104000</v>
      </c>
      <c r="I83" s="342">
        <v>124800</v>
      </c>
      <c r="J83" s="342">
        <v>104000</v>
      </c>
      <c r="K83" s="342">
        <v>62780.6760098928</v>
      </c>
      <c r="L83" s="342">
        <f>[6]配件数量!AB64</f>
        <v>45760</v>
      </c>
      <c r="M83" s="376">
        <f t="shared" si="11"/>
        <v>811580.676009893</v>
      </c>
      <c r="N83" s="347"/>
      <c r="P83" s="328"/>
    </row>
    <row r="84" s="330" customFormat="1" hidden="1" customHeight="1" spans="1:16">
      <c r="A84" s="371"/>
      <c r="B84" s="366" t="s">
        <v>4621</v>
      </c>
      <c r="C84" s="366" t="s">
        <v>4513</v>
      </c>
      <c r="D84" s="342">
        <v>166400</v>
      </c>
      <c r="E84" s="342">
        <v>83200</v>
      </c>
      <c r="F84" s="342">
        <v>62400</v>
      </c>
      <c r="G84" s="342">
        <v>104000</v>
      </c>
      <c r="H84" s="342">
        <v>104000</v>
      </c>
      <c r="I84" s="342">
        <v>124800</v>
      </c>
      <c r="J84" s="342">
        <v>104000</v>
      </c>
      <c r="K84" s="342">
        <v>62780.6760098928</v>
      </c>
      <c r="L84" s="342">
        <f>[6]配件数量!AB65</f>
        <v>45760</v>
      </c>
      <c r="M84" s="376">
        <f t="shared" si="11"/>
        <v>811580.676009893</v>
      </c>
      <c r="N84" s="347"/>
      <c r="P84" s="328"/>
    </row>
    <row r="85" s="330" customFormat="1" hidden="1" customHeight="1" spans="1:16">
      <c r="A85" s="369" t="s">
        <v>4622</v>
      </c>
      <c r="B85" s="366" t="s">
        <v>4623</v>
      </c>
      <c r="C85" s="366" t="s">
        <v>4624</v>
      </c>
      <c r="D85" s="342">
        <v>742000</v>
      </c>
      <c r="E85" s="342">
        <v>371000</v>
      </c>
      <c r="F85" s="342">
        <v>278250</v>
      </c>
      <c r="G85" s="342">
        <v>463750</v>
      </c>
      <c r="H85" s="342">
        <v>463750</v>
      </c>
      <c r="I85" s="342">
        <v>556500</v>
      </c>
      <c r="J85" s="342">
        <v>463750</v>
      </c>
      <c r="K85" s="342">
        <v>279947.48557296</v>
      </c>
      <c r="L85" s="342">
        <f>[6]配件数量!AB66</f>
        <v>204050</v>
      </c>
      <c r="M85" s="376">
        <f t="shared" si="11"/>
        <v>3618947.48557296</v>
      </c>
      <c r="N85" s="347"/>
      <c r="P85" s="328"/>
    </row>
    <row r="86" s="330" customFormat="1" hidden="1" customHeight="1" spans="1:16">
      <c r="A86" s="370"/>
      <c r="B86" s="366" t="s">
        <v>4625</v>
      </c>
      <c r="C86" s="366" t="s">
        <v>4626</v>
      </c>
      <c r="D86" s="342">
        <v>1137600</v>
      </c>
      <c r="E86" s="342">
        <v>568800</v>
      </c>
      <c r="F86" s="342">
        <v>426600</v>
      </c>
      <c r="G86" s="342">
        <v>711000</v>
      </c>
      <c r="H86" s="342">
        <v>711000</v>
      </c>
      <c r="I86" s="342">
        <v>853200</v>
      </c>
      <c r="J86" s="342">
        <v>711000</v>
      </c>
      <c r="K86" s="342">
        <v>429202.506183017</v>
      </c>
      <c r="L86" s="342">
        <f>[6]配件数量!AB67</f>
        <v>312840</v>
      </c>
      <c r="M86" s="376">
        <f t="shared" si="11"/>
        <v>5548402.50618302</v>
      </c>
      <c r="N86" s="347"/>
      <c r="P86" s="328"/>
    </row>
    <row r="87" s="330" customFormat="1" hidden="1" customHeight="1" spans="1:16">
      <c r="A87" s="371"/>
      <c r="B87" s="366" t="s">
        <v>4627</v>
      </c>
      <c r="C87" s="366" t="s">
        <v>4527</v>
      </c>
      <c r="D87" s="342">
        <v>832000</v>
      </c>
      <c r="E87" s="342">
        <v>416000</v>
      </c>
      <c r="F87" s="342">
        <v>312000</v>
      </c>
      <c r="G87" s="342">
        <v>520000</v>
      </c>
      <c r="H87" s="342">
        <v>520000</v>
      </c>
      <c r="I87" s="342">
        <v>624000</v>
      </c>
      <c r="J87" s="342">
        <v>520000</v>
      </c>
      <c r="K87" s="342">
        <v>313903.380049464</v>
      </c>
      <c r="L87" s="342">
        <f>[6]配件数量!AB68</f>
        <v>228800</v>
      </c>
      <c r="M87" s="376">
        <f t="shared" si="11"/>
        <v>4057903.38004946</v>
      </c>
      <c r="N87" s="347"/>
      <c r="P87" s="328"/>
    </row>
    <row r="88" s="330" customFormat="1" hidden="1" customHeight="1" spans="1:16">
      <c r="A88" s="369" t="s">
        <v>4628</v>
      </c>
      <c r="B88" s="366" t="s">
        <v>4629</v>
      </c>
      <c r="C88" s="366" t="s">
        <v>4630</v>
      </c>
      <c r="D88" s="342">
        <v>1027200</v>
      </c>
      <c r="E88" s="342">
        <v>513600</v>
      </c>
      <c r="F88" s="342">
        <v>385200</v>
      </c>
      <c r="G88" s="342">
        <v>642000</v>
      </c>
      <c r="H88" s="342">
        <v>642000</v>
      </c>
      <c r="I88" s="342">
        <v>770400</v>
      </c>
      <c r="J88" s="342">
        <v>642000</v>
      </c>
      <c r="K88" s="342">
        <v>387549.942291838</v>
      </c>
      <c r="L88" s="342">
        <f>[6]配件数量!AB69</f>
        <v>282480</v>
      </c>
      <c r="M88" s="376">
        <f t="shared" si="11"/>
        <v>5009949.94229184</v>
      </c>
      <c r="N88" s="347"/>
      <c r="P88" s="328"/>
    </row>
    <row r="89" s="330" customFormat="1" hidden="1" customHeight="1" spans="1:16">
      <c r="A89" s="370"/>
      <c r="B89" s="366" t="s">
        <v>4631</v>
      </c>
      <c r="C89" s="366" t="s">
        <v>4508</v>
      </c>
      <c r="D89" s="342">
        <v>1248000</v>
      </c>
      <c r="E89" s="342">
        <v>624000</v>
      </c>
      <c r="F89" s="342">
        <v>468000</v>
      </c>
      <c r="G89" s="342">
        <v>780000</v>
      </c>
      <c r="H89" s="342">
        <v>780000</v>
      </c>
      <c r="I89" s="342">
        <v>936000</v>
      </c>
      <c r="J89" s="342">
        <v>780000</v>
      </c>
      <c r="K89" s="342">
        <v>470855.070074196</v>
      </c>
      <c r="L89" s="342">
        <f>[6]配件数量!AB70</f>
        <v>343200</v>
      </c>
      <c r="M89" s="376">
        <f t="shared" si="11"/>
        <v>6086855.0700742</v>
      </c>
      <c r="N89" s="347"/>
      <c r="P89" s="328"/>
    </row>
    <row r="90" s="330" customFormat="1" hidden="1" customHeight="1" spans="1:16">
      <c r="A90" s="371"/>
      <c r="B90" s="366" t="s">
        <v>4632</v>
      </c>
      <c r="C90" s="366" t="s">
        <v>4508</v>
      </c>
      <c r="D90" s="342">
        <v>665600</v>
      </c>
      <c r="E90" s="342">
        <v>332800</v>
      </c>
      <c r="F90" s="342">
        <v>249600</v>
      </c>
      <c r="G90" s="342">
        <v>416000</v>
      </c>
      <c r="H90" s="342">
        <v>416000</v>
      </c>
      <c r="I90" s="342">
        <v>499200</v>
      </c>
      <c r="J90" s="342">
        <v>416000</v>
      </c>
      <c r="K90" s="342">
        <v>251122.704039571</v>
      </c>
      <c r="L90" s="342">
        <f>[6]配件数量!AB71</f>
        <v>183040</v>
      </c>
      <c r="M90" s="376">
        <f t="shared" si="11"/>
        <v>3246322.70403957</v>
      </c>
      <c r="N90" s="347"/>
      <c r="P90" s="328"/>
    </row>
    <row r="91" s="330" customFormat="1" hidden="1" customHeight="1" spans="1:16">
      <c r="A91" s="369" t="s">
        <v>4633</v>
      </c>
      <c r="B91" s="366" t="s">
        <v>4634</v>
      </c>
      <c r="C91" s="366" t="s">
        <v>4635</v>
      </c>
      <c r="D91" s="342">
        <v>2122400</v>
      </c>
      <c r="E91" s="342">
        <v>1061200</v>
      </c>
      <c r="F91" s="342">
        <v>795900</v>
      </c>
      <c r="G91" s="342">
        <v>1326500</v>
      </c>
      <c r="H91" s="342">
        <v>1326500</v>
      </c>
      <c r="I91" s="342">
        <v>1591800</v>
      </c>
      <c r="J91" s="342">
        <v>1326500</v>
      </c>
      <c r="K91" s="342">
        <v>800755.449299258</v>
      </c>
      <c r="L91" s="342">
        <f>[6]配件数量!AB72</f>
        <v>583660</v>
      </c>
      <c r="M91" s="376">
        <f t="shared" si="11"/>
        <v>10351555.4492993</v>
      </c>
      <c r="N91" s="347"/>
      <c r="P91" s="328"/>
    </row>
    <row r="92" s="330" customFormat="1" hidden="1" customHeight="1" spans="1:16">
      <c r="A92" s="370"/>
      <c r="B92" s="366" t="s">
        <v>4636</v>
      </c>
      <c r="C92" s="366" t="s">
        <v>4635</v>
      </c>
      <c r="D92" s="342">
        <v>2198800</v>
      </c>
      <c r="E92" s="342">
        <v>1099400</v>
      </c>
      <c r="F92" s="342">
        <v>824550</v>
      </c>
      <c r="G92" s="342">
        <v>1374250</v>
      </c>
      <c r="H92" s="342">
        <v>1374250</v>
      </c>
      <c r="I92" s="342">
        <v>1649100</v>
      </c>
      <c r="J92" s="342">
        <v>1374250</v>
      </c>
      <c r="K92" s="342">
        <v>829580.230832646</v>
      </c>
      <c r="L92" s="342">
        <f>[6]配件数量!AB73</f>
        <v>604670</v>
      </c>
      <c r="M92" s="376">
        <f t="shared" ref="M92:M130" si="12">SUM(D92:K92)</f>
        <v>10724180.2308326</v>
      </c>
      <c r="N92" s="347"/>
      <c r="P92" s="328"/>
    </row>
    <row r="93" s="330" customFormat="1" hidden="1" customHeight="1" spans="1:16">
      <c r="A93" s="370"/>
      <c r="B93" s="366" t="s">
        <v>4637</v>
      </c>
      <c r="C93" s="366" t="s">
        <v>4635</v>
      </c>
      <c r="D93" s="342">
        <v>2198800</v>
      </c>
      <c r="E93" s="342">
        <v>1099400</v>
      </c>
      <c r="F93" s="342">
        <v>824550</v>
      </c>
      <c r="G93" s="342">
        <v>1374250</v>
      </c>
      <c r="H93" s="342">
        <v>1374250</v>
      </c>
      <c r="I93" s="342">
        <v>1649100</v>
      </c>
      <c r="J93" s="342">
        <v>1374250</v>
      </c>
      <c r="K93" s="342">
        <v>829580.230832646</v>
      </c>
      <c r="L93" s="342">
        <f>[6]配件数量!AB74</f>
        <v>604670</v>
      </c>
      <c r="M93" s="376">
        <f t="shared" si="12"/>
        <v>10724180.2308326</v>
      </c>
      <c r="N93" s="347"/>
      <c r="P93" s="328"/>
    </row>
    <row r="94" s="330" customFormat="1" hidden="1" customHeight="1" spans="1:16">
      <c r="A94" s="370"/>
      <c r="B94" s="366" t="s">
        <v>4638</v>
      </c>
      <c r="C94" s="366" t="s">
        <v>4508</v>
      </c>
      <c r="D94" s="342">
        <v>1248000</v>
      </c>
      <c r="E94" s="342">
        <v>624000</v>
      </c>
      <c r="F94" s="342">
        <v>468000</v>
      </c>
      <c r="G94" s="342">
        <v>780000</v>
      </c>
      <c r="H94" s="342">
        <v>780000</v>
      </c>
      <c r="I94" s="342">
        <v>936000</v>
      </c>
      <c r="J94" s="342">
        <v>780000</v>
      </c>
      <c r="K94" s="342">
        <v>470855.070074196</v>
      </c>
      <c r="L94" s="342">
        <f>[6]配件数量!AB75</f>
        <v>343200</v>
      </c>
      <c r="M94" s="376">
        <f t="shared" si="12"/>
        <v>6086855.0700742</v>
      </c>
      <c r="N94" s="347"/>
      <c r="P94" s="328"/>
    </row>
    <row r="95" s="330" customFormat="1" hidden="1" customHeight="1" spans="1:16">
      <c r="A95" s="370"/>
      <c r="B95" s="366" t="s">
        <v>4639</v>
      </c>
      <c r="C95" s="366" t="s">
        <v>4533</v>
      </c>
      <c r="D95" s="342">
        <v>142400</v>
      </c>
      <c r="E95" s="342">
        <v>71200</v>
      </c>
      <c r="F95" s="342">
        <v>53400</v>
      </c>
      <c r="G95" s="342">
        <v>89000</v>
      </c>
      <c r="H95" s="342">
        <v>89000</v>
      </c>
      <c r="I95" s="342">
        <v>106800</v>
      </c>
      <c r="J95" s="342">
        <v>89000</v>
      </c>
      <c r="K95" s="342">
        <v>53725.7708161583</v>
      </c>
      <c r="L95" s="342">
        <f>[6]配件数量!AB76</f>
        <v>39160</v>
      </c>
      <c r="M95" s="376">
        <f t="shared" si="12"/>
        <v>694525.770816158</v>
      </c>
      <c r="N95" s="347"/>
      <c r="P95" s="328"/>
    </row>
    <row r="96" s="330" customFormat="1" hidden="1" customHeight="1" spans="1:16">
      <c r="A96" s="371"/>
      <c r="B96" s="366" t="s">
        <v>4640</v>
      </c>
      <c r="C96" s="366" t="s">
        <v>4529</v>
      </c>
      <c r="D96" s="342">
        <v>47360</v>
      </c>
      <c r="E96" s="342">
        <v>23680</v>
      </c>
      <c r="F96" s="342">
        <v>17760</v>
      </c>
      <c r="G96" s="342">
        <v>29600</v>
      </c>
      <c r="H96" s="342">
        <v>29600</v>
      </c>
      <c r="I96" s="342">
        <v>35520</v>
      </c>
      <c r="J96" s="342">
        <v>29600</v>
      </c>
      <c r="K96" s="342">
        <v>14208</v>
      </c>
      <c r="L96" s="342">
        <f>[6]配件数量!AB77</f>
        <v>13024</v>
      </c>
      <c r="M96" s="376">
        <f t="shared" si="12"/>
        <v>227328</v>
      </c>
      <c r="N96" s="347"/>
      <c r="P96" s="328"/>
    </row>
    <row r="97" s="330" customFormat="1" hidden="1" customHeight="1" spans="1:16">
      <c r="A97" s="369" t="s">
        <v>4641</v>
      </c>
      <c r="B97" s="366" t="s">
        <v>4642</v>
      </c>
      <c r="C97" s="366" t="s">
        <v>4525</v>
      </c>
      <c r="D97" s="342">
        <v>76400</v>
      </c>
      <c r="E97" s="342">
        <v>38200</v>
      </c>
      <c r="F97" s="342">
        <v>28650</v>
      </c>
      <c r="G97" s="342">
        <v>47750</v>
      </c>
      <c r="H97" s="342">
        <v>47750</v>
      </c>
      <c r="I97" s="342">
        <v>57300</v>
      </c>
      <c r="J97" s="342">
        <v>47750</v>
      </c>
      <c r="K97" s="342">
        <v>28824.7815333883</v>
      </c>
      <c r="L97" s="342">
        <f>[6]配件数量!AB78</f>
        <v>21010</v>
      </c>
      <c r="M97" s="376">
        <f t="shared" si="12"/>
        <v>372624.781533388</v>
      </c>
      <c r="N97" s="347"/>
      <c r="P97" s="328"/>
    </row>
    <row r="98" s="330" customFormat="1" hidden="1" customHeight="1" spans="1:16">
      <c r="A98" s="370"/>
      <c r="B98" s="366" t="s">
        <v>4643</v>
      </c>
      <c r="C98" s="366" t="s">
        <v>4525</v>
      </c>
      <c r="D98" s="342">
        <v>152800</v>
      </c>
      <c r="E98" s="342">
        <v>76400</v>
      </c>
      <c r="F98" s="342">
        <v>57300</v>
      </c>
      <c r="G98" s="342">
        <v>95500</v>
      </c>
      <c r="H98" s="342">
        <v>95500</v>
      </c>
      <c r="I98" s="342">
        <v>114600</v>
      </c>
      <c r="J98" s="342">
        <v>95500</v>
      </c>
      <c r="K98" s="342">
        <v>57649.5630667766</v>
      </c>
      <c r="L98" s="342">
        <f>[6]配件数量!AB79</f>
        <v>42020</v>
      </c>
      <c r="M98" s="376">
        <f t="shared" si="12"/>
        <v>745249.563066777</v>
      </c>
      <c r="N98" s="347"/>
      <c r="P98" s="328"/>
    </row>
    <row r="99" s="330" customFormat="1" hidden="1" customHeight="1" spans="1:16">
      <c r="A99" s="370"/>
      <c r="B99" s="366" t="s">
        <v>4644</v>
      </c>
      <c r="C99" s="366" t="s">
        <v>4525</v>
      </c>
      <c r="D99" s="342">
        <v>229200</v>
      </c>
      <c r="E99" s="342">
        <v>114600</v>
      </c>
      <c r="F99" s="342">
        <v>85950</v>
      </c>
      <c r="G99" s="342">
        <v>143250</v>
      </c>
      <c r="H99" s="342">
        <v>143250</v>
      </c>
      <c r="I99" s="342">
        <v>171900</v>
      </c>
      <c r="J99" s="342">
        <v>143250</v>
      </c>
      <c r="K99" s="342">
        <v>86474.3446001649</v>
      </c>
      <c r="L99" s="342">
        <f>[6]配件数量!AB80</f>
        <v>63030</v>
      </c>
      <c r="M99" s="376">
        <f t="shared" si="12"/>
        <v>1117874.34460016</v>
      </c>
      <c r="N99" s="347"/>
      <c r="P99" s="328"/>
    </row>
    <row r="100" s="330" customFormat="1" hidden="1" customHeight="1" spans="1:16">
      <c r="A100" s="370"/>
      <c r="B100" s="366" t="s">
        <v>4645</v>
      </c>
      <c r="C100" s="366" t="s">
        <v>4531</v>
      </c>
      <c r="D100" s="342">
        <v>136320</v>
      </c>
      <c r="E100" s="342">
        <v>68160</v>
      </c>
      <c r="F100" s="342">
        <v>51120</v>
      </c>
      <c r="G100" s="342">
        <v>85200</v>
      </c>
      <c r="H100" s="342">
        <v>85200</v>
      </c>
      <c r="I100" s="342">
        <v>102240</v>
      </c>
      <c r="J100" s="342">
        <v>85200</v>
      </c>
      <c r="K100" s="342">
        <v>51431.8615004122</v>
      </c>
      <c r="L100" s="342">
        <f>[6]配件数量!AB81</f>
        <v>37488</v>
      </c>
      <c r="M100" s="376">
        <f t="shared" si="12"/>
        <v>664871.861500412</v>
      </c>
      <c r="N100" s="347"/>
      <c r="P100" s="328"/>
    </row>
    <row r="101" s="330" customFormat="1" hidden="1" customHeight="1" spans="1:16">
      <c r="A101" s="370"/>
      <c r="B101" s="366" t="s">
        <v>4646</v>
      </c>
      <c r="C101" s="366" t="s">
        <v>4531</v>
      </c>
      <c r="D101" s="342">
        <v>136320</v>
      </c>
      <c r="E101" s="342">
        <v>68160</v>
      </c>
      <c r="F101" s="342">
        <v>51120</v>
      </c>
      <c r="G101" s="342">
        <v>85200</v>
      </c>
      <c r="H101" s="342">
        <v>85200</v>
      </c>
      <c r="I101" s="342">
        <v>102240</v>
      </c>
      <c r="J101" s="342">
        <v>85200</v>
      </c>
      <c r="K101" s="342">
        <v>51431.8615004122</v>
      </c>
      <c r="L101" s="342">
        <f>[6]配件数量!AB82</f>
        <v>37488</v>
      </c>
      <c r="M101" s="376">
        <f t="shared" si="12"/>
        <v>664871.861500412</v>
      </c>
      <c r="N101" s="347"/>
      <c r="P101" s="328"/>
    </row>
    <row r="102" s="330" customFormat="1" hidden="1" customHeight="1" spans="1:16">
      <c r="A102" s="370"/>
      <c r="B102" s="366" t="s">
        <v>4647</v>
      </c>
      <c r="C102" s="366" t="s">
        <v>4531</v>
      </c>
      <c r="D102" s="342">
        <v>136320</v>
      </c>
      <c r="E102" s="342">
        <v>68160</v>
      </c>
      <c r="F102" s="342">
        <v>51120</v>
      </c>
      <c r="G102" s="342">
        <v>85200</v>
      </c>
      <c r="H102" s="342">
        <v>85200</v>
      </c>
      <c r="I102" s="342">
        <v>102240</v>
      </c>
      <c r="J102" s="342">
        <v>85200</v>
      </c>
      <c r="K102" s="342">
        <v>51431.8615004122</v>
      </c>
      <c r="L102" s="342">
        <f>[6]配件数量!AB83</f>
        <v>37488</v>
      </c>
      <c r="M102" s="376">
        <f t="shared" si="12"/>
        <v>664871.861500412</v>
      </c>
      <c r="N102" s="347"/>
      <c r="P102" s="328"/>
    </row>
    <row r="103" s="330" customFormat="1" hidden="1" customHeight="1" spans="1:16">
      <c r="A103" s="370"/>
      <c r="B103" s="366" t="s">
        <v>4648</v>
      </c>
      <c r="C103" s="366" t="s">
        <v>4520</v>
      </c>
      <c r="D103" s="342">
        <v>68160</v>
      </c>
      <c r="E103" s="342">
        <v>34080</v>
      </c>
      <c r="F103" s="342">
        <v>25560</v>
      </c>
      <c r="G103" s="342">
        <v>42600</v>
      </c>
      <c r="H103" s="342">
        <v>42600</v>
      </c>
      <c r="I103" s="342">
        <v>51120</v>
      </c>
      <c r="J103" s="342">
        <v>42600</v>
      </c>
      <c r="K103" s="342">
        <v>25715.9307502061</v>
      </c>
      <c r="L103" s="342">
        <f>[6]配件数量!AB84</f>
        <v>18744</v>
      </c>
      <c r="M103" s="376">
        <f t="shared" si="12"/>
        <v>332435.930750206</v>
      </c>
      <c r="N103" s="347"/>
      <c r="P103" s="328"/>
    </row>
    <row r="104" s="330" customFormat="1" hidden="1" customHeight="1" spans="1:16">
      <c r="A104" s="370"/>
      <c r="B104" s="366" t="s">
        <v>4649</v>
      </c>
      <c r="C104" s="366" t="s">
        <v>4520</v>
      </c>
      <c r="D104" s="342">
        <v>68160</v>
      </c>
      <c r="E104" s="342">
        <v>34080</v>
      </c>
      <c r="F104" s="342">
        <v>25560</v>
      </c>
      <c r="G104" s="342">
        <v>42600</v>
      </c>
      <c r="H104" s="342">
        <v>42600</v>
      </c>
      <c r="I104" s="342">
        <v>51120</v>
      </c>
      <c r="J104" s="342">
        <v>42600</v>
      </c>
      <c r="K104" s="342">
        <v>25715.9307502061</v>
      </c>
      <c r="L104" s="342">
        <f>[6]配件数量!AB85</f>
        <v>18744</v>
      </c>
      <c r="M104" s="376">
        <f t="shared" si="12"/>
        <v>332435.930750206</v>
      </c>
      <c r="N104" s="347"/>
      <c r="P104" s="328"/>
    </row>
    <row r="105" s="330" customFormat="1" hidden="1" customHeight="1" spans="1:16">
      <c r="A105" s="370"/>
      <c r="B105" s="366" t="s">
        <v>4650</v>
      </c>
      <c r="C105" s="366" t="s">
        <v>4520</v>
      </c>
      <c r="D105" s="342">
        <v>68160</v>
      </c>
      <c r="E105" s="342">
        <v>34080</v>
      </c>
      <c r="F105" s="342">
        <v>25560</v>
      </c>
      <c r="G105" s="342">
        <v>42600</v>
      </c>
      <c r="H105" s="342">
        <v>42600</v>
      </c>
      <c r="I105" s="342">
        <v>51120</v>
      </c>
      <c r="J105" s="342">
        <v>42600</v>
      </c>
      <c r="K105" s="342">
        <v>25715.9307502061</v>
      </c>
      <c r="L105" s="342">
        <f>[6]配件数量!AB86</f>
        <v>18744</v>
      </c>
      <c r="M105" s="376">
        <f t="shared" si="12"/>
        <v>332435.930750206</v>
      </c>
      <c r="N105" s="347"/>
      <c r="P105" s="328"/>
    </row>
    <row r="106" s="330" customFormat="1" hidden="1" customHeight="1" spans="1:16">
      <c r="A106" s="370"/>
      <c r="B106" s="366" t="s">
        <v>4651</v>
      </c>
      <c r="C106" s="366" t="s">
        <v>4513</v>
      </c>
      <c r="D106" s="342">
        <v>166400</v>
      </c>
      <c r="E106" s="342">
        <v>83200</v>
      </c>
      <c r="F106" s="342">
        <v>62400</v>
      </c>
      <c r="G106" s="342">
        <v>104000</v>
      </c>
      <c r="H106" s="342">
        <v>104000</v>
      </c>
      <c r="I106" s="342">
        <v>124800</v>
      </c>
      <c r="J106" s="342">
        <v>104000</v>
      </c>
      <c r="K106" s="342">
        <v>62780.6760098928</v>
      </c>
      <c r="L106" s="342">
        <f>[6]配件数量!AB87</f>
        <v>45760</v>
      </c>
      <c r="M106" s="376">
        <f t="shared" si="12"/>
        <v>811580.676009893</v>
      </c>
      <c r="N106" s="347"/>
      <c r="P106" s="328"/>
    </row>
    <row r="107" s="330" customFormat="1" hidden="1" customHeight="1" spans="1:16">
      <c r="A107" s="370"/>
      <c r="B107" s="366" t="s">
        <v>4652</v>
      </c>
      <c r="C107" s="366" t="s">
        <v>4513</v>
      </c>
      <c r="D107" s="342">
        <v>166400</v>
      </c>
      <c r="E107" s="342">
        <v>83200</v>
      </c>
      <c r="F107" s="342">
        <v>62400</v>
      </c>
      <c r="G107" s="342">
        <v>104000</v>
      </c>
      <c r="H107" s="342">
        <v>104000</v>
      </c>
      <c r="I107" s="342">
        <v>124800</v>
      </c>
      <c r="J107" s="342">
        <v>104000</v>
      </c>
      <c r="K107" s="342">
        <v>62780.6760098928</v>
      </c>
      <c r="L107" s="342">
        <f>[6]配件数量!AB88</f>
        <v>45760</v>
      </c>
      <c r="M107" s="376">
        <f t="shared" si="12"/>
        <v>811580.676009893</v>
      </c>
      <c r="N107" s="347"/>
      <c r="P107" s="328"/>
    </row>
    <row r="108" s="330" customFormat="1" hidden="1" customHeight="1" spans="1:16">
      <c r="A108" s="371"/>
      <c r="B108" s="366" t="s">
        <v>4653</v>
      </c>
      <c r="C108" s="366" t="s">
        <v>4513</v>
      </c>
      <c r="D108" s="342">
        <v>166400</v>
      </c>
      <c r="E108" s="342">
        <v>83200</v>
      </c>
      <c r="F108" s="342">
        <v>62400</v>
      </c>
      <c r="G108" s="342">
        <v>104000</v>
      </c>
      <c r="H108" s="342">
        <v>104000</v>
      </c>
      <c r="I108" s="342">
        <v>124800</v>
      </c>
      <c r="J108" s="342">
        <v>104000</v>
      </c>
      <c r="K108" s="342">
        <v>62780.6760098928</v>
      </c>
      <c r="L108" s="342">
        <f>[6]配件数量!AB89</f>
        <v>45760</v>
      </c>
      <c r="M108" s="376">
        <f t="shared" si="12"/>
        <v>811580.676009893</v>
      </c>
      <c r="N108" s="347"/>
      <c r="P108" s="328"/>
    </row>
    <row r="109" s="330" customFormat="1" hidden="1" customHeight="1" spans="1:16">
      <c r="A109" s="369" t="s">
        <v>4654</v>
      </c>
      <c r="B109" s="366" t="s">
        <v>4655</v>
      </c>
      <c r="C109" s="366" t="s">
        <v>4529</v>
      </c>
      <c r="D109" s="342">
        <v>23680</v>
      </c>
      <c r="E109" s="342">
        <v>11840</v>
      </c>
      <c r="F109" s="342">
        <v>8880</v>
      </c>
      <c r="G109" s="342">
        <v>14800</v>
      </c>
      <c r="H109" s="342">
        <v>14800</v>
      </c>
      <c r="I109" s="342">
        <v>17760</v>
      </c>
      <c r="J109" s="342">
        <v>14800</v>
      </c>
      <c r="K109" s="342">
        <v>7104</v>
      </c>
      <c r="L109" s="342">
        <f>[6]配件数量!AB90</f>
        <v>6512</v>
      </c>
      <c r="M109" s="376">
        <f t="shared" si="12"/>
        <v>113664</v>
      </c>
      <c r="N109" s="347"/>
      <c r="P109" s="328"/>
    </row>
    <row r="110" s="330" customFormat="1" hidden="1" customHeight="1" spans="1:16">
      <c r="A110" s="370"/>
      <c r="B110" s="366" t="s">
        <v>4656</v>
      </c>
      <c r="C110" s="366" t="s">
        <v>4529</v>
      </c>
      <c r="D110" s="342">
        <v>23680</v>
      </c>
      <c r="E110" s="342">
        <v>11840</v>
      </c>
      <c r="F110" s="342">
        <v>8880</v>
      </c>
      <c r="G110" s="342">
        <v>14800</v>
      </c>
      <c r="H110" s="342">
        <v>14800</v>
      </c>
      <c r="I110" s="342">
        <v>17760</v>
      </c>
      <c r="J110" s="342">
        <v>14800</v>
      </c>
      <c r="K110" s="342">
        <v>7104</v>
      </c>
      <c r="L110" s="342">
        <f>[6]配件数量!AB91</f>
        <v>6512</v>
      </c>
      <c r="M110" s="376">
        <f t="shared" si="12"/>
        <v>113664</v>
      </c>
      <c r="N110" s="347"/>
      <c r="P110" s="328"/>
    </row>
    <row r="111" s="330" customFormat="1" hidden="1" customHeight="1" spans="1:16">
      <c r="A111" s="370"/>
      <c r="B111" s="366" t="s">
        <v>4657</v>
      </c>
      <c r="C111" s="366" t="s">
        <v>4531</v>
      </c>
      <c r="D111" s="342">
        <v>68160</v>
      </c>
      <c r="E111" s="342">
        <v>34080</v>
      </c>
      <c r="F111" s="342">
        <v>25560</v>
      </c>
      <c r="G111" s="342">
        <v>42600</v>
      </c>
      <c r="H111" s="342">
        <v>42600</v>
      </c>
      <c r="I111" s="342">
        <v>51120</v>
      </c>
      <c r="J111" s="342">
        <v>42600</v>
      </c>
      <c r="K111" s="342">
        <v>25715.9307502061</v>
      </c>
      <c r="L111" s="342">
        <f>[6]配件数量!AB92</f>
        <v>18744</v>
      </c>
      <c r="M111" s="376">
        <f t="shared" si="12"/>
        <v>332435.930750206</v>
      </c>
      <c r="N111" s="347"/>
      <c r="P111" s="328"/>
    </row>
    <row r="112" s="330" customFormat="1" hidden="1" customHeight="1" spans="1:16">
      <c r="A112" s="370"/>
      <c r="B112" s="366" t="s">
        <v>4658</v>
      </c>
      <c r="C112" s="366" t="s">
        <v>4531</v>
      </c>
      <c r="D112" s="342">
        <v>68160</v>
      </c>
      <c r="E112" s="342">
        <v>34080</v>
      </c>
      <c r="F112" s="342">
        <v>25560</v>
      </c>
      <c r="G112" s="342">
        <v>42600</v>
      </c>
      <c r="H112" s="342">
        <v>42600</v>
      </c>
      <c r="I112" s="342">
        <v>51120</v>
      </c>
      <c r="J112" s="342">
        <v>42600</v>
      </c>
      <c r="K112" s="342">
        <v>25715.9307502061</v>
      </c>
      <c r="L112" s="342">
        <f>[6]配件数量!AB93</f>
        <v>18744</v>
      </c>
      <c r="M112" s="376">
        <f t="shared" si="12"/>
        <v>332435.930750206</v>
      </c>
      <c r="N112" s="347"/>
      <c r="P112" s="328"/>
    </row>
    <row r="113" s="330" customFormat="1" hidden="1" customHeight="1" spans="1:16">
      <c r="A113" s="370"/>
      <c r="B113" s="366" t="s">
        <v>4659</v>
      </c>
      <c r="C113" s="366" t="s">
        <v>4533</v>
      </c>
      <c r="D113" s="342">
        <v>71200</v>
      </c>
      <c r="E113" s="342">
        <v>35600</v>
      </c>
      <c r="F113" s="342">
        <v>26700</v>
      </c>
      <c r="G113" s="342">
        <v>44500</v>
      </c>
      <c r="H113" s="342">
        <v>44500</v>
      </c>
      <c r="I113" s="342">
        <v>53400</v>
      </c>
      <c r="J113" s="342">
        <v>44500</v>
      </c>
      <c r="K113" s="342">
        <v>26862.8854080791</v>
      </c>
      <c r="L113" s="342">
        <f>[6]配件数量!AB94</f>
        <v>19580</v>
      </c>
      <c r="M113" s="376">
        <f t="shared" si="12"/>
        <v>347262.885408079</v>
      </c>
      <c r="N113" s="347"/>
      <c r="P113" s="328"/>
    </row>
    <row r="114" s="330" customFormat="1" hidden="1" customHeight="1" spans="1:16">
      <c r="A114" s="370"/>
      <c r="B114" s="366" t="s">
        <v>4660</v>
      </c>
      <c r="C114" s="366" t="s">
        <v>4533</v>
      </c>
      <c r="D114" s="342">
        <v>71200</v>
      </c>
      <c r="E114" s="342">
        <v>35600</v>
      </c>
      <c r="F114" s="342">
        <v>26700</v>
      </c>
      <c r="G114" s="342">
        <v>44500</v>
      </c>
      <c r="H114" s="342">
        <v>44500</v>
      </c>
      <c r="I114" s="342">
        <v>53400</v>
      </c>
      <c r="J114" s="342">
        <v>44500</v>
      </c>
      <c r="K114" s="342">
        <v>26862.8854080791</v>
      </c>
      <c r="L114" s="342">
        <f>[6]配件数量!AB95</f>
        <v>19580</v>
      </c>
      <c r="M114" s="376">
        <f t="shared" si="12"/>
        <v>347262.885408079</v>
      </c>
      <c r="N114" s="347"/>
      <c r="P114" s="328"/>
    </row>
    <row r="115" s="330" customFormat="1" hidden="1" customHeight="1" spans="1:16">
      <c r="A115" s="371"/>
      <c r="B115" s="366" t="s">
        <v>4661</v>
      </c>
      <c r="C115" s="366" t="s">
        <v>4533</v>
      </c>
      <c r="D115" s="342">
        <v>71200</v>
      </c>
      <c r="E115" s="342">
        <v>35600</v>
      </c>
      <c r="F115" s="342">
        <v>26700</v>
      </c>
      <c r="G115" s="342">
        <v>44500</v>
      </c>
      <c r="H115" s="342">
        <v>44500</v>
      </c>
      <c r="I115" s="342">
        <v>53400</v>
      </c>
      <c r="J115" s="342">
        <v>44500</v>
      </c>
      <c r="K115" s="342">
        <v>26862.8854080791</v>
      </c>
      <c r="L115" s="342">
        <f>[6]配件数量!AB96</f>
        <v>19580</v>
      </c>
      <c r="M115" s="376">
        <f t="shared" si="12"/>
        <v>347262.885408079</v>
      </c>
      <c r="N115" s="347"/>
      <c r="P115" s="328"/>
    </row>
    <row r="116" s="330" customFormat="1" hidden="1" customHeight="1" spans="1:16">
      <c r="A116" s="369" t="s">
        <v>4662</v>
      </c>
      <c r="B116" s="366" t="s">
        <v>4663</v>
      </c>
      <c r="C116" s="366" t="s">
        <v>4571</v>
      </c>
      <c r="D116" s="342">
        <v>332800</v>
      </c>
      <c r="E116" s="342">
        <v>166400</v>
      </c>
      <c r="F116" s="342">
        <v>124800</v>
      </c>
      <c r="G116" s="342">
        <v>208000</v>
      </c>
      <c r="H116" s="342">
        <v>208000</v>
      </c>
      <c r="I116" s="342">
        <v>249600</v>
      </c>
      <c r="J116" s="342">
        <v>208000</v>
      </c>
      <c r="K116" s="342">
        <v>125561.352019786</v>
      </c>
      <c r="L116" s="342">
        <f>[6]配件数量!AB97</f>
        <v>91520</v>
      </c>
      <c r="M116" s="376">
        <f t="shared" si="12"/>
        <v>1623161.35201979</v>
      </c>
      <c r="N116" s="347"/>
      <c r="P116" s="328"/>
    </row>
    <row r="117" s="330" customFormat="1" hidden="1" customHeight="1" spans="1:16">
      <c r="A117" s="370"/>
      <c r="B117" s="366" t="s">
        <v>4664</v>
      </c>
      <c r="C117" s="366" t="s">
        <v>4516</v>
      </c>
      <c r="D117" s="342">
        <v>152800</v>
      </c>
      <c r="E117" s="342">
        <v>76400</v>
      </c>
      <c r="F117" s="342">
        <v>57300</v>
      </c>
      <c r="G117" s="342">
        <v>95500</v>
      </c>
      <c r="H117" s="342">
        <v>95500</v>
      </c>
      <c r="I117" s="342">
        <v>114600</v>
      </c>
      <c r="J117" s="342">
        <v>95500</v>
      </c>
      <c r="K117" s="342">
        <v>57649.5630667766</v>
      </c>
      <c r="L117" s="342">
        <f>[6]配件数量!AB98</f>
        <v>42020</v>
      </c>
      <c r="M117" s="376">
        <f t="shared" si="12"/>
        <v>745249.563066777</v>
      </c>
      <c r="N117" s="347"/>
      <c r="P117" s="328"/>
    </row>
    <row r="118" s="330" customFormat="1" hidden="1" customHeight="1" spans="1:16">
      <c r="A118" s="370"/>
      <c r="B118" s="366" t="s">
        <v>4665</v>
      </c>
      <c r="C118" s="366" t="s">
        <v>4533</v>
      </c>
      <c r="D118" s="342">
        <v>71200</v>
      </c>
      <c r="E118" s="342">
        <v>35600</v>
      </c>
      <c r="F118" s="342">
        <v>26700</v>
      </c>
      <c r="G118" s="342">
        <v>44500</v>
      </c>
      <c r="H118" s="342">
        <v>44500</v>
      </c>
      <c r="I118" s="342">
        <v>53400</v>
      </c>
      <c r="J118" s="342">
        <v>44500</v>
      </c>
      <c r="K118" s="342">
        <v>26862.8854080791</v>
      </c>
      <c r="L118" s="342">
        <f>[6]配件数量!AB99</f>
        <v>19580</v>
      </c>
      <c r="M118" s="376">
        <f t="shared" si="12"/>
        <v>347262.885408079</v>
      </c>
      <c r="N118" s="347"/>
      <c r="P118" s="328"/>
    </row>
    <row r="119" s="330" customFormat="1" hidden="1" customHeight="1" spans="1:16">
      <c r="A119" s="370"/>
      <c r="B119" s="366" t="s">
        <v>4606</v>
      </c>
      <c r="C119" s="366" t="s">
        <v>4518</v>
      </c>
      <c r="D119" s="342">
        <v>83200</v>
      </c>
      <c r="E119" s="342">
        <v>41600</v>
      </c>
      <c r="F119" s="342">
        <v>31200</v>
      </c>
      <c r="G119" s="342">
        <v>52000</v>
      </c>
      <c r="H119" s="342">
        <v>52000</v>
      </c>
      <c r="I119" s="342">
        <v>62400</v>
      </c>
      <c r="J119" s="342">
        <v>52000</v>
      </c>
      <c r="K119" s="342">
        <v>31390.3380049464</v>
      </c>
      <c r="L119" s="342">
        <f>[6]配件数量!AB100</f>
        <v>22880</v>
      </c>
      <c r="M119" s="376">
        <f t="shared" si="12"/>
        <v>405790.338004946</v>
      </c>
      <c r="N119" s="347"/>
      <c r="P119" s="328"/>
    </row>
    <row r="120" s="330" customFormat="1" hidden="1" customHeight="1" spans="1:16">
      <c r="A120" s="371"/>
      <c r="B120" s="366" t="s">
        <v>4666</v>
      </c>
      <c r="C120" s="366" t="s">
        <v>4529</v>
      </c>
      <c r="D120" s="342">
        <v>592000</v>
      </c>
      <c r="E120" s="342">
        <v>296000</v>
      </c>
      <c r="F120" s="342">
        <v>222000</v>
      </c>
      <c r="G120" s="342">
        <v>370000</v>
      </c>
      <c r="H120" s="342">
        <v>370000</v>
      </c>
      <c r="I120" s="342">
        <v>444000</v>
      </c>
      <c r="J120" s="342">
        <v>370000</v>
      </c>
      <c r="K120" s="342">
        <v>177600</v>
      </c>
      <c r="L120" s="342">
        <f>[6]配件数量!AB101</f>
        <v>162800</v>
      </c>
      <c r="M120" s="376">
        <f t="shared" si="12"/>
        <v>2841600</v>
      </c>
      <c r="N120" s="347"/>
      <c r="P120" s="328"/>
    </row>
    <row r="121" s="330" customFormat="1" hidden="1" customHeight="1" spans="1:16">
      <c r="A121" s="369" t="s">
        <v>4667</v>
      </c>
      <c r="B121" s="366" t="s">
        <v>4668</v>
      </c>
      <c r="C121" s="366" t="s">
        <v>4669</v>
      </c>
      <c r="D121" s="342">
        <v>538720</v>
      </c>
      <c r="E121" s="342">
        <v>269360</v>
      </c>
      <c r="F121" s="342">
        <v>202020</v>
      </c>
      <c r="G121" s="342">
        <v>336700</v>
      </c>
      <c r="H121" s="342">
        <v>336700</v>
      </c>
      <c r="I121" s="342">
        <v>404040</v>
      </c>
      <c r="J121" s="342">
        <v>336700</v>
      </c>
      <c r="K121" s="342">
        <v>203252.438582028</v>
      </c>
      <c r="L121" s="342">
        <f>[6]配件数量!AB102</f>
        <v>148148</v>
      </c>
      <c r="M121" s="376">
        <f t="shared" si="12"/>
        <v>2627492.43858203</v>
      </c>
      <c r="N121" s="347"/>
      <c r="P121" s="328"/>
    </row>
    <row r="122" s="330" customFormat="1" hidden="1" customHeight="1" spans="1:16">
      <c r="A122" s="371"/>
      <c r="B122" s="366" t="s">
        <v>4670</v>
      </c>
      <c r="C122" s="366" t="s">
        <v>4533</v>
      </c>
      <c r="D122" s="342">
        <v>71200</v>
      </c>
      <c r="E122" s="342">
        <v>35600</v>
      </c>
      <c r="F122" s="342">
        <v>26700</v>
      </c>
      <c r="G122" s="342">
        <v>44500</v>
      </c>
      <c r="H122" s="342">
        <v>44500</v>
      </c>
      <c r="I122" s="342">
        <v>53400</v>
      </c>
      <c r="J122" s="342">
        <v>44500</v>
      </c>
      <c r="K122" s="342">
        <v>26862.8854080791</v>
      </c>
      <c r="L122" s="342">
        <f>[6]配件数量!AB103</f>
        <v>19580</v>
      </c>
      <c r="M122" s="376">
        <f t="shared" si="12"/>
        <v>347262.885408079</v>
      </c>
      <c r="N122" s="347"/>
      <c r="P122" s="328"/>
    </row>
    <row r="123" s="330" customFormat="1" hidden="1" customHeight="1" spans="1:16">
      <c r="A123" s="388" t="s">
        <v>4671</v>
      </c>
      <c r="B123" s="366" t="s">
        <v>4672</v>
      </c>
      <c r="C123" s="366" t="s">
        <v>4598</v>
      </c>
      <c r="D123" s="342">
        <v>326000</v>
      </c>
      <c r="E123" s="342">
        <v>163000</v>
      </c>
      <c r="F123" s="342">
        <v>122250</v>
      </c>
      <c r="G123" s="342">
        <v>203750</v>
      </c>
      <c r="H123" s="342">
        <v>203750</v>
      </c>
      <c r="I123" s="342">
        <v>244500</v>
      </c>
      <c r="J123" s="342">
        <v>203750</v>
      </c>
      <c r="K123" s="342">
        <v>122995.795548228</v>
      </c>
      <c r="L123" s="342">
        <f>[6]配件数量!AB104</f>
        <v>89650</v>
      </c>
      <c r="M123" s="376">
        <f t="shared" si="12"/>
        <v>1589995.79554823</v>
      </c>
      <c r="N123" s="347"/>
      <c r="P123" s="328"/>
    </row>
    <row r="124" s="330" customFormat="1" hidden="1" customHeight="1" spans="1:16">
      <c r="A124" s="388" t="s">
        <v>4673</v>
      </c>
      <c r="B124" s="366" t="s">
        <v>4674</v>
      </c>
      <c r="C124" s="366" t="s">
        <v>4581</v>
      </c>
      <c r="D124" s="342">
        <v>242800</v>
      </c>
      <c r="E124" s="342">
        <v>121400</v>
      </c>
      <c r="F124" s="342">
        <v>91050</v>
      </c>
      <c r="G124" s="342">
        <v>151750</v>
      </c>
      <c r="H124" s="342">
        <v>151750</v>
      </c>
      <c r="I124" s="342">
        <v>182100</v>
      </c>
      <c r="J124" s="342">
        <v>151750</v>
      </c>
      <c r="K124" s="342">
        <v>91605.4575432811</v>
      </c>
      <c r="L124" s="342">
        <f>[6]配件数量!AB105</f>
        <v>66770</v>
      </c>
      <c r="M124" s="376">
        <f t="shared" si="12"/>
        <v>1184205.45754328</v>
      </c>
      <c r="N124" s="347"/>
      <c r="P124" s="328"/>
    </row>
    <row r="125" s="330" customFormat="1" hidden="1" customHeight="1" spans="1:16">
      <c r="A125" s="388" t="s">
        <v>4675</v>
      </c>
      <c r="B125" s="366" t="s">
        <v>4676</v>
      </c>
      <c r="C125" s="366" t="s">
        <v>4560</v>
      </c>
      <c r="D125" s="342">
        <v>136320</v>
      </c>
      <c r="E125" s="342">
        <v>68160</v>
      </c>
      <c r="F125" s="342">
        <v>51120</v>
      </c>
      <c r="G125" s="342">
        <v>85200</v>
      </c>
      <c r="H125" s="342">
        <v>85200</v>
      </c>
      <c r="I125" s="342">
        <v>102240</v>
      </c>
      <c r="J125" s="342">
        <v>85200</v>
      </c>
      <c r="K125" s="342">
        <v>51431.8615004122</v>
      </c>
      <c r="L125" s="342">
        <f>[6]配件数量!AB106</f>
        <v>37488</v>
      </c>
      <c r="M125" s="376">
        <f t="shared" si="12"/>
        <v>664871.861500412</v>
      </c>
      <c r="N125" s="347"/>
      <c r="P125" s="328"/>
    </row>
    <row r="126" s="330" customFormat="1" hidden="1" customHeight="1" spans="1:16">
      <c r="A126" s="388" t="s">
        <v>4677</v>
      </c>
      <c r="B126" s="366" t="s">
        <v>4678</v>
      </c>
      <c r="C126" s="366" t="s">
        <v>4586</v>
      </c>
      <c r="D126" s="342">
        <v>227760</v>
      </c>
      <c r="E126" s="342">
        <v>113880</v>
      </c>
      <c r="F126" s="342">
        <v>85410</v>
      </c>
      <c r="G126" s="342">
        <v>142350</v>
      </c>
      <c r="H126" s="342">
        <v>142350</v>
      </c>
      <c r="I126" s="342">
        <v>170820</v>
      </c>
      <c r="J126" s="342">
        <v>142350</v>
      </c>
      <c r="K126" s="342">
        <v>85931.0502885408</v>
      </c>
      <c r="L126" s="342">
        <f>[6]配件数量!AB107</f>
        <v>62634</v>
      </c>
      <c r="M126" s="376">
        <f t="shared" si="12"/>
        <v>1110851.05028854</v>
      </c>
      <c r="N126" s="347"/>
      <c r="P126" s="328"/>
    </row>
    <row r="127" s="330" customFormat="1" hidden="1" customHeight="1" spans="1:16">
      <c r="A127" s="388" t="s">
        <v>4679</v>
      </c>
      <c r="B127" s="366" t="s">
        <v>4680</v>
      </c>
      <c r="C127" s="366" t="s">
        <v>4595</v>
      </c>
      <c r="D127" s="342">
        <v>100080</v>
      </c>
      <c r="E127" s="342">
        <v>50040</v>
      </c>
      <c r="F127" s="342">
        <v>37530</v>
      </c>
      <c r="G127" s="342">
        <v>62550</v>
      </c>
      <c r="H127" s="342">
        <v>62550</v>
      </c>
      <c r="I127" s="342">
        <v>75060</v>
      </c>
      <c r="J127" s="342">
        <v>62550</v>
      </c>
      <c r="K127" s="342">
        <v>35928.7815333883</v>
      </c>
      <c r="L127" s="342">
        <f>[6]配件数量!AB108</f>
        <v>27522</v>
      </c>
      <c r="M127" s="376">
        <f t="shared" si="12"/>
        <v>486288.781533388</v>
      </c>
      <c r="N127" s="347"/>
      <c r="P127" s="328"/>
    </row>
    <row r="128" s="330" customFormat="1" hidden="1" customHeight="1" spans="1:16">
      <c r="A128" s="388" t="s">
        <v>4681</v>
      </c>
      <c r="B128" s="366" t="s">
        <v>4682</v>
      </c>
      <c r="C128" s="366" t="s">
        <v>4592</v>
      </c>
      <c r="D128" s="342">
        <v>166400</v>
      </c>
      <c r="E128" s="342">
        <v>83200</v>
      </c>
      <c r="F128" s="342">
        <v>62400</v>
      </c>
      <c r="G128" s="342">
        <v>104000</v>
      </c>
      <c r="H128" s="342">
        <v>104000</v>
      </c>
      <c r="I128" s="342">
        <v>124800</v>
      </c>
      <c r="J128" s="342">
        <v>104000</v>
      </c>
      <c r="K128" s="342">
        <v>62780.6760098928</v>
      </c>
      <c r="L128" s="342">
        <f>[6]配件数量!AB109</f>
        <v>45760</v>
      </c>
      <c r="M128" s="376">
        <f t="shared" si="12"/>
        <v>811580.676009893</v>
      </c>
      <c r="N128" s="347"/>
      <c r="P128" s="328"/>
    </row>
    <row r="129" s="330" customFormat="1" hidden="1" customHeight="1" spans="1:16">
      <c r="A129" s="388" t="s">
        <v>4683</v>
      </c>
      <c r="B129" s="366" t="s">
        <v>4684</v>
      </c>
      <c r="C129" s="366" t="s">
        <v>4513</v>
      </c>
      <c r="D129" s="342">
        <v>83200</v>
      </c>
      <c r="E129" s="342">
        <v>41600</v>
      </c>
      <c r="F129" s="342">
        <v>31200</v>
      </c>
      <c r="G129" s="342">
        <v>52000</v>
      </c>
      <c r="H129" s="342">
        <v>52000</v>
      </c>
      <c r="I129" s="342">
        <v>62400</v>
      </c>
      <c r="J129" s="342">
        <v>52000</v>
      </c>
      <c r="K129" s="342">
        <v>31390.3380049464</v>
      </c>
      <c r="L129" s="342">
        <f>[6]配件数量!AB110</f>
        <v>22880</v>
      </c>
      <c r="M129" s="376">
        <f t="shared" si="12"/>
        <v>405790.338004946</v>
      </c>
      <c r="N129" s="347"/>
      <c r="P129" s="328"/>
    </row>
    <row r="130" s="330" customFormat="1" hidden="1" customHeight="1" spans="1:16">
      <c r="A130" s="388" t="s">
        <v>4685</v>
      </c>
      <c r="B130" s="366" t="s">
        <v>4686</v>
      </c>
      <c r="C130" s="366" t="s">
        <v>4533</v>
      </c>
      <c r="D130" s="342">
        <v>71200</v>
      </c>
      <c r="E130" s="342">
        <v>35600</v>
      </c>
      <c r="F130" s="342">
        <v>26700</v>
      </c>
      <c r="G130" s="342">
        <v>44500</v>
      </c>
      <c r="H130" s="342">
        <v>44500</v>
      </c>
      <c r="I130" s="342">
        <v>53400</v>
      </c>
      <c r="J130" s="342">
        <v>44500</v>
      </c>
      <c r="K130" s="342">
        <v>26862.8854080791</v>
      </c>
      <c r="L130" s="342">
        <f>[6]配件数量!AB111</f>
        <v>19580</v>
      </c>
      <c r="M130" s="376">
        <f t="shared" si="12"/>
        <v>347262.885408079</v>
      </c>
      <c r="N130" s="347"/>
      <c r="P130" s="328"/>
    </row>
    <row r="131" s="330" customFormat="1" hidden="1" customHeight="1" spans="1:16">
      <c r="A131" s="343"/>
      <c r="B131" s="344"/>
      <c r="C131" s="352" t="s">
        <v>4687</v>
      </c>
      <c r="D131" s="345">
        <f t="shared" ref="D131:H131" si="13">SUM(D28:D130)</f>
        <v>34995200</v>
      </c>
      <c r="E131" s="345">
        <f t="shared" si="13"/>
        <v>17497600</v>
      </c>
      <c r="F131" s="345">
        <f t="shared" si="13"/>
        <v>13123200</v>
      </c>
      <c r="G131" s="345">
        <f t="shared" si="13"/>
        <v>21872000</v>
      </c>
      <c r="H131" s="345">
        <f t="shared" si="13"/>
        <v>21872000</v>
      </c>
      <c r="I131" s="345">
        <v>26246400</v>
      </c>
      <c r="J131" s="345">
        <f t="shared" ref="J131:M131" si="14">SUM(J28:J130)</f>
        <v>21872000</v>
      </c>
      <c r="K131" s="345">
        <f t="shared" si="14"/>
        <v>13119071.1294312</v>
      </c>
      <c r="L131" s="345">
        <f t="shared" si="14"/>
        <v>9623680</v>
      </c>
      <c r="M131" s="345">
        <f t="shared" si="14"/>
        <v>170597471.129431</v>
      </c>
      <c r="N131" s="378"/>
      <c r="P131" s="328"/>
    </row>
    <row r="132" s="330" customFormat="1" hidden="1" customHeight="1" spans="1:16">
      <c r="A132" s="388" t="s">
        <v>4551</v>
      </c>
      <c r="B132" s="366" t="s">
        <v>4552</v>
      </c>
      <c r="C132" s="366" t="s">
        <v>4543</v>
      </c>
      <c r="D132" s="342">
        <v>30000</v>
      </c>
      <c r="E132" s="342">
        <v>10000</v>
      </c>
      <c r="F132" s="342"/>
      <c r="G132" s="342">
        <v>15000</v>
      </c>
      <c r="H132" s="342">
        <v>15000</v>
      </c>
      <c r="I132" s="342">
        <v>10000</v>
      </c>
      <c r="J132" s="342">
        <v>0</v>
      </c>
      <c r="K132" s="342">
        <v>-21500</v>
      </c>
      <c r="L132" s="342"/>
      <c r="M132" s="376">
        <f t="shared" ref="M132:M140" si="15">SUM(D132:K132)</f>
        <v>58500</v>
      </c>
      <c r="N132" s="389" t="s">
        <v>4688</v>
      </c>
      <c r="P132" s="328"/>
    </row>
    <row r="133" s="330" customFormat="1" hidden="1" customHeight="1" spans="1:16">
      <c r="A133" s="388" t="s">
        <v>4569</v>
      </c>
      <c r="B133" s="366" t="s">
        <v>4570</v>
      </c>
      <c r="C133" s="366" t="s">
        <v>4571</v>
      </c>
      <c r="D133" s="342">
        <v>30000</v>
      </c>
      <c r="E133" s="342">
        <v>10000</v>
      </c>
      <c r="F133" s="342"/>
      <c r="G133" s="342">
        <v>15000</v>
      </c>
      <c r="H133" s="342">
        <v>15000</v>
      </c>
      <c r="I133" s="342">
        <v>10000</v>
      </c>
      <c r="J133" s="342">
        <v>0</v>
      </c>
      <c r="K133" s="342">
        <v>-21500</v>
      </c>
      <c r="L133" s="342"/>
      <c r="M133" s="376">
        <f t="shared" si="15"/>
        <v>58500</v>
      </c>
      <c r="N133" s="390"/>
      <c r="P133" s="328"/>
    </row>
    <row r="134" s="330" customFormat="1" hidden="1" customHeight="1" spans="1:16">
      <c r="A134" s="388" t="s">
        <v>4569</v>
      </c>
      <c r="B134" s="366" t="s">
        <v>4572</v>
      </c>
      <c r="C134" s="366" t="s">
        <v>4573</v>
      </c>
      <c r="D134" s="342">
        <v>30000</v>
      </c>
      <c r="E134" s="342">
        <v>10000</v>
      </c>
      <c r="F134" s="342"/>
      <c r="G134" s="342">
        <v>15000</v>
      </c>
      <c r="H134" s="342">
        <v>15000</v>
      </c>
      <c r="I134" s="342">
        <v>10000</v>
      </c>
      <c r="J134" s="342">
        <v>0</v>
      </c>
      <c r="K134" s="342">
        <v>-21500</v>
      </c>
      <c r="L134" s="342"/>
      <c r="M134" s="376">
        <f t="shared" si="15"/>
        <v>58500</v>
      </c>
      <c r="N134" s="390"/>
      <c r="P134" s="328"/>
    </row>
    <row r="135" s="330" customFormat="1" hidden="1" customHeight="1" spans="1:16">
      <c r="A135" s="388" t="s">
        <v>4590</v>
      </c>
      <c r="B135" s="366" t="s">
        <v>4599</v>
      </c>
      <c r="C135" s="366" t="s">
        <v>4598</v>
      </c>
      <c r="D135" s="342">
        <v>30000</v>
      </c>
      <c r="E135" s="342">
        <v>10000</v>
      </c>
      <c r="F135" s="342"/>
      <c r="G135" s="342">
        <v>15000</v>
      </c>
      <c r="H135" s="342">
        <v>15000</v>
      </c>
      <c r="I135" s="342">
        <v>10000</v>
      </c>
      <c r="J135" s="342">
        <v>0</v>
      </c>
      <c r="K135" s="342">
        <v>-21500</v>
      </c>
      <c r="L135" s="342"/>
      <c r="M135" s="376">
        <f t="shared" si="15"/>
        <v>58500</v>
      </c>
      <c r="N135" s="390"/>
      <c r="P135" s="328"/>
    </row>
    <row r="136" s="330" customFormat="1" hidden="1" customHeight="1" spans="1:16">
      <c r="A136" s="388" t="s">
        <v>4628</v>
      </c>
      <c r="B136" s="366" t="s">
        <v>4631</v>
      </c>
      <c r="C136" s="366" t="s">
        <v>4508</v>
      </c>
      <c r="D136" s="342">
        <v>450000</v>
      </c>
      <c r="E136" s="342">
        <v>150000</v>
      </c>
      <c r="F136" s="342"/>
      <c r="G136" s="342">
        <v>225000</v>
      </c>
      <c r="H136" s="342">
        <v>225000</v>
      </c>
      <c r="I136" s="342">
        <v>150000</v>
      </c>
      <c r="J136" s="342">
        <v>0</v>
      </c>
      <c r="K136" s="342">
        <v>-322500</v>
      </c>
      <c r="L136" s="342"/>
      <c r="M136" s="376">
        <f t="shared" si="15"/>
        <v>877500</v>
      </c>
      <c r="N136" s="390"/>
      <c r="P136" s="328"/>
    </row>
    <row r="137" s="330" customFormat="1" hidden="1" customHeight="1" spans="1:16">
      <c r="A137" s="388" t="s">
        <v>4628</v>
      </c>
      <c r="B137" s="366" t="s">
        <v>4632</v>
      </c>
      <c r="C137" s="366" t="s">
        <v>4508</v>
      </c>
      <c r="D137" s="342">
        <v>240000</v>
      </c>
      <c r="E137" s="342">
        <v>80000</v>
      </c>
      <c r="F137" s="342"/>
      <c r="G137" s="342">
        <v>120000</v>
      </c>
      <c r="H137" s="342">
        <v>120000</v>
      </c>
      <c r="I137" s="342">
        <v>80000</v>
      </c>
      <c r="J137" s="342">
        <v>0</v>
      </c>
      <c r="K137" s="342">
        <v>-172000</v>
      </c>
      <c r="L137" s="342"/>
      <c r="M137" s="376">
        <f t="shared" si="15"/>
        <v>468000</v>
      </c>
      <c r="N137" s="390"/>
      <c r="P137" s="328"/>
    </row>
    <row r="138" s="330" customFormat="1" hidden="1" customHeight="1" spans="1:16">
      <c r="A138" s="388" t="s">
        <v>4633</v>
      </c>
      <c r="B138" s="366" t="s">
        <v>4638</v>
      </c>
      <c r="C138" s="366" t="s">
        <v>4508</v>
      </c>
      <c r="D138" s="342">
        <v>450000</v>
      </c>
      <c r="E138" s="342">
        <v>150000</v>
      </c>
      <c r="F138" s="342"/>
      <c r="G138" s="342">
        <v>225000</v>
      </c>
      <c r="H138" s="342">
        <v>225000</v>
      </c>
      <c r="I138" s="342">
        <v>150000</v>
      </c>
      <c r="J138" s="342">
        <v>0</v>
      </c>
      <c r="K138" s="342">
        <v>-322500</v>
      </c>
      <c r="L138" s="342"/>
      <c r="M138" s="376">
        <f t="shared" si="15"/>
        <v>877500</v>
      </c>
      <c r="N138" s="390"/>
      <c r="P138" s="328"/>
    </row>
    <row r="139" s="330" customFormat="1" hidden="1" customHeight="1" spans="1:16">
      <c r="A139" s="388" t="s">
        <v>4662</v>
      </c>
      <c r="B139" s="366" t="s">
        <v>4663</v>
      </c>
      <c r="C139" s="366" t="s">
        <v>4571</v>
      </c>
      <c r="D139" s="342">
        <v>60000</v>
      </c>
      <c r="E139" s="342">
        <v>20000</v>
      </c>
      <c r="F139" s="342"/>
      <c r="G139" s="342">
        <v>30000</v>
      </c>
      <c r="H139" s="342">
        <v>30000</v>
      </c>
      <c r="I139" s="342">
        <v>20000</v>
      </c>
      <c r="J139" s="342">
        <v>0</v>
      </c>
      <c r="K139" s="342">
        <v>-43000</v>
      </c>
      <c r="L139" s="342"/>
      <c r="M139" s="376">
        <f t="shared" si="15"/>
        <v>117000</v>
      </c>
      <c r="N139" s="390"/>
      <c r="P139" s="328"/>
    </row>
    <row r="140" s="330" customFormat="1" hidden="1" customHeight="1" spans="1:16">
      <c r="A140" s="388" t="s">
        <v>4671</v>
      </c>
      <c r="B140" s="366" t="s">
        <v>4672</v>
      </c>
      <c r="C140" s="366" t="s">
        <v>4598</v>
      </c>
      <c r="D140" s="342">
        <v>30000</v>
      </c>
      <c r="E140" s="342">
        <v>10000</v>
      </c>
      <c r="F140" s="342"/>
      <c r="G140" s="342">
        <v>15000</v>
      </c>
      <c r="H140" s="342">
        <v>15000</v>
      </c>
      <c r="I140" s="342">
        <v>10000</v>
      </c>
      <c r="J140" s="342">
        <v>0</v>
      </c>
      <c r="K140" s="342">
        <v>-21500</v>
      </c>
      <c r="L140" s="342"/>
      <c r="M140" s="376">
        <f t="shared" si="15"/>
        <v>58500</v>
      </c>
      <c r="N140" s="391"/>
      <c r="P140" s="328"/>
    </row>
    <row r="141" s="328" customFormat="1" hidden="1" customHeight="1" spans="1:15">
      <c r="A141" s="343"/>
      <c r="B141" s="344"/>
      <c r="C141" s="344" t="s">
        <v>4512</v>
      </c>
      <c r="D141" s="345">
        <f t="shared" ref="D141:K141" si="16">SUM(D132:D140)</f>
        <v>1350000</v>
      </c>
      <c r="E141" s="345">
        <f t="shared" si="16"/>
        <v>450000</v>
      </c>
      <c r="F141" s="345">
        <f t="shared" si="16"/>
        <v>0</v>
      </c>
      <c r="G141" s="345">
        <f t="shared" si="16"/>
        <v>675000</v>
      </c>
      <c r="H141" s="345">
        <f t="shared" si="16"/>
        <v>675000</v>
      </c>
      <c r="I141" s="345">
        <f t="shared" si="16"/>
        <v>450000</v>
      </c>
      <c r="J141" s="345">
        <f t="shared" si="16"/>
        <v>0</v>
      </c>
      <c r="K141" s="345">
        <f t="shared" si="16"/>
        <v>-967500</v>
      </c>
      <c r="L141" s="345"/>
      <c r="M141" s="345">
        <f>SUM(M132:M140)</f>
        <v>2632500</v>
      </c>
      <c r="N141" s="378"/>
      <c r="O141" s="330"/>
    </row>
    <row r="142" s="330" customFormat="1" hidden="1" customHeight="1" spans="1:16">
      <c r="A142" s="388" t="s">
        <v>4551</v>
      </c>
      <c r="B142" s="366" t="s">
        <v>4552</v>
      </c>
      <c r="C142" s="366" t="s">
        <v>4543</v>
      </c>
      <c r="D142" s="342">
        <v>3000</v>
      </c>
      <c r="E142" s="342">
        <v>0</v>
      </c>
      <c r="F142" s="342">
        <v>1000</v>
      </c>
      <c r="G142" s="342">
        <v>1000</v>
      </c>
      <c r="H142" s="342">
        <v>2000</v>
      </c>
      <c r="I142" s="342">
        <v>0</v>
      </c>
      <c r="J142" s="342">
        <v>1000</v>
      </c>
      <c r="K142" s="342">
        <v>-1411</v>
      </c>
      <c r="L142" s="342"/>
      <c r="M142" s="376">
        <f t="shared" ref="M142:M205" si="17">SUM(D142:K142)</f>
        <v>6589</v>
      </c>
      <c r="N142" s="389" t="s">
        <v>4689</v>
      </c>
      <c r="P142" s="328"/>
    </row>
    <row r="143" s="330" customFormat="1" hidden="1" customHeight="1" spans="1:16">
      <c r="A143" s="388" t="s">
        <v>4551</v>
      </c>
      <c r="B143" s="366" t="s">
        <v>4553</v>
      </c>
      <c r="C143" s="366" t="s">
        <v>4554</v>
      </c>
      <c r="D143" s="342">
        <v>3000</v>
      </c>
      <c r="E143" s="342">
        <v>0</v>
      </c>
      <c r="F143" s="342">
        <v>1000</v>
      </c>
      <c r="G143" s="342">
        <v>1000</v>
      </c>
      <c r="H143" s="342">
        <v>2000</v>
      </c>
      <c r="I143" s="342">
        <v>0</v>
      </c>
      <c r="J143" s="342">
        <v>1000</v>
      </c>
      <c r="K143" s="342">
        <v>-1411</v>
      </c>
      <c r="L143" s="342"/>
      <c r="M143" s="376">
        <f t="shared" si="17"/>
        <v>6589</v>
      </c>
      <c r="N143" s="390"/>
      <c r="P143" s="328"/>
    </row>
    <row r="144" s="330" customFormat="1" hidden="1" customHeight="1" spans="1:16">
      <c r="A144" s="388" t="s">
        <v>4551</v>
      </c>
      <c r="B144" s="366" t="s">
        <v>4557</v>
      </c>
      <c r="C144" s="366" t="s">
        <v>4558</v>
      </c>
      <c r="D144" s="342">
        <v>3000</v>
      </c>
      <c r="E144" s="342">
        <v>0</v>
      </c>
      <c r="F144" s="342">
        <v>1000</v>
      </c>
      <c r="G144" s="342">
        <v>1000</v>
      </c>
      <c r="H144" s="342">
        <v>2000</v>
      </c>
      <c r="I144" s="342">
        <v>0</v>
      </c>
      <c r="J144" s="342">
        <v>1000</v>
      </c>
      <c r="K144" s="342">
        <v>-1411</v>
      </c>
      <c r="L144" s="342"/>
      <c r="M144" s="376">
        <f t="shared" si="17"/>
        <v>6589</v>
      </c>
      <c r="N144" s="390"/>
      <c r="P144" s="328"/>
    </row>
    <row r="145" s="330" customFormat="1" hidden="1" customHeight="1" spans="1:16">
      <c r="A145" s="388" t="s">
        <v>4551</v>
      </c>
      <c r="B145" s="366" t="s">
        <v>4559</v>
      </c>
      <c r="C145" s="366" t="s">
        <v>4560</v>
      </c>
      <c r="D145" s="342">
        <v>3000</v>
      </c>
      <c r="E145" s="342">
        <v>0</v>
      </c>
      <c r="F145" s="342">
        <v>1000</v>
      </c>
      <c r="G145" s="342">
        <v>1000</v>
      </c>
      <c r="H145" s="342">
        <v>2000</v>
      </c>
      <c r="I145" s="342">
        <v>0</v>
      </c>
      <c r="J145" s="342">
        <v>1000</v>
      </c>
      <c r="K145" s="342">
        <v>-1411</v>
      </c>
      <c r="L145" s="342"/>
      <c r="M145" s="376">
        <f t="shared" si="17"/>
        <v>6589</v>
      </c>
      <c r="N145" s="391"/>
      <c r="P145" s="328"/>
    </row>
    <row r="146" s="330" customFormat="1" hidden="1" customHeight="1" spans="1:16">
      <c r="A146" s="388" t="s">
        <v>4562</v>
      </c>
      <c r="B146" s="366" t="s">
        <v>4564</v>
      </c>
      <c r="C146" s="366" t="s">
        <v>4513</v>
      </c>
      <c r="D146" s="342">
        <v>3000</v>
      </c>
      <c r="E146" s="342">
        <v>0</v>
      </c>
      <c r="F146" s="342">
        <v>1000</v>
      </c>
      <c r="G146" s="342">
        <v>1000</v>
      </c>
      <c r="H146" s="342">
        <v>2000</v>
      </c>
      <c r="I146" s="342">
        <v>0</v>
      </c>
      <c r="J146" s="342">
        <v>1000</v>
      </c>
      <c r="K146" s="342">
        <v>-1411</v>
      </c>
      <c r="L146" s="342"/>
      <c r="M146" s="376">
        <f t="shared" si="17"/>
        <v>6589</v>
      </c>
      <c r="N146" s="390" t="s">
        <v>4690</v>
      </c>
      <c r="P146" s="328"/>
    </row>
    <row r="147" s="330" customFormat="1" hidden="1" customHeight="1" spans="1:16">
      <c r="A147" s="388" t="s">
        <v>4590</v>
      </c>
      <c r="B147" s="366" t="s">
        <v>4591</v>
      </c>
      <c r="C147" s="366" t="s">
        <v>4592</v>
      </c>
      <c r="D147" s="342">
        <v>3000</v>
      </c>
      <c r="E147" s="342">
        <v>0</v>
      </c>
      <c r="F147" s="342">
        <v>1000</v>
      </c>
      <c r="G147" s="342">
        <v>1000</v>
      </c>
      <c r="H147" s="342">
        <v>2000</v>
      </c>
      <c r="I147" s="342">
        <v>0</v>
      </c>
      <c r="J147" s="342">
        <v>1000</v>
      </c>
      <c r="K147" s="342">
        <v>-1411</v>
      </c>
      <c r="L147" s="342"/>
      <c r="M147" s="376">
        <f t="shared" si="17"/>
        <v>6589</v>
      </c>
      <c r="N147" s="390"/>
      <c r="P147" s="328"/>
    </row>
    <row r="148" s="330" customFormat="1" hidden="1" customHeight="1" spans="1:16">
      <c r="A148" s="388" t="s">
        <v>4590</v>
      </c>
      <c r="B148" s="366" t="s">
        <v>4593</v>
      </c>
      <c r="C148" s="366" t="s">
        <v>4513</v>
      </c>
      <c r="D148" s="342">
        <v>3000</v>
      </c>
      <c r="E148" s="342">
        <v>0</v>
      </c>
      <c r="F148" s="342">
        <v>1000</v>
      </c>
      <c r="G148" s="342">
        <v>1000</v>
      </c>
      <c r="H148" s="342">
        <v>2000</v>
      </c>
      <c r="I148" s="342">
        <v>0</v>
      </c>
      <c r="J148" s="342">
        <v>1000</v>
      </c>
      <c r="K148" s="342">
        <v>-1411</v>
      </c>
      <c r="L148" s="342"/>
      <c r="M148" s="376">
        <f t="shared" si="17"/>
        <v>6589</v>
      </c>
      <c r="N148" s="390"/>
      <c r="P148" s="328"/>
    </row>
    <row r="149" s="330" customFormat="1" hidden="1" customHeight="1" spans="1:16">
      <c r="A149" s="388" t="s">
        <v>4602</v>
      </c>
      <c r="B149" s="366" t="s">
        <v>4606</v>
      </c>
      <c r="C149" s="366" t="s">
        <v>4513</v>
      </c>
      <c r="D149" s="342">
        <v>12000</v>
      </c>
      <c r="E149" s="342">
        <v>0</v>
      </c>
      <c r="F149" s="342">
        <v>4000</v>
      </c>
      <c r="G149" s="342">
        <v>4000</v>
      </c>
      <c r="H149" s="342">
        <v>8000</v>
      </c>
      <c r="I149" s="342">
        <v>0</v>
      </c>
      <c r="J149" s="342">
        <v>4000</v>
      </c>
      <c r="K149" s="342">
        <v>-5644</v>
      </c>
      <c r="L149" s="342"/>
      <c r="M149" s="376">
        <f t="shared" si="17"/>
        <v>26356</v>
      </c>
      <c r="N149" s="390"/>
      <c r="P149" s="328"/>
    </row>
    <row r="150" s="330" customFormat="1" hidden="1" customHeight="1" spans="1:16">
      <c r="A150" s="388" t="s">
        <v>4612</v>
      </c>
      <c r="B150" s="366" t="s">
        <v>4619</v>
      </c>
      <c r="C150" s="366" t="s">
        <v>4513</v>
      </c>
      <c r="D150" s="342">
        <v>6000</v>
      </c>
      <c r="E150" s="342">
        <v>0</v>
      </c>
      <c r="F150" s="342">
        <v>2000</v>
      </c>
      <c r="G150" s="342">
        <v>2000</v>
      </c>
      <c r="H150" s="342">
        <v>4000</v>
      </c>
      <c r="I150" s="342">
        <v>0</v>
      </c>
      <c r="J150" s="342">
        <v>2000</v>
      </c>
      <c r="K150" s="342">
        <v>-2822</v>
      </c>
      <c r="L150" s="342"/>
      <c r="M150" s="376">
        <f t="shared" si="17"/>
        <v>13178</v>
      </c>
      <c r="N150" s="390"/>
      <c r="P150" s="328"/>
    </row>
    <row r="151" s="330" customFormat="1" hidden="1" customHeight="1" spans="1:16">
      <c r="A151" s="388" t="s">
        <v>4612</v>
      </c>
      <c r="B151" s="366" t="s">
        <v>4620</v>
      </c>
      <c r="C151" s="366" t="s">
        <v>4513</v>
      </c>
      <c r="D151" s="342">
        <v>6000</v>
      </c>
      <c r="E151" s="342">
        <v>0</v>
      </c>
      <c r="F151" s="342">
        <v>2000</v>
      </c>
      <c r="G151" s="342">
        <v>2000</v>
      </c>
      <c r="H151" s="342">
        <v>4000</v>
      </c>
      <c r="I151" s="342">
        <v>0</v>
      </c>
      <c r="J151" s="342">
        <v>2000</v>
      </c>
      <c r="K151" s="342">
        <v>-2822</v>
      </c>
      <c r="L151" s="342"/>
      <c r="M151" s="376">
        <f t="shared" si="17"/>
        <v>13178</v>
      </c>
      <c r="N151" s="390"/>
      <c r="P151" s="328"/>
    </row>
    <row r="152" s="330" customFormat="1" hidden="1" customHeight="1" spans="1:16">
      <c r="A152" s="388" t="s">
        <v>4612</v>
      </c>
      <c r="B152" s="366" t="s">
        <v>4621</v>
      </c>
      <c r="C152" s="366" t="s">
        <v>4513</v>
      </c>
      <c r="D152" s="342">
        <v>6000</v>
      </c>
      <c r="E152" s="342">
        <v>0</v>
      </c>
      <c r="F152" s="342">
        <v>2000</v>
      </c>
      <c r="G152" s="342">
        <v>2000</v>
      </c>
      <c r="H152" s="342">
        <v>4000</v>
      </c>
      <c r="I152" s="342">
        <v>0</v>
      </c>
      <c r="J152" s="342">
        <v>2000</v>
      </c>
      <c r="K152" s="342">
        <v>-2822</v>
      </c>
      <c r="L152" s="342"/>
      <c r="M152" s="376">
        <f t="shared" si="17"/>
        <v>13178</v>
      </c>
      <c r="N152" s="390"/>
      <c r="P152" s="328"/>
    </row>
    <row r="153" s="330" customFormat="1" hidden="1" customHeight="1" spans="1:16">
      <c r="A153" s="388" t="s">
        <v>4641</v>
      </c>
      <c r="B153" s="366" t="s">
        <v>4651</v>
      </c>
      <c r="C153" s="366" t="s">
        <v>4513</v>
      </c>
      <c r="D153" s="342">
        <v>6000</v>
      </c>
      <c r="E153" s="342">
        <v>0</v>
      </c>
      <c r="F153" s="342">
        <v>2000</v>
      </c>
      <c r="G153" s="342">
        <v>2000</v>
      </c>
      <c r="H153" s="342">
        <v>4000</v>
      </c>
      <c r="I153" s="342">
        <v>0</v>
      </c>
      <c r="J153" s="342">
        <v>2000</v>
      </c>
      <c r="K153" s="342">
        <v>-2822</v>
      </c>
      <c r="L153" s="342"/>
      <c r="M153" s="376">
        <f t="shared" si="17"/>
        <v>13178</v>
      </c>
      <c r="N153" s="390"/>
      <c r="P153" s="328"/>
    </row>
    <row r="154" s="330" customFormat="1" hidden="1" customHeight="1" spans="1:16">
      <c r="A154" s="388" t="s">
        <v>4641</v>
      </c>
      <c r="B154" s="366" t="s">
        <v>4652</v>
      </c>
      <c r="C154" s="366" t="s">
        <v>4513</v>
      </c>
      <c r="D154" s="342">
        <v>6000</v>
      </c>
      <c r="E154" s="342">
        <v>0</v>
      </c>
      <c r="F154" s="342">
        <v>2000</v>
      </c>
      <c r="G154" s="342">
        <v>2000</v>
      </c>
      <c r="H154" s="342">
        <v>4000</v>
      </c>
      <c r="I154" s="342">
        <v>0</v>
      </c>
      <c r="J154" s="342">
        <v>2000</v>
      </c>
      <c r="K154" s="342">
        <v>-2822</v>
      </c>
      <c r="L154" s="342"/>
      <c r="M154" s="376">
        <f t="shared" si="17"/>
        <v>13178</v>
      </c>
      <c r="N154" s="390"/>
      <c r="P154" s="328"/>
    </row>
    <row r="155" s="330" customFormat="1" hidden="1" customHeight="1" spans="1:16">
      <c r="A155" s="388" t="s">
        <v>4641</v>
      </c>
      <c r="B155" s="366" t="s">
        <v>4653</v>
      </c>
      <c r="C155" s="366" t="s">
        <v>4513</v>
      </c>
      <c r="D155" s="342">
        <v>6000</v>
      </c>
      <c r="E155" s="342">
        <v>0</v>
      </c>
      <c r="F155" s="342">
        <v>2000</v>
      </c>
      <c r="G155" s="342">
        <v>2000</v>
      </c>
      <c r="H155" s="342">
        <v>4000</v>
      </c>
      <c r="I155" s="342">
        <v>0</v>
      </c>
      <c r="J155" s="342">
        <v>2000</v>
      </c>
      <c r="K155" s="342">
        <v>-2822</v>
      </c>
      <c r="L155" s="342"/>
      <c r="M155" s="376">
        <f t="shared" si="17"/>
        <v>13178</v>
      </c>
      <c r="N155" s="390"/>
      <c r="P155" s="328"/>
    </row>
    <row r="156" s="330" customFormat="1" hidden="1" customHeight="1" spans="1:16">
      <c r="A156" s="388" t="s">
        <v>4667</v>
      </c>
      <c r="B156" s="366" t="s">
        <v>4668</v>
      </c>
      <c r="C156" s="366" t="s">
        <v>4669</v>
      </c>
      <c r="D156" s="342">
        <v>3000</v>
      </c>
      <c r="E156" s="342">
        <v>0</v>
      </c>
      <c r="F156" s="342">
        <v>1000</v>
      </c>
      <c r="G156" s="342">
        <v>1000</v>
      </c>
      <c r="H156" s="342">
        <v>2000</v>
      </c>
      <c r="I156" s="342">
        <v>0</v>
      </c>
      <c r="J156" s="342">
        <v>1000</v>
      </c>
      <c r="K156" s="342">
        <v>-1411</v>
      </c>
      <c r="L156" s="342"/>
      <c r="M156" s="376">
        <f t="shared" si="17"/>
        <v>6589</v>
      </c>
      <c r="N156" s="390"/>
      <c r="P156" s="328"/>
    </row>
    <row r="157" s="330" customFormat="1" hidden="1" customHeight="1" spans="1:16">
      <c r="A157" s="388" t="s">
        <v>4681</v>
      </c>
      <c r="B157" s="366" t="s">
        <v>4682</v>
      </c>
      <c r="C157" s="366" t="s">
        <v>4592</v>
      </c>
      <c r="D157" s="342">
        <v>3000</v>
      </c>
      <c r="E157" s="342">
        <v>0</v>
      </c>
      <c r="F157" s="342">
        <v>1000</v>
      </c>
      <c r="G157" s="342">
        <v>1000</v>
      </c>
      <c r="H157" s="342">
        <v>2000</v>
      </c>
      <c r="I157" s="342">
        <v>0</v>
      </c>
      <c r="J157" s="342">
        <v>1000</v>
      </c>
      <c r="K157" s="342">
        <v>-1411</v>
      </c>
      <c r="L157" s="342"/>
      <c r="M157" s="376">
        <f t="shared" si="17"/>
        <v>6589</v>
      </c>
      <c r="N157" s="390"/>
      <c r="P157" s="328"/>
    </row>
    <row r="158" s="330" customFormat="1" hidden="1" customHeight="1" spans="1:16">
      <c r="A158" s="388" t="s">
        <v>4683</v>
      </c>
      <c r="B158" s="366" t="s">
        <v>4684</v>
      </c>
      <c r="C158" s="366" t="s">
        <v>4513</v>
      </c>
      <c r="D158" s="342">
        <v>3000</v>
      </c>
      <c r="E158" s="342">
        <v>0</v>
      </c>
      <c r="F158" s="342">
        <v>1000</v>
      </c>
      <c r="G158" s="342">
        <v>1000</v>
      </c>
      <c r="H158" s="342">
        <v>2000</v>
      </c>
      <c r="I158" s="342">
        <v>0</v>
      </c>
      <c r="J158" s="342">
        <v>1000</v>
      </c>
      <c r="K158" s="342">
        <v>-1411</v>
      </c>
      <c r="L158" s="342"/>
      <c r="M158" s="376">
        <f t="shared" si="17"/>
        <v>6589</v>
      </c>
      <c r="N158" s="390"/>
      <c r="P158" s="328"/>
    </row>
    <row r="159" s="330" customFormat="1" hidden="1" customHeight="1" spans="1:16">
      <c r="A159" s="388" t="s">
        <v>4602</v>
      </c>
      <c r="B159" s="366" t="s">
        <v>4606</v>
      </c>
      <c r="C159" s="366" t="s">
        <v>4513</v>
      </c>
      <c r="D159" s="342">
        <v>12000</v>
      </c>
      <c r="E159" s="342">
        <v>0</v>
      </c>
      <c r="F159" s="342">
        <v>4000</v>
      </c>
      <c r="G159" s="342">
        <v>4000</v>
      </c>
      <c r="H159" s="342">
        <v>2000</v>
      </c>
      <c r="I159" s="342">
        <v>0</v>
      </c>
      <c r="J159" s="342">
        <v>1000</v>
      </c>
      <c r="K159" s="342">
        <v>-5644</v>
      </c>
      <c r="L159" s="342"/>
      <c r="M159" s="376">
        <f t="shared" si="17"/>
        <v>17356</v>
      </c>
      <c r="N159" s="389" t="s">
        <v>4690</v>
      </c>
      <c r="P159" s="328"/>
    </row>
    <row r="160" s="330" customFormat="1" hidden="1" customHeight="1" spans="1:16">
      <c r="A160" s="388" t="s">
        <v>4590</v>
      </c>
      <c r="B160" s="366" t="s">
        <v>4591</v>
      </c>
      <c r="C160" s="366" t="s">
        <v>4592</v>
      </c>
      <c r="D160" s="342">
        <v>3000</v>
      </c>
      <c r="E160" s="342">
        <v>0</v>
      </c>
      <c r="F160" s="342">
        <v>1000</v>
      </c>
      <c r="G160" s="342">
        <v>1000</v>
      </c>
      <c r="H160" s="342">
        <v>8000</v>
      </c>
      <c r="I160" s="342">
        <v>0</v>
      </c>
      <c r="J160" s="342">
        <v>4000</v>
      </c>
      <c r="K160" s="342">
        <v>-1411</v>
      </c>
      <c r="L160" s="342"/>
      <c r="M160" s="376">
        <f t="shared" si="17"/>
        <v>15589</v>
      </c>
      <c r="N160" s="390"/>
      <c r="P160" s="328"/>
    </row>
    <row r="161" s="330" customFormat="1" hidden="1" customHeight="1" spans="1:16">
      <c r="A161" s="388" t="s">
        <v>4681</v>
      </c>
      <c r="B161" s="366" t="s">
        <v>4682</v>
      </c>
      <c r="C161" s="366" t="s">
        <v>4592</v>
      </c>
      <c r="D161" s="342">
        <v>3000</v>
      </c>
      <c r="E161" s="342">
        <v>0</v>
      </c>
      <c r="F161" s="342">
        <v>1000</v>
      </c>
      <c r="G161" s="342">
        <v>1000</v>
      </c>
      <c r="H161" s="342">
        <v>2000</v>
      </c>
      <c r="I161" s="342">
        <v>0</v>
      </c>
      <c r="J161" s="342">
        <v>1000</v>
      </c>
      <c r="K161" s="342">
        <v>-1411</v>
      </c>
      <c r="L161" s="342"/>
      <c r="M161" s="376">
        <f t="shared" si="17"/>
        <v>6589</v>
      </c>
      <c r="N161" s="391"/>
      <c r="P161" s="328"/>
    </row>
    <row r="162" s="330" customFormat="1" hidden="1" customHeight="1" spans="1:16">
      <c r="A162" s="388" t="s">
        <v>4569</v>
      </c>
      <c r="B162" s="366" t="s">
        <v>4572</v>
      </c>
      <c r="C162" s="366" t="s">
        <v>4573</v>
      </c>
      <c r="D162" s="342">
        <v>3000</v>
      </c>
      <c r="E162" s="342">
        <v>0</v>
      </c>
      <c r="F162" s="342">
        <v>1000</v>
      </c>
      <c r="G162" s="342">
        <v>1000</v>
      </c>
      <c r="H162" s="342">
        <v>2000</v>
      </c>
      <c r="I162" s="342">
        <v>0</v>
      </c>
      <c r="J162" s="342">
        <v>1000</v>
      </c>
      <c r="K162" s="342">
        <v>-1411</v>
      </c>
      <c r="L162" s="342"/>
      <c r="M162" s="376">
        <f t="shared" si="17"/>
        <v>6589</v>
      </c>
      <c r="N162" s="389" t="s">
        <v>4691</v>
      </c>
      <c r="P162" s="328"/>
    </row>
    <row r="163" s="330" customFormat="1" hidden="1" customHeight="1" spans="1:16">
      <c r="A163" s="388" t="s">
        <v>4569</v>
      </c>
      <c r="B163" s="366" t="s">
        <v>4577</v>
      </c>
      <c r="C163" s="366" t="s">
        <v>4516</v>
      </c>
      <c r="D163" s="342">
        <v>3000</v>
      </c>
      <c r="E163" s="342">
        <v>0</v>
      </c>
      <c r="F163" s="342">
        <v>1000</v>
      </c>
      <c r="G163" s="342">
        <v>1000</v>
      </c>
      <c r="H163" s="342">
        <v>2000</v>
      </c>
      <c r="I163" s="342">
        <v>0</v>
      </c>
      <c r="J163" s="342">
        <v>1000</v>
      </c>
      <c r="K163" s="342">
        <v>-1411</v>
      </c>
      <c r="L163" s="342"/>
      <c r="M163" s="376">
        <f t="shared" si="17"/>
        <v>6589</v>
      </c>
      <c r="N163" s="390"/>
      <c r="P163" s="328"/>
    </row>
    <row r="164" s="330" customFormat="1" hidden="1" customHeight="1" spans="1:16">
      <c r="A164" s="388" t="s">
        <v>4579</v>
      </c>
      <c r="B164" s="366" t="s">
        <v>4580</v>
      </c>
      <c r="C164" s="366" t="s">
        <v>4581</v>
      </c>
      <c r="D164" s="342">
        <v>3000</v>
      </c>
      <c r="E164" s="342">
        <v>0</v>
      </c>
      <c r="F164" s="342">
        <v>1000</v>
      </c>
      <c r="G164" s="342">
        <v>1000</v>
      </c>
      <c r="H164" s="342">
        <v>2000</v>
      </c>
      <c r="I164" s="342">
        <v>0</v>
      </c>
      <c r="J164" s="342">
        <v>1000</v>
      </c>
      <c r="K164" s="342">
        <v>-1411</v>
      </c>
      <c r="L164" s="342"/>
      <c r="M164" s="376">
        <f t="shared" si="17"/>
        <v>6589</v>
      </c>
      <c r="N164" s="390"/>
      <c r="P164" s="328"/>
    </row>
    <row r="165" s="330" customFormat="1" hidden="1" customHeight="1" spans="1:16">
      <c r="A165" s="388" t="s">
        <v>4579</v>
      </c>
      <c r="B165" s="366" t="s">
        <v>4582</v>
      </c>
      <c r="C165" s="366" t="s">
        <v>4581</v>
      </c>
      <c r="D165" s="342">
        <v>3000</v>
      </c>
      <c r="E165" s="342">
        <v>0</v>
      </c>
      <c r="F165" s="342">
        <v>1000</v>
      </c>
      <c r="G165" s="342">
        <v>1000</v>
      </c>
      <c r="H165" s="342">
        <v>2000</v>
      </c>
      <c r="I165" s="342">
        <v>0</v>
      </c>
      <c r="J165" s="342">
        <v>1000</v>
      </c>
      <c r="K165" s="342">
        <v>-1411</v>
      </c>
      <c r="L165" s="342"/>
      <c r="M165" s="376">
        <f t="shared" si="17"/>
        <v>6589</v>
      </c>
      <c r="N165" s="390"/>
      <c r="P165" s="328"/>
    </row>
    <row r="166" s="330" customFormat="1" hidden="1" customHeight="1" spans="1:16">
      <c r="A166" s="388" t="s">
        <v>4590</v>
      </c>
      <c r="B166" s="366" t="s">
        <v>4597</v>
      </c>
      <c r="C166" s="366" t="s">
        <v>4598</v>
      </c>
      <c r="D166" s="342">
        <v>3000</v>
      </c>
      <c r="E166" s="342">
        <v>0</v>
      </c>
      <c r="F166" s="342">
        <v>1000</v>
      </c>
      <c r="G166" s="342">
        <v>1000</v>
      </c>
      <c r="H166" s="342">
        <v>2000</v>
      </c>
      <c r="I166" s="342">
        <v>0</v>
      </c>
      <c r="J166" s="342">
        <v>1000</v>
      </c>
      <c r="K166" s="342">
        <v>-1411</v>
      </c>
      <c r="L166" s="342"/>
      <c r="M166" s="376">
        <f t="shared" si="17"/>
        <v>6589</v>
      </c>
      <c r="N166" s="390"/>
      <c r="P166" s="328"/>
    </row>
    <row r="167" s="330" customFormat="1" hidden="1" customHeight="1" spans="1:16">
      <c r="A167" s="388" t="s">
        <v>4590</v>
      </c>
      <c r="B167" s="366" t="s">
        <v>4599</v>
      </c>
      <c r="C167" s="366" t="s">
        <v>4598</v>
      </c>
      <c r="D167" s="342">
        <v>3000</v>
      </c>
      <c r="E167" s="342">
        <v>0</v>
      </c>
      <c r="F167" s="342">
        <v>1000</v>
      </c>
      <c r="G167" s="342">
        <v>1000</v>
      </c>
      <c r="H167" s="342">
        <v>2000</v>
      </c>
      <c r="I167" s="342">
        <v>0</v>
      </c>
      <c r="J167" s="342">
        <v>1000</v>
      </c>
      <c r="K167" s="342">
        <v>-1411</v>
      </c>
      <c r="L167" s="342"/>
      <c r="M167" s="376">
        <f t="shared" si="17"/>
        <v>6589</v>
      </c>
      <c r="N167" s="390"/>
      <c r="P167" s="328"/>
    </row>
    <row r="168" s="330" customFormat="1" hidden="1" customHeight="1" spans="1:16">
      <c r="A168" s="388" t="s">
        <v>4602</v>
      </c>
      <c r="B168" s="366" t="s">
        <v>4611</v>
      </c>
      <c r="C168" s="366" t="s">
        <v>4516</v>
      </c>
      <c r="D168" s="342">
        <v>9000</v>
      </c>
      <c r="E168" s="342">
        <v>0</v>
      </c>
      <c r="F168" s="342">
        <v>3000</v>
      </c>
      <c r="G168" s="342">
        <v>3000</v>
      </c>
      <c r="H168" s="342">
        <v>6000</v>
      </c>
      <c r="I168" s="342">
        <v>0</v>
      </c>
      <c r="J168" s="342">
        <v>3000</v>
      </c>
      <c r="K168" s="342">
        <v>-4233</v>
      </c>
      <c r="L168" s="342"/>
      <c r="M168" s="376">
        <f t="shared" si="17"/>
        <v>19767</v>
      </c>
      <c r="N168" s="390"/>
      <c r="P168" s="328"/>
    </row>
    <row r="169" s="330" customFormat="1" hidden="1" customHeight="1" spans="1:16">
      <c r="A169" s="388" t="s">
        <v>4612</v>
      </c>
      <c r="B169" s="366" t="s">
        <v>4615</v>
      </c>
      <c r="C169" s="366" t="s">
        <v>4516</v>
      </c>
      <c r="D169" s="342">
        <v>9000</v>
      </c>
      <c r="E169" s="342">
        <v>0</v>
      </c>
      <c r="F169" s="342">
        <v>3000</v>
      </c>
      <c r="G169" s="342">
        <v>3000</v>
      </c>
      <c r="H169" s="342">
        <v>6000</v>
      </c>
      <c r="I169" s="342">
        <v>0</v>
      </c>
      <c r="J169" s="342">
        <v>3000</v>
      </c>
      <c r="K169" s="342">
        <v>-4233</v>
      </c>
      <c r="L169" s="342"/>
      <c r="M169" s="376">
        <f t="shared" si="17"/>
        <v>19767</v>
      </c>
      <c r="N169" s="390"/>
      <c r="P169" s="328"/>
    </row>
    <row r="170" s="330" customFormat="1" hidden="1" customHeight="1" spans="1:16">
      <c r="A170" s="388" t="s">
        <v>4622</v>
      </c>
      <c r="B170" s="366" t="s">
        <v>4625</v>
      </c>
      <c r="C170" s="366" t="s">
        <v>4626</v>
      </c>
      <c r="D170" s="342">
        <v>6000</v>
      </c>
      <c r="E170" s="342">
        <v>0</v>
      </c>
      <c r="F170" s="342">
        <v>2000</v>
      </c>
      <c r="G170" s="342">
        <v>2000</v>
      </c>
      <c r="H170" s="342">
        <v>4000</v>
      </c>
      <c r="I170" s="342">
        <v>0</v>
      </c>
      <c r="J170" s="342">
        <v>2000</v>
      </c>
      <c r="K170" s="342">
        <v>-2822</v>
      </c>
      <c r="L170" s="342"/>
      <c r="M170" s="376">
        <f t="shared" si="17"/>
        <v>13178</v>
      </c>
      <c r="N170" s="390"/>
      <c r="P170" s="328"/>
    </row>
    <row r="171" s="330" customFormat="1" hidden="1" customHeight="1" spans="1:16">
      <c r="A171" s="388" t="s">
        <v>4628</v>
      </c>
      <c r="B171" s="366" t="s">
        <v>4629</v>
      </c>
      <c r="C171" s="366" t="s">
        <v>4630</v>
      </c>
      <c r="D171" s="342">
        <v>24000</v>
      </c>
      <c r="E171" s="342">
        <v>0</v>
      </c>
      <c r="F171" s="342">
        <v>8000</v>
      </c>
      <c r="G171" s="342">
        <v>8000</v>
      </c>
      <c r="H171" s="342">
        <v>16000</v>
      </c>
      <c r="I171" s="342">
        <v>0</v>
      </c>
      <c r="J171" s="342">
        <v>8000</v>
      </c>
      <c r="K171" s="342">
        <v>-11288</v>
      </c>
      <c r="L171" s="342"/>
      <c r="M171" s="376">
        <f t="shared" si="17"/>
        <v>52712</v>
      </c>
      <c r="N171" s="390"/>
      <c r="P171" s="328"/>
    </row>
    <row r="172" s="330" customFormat="1" hidden="1" customHeight="1" spans="1:16">
      <c r="A172" s="388" t="s">
        <v>4662</v>
      </c>
      <c r="B172" s="366" t="s">
        <v>4664</v>
      </c>
      <c r="C172" s="366" t="s">
        <v>4516</v>
      </c>
      <c r="D172" s="342">
        <v>6000</v>
      </c>
      <c r="E172" s="342">
        <v>0</v>
      </c>
      <c r="F172" s="342">
        <v>2000</v>
      </c>
      <c r="G172" s="342">
        <v>2000</v>
      </c>
      <c r="H172" s="342">
        <v>4000</v>
      </c>
      <c r="I172" s="342">
        <v>0</v>
      </c>
      <c r="J172" s="342">
        <v>2000</v>
      </c>
      <c r="K172" s="342">
        <v>-2822</v>
      </c>
      <c r="L172" s="342"/>
      <c r="M172" s="376">
        <f t="shared" si="17"/>
        <v>13178</v>
      </c>
      <c r="N172" s="390"/>
      <c r="P172" s="328"/>
    </row>
    <row r="173" s="330" customFormat="1" hidden="1" customHeight="1" spans="1:16">
      <c r="A173" s="388" t="s">
        <v>4667</v>
      </c>
      <c r="B173" s="366" t="s">
        <v>4668</v>
      </c>
      <c r="C173" s="366" t="s">
        <v>4669</v>
      </c>
      <c r="D173" s="342">
        <v>3000</v>
      </c>
      <c r="E173" s="342">
        <v>0</v>
      </c>
      <c r="F173" s="342">
        <v>1000</v>
      </c>
      <c r="G173" s="342">
        <v>1000</v>
      </c>
      <c r="H173" s="342">
        <v>2000</v>
      </c>
      <c r="I173" s="342">
        <v>0</v>
      </c>
      <c r="J173" s="342">
        <v>1000</v>
      </c>
      <c r="K173" s="342">
        <v>-1411</v>
      </c>
      <c r="L173" s="342"/>
      <c r="M173" s="376">
        <f t="shared" si="17"/>
        <v>6589</v>
      </c>
      <c r="N173" s="390"/>
      <c r="P173" s="328"/>
    </row>
    <row r="174" s="330" customFormat="1" hidden="1" customHeight="1" spans="1:16">
      <c r="A174" s="388" t="s">
        <v>4671</v>
      </c>
      <c r="B174" s="366" t="s">
        <v>4672</v>
      </c>
      <c r="C174" s="366" t="s">
        <v>4598</v>
      </c>
      <c r="D174" s="342">
        <v>3000</v>
      </c>
      <c r="E174" s="342">
        <v>0</v>
      </c>
      <c r="F174" s="342">
        <v>1000</v>
      </c>
      <c r="G174" s="342">
        <v>1000</v>
      </c>
      <c r="H174" s="342">
        <v>2000</v>
      </c>
      <c r="I174" s="342">
        <v>0</v>
      </c>
      <c r="J174" s="342">
        <v>1000</v>
      </c>
      <c r="K174" s="342">
        <v>-1411</v>
      </c>
      <c r="L174" s="342"/>
      <c r="M174" s="376">
        <f t="shared" si="17"/>
        <v>6589</v>
      </c>
      <c r="N174" s="390"/>
      <c r="P174" s="328"/>
    </row>
    <row r="175" s="330" customFormat="1" hidden="1" customHeight="1" spans="1:16">
      <c r="A175" s="388" t="s">
        <v>4673</v>
      </c>
      <c r="B175" s="366" t="s">
        <v>4674</v>
      </c>
      <c r="C175" s="366" t="s">
        <v>4581</v>
      </c>
      <c r="D175" s="342">
        <v>3000</v>
      </c>
      <c r="E175" s="342">
        <v>0</v>
      </c>
      <c r="F175" s="342">
        <v>1000</v>
      </c>
      <c r="G175" s="342">
        <v>1000</v>
      </c>
      <c r="H175" s="342">
        <v>2000</v>
      </c>
      <c r="I175" s="342">
        <v>0</v>
      </c>
      <c r="J175" s="342">
        <v>1000</v>
      </c>
      <c r="K175" s="342">
        <v>-1411</v>
      </c>
      <c r="L175" s="342"/>
      <c r="M175" s="376">
        <f t="shared" si="17"/>
        <v>6589</v>
      </c>
      <c r="N175" s="391"/>
      <c r="P175" s="328"/>
    </row>
    <row r="176" s="330" customFormat="1" hidden="1" customHeight="1" spans="1:16">
      <c r="A176" s="388" t="s">
        <v>4602</v>
      </c>
      <c r="B176" s="366" t="s">
        <v>4611</v>
      </c>
      <c r="C176" s="366" t="s">
        <v>4516</v>
      </c>
      <c r="D176" s="342">
        <v>9000</v>
      </c>
      <c r="E176" s="342">
        <v>0</v>
      </c>
      <c r="F176" s="342">
        <v>3000</v>
      </c>
      <c r="G176" s="342">
        <v>3000</v>
      </c>
      <c r="H176" s="342">
        <v>6000</v>
      </c>
      <c r="I176" s="342">
        <v>0</v>
      </c>
      <c r="J176" s="342">
        <v>3000</v>
      </c>
      <c r="K176" s="342">
        <v>-4233</v>
      </c>
      <c r="L176" s="342"/>
      <c r="M176" s="376">
        <f t="shared" si="17"/>
        <v>19767</v>
      </c>
      <c r="N176" s="389" t="s">
        <v>4691</v>
      </c>
      <c r="P176" s="328"/>
    </row>
    <row r="177" s="330" customFormat="1" hidden="1" customHeight="1" spans="1:16">
      <c r="A177" s="388" t="s">
        <v>4612</v>
      </c>
      <c r="B177" s="366" t="s">
        <v>4615</v>
      </c>
      <c r="C177" s="366" t="s">
        <v>4516</v>
      </c>
      <c r="D177" s="342">
        <v>9000</v>
      </c>
      <c r="E177" s="342">
        <v>0</v>
      </c>
      <c r="F177" s="342">
        <v>3000</v>
      </c>
      <c r="G177" s="342">
        <v>3000</v>
      </c>
      <c r="H177" s="342">
        <v>6000</v>
      </c>
      <c r="I177" s="342">
        <v>0</v>
      </c>
      <c r="J177" s="342">
        <v>3000</v>
      </c>
      <c r="K177" s="342">
        <v>-4233</v>
      </c>
      <c r="L177" s="342"/>
      <c r="M177" s="376">
        <f t="shared" si="17"/>
        <v>19767</v>
      </c>
      <c r="N177" s="390"/>
      <c r="P177" s="328"/>
    </row>
    <row r="178" s="330" customFormat="1" hidden="1" customHeight="1" spans="1:16">
      <c r="A178" s="388" t="s">
        <v>4622</v>
      </c>
      <c r="B178" s="366" t="s">
        <v>4625</v>
      </c>
      <c r="C178" s="366" t="s">
        <v>4626</v>
      </c>
      <c r="D178" s="342">
        <v>6000</v>
      </c>
      <c r="E178" s="342">
        <v>0</v>
      </c>
      <c r="F178" s="342">
        <v>2000</v>
      </c>
      <c r="G178" s="342">
        <v>2000</v>
      </c>
      <c r="H178" s="342">
        <v>4000</v>
      </c>
      <c r="I178" s="342">
        <v>0</v>
      </c>
      <c r="J178" s="342">
        <v>2000</v>
      </c>
      <c r="K178" s="342">
        <v>-2822</v>
      </c>
      <c r="L178" s="342"/>
      <c r="M178" s="376">
        <f t="shared" si="17"/>
        <v>13178</v>
      </c>
      <c r="N178" s="390"/>
      <c r="P178" s="328"/>
    </row>
    <row r="179" s="330" customFormat="1" hidden="1" customHeight="1" spans="1:16">
      <c r="A179" s="388" t="s">
        <v>4628</v>
      </c>
      <c r="B179" s="366" t="s">
        <v>4629</v>
      </c>
      <c r="C179" s="366" t="s">
        <v>4630</v>
      </c>
      <c r="D179" s="342">
        <v>24000</v>
      </c>
      <c r="E179" s="342">
        <v>0</v>
      </c>
      <c r="F179" s="342">
        <v>8000</v>
      </c>
      <c r="G179" s="342">
        <v>8000</v>
      </c>
      <c r="H179" s="342">
        <v>16000</v>
      </c>
      <c r="I179" s="342">
        <v>0</v>
      </c>
      <c r="J179" s="342">
        <v>8000</v>
      </c>
      <c r="K179" s="342">
        <v>-11288</v>
      </c>
      <c r="L179" s="342"/>
      <c r="M179" s="376">
        <f t="shared" si="17"/>
        <v>52712</v>
      </c>
      <c r="N179" s="390"/>
      <c r="P179" s="328"/>
    </row>
    <row r="180" s="330" customFormat="1" hidden="1" customHeight="1" spans="1:16">
      <c r="A180" s="388" t="s">
        <v>4667</v>
      </c>
      <c r="B180" s="366" t="s">
        <v>4668</v>
      </c>
      <c r="C180" s="366" t="s">
        <v>4669</v>
      </c>
      <c r="D180" s="342">
        <v>3000</v>
      </c>
      <c r="E180" s="342">
        <v>0</v>
      </c>
      <c r="F180" s="342">
        <v>1000</v>
      </c>
      <c r="G180" s="342">
        <v>1000</v>
      </c>
      <c r="H180" s="342">
        <v>2000</v>
      </c>
      <c r="I180" s="342">
        <v>0</v>
      </c>
      <c r="J180" s="342">
        <v>1000</v>
      </c>
      <c r="K180" s="342">
        <v>-1411</v>
      </c>
      <c r="L180" s="342"/>
      <c r="M180" s="376">
        <f t="shared" si="17"/>
        <v>6589</v>
      </c>
      <c r="N180" s="391"/>
      <c r="P180" s="328"/>
    </row>
    <row r="181" s="330" customFormat="1" hidden="1" customHeight="1" spans="1:16">
      <c r="A181" s="388" t="s">
        <v>4541</v>
      </c>
      <c r="B181" s="366" t="s">
        <v>4542</v>
      </c>
      <c r="C181" s="366" t="s">
        <v>4543</v>
      </c>
      <c r="D181" s="342">
        <v>83200</v>
      </c>
      <c r="E181" s="342">
        <v>0</v>
      </c>
      <c r="F181" s="342">
        <v>1000</v>
      </c>
      <c r="G181" s="342">
        <v>1000</v>
      </c>
      <c r="H181" s="342">
        <v>2000</v>
      </c>
      <c r="I181" s="342">
        <v>0</v>
      </c>
      <c r="J181" s="342">
        <v>1000</v>
      </c>
      <c r="K181" s="342">
        <v>-1411</v>
      </c>
      <c r="L181" s="342"/>
      <c r="M181" s="376">
        <f t="shared" si="17"/>
        <v>86789</v>
      </c>
      <c r="N181" s="389" t="s">
        <v>4692</v>
      </c>
      <c r="P181" s="328"/>
    </row>
    <row r="182" s="330" customFormat="1" hidden="1" customHeight="1" spans="1:16">
      <c r="A182" s="388" t="s">
        <v>4541</v>
      </c>
      <c r="B182" s="366" t="s">
        <v>4544</v>
      </c>
      <c r="C182" s="366" t="s">
        <v>4543</v>
      </c>
      <c r="D182" s="342">
        <v>83200</v>
      </c>
      <c r="E182" s="342">
        <v>0</v>
      </c>
      <c r="F182" s="342">
        <v>1000</v>
      </c>
      <c r="G182" s="342">
        <v>1000</v>
      </c>
      <c r="H182" s="342">
        <v>2000</v>
      </c>
      <c r="I182" s="342">
        <v>0</v>
      </c>
      <c r="J182" s="342">
        <v>1000</v>
      </c>
      <c r="K182" s="342">
        <v>-1411</v>
      </c>
      <c r="L182" s="342"/>
      <c r="M182" s="376">
        <f t="shared" si="17"/>
        <v>86789</v>
      </c>
      <c r="N182" s="390"/>
      <c r="P182" s="328"/>
    </row>
    <row r="183" s="330" customFormat="1" hidden="1" customHeight="1" spans="1:16">
      <c r="A183" s="388" t="s">
        <v>4562</v>
      </c>
      <c r="B183" s="366" t="s">
        <v>4567</v>
      </c>
      <c r="C183" s="366" t="s">
        <v>4518</v>
      </c>
      <c r="D183" s="342">
        <v>83200</v>
      </c>
      <c r="E183" s="342">
        <v>0</v>
      </c>
      <c r="F183" s="342">
        <v>1000</v>
      </c>
      <c r="G183" s="342">
        <v>1000</v>
      </c>
      <c r="H183" s="342">
        <v>2000</v>
      </c>
      <c r="I183" s="342">
        <v>0</v>
      </c>
      <c r="J183" s="342">
        <v>1000</v>
      </c>
      <c r="K183" s="342">
        <v>-1411</v>
      </c>
      <c r="L183" s="342"/>
      <c r="M183" s="376">
        <f t="shared" si="17"/>
        <v>86789</v>
      </c>
      <c r="N183" s="390"/>
      <c r="P183" s="328"/>
    </row>
    <row r="184" s="330" customFormat="1" hidden="1" customHeight="1" spans="1:16">
      <c r="A184" s="388" t="s">
        <v>4562</v>
      </c>
      <c r="B184" s="366" t="s">
        <v>4568</v>
      </c>
      <c r="C184" s="366" t="s">
        <v>4518</v>
      </c>
      <c r="D184" s="342">
        <v>83200</v>
      </c>
      <c r="E184" s="342">
        <v>0</v>
      </c>
      <c r="F184" s="342">
        <v>1000</v>
      </c>
      <c r="G184" s="342">
        <v>1000</v>
      </c>
      <c r="H184" s="342">
        <v>2000</v>
      </c>
      <c r="I184" s="342">
        <v>0</v>
      </c>
      <c r="J184" s="342">
        <v>1000</v>
      </c>
      <c r="K184" s="342">
        <v>-1411</v>
      </c>
      <c r="L184" s="342"/>
      <c r="M184" s="376">
        <f t="shared" si="17"/>
        <v>86789</v>
      </c>
      <c r="N184" s="390"/>
      <c r="P184" s="328"/>
    </row>
    <row r="185" s="330" customFormat="1" hidden="1" customHeight="1" spans="1:16">
      <c r="A185" s="388" t="s">
        <v>4569</v>
      </c>
      <c r="B185" s="366" t="s">
        <v>4576</v>
      </c>
      <c r="C185" s="366" t="s">
        <v>4518</v>
      </c>
      <c r="D185" s="342">
        <v>83200</v>
      </c>
      <c r="E185" s="342">
        <v>0</v>
      </c>
      <c r="F185" s="342">
        <v>1000</v>
      </c>
      <c r="G185" s="342">
        <v>1000</v>
      </c>
      <c r="H185" s="342">
        <v>2000</v>
      </c>
      <c r="I185" s="342">
        <v>0</v>
      </c>
      <c r="J185" s="342">
        <v>1000</v>
      </c>
      <c r="K185" s="342">
        <v>-1411</v>
      </c>
      <c r="L185" s="342"/>
      <c r="M185" s="376">
        <f t="shared" si="17"/>
        <v>86789</v>
      </c>
      <c r="N185" s="390"/>
      <c r="P185" s="328"/>
    </row>
    <row r="186" s="330" customFormat="1" hidden="1" customHeight="1" spans="1:16">
      <c r="A186" s="388" t="s">
        <v>4579</v>
      </c>
      <c r="B186" s="366" t="s">
        <v>4580</v>
      </c>
      <c r="C186" s="366" t="s">
        <v>4581</v>
      </c>
      <c r="D186" s="342">
        <v>242800</v>
      </c>
      <c r="E186" s="342">
        <v>0</v>
      </c>
      <c r="F186" s="342">
        <v>1000</v>
      </c>
      <c r="G186" s="342">
        <v>1000</v>
      </c>
      <c r="H186" s="342">
        <v>2000</v>
      </c>
      <c r="I186" s="342">
        <v>0</v>
      </c>
      <c r="J186" s="342">
        <v>1000</v>
      </c>
      <c r="K186" s="342">
        <v>-1411</v>
      </c>
      <c r="L186" s="342"/>
      <c r="M186" s="376">
        <f t="shared" si="17"/>
        <v>246389</v>
      </c>
      <c r="N186" s="390"/>
      <c r="P186" s="328"/>
    </row>
    <row r="187" s="330" customFormat="1" hidden="1" customHeight="1" spans="1:16">
      <c r="A187" s="388" t="s">
        <v>4579</v>
      </c>
      <c r="B187" s="366" t="s">
        <v>4582</v>
      </c>
      <c r="C187" s="366" t="s">
        <v>4581</v>
      </c>
      <c r="D187" s="342">
        <v>242800</v>
      </c>
      <c r="E187" s="342">
        <v>0</v>
      </c>
      <c r="F187" s="342">
        <v>1000</v>
      </c>
      <c r="G187" s="342">
        <v>1000</v>
      </c>
      <c r="H187" s="342">
        <v>2000</v>
      </c>
      <c r="I187" s="342">
        <v>0</v>
      </c>
      <c r="J187" s="342">
        <v>1000</v>
      </c>
      <c r="K187" s="342">
        <v>-1411</v>
      </c>
      <c r="L187" s="342"/>
      <c r="M187" s="376">
        <f t="shared" si="17"/>
        <v>246389</v>
      </c>
      <c r="N187" s="390"/>
      <c r="P187" s="328"/>
    </row>
    <row r="188" s="330" customFormat="1" hidden="1" customHeight="1" spans="1:16">
      <c r="A188" s="388" t="s">
        <v>4612</v>
      </c>
      <c r="B188" s="366" t="s">
        <v>4613</v>
      </c>
      <c r="C188" s="366" t="s">
        <v>4518</v>
      </c>
      <c r="D188" s="342">
        <v>998400</v>
      </c>
      <c r="E188" s="342">
        <v>0</v>
      </c>
      <c r="F188" s="342">
        <v>12000</v>
      </c>
      <c r="G188" s="342">
        <v>12000</v>
      </c>
      <c r="H188" s="342">
        <v>24000</v>
      </c>
      <c r="I188" s="342">
        <v>0</v>
      </c>
      <c r="J188" s="342">
        <v>12000</v>
      </c>
      <c r="K188" s="342">
        <v>-16932</v>
      </c>
      <c r="L188" s="342"/>
      <c r="M188" s="376">
        <f t="shared" si="17"/>
        <v>1041468</v>
      </c>
      <c r="N188" s="390"/>
      <c r="P188" s="328"/>
    </row>
    <row r="189" s="330" customFormat="1" hidden="1" customHeight="1" spans="1:16">
      <c r="A189" s="388" t="s">
        <v>4612</v>
      </c>
      <c r="B189" s="366" t="s">
        <v>4614</v>
      </c>
      <c r="C189" s="366" t="s">
        <v>4518</v>
      </c>
      <c r="D189" s="342">
        <v>166400</v>
      </c>
      <c r="E189" s="342">
        <v>0</v>
      </c>
      <c r="F189" s="342">
        <v>2000</v>
      </c>
      <c r="G189" s="342">
        <v>2000</v>
      </c>
      <c r="H189" s="342">
        <v>4000</v>
      </c>
      <c r="I189" s="342">
        <v>0</v>
      </c>
      <c r="J189" s="342">
        <v>2000</v>
      </c>
      <c r="K189" s="342">
        <v>-2822</v>
      </c>
      <c r="L189" s="342"/>
      <c r="M189" s="376">
        <f t="shared" si="17"/>
        <v>173578</v>
      </c>
      <c r="N189" s="390"/>
      <c r="P189" s="328"/>
    </row>
    <row r="190" s="330" customFormat="1" hidden="1" customHeight="1" spans="1:16">
      <c r="A190" s="388" t="s">
        <v>4633</v>
      </c>
      <c r="B190" s="366" t="s">
        <v>4634</v>
      </c>
      <c r="C190" s="366" t="s">
        <v>4635</v>
      </c>
      <c r="D190" s="342">
        <v>2122400</v>
      </c>
      <c r="E190" s="342">
        <v>0</v>
      </c>
      <c r="F190" s="342">
        <v>20000</v>
      </c>
      <c r="G190" s="342">
        <v>20000</v>
      </c>
      <c r="H190" s="342">
        <v>40000</v>
      </c>
      <c r="I190" s="342">
        <v>0</v>
      </c>
      <c r="J190" s="342">
        <v>20000</v>
      </c>
      <c r="K190" s="342">
        <v>-28220</v>
      </c>
      <c r="L190" s="342"/>
      <c r="M190" s="376">
        <f t="shared" si="17"/>
        <v>2194180</v>
      </c>
      <c r="N190" s="390"/>
      <c r="P190" s="328"/>
    </row>
    <row r="191" s="330" customFormat="1" hidden="1" customHeight="1" spans="1:16">
      <c r="A191" s="388" t="s">
        <v>4633</v>
      </c>
      <c r="B191" s="366" t="s">
        <v>4636</v>
      </c>
      <c r="C191" s="366" t="s">
        <v>4635</v>
      </c>
      <c r="D191" s="342">
        <v>2198800</v>
      </c>
      <c r="E191" s="342">
        <v>0</v>
      </c>
      <c r="F191" s="342">
        <v>20000</v>
      </c>
      <c r="G191" s="342">
        <v>20000</v>
      </c>
      <c r="H191" s="342">
        <v>40000</v>
      </c>
      <c r="I191" s="342">
        <v>0</v>
      </c>
      <c r="J191" s="342">
        <v>20000</v>
      </c>
      <c r="K191" s="342">
        <v>-28220</v>
      </c>
      <c r="L191" s="342"/>
      <c r="M191" s="376">
        <f t="shared" si="17"/>
        <v>2270580</v>
      </c>
      <c r="N191" s="390"/>
      <c r="P191" s="328"/>
    </row>
    <row r="192" s="330" customFormat="1" hidden="1" customHeight="1" spans="1:16">
      <c r="A192" s="388" t="s">
        <v>4633</v>
      </c>
      <c r="B192" s="366" t="s">
        <v>4637</v>
      </c>
      <c r="C192" s="366" t="s">
        <v>4635</v>
      </c>
      <c r="D192" s="342">
        <v>2198800</v>
      </c>
      <c r="E192" s="342">
        <v>0</v>
      </c>
      <c r="F192" s="342">
        <v>20000</v>
      </c>
      <c r="G192" s="342">
        <v>20000</v>
      </c>
      <c r="H192" s="342">
        <v>40000</v>
      </c>
      <c r="I192" s="342">
        <v>0</v>
      </c>
      <c r="J192" s="342">
        <v>20000</v>
      </c>
      <c r="K192" s="342">
        <v>-28220</v>
      </c>
      <c r="L192" s="342"/>
      <c r="M192" s="376">
        <f t="shared" si="17"/>
        <v>2270580</v>
      </c>
      <c r="N192" s="390"/>
      <c r="P192" s="328"/>
    </row>
    <row r="193" s="330" customFormat="1" hidden="1" customHeight="1" spans="1:16">
      <c r="A193" s="388" t="s">
        <v>4662</v>
      </c>
      <c r="B193" s="366" t="s">
        <v>4606</v>
      </c>
      <c r="C193" s="366" t="s">
        <v>4518</v>
      </c>
      <c r="D193" s="342">
        <v>83200</v>
      </c>
      <c r="E193" s="342">
        <v>0</v>
      </c>
      <c r="F193" s="342">
        <v>1000</v>
      </c>
      <c r="G193" s="342">
        <v>1000</v>
      </c>
      <c r="H193" s="342">
        <v>2000</v>
      </c>
      <c r="I193" s="342">
        <v>0</v>
      </c>
      <c r="J193" s="342">
        <v>1000</v>
      </c>
      <c r="K193" s="342">
        <v>-1411</v>
      </c>
      <c r="L193" s="342"/>
      <c r="M193" s="376">
        <f t="shared" si="17"/>
        <v>86789</v>
      </c>
      <c r="N193" s="390"/>
      <c r="P193" s="328"/>
    </row>
    <row r="194" s="330" customFormat="1" hidden="1" customHeight="1" spans="1:16">
      <c r="A194" s="388" t="s">
        <v>4673</v>
      </c>
      <c r="B194" s="366" t="s">
        <v>4674</v>
      </c>
      <c r="C194" s="366" t="s">
        <v>4581</v>
      </c>
      <c r="D194" s="342">
        <v>242800</v>
      </c>
      <c r="E194" s="342">
        <v>0</v>
      </c>
      <c r="F194" s="342">
        <v>1000</v>
      </c>
      <c r="G194" s="342">
        <v>1000</v>
      </c>
      <c r="H194" s="342">
        <v>2000</v>
      </c>
      <c r="I194" s="342">
        <v>0</v>
      </c>
      <c r="J194" s="342">
        <v>1000</v>
      </c>
      <c r="K194" s="342">
        <v>-1411</v>
      </c>
      <c r="L194" s="342"/>
      <c r="M194" s="376">
        <f t="shared" si="17"/>
        <v>246389</v>
      </c>
      <c r="N194" s="391"/>
      <c r="P194" s="328"/>
    </row>
    <row r="195" s="330" customFormat="1" hidden="1" customHeight="1" spans="1:16">
      <c r="A195" s="392" t="s">
        <v>4569</v>
      </c>
      <c r="B195" s="393" t="s">
        <v>4574</v>
      </c>
      <c r="C195" s="393" t="s">
        <v>4575</v>
      </c>
      <c r="D195" s="394">
        <v>236400</v>
      </c>
      <c r="E195" s="394">
        <v>0</v>
      </c>
      <c r="F195" s="394">
        <v>1000</v>
      </c>
      <c r="G195" s="394">
        <v>1000</v>
      </c>
      <c r="H195" s="394">
        <v>2000</v>
      </c>
      <c r="I195" s="394">
        <v>0</v>
      </c>
      <c r="J195" s="394">
        <v>1000</v>
      </c>
      <c r="K195" s="394">
        <v>-1411</v>
      </c>
      <c r="L195" s="394"/>
      <c r="M195" s="395">
        <f t="shared" si="17"/>
        <v>239989</v>
      </c>
      <c r="N195" s="396" t="s">
        <v>4693</v>
      </c>
      <c r="P195" s="328"/>
    </row>
    <row r="196" s="330" customFormat="1" hidden="1" customHeight="1" spans="1:16">
      <c r="A196" s="392" t="s">
        <v>4584</v>
      </c>
      <c r="B196" s="393" t="s">
        <v>4588</v>
      </c>
      <c r="C196" s="393" t="s">
        <v>4560</v>
      </c>
      <c r="D196" s="394">
        <v>136320</v>
      </c>
      <c r="E196" s="394">
        <v>0</v>
      </c>
      <c r="F196" s="394">
        <v>1000</v>
      </c>
      <c r="G196" s="394">
        <v>1000</v>
      </c>
      <c r="H196" s="394">
        <v>2000</v>
      </c>
      <c r="I196" s="394">
        <v>0</v>
      </c>
      <c r="J196" s="394">
        <v>1000</v>
      </c>
      <c r="K196" s="394">
        <v>-1411</v>
      </c>
      <c r="L196" s="394"/>
      <c r="M196" s="395">
        <f t="shared" si="17"/>
        <v>139909</v>
      </c>
      <c r="N196" s="397"/>
      <c r="P196" s="328"/>
    </row>
    <row r="197" s="330" customFormat="1" hidden="1" customHeight="1" spans="1:16">
      <c r="A197" s="392" t="s">
        <v>4584</v>
      </c>
      <c r="B197" s="393" t="s">
        <v>4589</v>
      </c>
      <c r="C197" s="393" t="s">
        <v>4560</v>
      </c>
      <c r="D197" s="394">
        <v>136320</v>
      </c>
      <c r="E197" s="394">
        <v>0</v>
      </c>
      <c r="F197" s="394">
        <v>1000</v>
      </c>
      <c r="G197" s="394">
        <v>1000</v>
      </c>
      <c r="H197" s="394">
        <v>2000</v>
      </c>
      <c r="I197" s="394">
        <v>0</v>
      </c>
      <c r="J197" s="394">
        <v>1000</v>
      </c>
      <c r="K197" s="394">
        <v>-1411</v>
      </c>
      <c r="L197" s="394"/>
      <c r="M197" s="395">
        <f t="shared" si="17"/>
        <v>139909</v>
      </c>
      <c r="N197" s="397"/>
      <c r="P197" s="328"/>
    </row>
    <row r="198" s="330" customFormat="1" hidden="1" customHeight="1" spans="1:16">
      <c r="A198" s="392" t="s">
        <v>4602</v>
      </c>
      <c r="B198" s="393" t="s">
        <v>4607</v>
      </c>
      <c r="C198" s="393" t="s">
        <v>4520</v>
      </c>
      <c r="D198" s="394">
        <v>68160</v>
      </c>
      <c r="E198" s="394">
        <v>0</v>
      </c>
      <c r="F198" s="394">
        <v>1000</v>
      </c>
      <c r="G198" s="394">
        <v>1000</v>
      </c>
      <c r="H198" s="394">
        <v>2000</v>
      </c>
      <c r="I198" s="394">
        <v>0</v>
      </c>
      <c r="J198" s="394">
        <v>1000</v>
      </c>
      <c r="K198" s="394">
        <v>-1411</v>
      </c>
      <c r="L198" s="394"/>
      <c r="M198" s="395">
        <f t="shared" si="17"/>
        <v>71749</v>
      </c>
      <c r="N198" s="397"/>
      <c r="P198" s="328"/>
    </row>
    <row r="199" s="330" customFormat="1" hidden="1" customHeight="1" spans="1:16">
      <c r="A199" s="392" t="s">
        <v>4602</v>
      </c>
      <c r="B199" s="393" t="s">
        <v>4608</v>
      </c>
      <c r="C199" s="393" t="s">
        <v>4520</v>
      </c>
      <c r="D199" s="394">
        <v>68160</v>
      </c>
      <c r="E199" s="394">
        <v>0</v>
      </c>
      <c r="F199" s="394">
        <v>1000</v>
      </c>
      <c r="G199" s="394">
        <v>1000</v>
      </c>
      <c r="H199" s="394">
        <v>2000</v>
      </c>
      <c r="I199" s="394">
        <v>0</v>
      </c>
      <c r="J199" s="394">
        <v>1000</v>
      </c>
      <c r="K199" s="394">
        <v>-1411</v>
      </c>
      <c r="L199" s="394"/>
      <c r="M199" s="395">
        <f t="shared" si="17"/>
        <v>71749</v>
      </c>
      <c r="N199" s="397"/>
      <c r="P199" s="328"/>
    </row>
    <row r="200" s="330" customFormat="1" hidden="1" customHeight="1" spans="1:16">
      <c r="A200" s="392" t="s">
        <v>4602</v>
      </c>
      <c r="B200" s="393" t="s">
        <v>4609</v>
      </c>
      <c r="C200" s="393" t="s">
        <v>4520</v>
      </c>
      <c r="D200" s="394">
        <v>68160</v>
      </c>
      <c r="E200" s="394">
        <v>0</v>
      </c>
      <c r="F200" s="394">
        <v>1000</v>
      </c>
      <c r="G200" s="394">
        <v>1000</v>
      </c>
      <c r="H200" s="394">
        <v>2000</v>
      </c>
      <c r="I200" s="394">
        <v>0</v>
      </c>
      <c r="J200" s="394">
        <v>1000</v>
      </c>
      <c r="K200" s="394">
        <v>-1411</v>
      </c>
      <c r="L200" s="394"/>
      <c r="M200" s="395">
        <f t="shared" si="17"/>
        <v>71749</v>
      </c>
      <c r="N200" s="397"/>
      <c r="P200" s="328"/>
    </row>
    <row r="201" s="330" customFormat="1" hidden="1" customHeight="1" spans="1:16">
      <c r="A201" s="392" t="s">
        <v>4612</v>
      </c>
      <c r="B201" s="393" t="s">
        <v>4616</v>
      </c>
      <c r="C201" s="393" t="s">
        <v>4520</v>
      </c>
      <c r="D201" s="394">
        <v>68160</v>
      </c>
      <c r="E201" s="394">
        <v>0</v>
      </c>
      <c r="F201" s="394">
        <v>1000</v>
      </c>
      <c r="G201" s="394">
        <v>1000</v>
      </c>
      <c r="H201" s="394">
        <v>2000</v>
      </c>
      <c r="I201" s="394">
        <v>0</v>
      </c>
      <c r="J201" s="394">
        <v>1000</v>
      </c>
      <c r="K201" s="394">
        <v>-1411</v>
      </c>
      <c r="L201" s="394"/>
      <c r="M201" s="395">
        <f t="shared" si="17"/>
        <v>71749</v>
      </c>
      <c r="N201" s="397"/>
      <c r="P201" s="328"/>
    </row>
    <row r="202" s="330" customFormat="1" hidden="1" customHeight="1" spans="1:16">
      <c r="A202" s="392" t="s">
        <v>4612</v>
      </c>
      <c r="B202" s="393" t="s">
        <v>4617</v>
      </c>
      <c r="C202" s="393" t="s">
        <v>4520</v>
      </c>
      <c r="D202" s="394">
        <v>68160</v>
      </c>
      <c r="E202" s="394">
        <v>0</v>
      </c>
      <c r="F202" s="394">
        <v>1000</v>
      </c>
      <c r="G202" s="394">
        <v>1000</v>
      </c>
      <c r="H202" s="394">
        <v>2000</v>
      </c>
      <c r="I202" s="394">
        <v>0</v>
      </c>
      <c r="J202" s="394">
        <v>1000</v>
      </c>
      <c r="K202" s="394">
        <v>-1411</v>
      </c>
      <c r="L202" s="394"/>
      <c r="M202" s="395">
        <f t="shared" si="17"/>
        <v>71749</v>
      </c>
      <c r="N202" s="397"/>
      <c r="P202" s="328"/>
    </row>
    <row r="203" s="330" customFormat="1" hidden="1" customHeight="1" spans="1:16">
      <c r="A203" s="392" t="s">
        <v>4612</v>
      </c>
      <c r="B203" s="393" t="s">
        <v>4618</v>
      </c>
      <c r="C203" s="393" t="s">
        <v>4520</v>
      </c>
      <c r="D203" s="394">
        <v>68160</v>
      </c>
      <c r="E203" s="394">
        <v>0</v>
      </c>
      <c r="F203" s="394">
        <v>1000</v>
      </c>
      <c r="G203" s="394">
        <v>1000</v>
      </c>
      <c r="H203" s="394">
        <v>2000</v>
      </c>
      <c r="I203" s="394">
        <v>0</v>
      </c>
      <c r="J203" s="394">
        <v>1000</v>
      </c>
      <c r="K203" s="394">
        <v>-1411</v>
      </c>
      <c r="L203" s="394"/>
      <c r="M203" s="395">
        <f t="shared" si="17"/>
        <v>71749</v>
      </c>
      <c r="N203" s="397"/>
      <c r="P203" s="328"/>
    </row>
    <row r="204" s="330" customFormat="1" hidden="1" customHeight="1" spans="1:16">
      <c r="A204" s="392" t="s">
        <v>4641</v>
      </c>
      <c r="B204" s="393" t="s">
        <v>4648</v>
      </c>
      <c r="C204" s="393" t="s">
        <v>4520</v>
      </c>
      <c r="D204" s="394">
        <v>68160</v>
      </c>
      <c r="E204" s="394">
        <v>0</v>
      </c>
      <c r="F204" s="394">
        <v>1000</v>
      </c>
      <c r="G204" s="394">
        <v>1000</v>
      </c>
      <c r="H204" s="394">
        <v>2000</v>
      </c>
      <c r="I204" s="394">
        <v>0</v>
      </c>
      <c r="J204" s="394">
        <v>1000</v>
      </c>
      <c r="K204" s="394">
        <v>-1411</v>
      </c>
      <c r="L204" s="394"/>
      <c r="M204" s="395">
        <f t="shared" si="17"/>
        <v>71749</v>
      </c>
      <c r="N204" s="397"/>
      <c r="P204" s="328"/>
    </row>
    <row r="205" s="330" customFormat="1" hidden="1" customHeight="1" spans="1:16">
      <c r="A205" s="392" t="s">
        <v>4641</v>
      </c>
      <c r="B205" s="393" t="s">
        <v>4649</v>
      </c>
      <c r="C205" s="393" t="s">
        <v>4520</v>
      </c>
      <c r="D205" s="394">
        <v>68160</v>
      </c>
      <c r="E205" s="394">
        <v>0</v>
      </c>
      <c r="F205" s="394">
        <v>1000</v>
      </c>
      <c r="G205" s="394">
        <v>1000</v>
      </c>
      <c r="H205" s="394">
        <v>2000</v>
      </c>
      <c r="I205" s="394">
        <v>0</v>
      </c>
      <c r="J205" s="394">
        <v>1000</v>
      </c>
      <c r="K205" s="394">
        <v>-1411</v>
      </c>
      <c r="L205" s="394"/>
      <c r="M205" s="395">
        <f t="shared" si="17"/>
        <v>71749</v>
      </c>
      <c r="N205" s="397"/>
      <c r="P205" s="328"/>
    </row>
    <row r="206" s="330" customFormat="1" hidden="1" customHeight="1" spans="1:16">
      <c r="A206" s="392" t="s">
        <v>4641</v>
      </c>
      <c r="B206" s="393" t="s">
        <v>4650</v>
      </c>
      <c r="C206" s="393" t="s">
        <v>4520</v>
      </c>
      <c r="D206" s="394">
        <v>68160</v>
      </c>
      <c r="E206" s="394">
        <v>0</v>
      </c>
      <c r="F206" s="394">
        <v>1000</v>
      </c>
      <c r="G206" s="394">
        <v>1000</v>
      </c>
      <c r="H206" s="394">
        <v>2000</v>
      </c>
      <c r="I206" s="394">
        <v>0</v>
      </c>
      <c r="J206" s="394">
        <v>1000</v>
      </c>
      <c r="K206" s="394">
        <v>-1411</v>
      </c>
      <c r="L206" s="394"/>
      <c r="M206" s="395">
        <f>SUM(D206:K206)</f>
        <v>71749</v>
      </c>
      <c r="N206" s="397"/>
      <c r="P206" s="328"/>
    </row>
    <row r="207" s="330" customFormat="1" hidden="1" customHeight="1" spans="1:16">
      <c r="A207" s="392" t="s">
        <v>4675</v>
      </c>
      <c r="B207" s="393" t="s">
        <v>4676</v>
      </c>
      <c r="C207" s="393" t="s">
        <v>4560</v>
      </c>
      <c r="D207" s="394">
        <v>136320</v>
      </c>
      <c r="E207" s="394">
        <v>0</v>
      </c>
      <c r="F207" s="394">
        <v>1000</v>
      </c>
      <c r="G207" s="394">
        <v>1000</v>
      </c>
      <c r="H207" s="394">
        <v>2000</v>
      </c>
      <c r="I207" s="394">
        <v>0</v>
      </c>
      <c r="J207" s="394">
        <v>1000</v>
      </c>
      <c r="K207" s="394">
        <v>-1411</v>
      </c>
      <c r="L207" s="394"/>
      <c r="M207" s="395">
        <f>SUM(D207:K207)</f>
        <v>139909</v>
      </c>
      <c r="N207" s="398"/>
      <c r="P207" s="328"/>
    </row>
    <row r="208" s="328" customFormat="1" hidden="1" customHeight="1" spans="1:15">
      <c r="A208" s="343"/>
      <c r="B208" s="344"/>
      <c r="C208" s="344" t="s">
        <v>4694</v>
      </c>
      <c r="D208" s="345">
        <f t="shared" ref="D208:K208" si="18">SUM(D142:D207)</f>
        <v>10399200</v>
      </c>
      <c r="E208" s="345">
        <f t="shared" si="18"/>
        <v>0</v>
      </c>
      <c r="F208" s="345">
        <f t="shared" si="18"/>
        <v>172000</v>
      </c>
      <c r="G208" s="345">
        <f t="shared" si="18"/>
        <v>172000</v>
      </c>
      <c r="H208" s="345">
        <f t="shared" si="18"/>
        <v>344000</v>
      </c>
      <c r="I208" s="345">
        <f t="shared" si="18"/>
        <v>0</v>
      </c>
      <c r="J208" s="345">
        <f t="shared" si="18"/>
        <v>172000</v>
      </c>
      <c r="K208" s="345">
        <f t="shared" si="18"/>
        <v>-242692</v>
      </c>
      <c r="L208" s="345"/>
      <c r="M208" s="345">
        <f>SUM(M142:M207)</f>
        <v>11016508</v>
      </c>
      <c r="N208" s="378"/>
      <c r="O208" s="330"/>
    </row>
  </sheetData>
  <mergeCells count="25">
    <mergeCell ref="A28:A34"/>
    <mergeCell ref="A35:A40"/>
    <mergeCell ref="A41:A46"/>
    <mergeCell ref="A47:A52"/>
    <mergeCell ref="A53:A55"/>
    <mergeCell ref="A56:A59"/>
    <mergeCell ref="A60:A65"/>
    <mergeCell ref="A67:A75"/>
    <mergeCell ref="A76:A84"/>
    <mergeCell ref="A85:A87"/>
    <mergeCell ref="A88:A90"/>
    <mergeCell ref="A91:A96"/>
    <mergeCell ref="A97:A108"/>
    <mergeCell ref="A109:A115"/>
    <mergeCell ref="A116:A120"/>
    <mergeCell ref="A121:A122"/>
    <mergeCell ref="N8:N10"/>
    <mergeCell ref="N132:N140"/>
    <mergeCell ref="N142:N145"/>
    <mergeCell ref="N146:N158"/>
    <mergeCell ref="N159:N161"/>
    <mergeCell ref="N162:N175"/>
    <mergeCell ref="N176:N180"/>
    <mergeCell ref="N181:N194"/>
    <mergeCell ref="N195:N207"/>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2"/>
  <sheetViews>
    <sheetView zoomScale="85" zoomScaleNormal="85" workbookViewId="0">
      <pane xSplit="8" ySplit="4" topLeftCell="I65" activePane="bottomRight" state="frozen"/>
      <selection/>
      <selection pane="topRight"/>
      <selection pane="bottomLeft"/>
      <selection pane="bottomRight" activeCell="K94" sqref="K94"/>
    </sheetView>
  </sheetViews>
  <sheetFormatPr defaultColWidth="9" defaultRowHeight="14.25"/>
  <cols>
    <col min="1" max="1" width="11.1" style="262" customWidth="1"/>
    <col min="2" max="2" width="12.8" style="260" customWidth="1"/>
    <col min="3" max="3" width="12.6916666666667" style="260" customWidth="1"/>
    <col min="4" max="5" width="10.8333333333333" style="260" customWidth="1"/>
    <col min="6" max="6" width="18.4916666666667" style="260" customWidth="1"/>
    <col min="7" max="8" width="10.8333333333333" style="260" customWidth="1"/>
    <col min="9" max="9" width="9.33333333333333" style="260" customWidth="1"/>
    <col min="10" max="12" width="9.33333333333333" style="263" customWidth="1"/>
    <col min="13" max="14" width="9.33333333333333" style="260" customWidth="1"/>
    <col min="15" max="30" width="12.8" style="260" customWidth="1"/>
    <col min="31" max="31" width="37.1" style="260" customWidth="1"/>
    <col min="32" max="16384" width="9" style="260"/>
  </cols>
  <sheetData>
    <row r="1" s="260" customFormat="1" ht="18" spans="1:31">
      <c r="A1" s="264" t="s">
        <v>6074</v>
      </c>
      <c r="B1" s="265"/>
      <c r="C1" s="265"/>
      <c r="D1" s="265"/>
      <c r="E1" s="265"/>
      <c r="F1" s="265"/>
      <c r="G1" s="265"/>
      <c r="H1" s="265"/>
      <c r="I1" s="283"/>
      <c r="J1" s="283"/>
      <c r="K1" s="283"/>
      <c r="L1" s="283"/>
      <c r="M1" s="283"/>
      <c r="N1" s="283"/>
      <c r="O1" s="283"/>
      <c r="P1" s="283"/>
      <c r="Q1" s="283"/>
      <c r="R1" s="283"/>
      <c r="S1" s="283"/>
      <c r="T1" s="283"/>
      <c r="U1" s="283"/>
      <c r="V1" s="283"/>
      <c r="W1" s="283"/>
      <c r="X1" s="283"/>
      <c r="Y1" s="283"/>
      <c r="Z1" s="283"/>
      <c r="AA1" s="283"/>
      <c r="AB1" s="283"/>
      <c r="AC1" s="283"/>
      <c r="AD1" s="283"/>
      <c r="AE1" s="301"/>
    </row>
    <row r="2" s="260" customFormat="1" ht="15" spans="1:31">
      <c r="A2" s="266" t="s">
        <v>4696</v>
      </c>
      <c r="B2" s="267" t="s">
        <v>4697</v>
      </c>
      <c r="C2" s="268" t="s">
        <v>4698</v>
      </c>
      <c r="D2" s="269" t="s">
        <v>4699</v>
      </c>
      <c r="E2" s="269" t="s">
        <v>4700</v>
      </c>
      <c r="F2" s="269" t="s">
        <v>4701</v>
      </c>
      <c r="G2" s="270" t="s">
        <v>4702</v>
      </c>
      <c r="H2" s="269" t="s">
        <v>4703</v>
      </c>
      <c r="I2" s="284" t="s">
        <v>4704</v>
      </c>
      <c r="J2" s="284"/>
      <c r="K2" s="284"/>
      <c r="L2" s="285"/>
      <c r="M2" s="284" t="s">
        <v>4</v>
      </c>
      <c r="N2" s="284"/>
      <c r="O2" s="286" t="s">
        <v>4707</v>
      </c>
      <c r="P2" s="287"/>
      <c r="Q2" s="286" t="s">
        <v>4708</v>
      </c>
      <c r="R2" s="287"/>
      <c r="S2" s="298" t="s">
        <v>4923</v>
      </c>
      <c r="T2" s="286" t="s">
        <v>4709</v>
      </c>
      <c r="U2" s="298"/>
      <c r="V2" s="298"/>
      <c r="W2" s="287"/>
      <c r="X2" s="286" t="s">
        <v>4710</v>
      </c>
      <c r="Y2" s="298"/>
      <c r="Z2" s="298"/>
      <c r="AA2" s="287"/>
      <c r="AB2" s="302"/>
      <c r="AC2" s="302"/>
      <c r="AD2" s="302"/>
      <c r="AE2" s="303"/>
    </row>
    <row r="3" s="260" customFormat="1" ht="28.5" spans="1:31">
      <c r="A3" s="266"/>
      <c r="B3" s="271"/>
      <c r="C3" s="272"/>
      <c r="D3" s="273"/>
      <c r="E3" s="273"/>
      <c r="F3" s="273"/>
      <c r="G3" s="274"/>
      <c r="H3" s="273"/>
      <c r="I3" s="287" t="s">
        <v>4711</v>
      </c>
      <c r="J3" s="288" t="s">
        <v>6075</v>
      </c>
      <c r="K3" s="289" t="s">
        <v>6076</v>
      </c>
      <c r="L3" s="290" t="s">
        <v>4715</v>
      </c>
      <c r="M3" s="286" t="s">
        <v>6077</v>
      </c>
      <c r="N3" s="291" t="s">
        <v>4717</v>
      </c>
      <c r="O3" s="292" t="s">
        <v>4720</v>
      </c>
      <c r="P3" s="293" t="s">
        <v>4721</v>
      </c>
      <c r="Q3" s="292" t="s">
        <v>4722</v>
      </c>
      <c r="R3" s="293" t="s">
        <v>4723</v>
      </c>
      <c r="S3" s="291" t="s">
        <v>6078</v>
      </c>
      <c r="T3" s="299" t="s">
        <v>4724</v>
      </c>
      <c r="U3" s="300" t="s">
        <v>6079</v>
      </c>
      <c r="V3" s="293" t="s">
        <v>4725</v>
      </c>
      <c r="W3" s="300" t="s">
        <v>6080</v>
      </c>
      <c r="X3" s="292" t="s">
        <v>4727</v>
      </c>
      <c r="Y3" s="292" t="s">
        <v>6081</v>
      </c>
      <c r="Z3" s="293" t="s">
        <v>4728</v>
      </c>
      <c r="AA3" s="293" t="s">
        <v>6082</v>
      </c>
      <c r="AB3" s="304" t="s">
        <v>67</v>
      </c>
      <c r="AC3" s="304" t="s">
        <v>4730</v>
      </c>
      <c r="AD3" s="304" t="s">
        <v>68</v>
      </c>
      <c r="AE3" s="305" t="s">
        <v>26</v>
      </c>
    </row>
    <row r="4" s="260" customFormat="1" spans="1:31">
      <c r="A4" s="266"/>
      <c r="B4" s="271"/>
      <c r="C4" s="272"/>
      <c r="D4" s="275"/>
      <c r="E4" s="275"/>
      <c r="F4" s="275"/>
      <c r="G4" s="276"/>
      <c r="H4" s="275"/>
      <c r="I4" s="287" t="s">
        <v>4738</v>
      </c>
      <c r="J4" s="294" t="s">
        <v>4732</v>
      </c>
      <c r="K4" s="294"/>
      <c r="L4" s="295" t="s">
        <v>4717</v>
      </c>
      <c r="M4" s="295" t="s">
        <v>4734</v>
      </c>
      <c r="N4" s="294" t="s">
        <v>4736</v>
      </c>
      <c r="O4" s="294" t="s">
        <v>4732</v>
      </c>
      <c r="P4" s="294" t="s">
        <v>4732</v>
      </c>
      <c r="Q4" s="294" t="s">
        <v>4732</v>
      </c>
      <c r="R4" s="294" t="s">
        <v>4732</v>
      </c>
      <c r="S4" s="294" t="s">
        <v>4736</v>
      </c>
      <c r="T4" s="294" t="s">
        <v>4732</v>
      </c>
      <c r="U4" s="294"/>
      <c r="V4" s="294" t="s">
        <v>4732</v>
      </c>
      <c r="W4" s="294" t="s">
        <v>4732</v>
      </c>
      <c r="X4" s="294" t="s">
        <v>4732</v>
      </c>
      <c r="Y4" s="294"/>
      <c r="Z4" s="294" t="s">
        <v>4732</v>
      </c>
      <c r="AA4" s="294" t="s">
        <v>4732</v>
      </c>
      <c r="AB4" s="294" t="s">
        <v>4732</v>
      </c>
      <c r="AC4" s="294" t="s">
        <v>4732</v>
      </c>
      <c r="AD4" s="294" t="s">
        <v>4732</v>
      </c>
      <c r="AE4" s="303"/>
    </row>
    <row r="5" s="260" customFormat="1" ht="15.75" customHeight="1" spans="1:31">
      <c r="A5" s="277">
        <v>45888</v>
      </c>
      <c r="B5" s="278" t="s">
        <v>6083</v>
      </c>
      <c r="C5" s="278" t="s">
        <v>6084</v>
      </c>
      <c r="D5" s="279" t="s">
        <v>6085</v>
      </c>
      <c r="E5" s="279">
        <v>3977</v>
      </c>
      <c r="F5" s="280" t="s">
        <v>4745</v>
      </c>
      <c r="G5" s="281" t="s">
        <v>4742</v>
      </c>
      <c r="H5" s="282" t="s">
        <v>4743</v>
      </c>
      <c r="I5" s="296"/>
      <c r="J5" s="296"/>
      <c r="K5" s="296"/>
      <c r="L5" s="296"/>
      <c r="M5" s="296"/>
      <c r="N5" s="296"/>
      <c r="O5" s="296"/>
      <c r="P5" s="297"/>
      <c r="Q5" s="297"/>
      <c r="R5" s="297"/>
      <c r="S5" s="297">
        <f>E5</f>
        <v>3977</v>
      </c>
      <c r="T5" s="297"/>
      <c r="U5" s="297"/>
      <c r="V5" s="297"/>
      <c r="W5" s="297"/>
      <c r="X5" s="297"/>
      <c r="Y5" s="297"/>
      <c r="Z5" s="297"/>
      <c r="AA5" s="297"/>
      <c r="AB5" s="297"/>
      <c r="AC5" s="297"/>
      <c r="AD5" s="297"/>
      <c r="AE5" s="297"/>
    </row>
    <row r="6" s="260" customFormat="1" ht="15.75" customHeight="1" spans="1:31">
      <c r="A6" s="277">
        <v>45894</v>
      </c>
      <c r="B6" s="278" t="s">
        <v>6086</v>
      </c>
      <c r="C6" s="278" t="s">
        <v>4817</v>
      </c>
      <c r="D6" s="279">
        <v>77809</v>
      </c>
      <c r="E6" s="279">
        <v>10000</v>
      </c>
      <c r="F6" s="280" t="s">
        <v>6087</v>
      </c>
      <c r="G6" s="281"/>
      <c r="H6" s="282"/>
      <c r="I6" s="296"/>
      <c r="J6" s="296"/>
      <c r="K6" s="296"/>
      <c r="L6" s="296"/>
      <c r="M6" s="296"/>
      <c r="N6" s="296"/>
      <c r="O6" s="296"/>
      <c r="P6" s="297"/>
      <c r="Q6" s="297"/>
      <c r="R6" s="297"/>
      <c r="S6" s="297"/>
      <c r="T6" s="297"/>
      <c r="U6" s="297"/>
      <c r="V6" s="297"/>
      <c r="W6" s="297"/>
      <c r="X6" s="297"/>
      <c r="Y6" s="297"/>
      <c r="Z6" s="297"/>
      <c r="AA6" s="297"/>
      <c r="AB6" s="297">
        <f>E6</f>
        <v>10000</v>
      </c>
      <c r="AC6" s="297"/>
      <c r="AD6" s="297"/>
      <c r="AE6" s="297" t="s">
        <v>6088</v>
      </c>
    </row>
    <row r="7" s="260" customFormat="1" ht="15.75" customHeight="1" spans="1:31">
      <c r="A7" s="277">
        <v>45894</v>
      </c>
      <c r="B7" s="278" t="s">
        <v>6089</v>
      </c>
      <c r="C7" s="278" t="s">
        <v>4817</v>
      </c>
      <c r="D7" s="279">
        <v>77809</v>
      </c>
      <c r="E7" s="279">
        <v>10000</v>
      </c>
      <c r="F7" s="280" t="s">
        <v>6090</v>
      </c>
      <c r="G7" s="281"/>
      <c r="H7" s="282"/>
      <c r="I7" s="296"/>
      <c r="J7" s="296"/>
      <c r="K7" s="296"/>
      <c r="L7" s="296"/>
      <c r="M7" s="296"/>
      <c r="N7" s="296"/>
      <c r="O7" s="296"/>
      <c r="P7" s="297"/>
      <c r="Q7" s="297"/>
      <c r="R7" s="297"/>
      <c r="S7" s="297"/>
      <c r="T7" s="297"/>
      <c r="U7" s="297"/>
      <c r="V7" s="297"/>
      <c r="W7" s="297"/>
      <c r="X7" s="297"/>
      <c r="Y7" s="297"/>
      <c r="Z7" s="297"/>
      <c r="AA7" s="297"/>
      <c r="AB7" s="297"/>
      <c r="AC7" s="297">
        <f>E7</f>
        <v>10000</v>
      </c>
      <c r="AD7" s="297"/>
      <c r="AE7" s="297" t="s">
        <v>6088</v>
      </c>
    </row>
    <row r="8" s="260" customFormat="1" ht="15.75" customHeight="1" spans="1:31">
      <c r="A8" s="277">
        <v>45894</v>
      </c>
      <c r="B8" s="278" t="s">
        <v>6091</v>
      </c>
      <c r="C8" s="278" t="s">
        <v>4817</v>
      </c>
      <c r="D8" s="279">
        <v>77809</v>
      </c>
      <c r="E8" s="279">
        <v>10000</v>
      </c>
      <c r="F8" s="280" t="s">
        <v>4763</v>
      </c>
      <c r="G8" s="281"/>
      <c r="H8" s="282"/>
      <c r="I8" s="296"/>
      <c r="J8" s="296"/>
      <c r="K8" s="296"/>
      <c r="L8" s="296"/>
      <c r="M8" s="296"/>
      <c r="N8" s="296"/>
      <c r="O8" s="296"/>
      <c r="P8" s="297"/>
      <c r="Q8" s="297"/>
      <c r="R8" s="297"/>
      <c r="S8" s="297"/>
      <c r="T8" s="297"/>
      <c r="U8" s="297"/>
      <c r="V8" s="297"/>
      <c r="W8" s="297"/>
      <c r="X8" s="297"/>
      <c r="Y8" s="297"/>
      <c r="Z8" s="297"/>
      <c r="AA8" s="297"/>
      <c r="AB8" s="297"/>
      <c r="AC8" s="297"/>
      <c r="AD8" s="297">
        <f>E8</f>
        <v>10000</v>
      </c>
      <c r="AE8" s="297" t="s">
        <v>6088</v>
      </c>
    </row>
    <row r="9" s="260" customFormat="1" ht="15.75" customHeight="1" spans="1:31">
      <c r="A9" s="277">
        <v>45894</v>
      </c>
      <c r="B9" s="278" t="s">
        <v>6092</v>
      </c>
      <c r="C9" s="278" t="s">
        <v>4817</v>
      </c>
      <c r="D9" s="279">
        <v>77809</v>
      </c>
      <c r="E9" s="279">
        <v>20000</v>
      </c>
      <c r="F9" s="280" t="s">
        <v>6093</v>
      </c>
      <c r="G9" s="281"/>
      <c r="H9" s="282"/>
      <c r="I9" s="296"/>
      <c r="J9" s="296"/>
      <c r="K9" s="296">
        <f>E9</f>
        <v>20000</v>
      </c>
      <c r="L9" s="296"/>
      <c r="M9" s="296"/>
      <c r="N9" s="296"/>
      <c r="O9" s="296"/>
      <c r="P9" s="297"/>
      <c r="Q9" s="297"/>
      <c r="R9" s="297"/>
      <c r="S9" s="297"/>
      <c r="T9" s="297"/>
      <c r="U9" s="297"/>
      <c r="V9" s="297"/>
      <c r="W9" s="297"/>
      <c r="X9" s="297"/>
      <c r="Y9" s="297"/>
      <c r="Z9" s="297"/>
      <c r="AA9" s="297"/>
      <c r="AB9" s="297"/>
      <c r="AC9" s="297"/>
      <c r="AD9" s="297"/>
      <c r="AE9" s="297" t="s">
        <v>6088</v>
      </c>
    </row>
    <row r="10" s="260" customFormat="1" ht="15.75" customHeight="1" spans="1:31">
      <c r="A10" s="277">
        <v>45895</v>
      </c>
      <c r="B10" s="278" t="s">
        <v>4785</v>
      </c>
      <c r="C10" s="278" t="s">
        <v>6094</v>
      </c>
      <c r="D10" s="279">
        <v>77773</v>
      </c>
      <c r="E10" s="279">
        <v>150000</v>
      </c>
      <c r="F10" s="280" t="s">
        <v>4741</v>
      </c>
      <c r="G10" s="281" t="s">
        <v>4742</v>
      </c>
      <c r="H10" s="282" t="s">
        <v>4743</v>
      </c>
      <c r="I10" s="296">
        <f>E10</f>
        <v>150000</v>
      </c>
      <c r="J10" s="296"/>
      <c r="K10" s="296"/>
      <c r="L10" s="296"/>
      <c r="M10" s="296"/>
      <c r="N10" s="296"/>
      <c r="O10" s="296"/>
      <c r="P10" s="297"/>
      <c r="Q10" s="297"/>
      <c r="R10" s="297"/>
      <c r="S10" s="297"/>
      <c r="T10" s="297"/>
      <c r="U10" s="297"/>
      <c r="V10" s="297"/>
      <c r="W10" s="297"/>
      <c r="X10" s="297"/>
      <c r="Y10" s="297"/>
      <c r="Z10" s="297"/>
      <c r="AA10" s="297"/>
      <c r="AB10" s="297"/>
      <c r="AC10" s="297"/>
      <c r="AD10" s="297"/>
      <c r="AE10" s="297" t="s">
        <v>4789</v>
      </c>
    </row>
    <row r="11" s="260" customFormat="1" ht="15.75" customHeight="1" spans="1:31">
      <c r="A11" s="277">
        <v>45895</v>
      </c>
      <c r="B11" s="278" t="s">
        <v>4785</v>
      </c>
      <c r="C11" s="278" t="s">
        <v>6094</v>
      </c>
      <c r="D11" s="279">
        <v>77773</v>
      </c>
      <c r="E11" s="279">
        <v>20000</v>
      </c>
      <c r="F11" s="280" t="s">
        <v>4741</v>
      </c>
      <c r="G11" s="281" t="s">
        <v>4749</v>
      </c>
      <c r="H11" s="282" t="s">
        <v>4743</v>
      </c>
      <c r="I11" s="296"/>
      <c r="J11" s="296">
        <f>E11</f>
        <v>20000</v>
      </c>
      <c r="K11" s="296"/>
      <c r="L11" s="296"/>
      <c r="M11" s="296"/>
      <c r="N11" s="296"/>
      <c r="O11" s="296"/>
      <c r="P11" s="297"/>
      <c r="Q11" s="297"/>
      <c r="R11" s="297"/>
      <c r="S11" s="297"/>
      <c r="T11" s="297"/>
      <c r="U11" s="297"/>
      <c r="V11" s="297"/>
      <c r="W11" s="297"/>
      <c r="X11" s="297"/>
      <c r="Y11" s="297"/>
      <c r="Z11" s="297"/>
      <c r="AA11" s="297"/>
      <c r="AB11" s="297"/>
      <c r="AC11" s="297"/>
      <c r="AD11" s="297"/>
      <c r="AE11" s="297" t="s">
        <v>4789</v>
      </c>
    </row>
    <row r="12" s="260" customFormat="1" ht="15.75" customHeight="1" spans="1:31">
      <c r="A12" s="277">
        <v>45895</v>
      </c>
      <c r="B12" s="278" t="s">
        <v>4785</v>
      </c>
      <c r="C12" s="278" t="s">
        <v>6094</v>
      </c>
      <c r="D12" s="279">
        <v>77773</v>
      </c>
      <c r="E12" s="279">
        <v>220000</v>
      </c>
      <c r="F12" s="280" t="s">
        <v>4746</v>
      </c>
      <c r="G12" s="281" t="s">
        <v>4747</v>
      </c>
      <c r="H12" s="282" t="s">
        <v>4743</v>
      </c>
      <c r="I12" s="296"/>
      <c r="J12" s="296"/>
      <c r="K12" s="296"/>
      <c r="L12" s="296"/>
      <c r="M12" s="296">
        <f>E12</f>
        <v>220000</v>
      </c>
      <c r="N12" s="296"/>
      <c r="O12" s="296"/>
      <c r="P12" s="297"/>
      <c r="Q12" s="297"/>
      <c r="R12" s="297"/>
      <c r="S12" s="297"/>
      <c r="T12" s="297"/>
      <c r="U12" s="297"/>
      <c r="V12" s="297"/>
      <c r="W12" s="297"/>
      <c r="X12" s="297"/>
      <c r="Y12" s="297"/>
      <c r="Z12" s="297"/>
      <c r="AA12" s="297"/>
      <c r="AB12" s="297"/>
      <c r="AC12" s="297"/>
      <c r="AD12" s="297"/>
      <c r="AE12" s="297" t="s">
        <v>4789</v>
      </c>
    </row>
    <row r="13" s="260" customFormat="1" ht="15.75" customHeight="1" spans="1:31">
      <c r="A13" s="277">
        <v>45895</v>
      </c>
      <c r="B13" s="278">
        <v>1000031431</v>
      </c>
      <c r="C13" s="278" t="s">
        <v>6094</v>
      </c>
      <c r="D13" s="279" t="s">
        <v>6095</v>
      </c>
      <c r="E13" s="279">
        <v>500</v>
      </c>
      <c r="F13" s="280" t="s">
        <v>4745</v>
      </c>
      <c r="G13" s="281" t="s">
        <v>4749</v>
      </c>
      <c r="H13" s="282" t="s">
        <v>4743</v>
      </c>
      <c r="I13" s="296"/>
      <c r="J13" s="296"/>
      <c r="K13" s="296"/>
      <c r="L13" s="296"/>
      <c r="M13" s="296"/>
      <c r="N13" s="296"/>
      <c r="O13" s="296"/>
      <c r="P13" s="297">
        <f>E13</f>
        <v>500</v>
      </c>
      <c r="Q13" s="297"/>
      <c r="R13" s="297"/>
      <c r="S13" s="297"/>
      <c r="T13" s="297"/>
      <c r="U13" s="297"/>
      <c r="V13" s="297"/>
      <c r="W13" s="297"/>
      <c r="X13" s="297"/>
      <c r="Y13" s="297"/>
      <c r="Z13" s="297"/>
      <c r="AA13" s="297"/>
      <c r="AB13" s="297"/>
      <c r="AC13" s="297"/>
      <c r="AD13" s="297"/>
      <c r="AE13" s="297"/>
    </row>
    <row r="14" s="260" customFormat="1" ht="15.75" customHeight="1" spans="1:31">
      <c r="A14" s="277">
        <v>45895</v>
      </c>
      <c r="B14" s="278">
        <v>1000031432</v>
      </c>
      <c r="C14" s="278" t="s">
        <v>6094</v>
      </c>
      <c r="D14" s="279" t="s">
        <v>5187</v>
      </c>
      <c r="E14" s="279">
        <v>2100</v>
      </c>
      <c r="F14" s="280" t="s">
        <v>4745</v>
      </c>
      <c r="G14" s="281" t="s">
        <v>4742</v>
      </c>
      <c r="H14" s="282" t="s">
        <v>4743</v>
      </c>
      <c r="I14" s="296"/>
      <c r="J14" s="296"/>
      <c r="K14" s="296"/>
      <c r="L14" s="296"/>
      <c r="M14" s="296"/>
      <c r="N14" s="296"/>
      <c r="O14" s="296"/>
      <c r="P14" s="297"/>
      <c r="Q14" s="297">
        <f>E14</f>
        <v>2100</v>
      </c>
      <c r="R14" s="297"/>
      <c r="S14" s="297"/>
      <c r="T14" s="297"/>
      <c r="U14" s="297"/>
      <c r="V14" s="297"/>
      <c r="W14" s="297"/>
      <c r="X14" s="297"/>
      <c r="Y14" s="297"/>
      <c r="Z14" s="297"/>
      <c r="AA14" s="297"/>
      <c r="AB14" s="297"/>
      <c r="AC14" s="297"/>
      <c r="AD14" s="297"/>
      <c r="AE14" s="297"/>
    </row>
    <row r="15" s="260" customFormat="1" ht="15.75" customHeight="1" spans="1:31">
      <c r="A15" s="277">
        <v>45895</v>
      </c>
      <c r="B15" s="278">
        <v>1000031433</v>
      </c>
      <c r="C15" s="278" t="s">
        <v>6094</v>
      </c>
      <c r="D15" s="279" t="s">
        <v>5187</v>
      </c>
      <c r="E15" s="279">
        <v>500</v>
      </c>
      <c r="F15" s="280" t="s">
        <v>4745</v>
      </c>
      <c r="G15" s="281" t="s">
        <v>4749</v>
      </c>
      <c r="H15" s="282" t="s">
        <v>4743</v>
      </c>
      <c r="I15" s="296"/>
      <c r="J15" s="296"/>
      <c r="K15" s="296"/>
      <c r="L15" s="296"/>
      <c r="M15" s="296"/>
      <c r="N15" s="296"/>
      <c r="O15" s="296"/>
      <c r="P15" s="297"/>
      <c r="Q15" s="297"/>
      <c r="R15" s="297">
        <f>E15</f>
        <v>500</v>
      </c>
      <c r="S15" s="297"/>
      <c r="T15" s="297"/>
      <c r="U15" s="297"/>
      <c r="V15" s="297"/>
      <c r="W15" s="297"/>
      <c r="X15" s="297"/>
      <c r="Y15" s="297"/>
      <c r="Z15" s="297"/>
      <c r="AA15" s="297"/>
      <c r="AB15" s="297"/>
      <c r="AC15" s="297"/>
      <c r="AD15" s="297"/>
      <c r="AE15" s="297"/>
    </row>
    <row r="16" s="260" customFormat="1" ht="15.75" customHeight="1" spans="1:31">
      <c r="A16" s="277">
        <v>45895</v>
      </c>
      <c r="B16" s="278">
        <v>1000031434</v>
      </c>
      <c r="C16" s="278" t="s">
        <v>6094</v>
      </c>
      <c r="D16" s="279" t="s">
        <v>6096</v>
      </c>
      <c r="E16" s="279">
        <v>300</v>
      </c>
      <c r="F16" s="280" t="s">
        <v>4756</v>
      </c>
      <c r="G16" s="281" t="s">
        <v>4749</v>
      </c>
      <c r="H16" s="282" t="s">
        <v>4743</v>
      </c>
      <c r="I16" s="296"/>
      <c r="J16" s="296"/>
      <c r="K16" s="296"/>
      <c r="L16" s="296"/>
      <c r="M16" s="296"/>
      <c r="N16" s="296"/>
      <c r="O16" s="296"/>
      <c r="P16" s="297"/>
      <c r="Q16" s="297"/>
      <c r="R16" s="297"/>
      <c r="S16" s="297"/>
      <c r="T16" s="297"/>
      <c r="U16" s="297"/>
      <c r="V16" s="297">
        <f>E16</f>
        <v>300</v>
      </c>
      <c r="W16" s="297"/>
      <c r="X16" s="297"/>
      <c r="Y16" s="297"/>
      <c r="Z16" s="297"/>
      <c r="AA16" s="297"/>
      <c r="AB16" s="297"/>
      <c r="AC16" s="297"/>
      <c r="AD16" s="297"/>
      <c r="AE16" s="297"/>
    </row>
    <row r="17" s="260" customFormat="1" ht="15.75" customHeight="1" spans="1:31">
      <c r="A17" s="277">
        <v>45895</v>
      </c>
      <c r="B17" s="278">
        <v>1000031435</v>
      </c>
      <c r="C17" s="278" t="s">
        <v>6094</v>
      </c>
      <c r="D17" s="279" t="s">
        <v>6096</v>
      </c>
      <c r="E17" s="279">
        <v>300</v>
      </c>
      <c r="F17" s="280" t="s">
        <v>6097</v>
      </c>
      <c r="G17" s="281" t="s">
        <v>4749</v>
      </c>
      <c r="H17" s="282" t="s">
        <v>4743</v>
      </c>
      <c r="I17" s="296"/>
      <c r="J17" s="296"/>
      <c r="K17" s="296"/>
      <c r="L17" s="296"/>
      <c r="M17" s="296"/>
      <c r="N17" s="296"/>
      <c r="O17" s="296"/>
      <c r="P17" s="297"/>
      <c r="Q17" s="297"/>
      <c r="R17" s="297"/>
      <c r="S17" s="297"/>
      <c r="T17" s="297"/>
      <c r="U17" s="297"/>
      <c r="V17" s="297"/>
      <c r="W17" s="297">
        <f>E17</f>
        <v>300</v>
      </c>
      <c r="X17" s="297"/>
      <c r="Y17" s="297"/>
      <c r="Z17" s="297"/>
      <c r="AA17" s="297"/>
      <c r="AB17" s="297"/>
      <c r="AC17" s="297"/>
      <c r="AD17" s="297"/>
      <c r="AE17" s="297"/>
    </row>
    <row r="18" s="260" customFormat="1" ht="15.75" customHeight="1" spans="1:31">
      <c r="A18" s="277">
        <v>45891</v>
      </c>
      <c r="B18" s="278" t="s">
        <v>6098</v>
      </c>
      <c r="C18" s="278" t="s">
        <v>6084</v>
      </c>
      <c r="D18" s="279" t="s">
        <v>6085</v>
      </c>
      <c r="E18" s="279">
        <v>500</v>
      </c>
      <c r="F18" s="280" t="s">
        <v>4745</v>
      </c>
      <c r="G18" s="281" t="s">
        <v>4742</v>
      </c>
      <c r="H18" s="282" t="s">
        <v>4743</v>
      </c>
      <c r="I18" s="296"/>
      <c r="J18" s="296"/>
      <c r="K18" s="296"/>
      <c r="L18" s="296"/>
      <c r="M18" s="296"/>
      <c r="N18" s="296"/>
      <c r="O18" s="296"/>
      <c r="P18" s="297"/>
      <c r="Q18" s="297"/>
      <c r="R18" s="297"/>
      <c r="S18" s="297">
        <f>E18</f>
        <v>500</v>
      </c>
      <c r="T18" s="297"/>
      <c r="U18" s="297"/>
      <c r="V18" s="297"/>
      <c r="W18" s="297"/>
      <c r="X18" s="297"/>
      <c r="Y18" s="297"/>
      <c r="Z18" s="297"/>
      <c r="AA18" s="297"/>
      <c r="AB18" s="297"/>
      <c r="AC18" s="297"/>
      <c r="AD18" s="297"/>
      <c r="AE18" s="306" t="s">
        <v>6099</v>
      </c>
    </row>
    <row r="19" s="260" customFormat="1" ht="15.75" customHeight="1" spans="1:31">
      <c r="A19" s="277">
        <v>45897</v>
      </c>
      <c r="B19" s="278" t="s">
        <v>6100</v>
      </c>
      <c r="C19" s="278" t="s">
        <v>6084</v>
      </c>
      <c r="D19" s="279" t="s">
        <v>6085</v>
      </c>
      <c r="E19" s="279">
        <v>500</v>
      </c>
      <c r="F19" s="280" t="s">
        <v>4745</v>
      </c>
      <c r="G19" s="281" t="s">
        <v>4742</v>
      </c>
      <c r="H19" s="282" t="s">
        <v>4743</v>
      </c>
      <c r="I19" s="296"/>
      <c r="J19" s="296"/>
      <c r="K19" s="296"/>
      <c r="L19" s="296"/>
      <c r="M19" s="296"/>
      <c r="N19" s="296"/>
      <c r="O19" s="296"/>
      <c r="P19" s="297"/>
      <c r="Q19" s="297"/>
      <c r="R19" s="297"/>
      <c r="S19" s="297">
        <f>E19</f>
        <v>500</v>
      </c>
      <c r="T19" s="297"/>
      <c r="U19" s="297"/>
      <c r="V19" s="297"/>
      <c r="W19" s="297"/>
      <c r="X19" s="297"/>
      <c r="Y19" s="297"/>
      <c r="Z19" s="297"/>
      <c r="AA19" s="297"/>
      <c r="AB19" s="297"/>
      <c r="AC19" s="297"/>
      <c r="AD19" s="297"/>
      <c r="AE19" s="306" t="s">
        <v>6101</v>
      </c>
    </row>
    <row r="20" s="260" customFormat="1" ht="15.75" customHeight="1" spans="1:31">
      <c r="A20" s="277">
        <v>45911</v>
      </c>
      <c r="B20" s="278" t="s">
        <v>4785</v>
      </c>
      <c r="C20" s="278" t="s">
        <v>6094</v>
      </c>
      <c r="D20" s="279">
        <v>77773</v>
      </c>
      <c r="E20" s="279">
        <v>100000</v>
      </c>
      <c r="F20" s="280" t="s">
        <v>4741</v>
      </c>
      <c r="G20" s="281" t="s">
        <v>4742</v>
      </c>
      <c r="H20" s="282" t="s">
        <v>4743</v>
      </c>
      <c r="I20" s="296">
        <f>E20</f>
        <v>100000</v>
      </c>
      <c r="J20" s="296"/>
      <c r="K20" s="296"/>
      <c r="L20" s="296"/>
      <c r="M20" s="296"/>
      <c r="N20" s="296"/>
      <c r="O20" s="296"/>
      <c r="P20" s="297"/>
      <c r="Q20" s="297"/>
      <c r="R20" s="297"/>
      <c r="S20" s="297"/>
      <c r="T20" s="297"/>
      <c r="U20" s="297"/>
      <c r="V20" s="297"/>
      <c r="W20" s="297"/>
      <c r="X20" s="297"/>
      <c r="Y20" s="297"/>
      <c r="Z20" s="297"/>
      <c r="AA20" s="297"/>
      <c r="AB20" s="297"/>
      <c r="AC20" s="297"/>
      <c r="AD20" s="297"/>
      <c r="AE20" s="306"/>
    </row>
    <row r="21" s="260" customFormat="1" ht="15.75" customHeight="1" spans="1:31">
      <c r="A21" s="277">
        <v>45911</v>
      </c>
      <c r="B21" s="278" t="s">
        <v>4785</v>
      </c>
      <c r="C21" s="278" t="s">
        <v>6094</v>
      </c>
      <c r="D21" s="279">
        <v>77773</v>
      </c>
      <c r="E21" s="279">
        <v>220000</v>
      </c>
      <c r="F21" s="280" t="s">
        <v>4746</v>
      </c>
      <c r="G21" s="281" t="s">
        <v>4747</v>
      </c>
      <c r="H21" s="282" t="s">
        <v>4743</v>
      </c>
      <c r="I21" s="296"/>
      <c r="J21" s="296"/>
      <c r="K21" s="296"/>
      <c r="L21" s="296"/>
      <c r="M21" s="296">
        <f>E21</f>
        <v>220000</v>
      </c>
      <c r="N21" s="296"/>
      <c r="O21" s="296"/>
      <c r="P21" s="297"/>
      <c r="Q21" s="297"/>
      <c r="R21" s="297"/>
      <c r="S21" s="297"/>
      <c r="T21" s="297"/>
      <c r="U21" s="297"/>
      <c r="V21" s="297"/>
      <c r="W21" s="297"/>
      <c r="X21" s="297"/>
      <c r="Y21" s="297"/>
      <c r="Z21" s="297"/>
      <c r="AA21" s="297"/>
      <c r="AB21" s="297"/>
      <c r="AC21" s="297"/>
      <c r="AD21" s="297"/>
      <c r="AE21" s="306"/>
    </row>
    <row r="22" s="260" customFormat="1" ht="15.75" customHeight="1" spans="1:31">
      <c r="A22" s="277">
        <v>45911</v>
      </c>
      <c r="B22" s="278">
        <v>1000031981</v>
      </c>
      <c r="C22" s="278" t="s">
        <v>6094</v>
      </c>
      <c r="D22" s="279" t="s">
        <v>6095</v>
      </c>
      <c r="E22" s="279">
        <v>800</v>
      </c>
      <c r="F22" s="280" t="s">
        <v>4745</v>
      </c>
      <c r="G22" s="281" t="s">
        <v>4742</v>
      </c>
      <c r="H22" s="282" t="s">
        <v>4743</v>
      </c>
      <c r="I22" s="296"/>
      <c r="J22" s="296"/>
      <c r="K22" s="296"/>
      <c r="L22" s="296"/>
      <c r="M22" s="296"/>
      <c r="N22" s="296"/>
      <c r="O22" s="296">
        <f>E22</f>
        <v>800</v>
      </c>
      <c r="P22" s="297"/>
      <c r="Q22" s="297"/>
      <c r="R22" s="297"/>
      <c r="S22" s="297"/>
      <c r="T22" s="297"/>
      <c r="U22" s="297"/>
      <c r="V22" s="297"/>
      <c r="W22" s="297"/>
      <c r="X22" s="297"/>
      <c r="Y22" s="297"/>
      <c r="Z22" s="297"/>
      <c r="AA22" s="297"/>
      <c r="AB22" s="297"/>
      <c r="AC22" s="297"/>
      <c r="AD22" s="297"/>
      <c r="AE22" s="306"/>
    </row>
    <row r="23" s="260" customFormat="1" ht="15.75" customHeight="1" spans="1:31">
      <c r="A23" s="277">
        <v>45911</v>
      </c>
      <c r="B23" s="278">
        <v>1000031982</v>
      </c>
      <c r="C23" s="278" t="s">
        <v>6094</v>
      </c>
      <c r="D23" s="279" t="s">
        <v>5187</v>
      </c>
      <c r="E23" s="279">
        <v>2600</v>
      </c>
      <c r="F23" s="280" t="s">
        <v>4745</v>
      </c>
      <c r="G23" s="281" t="s">
        <v>4742</v>
      </c>
      <c r="H23" s="282" t="s">
        <v>4743</v>
      </c>
      <c r="I23" s="296"/>
      <c r="J23" s="296"/>
      <c r="K23" s="296"/>
      <c r="L23" s="296"/>
      <c r="M23" s="296"/>
      <c r="N23" s="296"/>
      <c r="O23" s="296"/>
      <c r="P23" s="297"/>
      <c r="Q23" s="297">
        <f>E23</f>
        <v>2600</v>
      </c>
      <c r="R23" s="297"/>
      <c r="S23" s="297"/>
      <c r="T23" s="297"/>
      <c r="U23" s="297"/>
      <c r="V23" s="297"/>
      <c r="W23" s="297"/>
      <c r="X23" s="297"/>
      <c r="Y23" s="297"/>
      <c r="Z23" s="297"/>
      <c r="AA23" s="297"/>
      <c r="AB23" s="297"/>
      <c r="AC23" s="297"/>
      <c r="AD23" s="297"/>
      <c r="AE23" s="306"/>
    </row>
    <row r="24" s="260" customFormat="1" ht="15.75" customHeight="1" spans="1:31">
      <c r="A24" s="277">
        <v>45926</v>
      </c>
      <c r="B24" s="278" t="s">
        <v>4785</v>
      </c>
      <c r="C24" s="278" t="s">
        <v>6094</v>
      </c>
      <c r="D24" s="279">
        <v>77773</v>
      </c>
      <c r="E24" s="279">
        <v>50000</v>
      </c>
      <c r="F24" s="280" t="s">
        <v>4741</v>
      </c>
      <c r="G24" s="281" t="s">
        <v>4742</v>
      </c>
      <c r="H24" s="282" t="s">
        <v>4743</v>
      </c>
      <c r="I24" s="296">
        <f>E24</f>
        <v>50000</v>
      </c>
      <c r="J24" s="296"/>
      <c r="K24" s="296"/>
      <c r="L24" s="296"/>
      <c r="M24" s="296"/>
      <c r="N24" s="296"/>
      <c r="O24" s="296"/>
      <c r="P24" s="297"/>
      <c r="Q24" s="297"/>
      <c r="R24" s="297"/>
      <c r="S24" s="297"/>
      <c r="T24" s="297"/>
      <c r="U24" s="297"/>
      <c r="V24" s="297"/>
      <c r="W24" s="297"/>
      <c r="X24" s="297"/>
      <c r="Y24" s="297"/>
      <c r="Z24" s="297"/>
      <c r="AA24" s="297"/>
      <c r="AB24" s="297"/>
      <c r="AC24" s="297"/>
      <c r="AD24" s="297"/>
      <c r="AE24" s="306"/>
    </row>
    <row r="25" s="260" customFormat="1" ht="15.75" customHeight="1" spans="1:31">
      <c r="A25" s="277">
        <v>45926</v>
      </c>
      <c r="B25" s="278" t="s">
        <v>4785</v>
      </c>
      <c r="C25" s="278" t="s">
        <v>6094</v>
      </c>
      <c r="D25" s="279">
        <v>77773</v>
      </c>
      <c r="E25" s="279">
        <v>50000</v>
      </c>
      <c r="F25" s="280" t="s">
        <v>4741</v>
      </c>
      <c r="G25" s="281" t="s">
        <v>4749</v>
      </c>
      <c r="H25" s="282" t="s">
        <v>4743</v>
      </c>
      <c r="I25" s="296"/>
      <c r="J25" s="296">
        <f>E25</f>
        <v>50000</v>
      </c>
      <c r="K25" s="296"/>
      <c r="L25" s="296"/>
      <c r="M25" s="296"/>
      <c r="N25" s="296"/>
      <c r="O25" s="296"/>
      <c r="P25" s="297"/>
      <c r="Q25" s="297"/>
      <c r="R25" s="297"/>
      <c r="S25" s="297"/>
      <c r="T25" s="297"/>
      <c r="U25" s="297"/>
      <c r="V25" s="297"/>
      <c r="W25" s="297"/>
      <c r="X25" s="297"/>
      <c r="Y25" s="297"/>
      <c r="Z25" s="297"/>
      <c r="AA25" s="297"/>
      <c r="AB25" s="297"/>
      <c r="AC25" s="297"/>
      <c r="AD25" s="297"/>
      <c r="AE25" s="306"/>
    </row>
    <row r="26" s="260" customFormat="1" ht="15.75" customHeight="1" spans="1:31">
      <c r="A26" s="277">
        <v>45926</v>
      </c>
      <c r="B26" s="278">
        <v>1000033120</v>
      </c>
      <c r="C26" s="278" t="s">
        <v>6094</v>
      </c>
      <c r="D26" s="279" t="s">
        <v>6095</v>
      </c>
      <c r="E26" s="279">
        <v>500</v>
      </c>
      <c r="F26" s="280" t="s">
        <v>4745</v>
      </c>
      <c r="G26" s="281" t="s">
        <v>4742</v>
      </c>
      <c r="H26" s="282" t="s">
        <v>4743</v>
      </c>
      <c r="I26" s="296"/>
      <c r="J26" s="296"/>
      <c r="K26" s="296"/>
      <c r="L26" s="296"/>
      <c r="M26" s="296"/>
      <c r="N26" s="296"/>
      <c r="O26" s="296">
        <f>E26</f>
        <v>500</v>
      </c>
      <c r="P26" s="297"/>
      <c r="Q26" s="297"/>
      <c r="R26" s="297"/>
      <c r="S26" s="297"/>
      <c r="T26" s="297"/>
      <c r="U26" s="297"/>
      <c r="V26" s="297"/>
      <c r="W26" s="297"/>
      <c r="X26" s="297"/>
      <c r="Y26" s="297"/>
      <c r="Z26" s="297"/>
      <c r="AA26" s="297"/>
      <c r="AB26" s="297"/>
      <c r="AC26" s="297"/>
      <c r="AD26" s="297"/>
      <c r="AE26" s="306"/>
    </row>
    <row r="27" s="260" customFormat="1" ht="15.75" customHeight="1" spans="1:31">
      <c r="A27" s="277">
        <v>45926</v>
      </c>
      <c r="B27" s="278">
        <v>1000033122</v>
      </c>
      <c r="C27" s="278" t="s">
        <v>6094</v>
      </c>
      <c r="D27" s="279" t="s">
        <v>6095</v>
      </c>
      <c r="E27" s="279">
        <v>1100</v>
      </c>
      <c r="F27" s="280" t="s">
        <v>4745</v>
      </c>
      <c r="G27" s="281" t="s">
        <v>4749</v>
      </c>
      <c r="H27" s="282" t="s">
        <v>4743</v>
      </c>
      <c r="I27" s="296"/>
      <c r="J27" s="296"/>
      <c r="K27" s="296"/>
      <c r="L27" s="296"/>
      <c r="M27" s="296"/>
      <c r="N27" s="296"/>
      <c r="O27" s="296"/>
      <c r="P27" s="297">
        <f>E27</f>
        <v>1100</v>
      </c>
      <c r="Q27" s="297"/>
      <c r="R27" s="297"/>
      <c r="S27" s="297"/>
      <c r="T27" s="297"/>
      <c r="U27" s="297"/>
      <c r="V27" s="297"/>
      <c r="W27" s="297"/>
      <c r="X27" s="297"/>
      <c r="Y27" s="297"/>
      <c r="Z27" s="297"/>
      <c r="AA27" s="297"/>
      <c r="AB27" s="297"/>
      <c r="AC27" s="297"/>
      <c r="AD27" s="297"/>
      <c r="AE27" s="306"/>
    </row>
    <row r="28" s="260" customFormat="1" ht="15.75" customHeight="1" spans="1:31">
      <c r="A28" s="277">
        <v>45926</v>
      </c>
      <c r="B28" s="278">
        <v>1000032488</v>
      </c>
      <c r="C28" s="278" t="s">
        <v>6094</v>
      </c>
      <c r="D28" s="279" t="s">
        <v>5187</v>
      </c>
      <c r="E28" s="279">
        <v>1000</v>
      </c>
      <c r="F28" s="280" t="s">
        <v>4745</v>
      </c>
      <c r="G28" s="281" t="s">
        <v>4742</v>
      </c>
      <c r="H28" s="282" t="s">
        <v>4743</v>
      </c>
      <c r="I28" s="296"/>
      <c r="J28" s="296"/>
      <c r="K28" s="296"/>
      <c r="L28" s="296"/>
      <c r="M28" s="296"/>
      <c r="N28" s="296"/>
      <c r="O28" s="296"/>
      <c r="P28" s="297"/>
      <c r="Q28" s="297">
        <f>E28</f>
        <v>1000</v>
      </c>
      <c r="R28" s="297"/>
      <c r="S28" s="297"/>
      <c r="T28" s="297"/>
      <c r="U28" s="297"/>
      <c r="V28" s="297"/>
      <c r="W28" s="297"/>
      <c r="X28" s="297"/>
      <c r="Y28" s="297"/>
      <c r="Z28" s="297"/>
      <c r="AA28" s="297"/>
      <c r="AB28" s="297"/>
      <c r="AC28" s="297"/>
      <c r="AD28" s="297"/>
      <c r="AE28" s="306"/>
    </row>
    <row r="29" s="260" customFormat="1" ht="15.75" customHeight="1" spans="1:31">
      <c r="A29" s="277">
        <v>45926</v>
      </c>
      <c r="B29" s="278">
        <v>1000032489</v>
      </c>
      <c r="C29" s="278" t="s">
        <v>6094</v>
      </c>
      <c r="D29" s="279" t="s">
        <v>5187</v>
      </c>
      <c r="E29" s="279">
        <v>800</v>
      </c>
      <c r="F29" s="280" t="s">
        <v>4745</v>
      </c>
      <c r="G29" s="281" t="s">
        <v>4749</v>
      </c>
      <c r="H29" s="282" t="s">
        <v>4743</v>
      </c>
      <c r="I29" s="296"/>
      <c r="J29" s="296"/>
      <c r="K29" s="296"/>
      <c r="L29" s="296"/>
      <c r="M29" s="296"/>
      <c r="N29" s="296"/>
      <c r="O29" s="296"/>
      <c r="P29" s="297"/>
      <c r="Q29" s="297"/>
      <c r="R29" s="297">
        <f>E29</f>
        <v>800</v>
      </c>
      <c r="S29" s="297"/>
      <c r="T29" s="297"/>
      <c r="U29" s="297"/>
      <c r="V29" s="297"/>
      <c r="W29" s="297"/>
      <c r="X29" s="297"/>
      <c r="Y29" s="297"/>
      <c r="Z29" s="297"/>
      <c r="AA29" s="297"/>
      <c r="AB29" s="297"/>
      <c r="AC29" s="297"/>
      <c r="AD29" s="297"/>
      <c r="AE29" s="306"/>
    </row>
    <row r="30" s="260" customFormat="1" ht="15.75" customHeight="1" spans="1:31">
      <c r="A30" s="277">
        <v>45943</v>
      </c>
      <c r="B30" s="278" t="s">
        <v>6102</v>
      </c>
      <c r="C30" s="278" t="s">
        <v>6103</v>
      </c>
      <c r="D30" s="279">
        <v>77809</v>
      </c>
      <c r="E30" s="279">
        <v>10000</v>
      </c>
      <c r="F30" s="280" t="s">
        <v>6087</v>
      </c>
      <c r="G30" s="281" t="s">
        <v>4785</v>
      </c>
      <c r="H30" s="282" t="s">
        <v>4761</v>
      </c>
      <c r="I30" s="296"/>
      <c r="J30" s="296"/>
      <c r="K30" s="296"/>
      <c r="L30" s="296"/>
      <c r="M30" s="296"/>
      <c r="N30" s="296"/>
      <c r="O30" s="296"/>
      <c r="P30" s="297"/>
      <c r="Q30" s="297"/>
      <c r="R30" s="297"/>
      <c r="S30" s="297"/>
      <c r="T30" s="297"/>
      <c r="U30" s="297"/>
      <c r="V30" s="297"/>
      <c r="W30" s="297"/>
      <c r="X30" s="297"/>
      <c r="Y30" s="297"/>
      <c r="Z30" s="297"/>
      <c r="AA30" s="297"/>
      <c r="AB30" s="297">
        <f>E30</f>
        <v>10000</v>
      </c>
      <c r="AC30" s="297"/>
      <c r="AD30" s="297"/>
      <c r="AE30" s="306" t="s">
        <v>6104</v>
      </c>
    </row>
    <row r="31" s="260" customFormat="1" ht="15.75" customHeight="1" spans="1:31">
      <c r="A31" s="277">
        <v>45943</v>
      </c>
      <c r="B31" s="278" t="s">
        <v>6105</v>
      </c>
      <c r="C31" s="278" t="s">
        <v>6103</v>
      </c>
      <c r="D31" s="279">
        <v>77809</v>
      </c>
      <c r="E31" s="279">
        <v>6012</v>
      </c>
      <c r="F31" s="280" t="s">
        <v>6090</v>
      </c>
      <c r="G31" s="281" t="s">
        <v>4785</v>
      </c>
      <c r="H31" s="282" t="s">
        <v>4761</v>
      </c>
      <c r="I31" s="296"/>
      <c r="J31" s="296"/>
      <c r="K31" s="296"/>
      <c r="L31" s="296"/>
      <c r="M31" s="296"/>
      <c r="N31" s="296"/>
      <c r="O31" s="296"/>
      <c r="P31" s="297"/>
      <c r="Q31" s="297"/>
      <c r="R31" s="297"/>
      <c r="S31" s="297"/>
      <c r="T31" s="297"/>
      <c r="U31" s="297"/>
      <c r="V31" s="297"/>
      <c r="W31" s="297"/>
      <c r="X31" s="297"/>
      <c r="Y31" s="297"/>
      <c r="Z31" s="297"/>
      <c r="AA31" s="297"/>
      <c r="AB31" s="297"/>
      <c r="AC31" s="297">
        <f>E31</f>
        <v>6012</v>
      </c>
      <c r="AD31" s="297"/>
      <c r="AE31" s="306" t="s">
        <v>6104</v>
      </c>
    </row>
    <row r="32" s="260" customFormat="1" ht="15.75" customHeight="1" spans="1:31">
      <c r="A32" s="277">
        <v>45943</v>
      </c>
      <c r="B32" s="278" t="s">
        <v>6106</v>
      </c>
      <c r="C32" s="278" t="s">
        <v>6103</v>
      </c>
      <c r="D32" s="279">
        <v>77809</v>
      </c>
      <c r="E32" s="279">
        <v>6012</v>
      </c>
      <c r="F32" s="280" t="s">
        <v>4763</v>
      </c>
      <c r="G32" s="281" t="s">
        <v>4749</v>
      </c>
      <c r="H32" s="282" t="s">
        <v>4743</v>
      </c>
      <c r="I32" s="296"/>
      <c r="J32" s="296"/>
      <c r="K32" s="296"/>
      <c r="L32" s="296"/>
      <c r="M32" s="296"/>
      <c r="N32" s="296"/>
      <c r="O32" s="296"/>
      <c r="P32" s="297"/>
      <c r="Q32" s="297"/>
      <c r="R32" s="297"/>
      <c r="S32" s="297"/>
      <c r="T32" s="297"/>
      <c r="U32" s="297"/>
      <c r="V32" s="297"/>
      <c r="W32" s="297"/>
      <c r="X32" s="297"/>
      <c r="Y32" s="297"/>
      <c r="Z32" s="297"/>
      <c r="AA32" s="297"/>
      <c r="AB32" s="297"/>
      <c r="AC32" s="297"/>
      <c r="AD32" s="297">
        <f>E32</f>
        <v>6012</v>
      </c>
      <c r="AE32" s="306" t="s">
        <v>6104</v>
      </c>
    </row>
    <row r="33" s="260" customFormat="1" ht="15.75" customHeight="1" spans="1:31">
      <c r="A33" s="277">
        <v>45943</v>
      </c>
      <c r="B33" s="278" t="s">
        <v>6107</v>
      </c>
      <c r="C33" s="278" t="s">
        <v>6103</v>
      </c>
      <c r="D33" s="279">
        <v>77809</v>
      </c>
      <c r="E33" s="279">
        <v>12024</v>
      </c>
      <c r="F33" s="280" t="s">
        <v>6093</v>
      </c>
      <c r="G33" s="281" t="s">
        <v>4749</v>
      </c>
      <c r="H33" s="282" t="s">
        <v>4743</v>
      </c>
      <c r="I33" s="296"/>
      <c r="J33" s="296"/>
      <c r="K33" s="296">
        <f>E33</f>
        <v>12024</v>
      </c>
      <c r="L33" s="296"/>
      <c r="M33" s="296"/>
      <c r="N33" s="296"/>
      <c r="O33" s="296"/>
      <c r="P33" s="297"/>
      <c r="Q33" s="297"/>
      <c r="R33" s="297"/>
      <c r="S33" s="297"/>
      <c r="T33" s="297"/>
      <c r="U33" s="297"/>
      <c r="V33" s="297"/>
      <c r="W33" s="297"/>
      <c r="X33" s="297"/>
      <c r="Y33" s="297"/>
      <c r="Z33" s="297"/>
      <c r="AA33" s="297"/>
      <c r="AB33" s="297"/>
      <c r="AC33" s="297"/>
      <c r="AD33" s="297"/>
      <c r="AE33" s="306" t="s">
        <v>6104</v>
      </c>
    </row>
    <row r="34" s="260" customFormat="1" ht="15.75" customHeight="1" spans="1:31">
      <c r="A34" s="277">
        <v>45947</v>
      </c>
      <c r="B34" s="278" t="s">
        <v>6108</v>
      </c>
      <c r="C34" s="278" t="s">
        <v>6084</v>
      </c>
      <c r="D34" s="279" t="s">
        <v>6085</v>
      </c>
      <c r="E34" s="279">
        <v>500</v>
      </c>
      <c r="F34" s="280" t="s">
        <v>4745</v>
      </c>
      <c r="G34" s="281" t="s">
        <v>4742</v>
      </c>
      <c r="H34" s="282" t="s">
        <v>4743</v>
      </c>
      <c r="I34" s="296"/>
      <c r="J34" s="296"/>
      <c r="K34" s="296"/>
      <c r="L34" s="296"/>
      <c r="M34" s="296"/>
      <c r="N34" s="296"/>
      <c r="O34" s="296"/>
      <c r="P34" s="297"/>
      <c r="Q34" s="297"/>
      <c r="R34" s="297"/>
      <c r="S34" s="297">
        <f>E34</f>
        <v>500</v>
      </c>
      <c r="T34" s="297"/>
      <c r="U34" s="297"/>
      <c r="V34" s="297"/>
      <c r="W34" s="297"/>
      <c r="X34" s="297"/>
      <c r="Y34" s="297"/>
      <c r="Z34" s="297"/>
      <c r="AA34" s="297"/>
      <c r="AB34" s="297"/>
      <c r="AC34" s="297"/>
      <c r="AD34" s="297"/>
      <c r="AE34" s="306" t="s">
        <v>6109</v>
      </c>
    </row>
    <row r="35" s="260" customFormat="1" ht="15.75" customHeight="1" spans="1:31">
      <c r="A35" s="277">
        <v>45952</v>
      </c>
      <c r="B35" s="278" t="s">
        <v>4785</v>
      </c>
      <c r="C35" s="278" t="s">
        <v>6094</v>
      </c>
      <c r="D35" s="279">
        <v>77773</v>
      </c>
      <c r="E35" s="279">
        <v>80000</v>
      </c>
      <c r="F35" s="280" t="s">
        <v>4741</v>
      </c>
      <c r="G35" s="281" t="s">
        <v>4742</v>
      </c>
      <c r="H35" s="282" t="s">
        <v>4743</v>
      </c>
      <c r="I35" s="296">
        <f>E35</f>
        <v>80000</v>
      </c>
      <c r="J35" s="296"/>
      <c r="K35" s="296"/>
      <c r="L35" s="296"/>
      <c r="M35" s="296"/>
      <c r="N35" s="296"/>
      <c r="O35" s="296"/>
      <c r="P35" s="297"/>
      <c r="Q35" s="297"/>
      <c r="R35" s="297"/>
      <c r="S35" s="297"/>
      <c r="T35" s="297"/>
      <c r="U35" s="297"/>
      <c r="V35" s="297"/>
      <c r="W35" s="297"/>
      <c r="X35" s="297"/>
      <c r="Y35" s="297"/>
      <c r="Z35" s="297"/>
      <c r="AA35" s="297"/>
      <c r="AB35" s="297"/>
      <c r="AC35" s="297"/>
      <c r="AD35" s="297"/>
      <c r="AE35" s="297"/>
    </row>
    <row r="36" s="260" customFormat="1" ht="15.75" customHeight="1" spans="1:31">
      <c r="A36" s="277">
        <v>45952</v>
      </c>
      <c r="B36" s="278">
        <v>1000033286</v>
      </c>
      <c r="C36" s="278" t="s">
        <v>6094</v>
      </c>
      <c r="D36" s="279" t="s">
        <v>6095</v>
      </c>
      <c r="E36" s="279">
        <v>1000</v>
      </c>
      <c r="F36" s="280" t="s">
        <v>4745</v>
      </c>
      <c r="G36" s="281" t="s">
        <v>4742</v>
      </c>
      <c r="H36" s="282" t="s">
        <v>4743</v>
      </c>
      <c r="I36" s="296"/>
      <c r="J36" s="296"/>
      <c r="K36" s="296"/>
      <c r="L36" s="296"/>
      <c r="M36" s="296"/>
      <c r="N36" s="296"/>
      <c r="O36" s="296">
        <f>E36</f>
        <v>1000</v>
      </c>
      <c r="P36" s="297"/>
      <c r="Q36" s="297"/>
      <c r="R36" s="297"/>
      <c r="S36" s="297"/>
      <c r="T36" s="297"/>
      <c r="U36" s="297"/>
      <c r="V36" s="297"/>
      <c r="W36" s="297"/>
      <c r="X36" s="297"/>
      <c r="Y36" s="297"/>
      <c r="Z36" s="297"/>
      <c r="AA36" s="297"/>
      <c r="AB36" s="297"/>
      <c r="AC36" s="297"/>
      <c r="AD36" s="297"/>
      <c r="AE36" s="297"/>
    </row>
    <row r="37" s="260" customFormat="1" ht="15.75" customHeight="1" spans="1:31">
      <c r="A37" s="277">
        <v>45952</v>
      </c>
      <c r="B37" s="278">
        <v>1000033287</v>
      </c>
      <c r="C37" s="278" t="s">
        <v>6094</v>
      </c>
      <c r="D37" s="279" t="s">
        <v>6095</v>
      </c>
      <c r="E37" s="279">
        <v>500</v>
      </c>
      <c r="F37" s="280" t="s">
        <v>4745</v>
      </c>
      <c r="G37" s="281" t="s">
        <v>4749</v>
      </c>
      <c r="H37" s="282" t="s">
        <v>4743</v>
      </c>
      <c r="I37" s="296"/>
      <c r="J37" s="296"/>
      <c r="K37" s="296"/>
      <c r="L37" s="296"/>
      <c r="M37" s="296"/>
      <c r="N37" s="296"/>
      <c r="O37" s="296"/>
      <c r="P37" s="297">
        <f>E37</f>
        <v>500</v>
      </c>
      <c r="Q37" s="297"/>
      <c r="R37" s="297"/>
      <c r="S37" s="297"/>
      <c r="T37" s="297"/>
      <c r="U37" s="297"/>
      <c r="V37" s="297"/>
      <c r="W37" s="297"/>
      <c r="X37" s="297"/>
      <c r="Y37" s="297"/>
      <c r="Z37" s="297"/>
      <c r="AA37" s="297"/>
      <c r="AB37" s="297"/>
      <c r="AC37" s="297"/>
      <c r="AD37" s="297"/>
      <c r="AE37" s="297"/>
    </row>
    <row r="38" s="260" customFormat="1" ht="15.75" customHeight="1" spans="1:31">
      <c r="A38" s="277">
        <v>45952</v>
      </c>
      <c r="B38" s="278">
        <v>1000033288</v>
      </c>
      <c r="C38" s="278" t="s">
        <v>6094</v>
      </c>
      <c r="D38" s="279" t="s">
        <v>5187</v>
      </c>
      <c r="E38" s="279">
        <v>500</v>
      </c>
      <c r="F38" s="280" t="s">
        <v>4745</v>
      </c>
      <c r="G38" s="281" t="s">
        <v>4742</v>
      </c>
      <c r="H38" s="282" t="s">
        <v>4743</v>
      </c>
      <c r="I38" s="296"/>
      <c r="J38" s="296"/>
      <c r="K38" s="296"/>
      <c r="L38" s="296"/>
      <c r="M38" s="296"/>
      <c r="N38" s="296"/>
      <c r="O38" s="296"/>
      <c r="P38" s="297"/>
      <c r="Q38" s="297">
        <f>E38</f>
        <v>500</v>
      </c>
      <c r="R38" s="297"/>
      <c r="S38" s="297"/>
      <c r="T38" s="297"/>
      <c r="U38" s="297"/>
      <c r="V38" s="297"/>
      <c r="W38" s="297"/>
      <c r="X38" s="297"/>
      <c r="Y38" s="297"/>
      <c r="Z38" s="297"/>
      <c r="AA38" s="297"/>
      <c r="AB38" s="297"/>
      <c r="AC38" s="297"/>
      <c r="AD38" s="297"/>
      <c r="AE38" s="297"/>
    </row>
    <row r="39" s="260" customFormat="1" ht="15.75" customHeight="1" spans="1:31">
      <c r="A39" s="277">
        <v>45952</v>
      </c>
      <c r="B39" s="278">
        <v>1000033289</v>
      </c>
      <c r="C39" s="278" t="s">
        <v>6094</v>
      </c>
      <c r="D39" s="279" t="s">
        <v>6110</v>
      </c>
      <c r="E39" s="279">
        <v>300</v>
      </c>
      <c r="F39" s="280" t="s">
        <v>4756</v>
      </c>
      <c r="G39" s="281" t="s">
        <v>4749</v>
      </c>
      <c r="H39" s="282" t="s">
        <v>4743</v>
      </c>
      <c r="I39" s="296"/>
      <c r="J39" s="296"/>
      <c r="K39" s="296"/>
      <c r="L39" s="296"/>
      <c r="M39" s="296"/>
      <c r="N39" s="296"/>
      <c r="O39" s="296"/>
      <c r="P39" s="297"/>
      <c r="Q39" s="297"/>
      <c r="R39" s="297"/>
      <c r="S39" s="297"/>
      <c r="T39" s="297"/>
      <c r="U39" s="297"/>
      <c r="V39" s="297"/>
      <c r="W39" s="297"/>
      <c r="X39" s="297"/>
      <c r="Y39" s="297"/>
      <c r="Z39" s="297">
        <f>E39</f>
        <v>300</v>
      </c>
      <c r="AA39" s="297"/>
      <c r="AB39" s="297"/>
      <c r="AC39" s="297"/>
      <c r="AD39" s="297"/>
      <c r="AE39" s="297"/>
    </row>
    <row r="40" s="260" customFormat="1" ht="15.75" customHeight="1" spans="1:31">
      <c r="A40" s="277">
        <v>45952</v>
      </c>
      <c r="B40" s="278">
        <v>1000033290</v>
      </c>
      <c r="C40" s="278" t="s">
        <v>6094</v>
      </c>
      <c r="D40" s="279" t="s">
        <v>6110</v>
      </c>
      <c r="E40" s="279">
        <v>300</v>
      </c>
      <c r="F40" s="280" t="s">
        <v>6097</v>
      </c>
      <c r="G40" s="281" t="s">
        <v>4749</v>
      </c>
      <c r="H40" s="282" t="s">
        <v>4743</v>
      </c>
      <c r="I40" s="296"/>
      <c r="J40" s="296"/>
      <c r="K40" s="296"/>
      <c r="L40" s="296"/>
      <c r="M40" s="296"/>
      <c r="N40" s="296"/>
      <c r="O40" s="296"/>
      <c r="P40" s="297"/>
      <c r="Q40" s="297"/>
      <c r="R40" s="297"/>
      <c r="S40" s="297"/>
      <c r="T40" s="297"/>
      <c r="U40" s="297"/>
      <c r="V40" s="297"/>
      <c r="W40" s="297"/>
      <c r="X40" s="297"/>
      <c r="Y40" s="297"/>
      <c r="Z40" s="297"/>
      <c r="AA40" s="297">
        <f>E40</f>
        <v>300</v>
      </c>
      <c r="AB40" s="297"/>
      <c r="AC40" s="297"/>
      <c r="AD40" s="297"/>
      <c r="AE40" s="297"/>
    </row>
    <row r="41" s="260" customFormat="1" ht="15.75" customHeight="1" spans="1:31">
      <c r="A41" s="277">
        <v>45974</v>
      </c>
      <c r="B41" s="278" t="s">
        <v>6111</v>
      </c>
      <c r="C41" s="278" t="s">
        <v>6084</v>
      </c>
      <c r="D41" s="279" t="s">
        <v>6085</v>
      </c>
      <c r="E41" s="279">
        <v>540</v>
      </c>
      <c r="F41" s="280" t="s">
        <v>4745</v>
      </c>
      <c r="G41" s="281" t="s">
        <v>4742</v>
      </c>
      <c r="H41" s="282" t="s">
        <v>4743</v>
      </c>
      <c r="I41" s="296"/>
      <c r="J41" s="296"/>
      <c r="K41" s="296"/>
      <c r="L41" s="296"/>
      <c r="M41" s="296"/>
      <c r="N41" s="296"/>
      <c r="O41" s="296"/>
      <c r="P41" s="297"/>
      <c r="Q41" s="297"/>
      <c r="R41" s="297"/>
      <c r="S41" s="297"/>
      <c r="T41" s="297"/>
      <c r="U41" s="297"/>
      <c r="V41" s="297"/>
      <c r="W41" s="297"/>
      <c r="X41" s="297"/>
      <c r="Y41" s="297"/>
      <c r="Z41" s="297"/>
      <c r="AA41" s="297"/>
      <c r="AB41" s="297"/>
      <c r="AC41" s="297"/>
      <c r="AD41" s="297"/>
      <c r="AE41" s="306" t="s">
        <v>6112</v>
      </c>
    </row>
    <row r="42" s="260" customFormat="1" ht="15.75" customHeight="1" spans="1:31">
      <c r="A42" s="277">
        <v>45968</v>
      </c>
      <c r="B42" s="278" t="s">
        <v>4785</v>
      </c>
      <c r="C42" s="278" t="s">
        <v>6094</v>
      </c>
      <c r="D42" s="279">
        <v>77773</v>
      </c>
      <c r="E42" s="279">
        <v>50000</v>
      </c>
      <c r="F42" s="280" t="s">
        <v>4741</v>
      </c>
      <c r="G42" s="281" t="s">
        <v>4749</v>
      </c>
      <c r="H42" s="282" t="s">
        <v>4743</v>
      </c>
      <c r="I42" s="296"/>
      <c r="J42" s="296">
        <f>E42</f>
        <v>50000</v>
      </c>
      <c r="K42" s="296"/>
      <c r="L42" s="296"/>
      <c r="M42" s="296"/>
      <c r="N42" s="296"/>
      <c r="O42" s="296"/>
      <c r="P42" s="297"/>
      <c r="Q42" s="297"/>
      <c r="R42" s="297"/>
      <c r="S42" s="297"/>
      <c r="T42" s="297"/>
      <c r="U42" s="297"/>
      <c r="V42" s="297"/>
      <c r="W42" s="297"/>
      <c r="X42" s="297"/>
      <c r="Y42" s="297"/>
      <c r="Z42" s="297"/>
      <c r="AA42" s="297"/>
      <c r="AB42" s="297"/>
      <c r="AC42" s="297"/>
      <c r="AD42" s="297"/>
      <c r="AE42" s="306"/>
    </row>
    <row r="43" s="260" customFormat="1" ht="15.75" customHeight="1" spans="1:31">
      <c r="A43" s="277">
        <v>45968</v>
      </c>
      <c r="B43" s="278" t="s">
        <v>4785</v>
      </c>
      <c r="C43" s="278" t="s">
        <v>6094</v>
      </c>
      <c r="D43" s="279">
        <v>77773</v>
      </c>
      <c r="E43" s="279">
        <v>220000</v>
      </c>
      <c r="F43" s="280" t="s">
        <v>4746</v>
      </c>
      <c r="G43" s="281" t="s">
        <v>4747</v>
      </c>
      <c r="H43" s="282" t="s">
        <v>4743</v>
      </c>
      <c r="I43" s="296"/>
      <c r="J43" s="296"/>
      <c r="K43" s="296"/>
      <c r="L43" s="296"/>
      <c r="M43" s="296">
        <f>E43</f>
        <v>220000</v>
      </c>
      <c r="N43" s="296"/>
      <c r="O43" s="296"/>
      <c r="P43" s="297"/>
      <c r="Q43" s="297"/>
      <c r="R43" s="297"/>
      <c r="S43" s="297"/>
      <c r="T43" s="297"/>
      <c r="U43" s="297"/>
      <c r="V43" s="297"/>
      <c r="W43" s="297"/>
      <c r="X43" s="297"/>
      <c r="Y43" s="297"/>
      <c r="Z43" s="297"/>
      <c r="AA43" s="297"/>
      <c r="AB43" s="297"/>
      <c r="AC43" s="297"/>
      <c r="AD43" s="297"/>
      <c r="AE43" s="306"/>
    </row>
    <row r="44" s="260" customFormat="1" ht="15.75" customHeight="1" spans="1:31">
      <c r="A44" s="277">
        <v>45968</v>
      </c>
      <c r="B44" s="278">
        <v>1000033808</v>
      </c>
      <c r="C44" s="278" t="s">
        <v>6094</v>
      </c>
      <c r="D44" s="279" t="s">
        <v>6095</v>
      </c>
      <c r="E44" s="279">
        <v>1200</v>
      </c>
      <c r="F44" s="280" t="s">
        <v>4745</v>
      </c>
      <c r="G44" s="281" t="s">
        <v>4742</v>
      </c>
      <c r="H44" s="282" t="s">
        <v>4743</v>
      </c>
      <c r="I44" s="296"/>
      <c r="J44" s="296"/>
      <c r="K44" s="296"/>
      <c r="L44" s="296"/>
      <c r="M44" s="296"/>
      <c r="N44" s="296"/>
      <c r="O44" s="296">
        <f>E44</f>
        <v>1200</v>
      </c>
      <c r="P44" s="297"/>
      <c r="Q44" s="297"/>
      <c r="R44" s="297"/>
      <c r="S44" s="297"/>
      <c r="T44" s="297"/>
      <c r="U44" s="297"/>
      <c r="V44" s="297"/>
      <c r="W44" s="297"/>
      <c r="X44" s="297"/>
      <c r="Y44" s="297"/>
      <c r="Z44" s="297"/>
      <c r="AA44" s="297"/>
      <c r="AB44" s="297"/>
      <c r="AC44" s="297"/>
      <c r="AD44" s="297"/>
      <c r="AE44" s="306"/>
    </row>
    <row r="45" s="260" customFormat="1" ht="15.75" customHeight="1" spans="1:31">
      <c r="A45" s="277">
        <v>45968</v>
      </c>
      <c r="B45" s="278">
        <v>1000033809</v>
      </c>
      <c r="C45" s="278" t="s">
        <v>6094</v>
      </c>
      <c r="D45" s="279" t="s">
        <v>5187</v>
      </c>
      <c r="E45" s="279">
        <v>1000</v>
      </c>
      <c r="F45" s="280" t="s">
        <v>4745</v>
      </c>
      <c r="G45" s="281" t="s">
        <v>4742</v>
      </c>
      <c r="H45" s="282" t="s">
        <v>4743</v>
      </c>
      <c r="I45" s="296"/>
      <c r="J45" s="296"/>
      <c r="K45" s="296"/>
      <c r="L45" s="296"/>
      <c r="M45" s="296"/>
      <c r="N45" s="296"/>
      <c r="O45" s="296"/>
      <c r="P45" s="297"/>
      <c r="Q45" s="297">
        <f>E45</f>
        <v>1000</v>
      </c>
      <c r="R45" s="297"/>
      <c r="S45" s="297"/>
      <c r="T45" s="297"/>
      <c r="U45" s="297"/>
      <c r="V45" s="297"/>
      <c r="W45" s="297"/>
      <c r="X45" s="297"/>
      <c r="Y45" s="297"/>
      <c r="Z45" s="297"/>
      <c r="AA45" s="297"/>
      <c r="AB45" s="297"/>
      <c r="AC45" s="297"/>
      <c r="AD45" s="297"/>
      <c r="AE45" s="306"/>
    </row>
    <row r="46" s="260" customFormat="1" ht="15.75" customHeight="1" spans="1:31">
      <c r="A46" s="277">
        <v>45968</v>
      </c>
      <c r="B46" s="278">
        <v>1000033810</v>
      </c>
      <c r="C46" s="278" t="s">
        <v>6094</v>
      </c>
      <c r="D46" s="279" t="s">
        <v>5187</v>
      </c>
      <c r="E46" s="279">
        <v>700</v>
      </c>
      <c r="F46" s="280" t="s">
        <v>4745</v>
      </c>
      <c r="G46" s="281" t="s">
        <v>4749</v>
      </c>
      <c r="H46" s="282" t="s">
        <v>4743</v>
      </c>
      <c r="I46" s="296"/>
      <c r="J46" s="296"/>
      <c r="K46" s="296"/>
      <c r="L46" s="296"/>
      <c r="M46" s="296"/>
      <c r="N46" s="296"/>
      <c r="O46" s="296"/>
      <c r="P46" s="297"/>
      <c r="Q46" s="297"/>
      <c r="R46" s="297">
        <f>E46</f>
        <v>700</v>
      </c>
      <c r="S46" s="297"/>
      <c r="T46" s="297"/>
      <c r="U46" s="297"/>
      <c r="V46" s="297"/>
      <c r="W46" s="297"/>
      <c r="X46" s="297"/>
      <c r="Y46" s="297"/>
      <c r="Z46" s="297"/>
      <c r="AA46" s="297"/>
      <c r="AB46" s="297"/>
      <c r="AC46" s="297"/>
      <c r="AD46" s="297"/>
      <c r="AE46" s="306"/>
    </row>
    <row r="47" s="260" customFormat="1" ht="15.75" customHeight="1" spans="1:31">
      <c r="A47" s="277">
        <v>45968</v>
      </c>
      <c r="B47" s="278">
        <v>1000033811</v>
      </c>
      <c r="C47" s="278" t="s">
        <v>6094</v>
      </c>
      <c r="D47" s="279" t="s">
        <v>6096</v>
      </c>
      <c r="E47" s="279">
        <v>200</v>
      </c>
      <c r="F47" s="280" t="s">
        <v>4756</v>
      </c>
      <c r="G47" s="281" t="s">
        <v>4749</v>
      </c>
      <c r="H47" s="282" t="s">
        <v>4743</v>
      </c>
      <c r="I47" s="296"/>
      <c r="J47" s="296"/>
      <c r="K47" s="296"/>
      <c r="L47" s="296"/>
      <c r="M47" s="296"/>
      <c r="N47" s="296"/>
      <c r="O47" s="296"/>
      <c r="P47" s="297"/>
      <c r="Q47" s="297"/>
      <c r="R47" s="297"/>
      <c r="S47" s="297"/>
      <c r="T47" s="297"/>
      <c r="U47" s="297"/>
      <c r="V47" s="297">
        <f>E47</f>
        <v>200</v>
      </c>
      <c r="W47" s="297"/>
      <c r="X47" s="297"/>
      <c r="Y47" s="297"/>
      <c r="Z47" s="297"/>
      <c r="AA47" s="297"/>
      <c r="AB47" s="297"/>
      <c r="AC47" s="297"/>
      <c r="AD47" s="297"/>
      <c r="AE47" s="306"/>
    </row>
    <row r="48" s="260" customFormat="1" ht="15.75" customHeight="1" spans="1:31">
      <c r="A48" s="277">
        <v>45968</v>
      </c>
      <c r="B48" s="278">
        <v>1000033812</v>
      </c>
      <c r="C48" s="278" t="s">
        <v>6094</v>
      </c>
      <c r="D48" s="279" t="s">
        <v>6096</v>
      </c>
      <c r="E48" s="279">
        <v>200</v>
      </c>
      <c r="F48" s="280" t="s">
        <v>6097</v>
      </c>
      <c r="G48" s="281" t="s">
        <v>4749</v>
      </c>
      <c r="H48" s="282" t="s">
        <v>4743</v>
      </c>
      <c r="I48" s="296"/>
      <c r="J48" s="296"/>
      <c r="K48" s="296"/>
      <c r="L48" s="296"/>
      <c r="M48" s="296"/>
      <c r="N48" s="296"/>
      <c r="O48" s="296"/>
      <c r="P48" s="297"/>
      <c r="Q48" s="297"/>
      <c r="R48" s="297"/>
      <c r="S48" s="297"/>
      <c r="T48" s="297"/>
      <c r="U48" s="297"/>
      <c r="V48" s="297"/>
      <c r="W48" s="297">
        <f>E48</f>
        <v>200</v>
      </c>
      <c r="X48" s="297"/>
      <c r="Y48" s="297"/>
      <c r="Z48" s="297"/>
      <c r="AA48" s="297"/>
      <c r="AB48" s="297"/>
      <c r="AC48" s="297"/>
      <c r="AD48" s="297"/>
      <c r="AE48" s="306"/>
    </row>
    <row r="49" s="260" customFormat="1" ht="15.75" customHeight="1" spans="1:31">
      <c r="A49" s="277">
        <v>45981</v>
      </c>
      <c r="B49" s="278" t="s">
        <v>4785</v>
      </c>
      <c r="C49" s="278" t="s">
        <v>6094</v>
      </c>
      <c r="D49" s="279">
        <v>77773</v>
      </c>
      <c r="E49" s="279">
        <v>80000</v>
      </c>
      <c r="F49" s="280" t="s">
        <v>4741</v>
      </c>
      <c r="G49" s="281" t="s">
        <v>4742</v>
      </c>
      <c r="H49" s="282" t="s">
        <v>4743</v>
      </c>
      <c r="I49" s="296">
        <f>E49</f>
        <v>80000</v>
      </c>
      <c r="J49" s="296"/>
      <c r="K49" s="296"/>
      <c r="L49" s="296"/>
      <c r="M49" s="296"/>
      <c r="N49" s="296"/>
      <c r="O49" s="296"/>
      <c r="P49" s="297"/>
      <c r="Q49" s="297"/>
      <c r="R49" s="297"/>
      <c r="S49" s="297"/>
      <c r="T49" s="297"/>
      <c r="U49" s="297"/>
      <c r="V49" s="297"/>
      <c r="W49" s="297"/>
      <c r="X49" s="297"/>
      <c r="Y49" s="297"/>
      <c r="Z49" s="297"/>
      <c r="AA49" s="297"/>
      <c r="AB49" s="297"/>
      <c r="AC49" s="297"/>
      <c r="AD49" s="297"/>
      <c r="AE49" s="306"/>
    </row>
    <row r="50" s="260" customFormat="1" ht="15.75" customHeight="1" spans="1:31">
      <c r="A50" s="277">
        <v>45981</v>
      </c>
      <c r="B50" s="278">
        <v>1000034279</v>
      </c>
      <c r="C50" s="278" t="s">
        <v>6094</v>
      </c>
      <c r="D50" s="279" t="s">
        <v>6095</v>
      </c>
      <c r="E50" s="279">
        <v>1800</v>
      </c>
      <c r="F50" s="280" t="s">
        <v>4745</v>
      </c>
      <c r="G50" s="281" t="s">
        <v>4742</v>
      </c>
      <c r="H50" s="282" t="s">
        <v>4743</v>
      </c>
      <c r="I50" s="296"/>
      <c r="J50" s="296"/>
      <c r="K50" s="296"/>
      <c r="L50" s="296"/>
      <c r="M50" s="296"/>
      <c r="N50" s="296"/>
      <c r="O50" s="296">
        <f>E50</f>
        <v>1800</v>
      </c>
      <c r="P50" s="297"/>
      <c r="Q50" s="297"/>
      <c r="R50" s="297"/>
      <c r="S50" s="297"/>
      <c r="T50" s="297"/>
      <c r="U50" s="297"/>
      <c r="V50" s="297"/>
      <c r="W50" s="297"/>
      <c r="X50" s="297"/>
      <c r="Y50" s="297"/>
      <c r="Z50" s="297"/>
      <c r="AA50" s="297"/>
      <c r="AB50" s="297"/>
      <c r="AC50" s="297"/>
      <c r="AD50" s="297"/>
      <c r="AE50" s="306"/>
    </row>
    <row r="51" s="260" customFormat="1" ht="15.75" customHeight="1" spans="1:31">
      <c r="A51" s="277">
        <v>45981</v>
      </c>
      <c r="B51" s="278">
        <v>1000034280</v>
      </c>
      <c r="C51" s="278" t="s">
        <v>6094</v>
      </c>
      <c r="D51" s="279" t="s">
        <v>5187</v>
      </c>
      <c r="E51" s="279">
        <v>500</v>
      </c>
      <c r="F51" s="280" t="s">
        <v>4745</v>
      </c>
      <c r="G51" s="281" t="s">
        <v>4742</v>
      </c>
      <c r="H51" s="282" t="s">
        <v>4743</v>
      </c>
      <c r="I51" s="296"/>
      <c r="J51" s="296"/>
      <c r="K51" s="296"/>
      <c r="L51" s="296"/>
      <c r="M51" s="296"/>
      <c r="N51" s="296"/>
      <c r="O51" s="296"/>
      <c r="P51" s="297"/>
      <c r="Q51" s="297">
        <f>E51</f>
        <v>500</v>
      </c>
      <c r="R51" s="297"/>
      <c r="S51" s="297"/>
      <c r="T51" s="297"/>
      <c r="U51" s="297"/>
      <c r="V51" s="297"/>
      <c r="W51" s="297"/>
      <c r="X51" s="297"/>
      <c r="Y51" s="297"/>
      <c r="Z51" s="297"/>
      <c r="AA51" s="297"/>
      <c r="AB51" s="297"/>
      <c r="AC51" s="297"/>
      <c r="AD51" s="297"/>
      <c r="AE51" s="306"/>
    </row>
    <row r="52" s="260" customFormat="1" ht="15.75" customHeight="1" spans="1:31">
      <c r="A52" s="277">
        <v>45981</v>
      </c>
      <c r="B52" s="278">
        <v>1000034281</v>
      </c>
      <c r="C52" s="278" t="s">
        <v>6094</v>
      </c>
      <c r="D52" s="279" t="s">
        <v>5187</v>
      </c>
      <c r="E52" s="279">
        <v>500</v>
      </c>
      <c r="F52" s="280" t="s">
        <v>4745</v>
      </c>
      <c r="G52" s="281" t="s">
        <v>4749</v>
      </c>
      <c r="H52" s="282" t="s">
        <v>4743</v>
      </c>
      <c r="I52" s="296"/>
      <c r="J52" s="296"/>
      <c r="K52" s="296"/>
      <c r="L52" s="296"/>
      <c r="M52" s="296"/>
      <c r="N52" s="296"/>
      <c r="O52" s="296"/>
      <c r="P52" s="297"/>
      <c r="Q52" s="297"/>
      <c r="R52" s="297">
        <f>E52</f>
        <v>500</v>
      </c>
      <c r="S52" s="297"/>
      <c r="T52" s="297"/>
      <c r="U52" s="297"/>
      <c r="V52" s="297"/>
      <c r="W52" s="297"/>
      <c r="X52" s="297"/>
      <c r="Y52" s="297"/>
      <c r="Z52" s="297"/>
      <c r="AA52" s="297"/>
      <c r="AB52" s="297"/>
      <c r="AC52" s="297"/>
      <c r="AD52" s="297"/>
      <c r="AE52" s="306"/>
    </row>
    <row r="53" s="260" customFormat="1" ht="15.75" customHeight="1" spans="1:31">
      <c r="A53" s="277">
        <v>45981</v>
      </c>
      <c r="B53" s="278" t="s">
        <v>6113</v>
      </c>
      <c r="C53" s="278" t="s">
        <v>6114</v>
      </c>
      <c r="D53" s="279">
        <v>77809</v>
      </c>
      <c r="E53" s="279">
        <v>5000</v>
      </c>
      <c r="F53" s="280" t="s">
        <v>6090</v>
      </c>
      <c r="G53" s="281" t="s">
        <v>4785</v>
      </c>
      <c r="H53" s="282" t="s">
        <v>4761</v>
      </c>
      <c r="I53" s="296"/>
      <c r="J53" s="296"/>
      <c r="K53" s="296"/>
      <c r="L53" s="296"/>
      <c r="M53" s="296"/>
      <c r="N53" s="296"/>
      <c r="O53" s="296"/>
      <c r="P53" s="297"/>
      <c r="Q53" s="297"/>
      <c r="R53" s="297"/>
      <c r="S53" s="297"/>
      <c r="T53" s="297"/>
      <c r="U53" s="297"/>
      <c r="V53" s="297"/>
      <c r="W53" s="297"/>
      <c r="X53" s="297"/>
      <c r="Y53" s="297"/>
      <c r="Z53" s="297"/>
      <c r="AA53" s="297"/>
      <c r="AB53" s="297"/>
      <c r="AC53" s="297">
        <f>E53</f>
        <v>5000</v>
      </c>
      <c r="AD53" s="297"/>
      <c r="AE53" s="306" t="s">
        <v>6115</v>
      </c>
    </row>
    <row r="54" s="260" customFormat="1" ht="15.75" customHeight="1" spans="1:31">
      <c r="A54" s="277">
        <v>45981</v>
      </c>
      <c r="B54" s="278" t="s">
        <v>6116</v>
      </c>
      <c r="C54" s="278" t="s">
        <v>6114</v>
      </c>
      <c r="D54" s="279">
        <v>77809</v>
      </c>
      <c r="E54" s="279">
        <v>5000</v>
      </c>
      <c r="F54" s="280" t="s">
        <v>4763</v>
      </c>
      <c r="G54" s="281" t="s">
        <v>4749</v>
      </c>
      <c r="H54" s="282" t="s">
        <v>4761</v>
      </c>
      <c r="I54" s="296"/>
      <c r="J54" s="296"/>
      <c r="K54" s="296"/>
      <c r="L54" s="296"/>
      <c r="M54" s="296"/>
      <c r="N54" s="296"/>
      <c r="O54" s="296"/>
      <c r="P54" s="297"/>
      <c r="Q54" s="297"/>
      <c r="R54" s="297"/>
      <c r="S54" s="297"/>
      <c r="T54" s="297"/>
      <c r="U54" s="297"/>
      <c r="V54" s="297"/>
      <c r="W54" s="297"/>
      <c r="X54" s="297"/>
      <c r="Y54" s="297"/>
      <c r="Z54" s="297"/>
      <c r="AA54" s="297"/>
      <c r="AB54" s="297"/>
      <c r="AC54" s="297"/>
      <c r="AD54" s="297">
        <f>E54</f>
        <v>5000</v>
      </c>
      <c r="AE54" s="306" t="s">
        <v>6115</v>
      </c>
    </row>
    <row r="55" s="260" customFormat="1" ht="15.75" customHeight="1" spans="1:31">
      <c r="A55" s="277">
        <v>45981</v>
      </c>
      <c r="B55" s="278" t="s">
        <v>6117</v>
      </c>
      <c r="C55" s="278" t="s">
        <v>6114</v>
      </c>
      <c r="D55" s="279">
        <v>77809</v>
      </c>
      <c r="E55" s="279">
        <v>20000</v>
      </c>
      <c r="F55" s="280" t="s">
        <v>6093</v>
      </c>
      <c r="G55" s="281" t="s">
        <v>4749</v>
      </c>
      <c r="H55" s="282" t="s">
        <v>4761</v>
      </c>
      <c r="I55" s="296"/>
      <c r="J55" s="296"/>
      <c r="K55" s="296">
        <f>E55</f>
        <v>20000</v>
      </c>
      <c r="L55" s="296"/>
      <c r="M55" s="296"/>
      <c r="N55" s="296"/>
      <c r="O55" s="296"/>
      <c r="P55" s="297"/>
      <c r="Q55" s="297"/>
      <c r="R55" s="297"/>
      <c r="S55" s="297"/>
      <c r="T55" s="297"/>
      <c r="U55" s="297"/>
      <c r="V55" s="297"/>
      <c r="W55" s="297"/>
      <c r="X55" s="297"/>
      <c r="Y55" s="297"/>
      <c r="Z55" s="297"/>
      <c r="AA55" s="297"/>
      <c r="AB55" s="297"/>
      <c r="AC55" s="297"/>
      <c r="AD55" s="297"/>
      <c r="AE55" s="306" t="s">
        <v>6115</v>
      </c>
    </row>
    <row r="56" s="260" customFormat="1" ht="15.75" customHeight="1" spans="1:31">
      <c r="A56" s="277">
        <v>45988</v>
      </c>
      <c r="B56" s="278" t="s">
        <v>6118</v>
      </c>
      <c r="C56" s="278" t="s">
        <v>6084</v>
      </c>
      <c r="D56" s="279" t="s">
        <v>6085</v>
      </c>
      <c r="E56" s="279">
        <v>660</v>
      </c>
      <c r="F56" s="280" t="s">
        <v>4745</v>
      </c>
      <c r="G56" s="281" t="s">
        <v>4742</v>
      </c>
      <c r="H56" s="282" t="s">
        <v>4743</v>
      </c>
      <c r="I56" s="296"/>
      <c r="J56" s="296"/>
      <c r="K56" s="296"/>
      <c r="L56" s="296"/>
      <c r="M56" s="296"/>
      <c r="N56" s="296"/>
      <c r="O56" s="296"/>
      <c r="P56" s="297"/>
      <c r="Q56" s="297"/>
      <c r="R56" s="297"/>
      <c r="S56" s="297">
        <f>E56</f>
        <v>660</v>
      </c>
      <c r="T56" s="297"/>
      <c r="U56" s="297"/>
      <c r="V56" s="297"/>
      <c r="W56" s="297"/>
      <c r="X56" s="297"/>
      <c r="Y56" s="297"/>
      <c r="Z56" s="297"/>
      <c r="AA56" s="297"/>
      <c r="AB56" s="297"/>
      <c r="AC56" s="297"/>
      <c r="AD56" s="297"/>
      <c r="AE56" s="306" t="s">
        <v>6119</v>
      </c>
    </row>
    <row r="57" s="260" customFormat="1" ht="15.75" customHeight="1" spans="1:31">
      <c r="A57" s="277">
        <v>45989</v>
      </c>
      <c r="B57" s="278" t="s">
        <v>6120</v>
      </c>
      <c r="C57" s="278" t="s">
        <v>6121</v>
      </c>
      <c r="D57" s="279">
        <v>77809</v>
      </c>
      <c r="E57" s="279">
        <v>10000</v>
      </c>
      <c r="F57" s="280" t="s">
        <v>6087</v>
      </c>
      <c r="G57" s="281" t="s">
        <v>4785</v>
      </c>
      <c r="H57" s="282" t="s">
        <v>4761</v>
      </c>
      <c r="I57" s="296"/>
      <c r="J57" s="296"/>
      <c r="K57" s="296"/>
      <c r="L57" s="296"/>
      <c r="M57" s="296"/>
      <c r="N57" s="296"/>
      <c r="O57" s="296"/>
      <c r="P57" s="297"/>
      <c r="Q57" s="297"/>
      <c r="R57" s="297"/>
      <c r="S57" s="297"/>
      <c r="T57" s="297"/>
      <c r="U57" s="297"/>
      <c r="V57" s="297"/>
      <c r="W57" s="297"/>
      <c r="X57" s="297"/>
      <c r="Y57" s="297"/>
      <c r="Z57" s="297"/>
      <c r="AA57" s="297"/>
      <c r="AB57" s="297">
        <f>E57</f>
        <v>10000</v>
      </c>
      <c r="AC57" s="297"/>
      <c r="AD57" s="297"/>
      <c r="AE57" s="306" t="s">
        <v>6122</v>
      </c>
    </row>
    <row r="58" s="260" customFormat="1" ht="15.75" customHeight="1" spans="1:31">
      <c r="A58" s="277">
        <v>45989</v>
      </c>
      <c r="B58" s="278" t="s">
        <v>6123</v>
      </c>
      <c r="C58" s="278" t="s">
        <v>6121</v>
      </c>
      <c r="D58" s="279">
        <v>77809</v>
      </c>
      <c r="E58" s="279">
        <v>5000</v>
      </c>
      <c r="F58" s="280" t="s">
        <v>6093</v>
      </c>
      <c r="G58" s="281" t="s">
        <v>4749</v>
      </c>
      <c r="H58" s="282" t="s">
        <v>4761</v>
      </c>
      <c r="I58" s="296"/>
      <c r="J58" s="296"/>
      <c r="K58" s="296">
        <f>E58</f>
        <v>5000</v>
      </c>
      <c r="L58" s="296"/>
      <c r="M58" s="296"/>
      <c r="N58" s="296"/>
      <c r="O58" s="296"/>
      <c r="P58" s="297"/>
      <c r="Q58" s="297"/>
      <c r="R58" s="297"/>
      <c r="S58" s="297"/>
      <c r="T58" s="297"/>
      <c r="U58" s="297"/>
      <c r="V58" s="297"/>
      <c r="W58" s="297"/>
      <c r="X58" s="297"/>
      <c r="Y58" s="297"/>
      <c r="Z58" s="297"/>
      <c r="AA58" s="297"/>
      <c r="AB58" s="297"/>
      <c r="AC58" s="297"/>
      <c r="AD58" s="297"/>
      <c r="AE58" s="306" t="s">
        <v>6122</v>
      </c>
    </row>
    <row r="59" s="260" customFormat="1" ht="15.75" customHeight="1" spans="1:31">
      <c r="A59" s="277">
        <v>45989</v>
      </c>
      <c r="B59" s="278" t="s">
        <v>6124</v>
      </c>
      <c r="C59" s="278" t="s">
        <v>6121</v>
      </c>
      <c r="D59" s="279">
        <v>77809</v>
      </c>
      <c r="E59" s="279">
        <v>5000</v>
      </c>
      <c r="F59" s="280" t="s">
        <v>4763</v>
      </c>
      <c r="G59" s="281" t="s">
        <v>4749</v>
      </c>
      <c r="H59" s="282" t="s">
        <v>4761</v>
      </c>
      <c r="I59" s="296"/>
      <c r="J59" s="296"/>
      <c r="K59" s="296"/>
      <c r="L59" s="296"/>
      <c r="M59" s="296"/>
      <c r="N59" s="296"/>
      <c r="O59" s="296"/>
      <c r="P59" s="297"/>
      <c r="Q59" s="297"/>
      <c r="R59" s="297"/>
      <c r="S59" s="297"/>
      <c r="T59" s="297"/>
      <c r="U59" s="297"/>
      <c r="V59" s="297"/>
      <c r="W59" s="297"/>
      <c r="X59" s="297"/>
      <c r="Y59" s="297"/>
      <c r="Z59" s="297"/>
      <c r="AA59" s="297"/>
      <c r="AB59" s="297"/>
      <c r="AC59" s="297"/>
      <c r="AD59" s="297">
        <f>E59</f>
        <v>5000</v>
      </c>
      <c r="AE59" s="306" t="s">
        <v>6122</v>
      </c>
    </row>
    <row r="60" s="260" customFormat="1" ht="15.75" customHeight="1" spans="1:31">
      <c r="A60" s="277">
        <v>45993</v>
      </c>
      <c r="B60" s="278" t="s">
        <v>6125</v>
      </c>
      <c r="C60" s="278" t="s">
        <v>6121</v>
      </c>
      <c r="D60" s="279">
        <v>77809</v>
      </c>
      <c r="E60" s="279">
        <v>5000</v>
      </c>
      <c r="F60" s="280" t="s">
        <v>6090</v>
      </c>
      <c r="G60" s="281" t="s">
        <v>4785</v>
      </c>
      <c r="H60" s="282" t="s">
        <v>4761</v>
      </c>
      <c r="I60" s="296"/>
      <c r="J60" s="296"/>
      <c r="K60" s="296"/>
      <c r="L60" s="296"/>
      <c r="M60" s="296"/>
      <c r="N60" s="296"/>
      <c r="O60" s="296"/>
      <c r="P60" s="297"/>
      <c r="Q60" s="297"/>
      <c r="R60" s="297"/>
      <c r="S60" s="297"/>
      <c r="T60" s="297"/>
      <c r="U60" s="297"/>
      <c r="V60" s="297"/>
      <c r="W60" s="297"/>
      <c r="X60" s="297"/>
      <c r="Y60" s="297"/>
      <c r="Z60" s="297"/>
      <c r="AA60" s="297"/>
      <c r="AB60" s="297"/>
      <c r="AC60" s="297">
        <f>E60</f>
        <v>5000</v>
      </c>
      <c r="AD60" s="297"/>
      <c r="AE60" s="306" t="s">
        <v>6126</v>
      </c>
    </row>
    <row r="61" s="260" customFormat="1" ht="15.75" customHeight="1" spans="1:31">
      <c r="A61" s="277">
        <v>46002</v>
      </c>
      <c r="B61" s="278">
        <v>1000034869</v>
      </c>
      <c r="C61" s="278" t="s">
        <v>4823</v>
      </c>
      <c r="D61" s="279" t="s">
        <v>5187</v>
      </c>
      <c r="E61" s="279">
        <v>700</v>
      </c>
      <c r="F61" s="280" t="s">
        <v>4745</v>
      </c>
      <c r="G61" s="281" t="s">
        <v>4749</v>
      </c>
      <c r="H61" s="282" t="s">
        <v>4743</v>
      </c>
      <c r="I61" s="296"/>
      <c r="J61" s="296"/>
      <c r="K61" s="296"/>
      <c r="L61" s="296"/>
      <c r="M61" s="296"/>
      <c r="N61" s="296"/>
      <c r="O61" s="296"/>
      <c r="P61" s="297"/>
      <c r="Q61" s="297"/>
      <c r="R61" s="297">
        <f>E61</f>
        <v>700</v>
      </c>
      <c r="S61" s="297"/>
      <c r="T61" s="297"/>
      <c r="U61" s="297"/>
      <c r="V61" s="297"/>
      <c r="W61" s="297"/>
      <c r="X61" s="297"/>
      <c r="Y61" s="297"/>
      <c r="Z61" s="297"/>
      <c r="AA61" s="297"/>
      <c r="AB61" s="297"/>
      <c r="AC61" s="297"/>
      <c r="AD61" s="297"/>
      <c r="AE61" s="306"/>
    </row>
    <row r="62" s="260" customFormat="1" ht="15.75" customHeight="1" spans="1:31">
      <c r="A62" s="277">
        <v>46016</v>
      </c>
      <c r="B62" s="278" t="s">
        <v>6127</v>
      </c>
      <c r="C62" s="278" t="s">
        <v>6084</v>
      </c>
      <c r="D62" s="279" t="s">
        <v>6085</v>
      </c>
      <c r="E62" s="279">
        <v>600</v>
      </c>
      <c r="F62" s="280" t="s">
        <v>4745</v>
      </c>
      <c r="G62" s="281" t="s">
        <v>4742</v>
      </c>
      <c r="H62" s="282" t="s">
        <v>4743</v>
      </c>
      <c r="I62" s="296"/>
      <c r="J62" s="296"/>
      <c r="K62" s="296"/>
      <c r="L62" s="296"/>
      <c r="M62" s="296"/>
      <c r="N62" s="296"/>
      <c r="O62" s="296"/>
      <c r="P62" s="297"/>
      <c r="Q62" s="297"/>
      <c r="R62" s="297"/>
      <c r="S62" s="297">
        <f>E62</f>
        <v>600</v>
      </c>
      <c r="T62" s="297"/>
      <c r="U62" s="297"/>
      <c r="V62" s="297"/>
      <c r="W62" s="297"/>
      <c r="X62" s="297"/>
      <c r="Y62" s="297"/>
      <c r="Z62" s="297"/>
      <c r="AA62" s="297"/>
      <c r="AB62" s="297"/>
      <c r="AC62" s="297"/>
      <c r="AD62" s="297"/>
      <c r="AE62" s="306" t="s">
        <v>6128</v>
      </c>
    </row>
    <row r="63" s="260" customFormat="1" ht="15.75" customHeight="1" spans="1:31">
      <c r="A63" s="277">
        <v>46002</v>
      </c>
      <c r="B63" s="278" t="s">
        <v>4785</v>
      </c>
      <c r="C63" s="278" t="s">
        <v>4823</v>
      </c>
      <c r="D63" s="279">
        <v>77773</v>
      </c>
      <c r="E63" s="279">
        <v>80000</v>
      </c>
      <c r="F63" s="280" t="s">
        <v>4741</v>
      </c>
      <c r="G63" s="281" t="s">
        <v>4742</v>
      </c>
      <c r="H63" s="282" t="s">
        <v>4743</v>
      </c>
      <c r="I63" s="296">
        <f>E63</f>
        <v>80000</v>
      </c>
      <c r="J63" s="296"/>
      <c r="K63" s="296"/>
      <c r="L63" s="296"/>
      <c r="M63" s="296"/>
      <c r="N63" s="296"/>
      <c r="O63" s="296"/>
      <c r="P63" s="297"/>
      <c r="Q63" s="297"/>
      <c r="R63" s="297"/>
      <c r="S63" s="297"/>
      <c r="T63" s="297"/>
      <c r="U63" s="297"/>
      <c r="V63" s="297"/>
      <c r="W63" s="297"/>
      <c r="X63" s="297"/>
      <c r="Y63" s="297"/>
      <c r="Z63" s="297"/>
      <c r="AA63" s="297"/>
      <c r="AB63" s="297"/>
      <c r="AC63" s="297"/>
      <c r="AD63" s="297"/>
      <c r="AE63" s="306"/>
    </row>
    <row r="64" s="260" customFormat="1" ht="15.75" customHeight="1" spans="1:31">
      <c r="A64" s="277">
        <v>46002</v>
      </c>
      <c r="B64" s="278" t="s">
        <v>4785</v>
      </c>
      <c r="C64" s="278" t="s">
        <v>4823</v>
      </c>
      <c r="D64" s="279">
        <v>77773</v>
      </c>
      <c r="E64" s="279">
        <v>50000</v>
      </c>
      <c r="F64" s="280" t="s">
        <v>4741</v>
      </c>
      <c r="G64" s="281" t="s">
        <v>4749</v>
      </c>
      <c r="H64" s="282" t="s">
        <v>4743</v>
      </c>
      <c r="I64" s="296"/>
      <c r="J64" s="296">
        <f>E64</f>
        <v>50000</v>
      </c>
      <c r="K64" s="296"/>
      <c r="L64" s="296"/>
      <c r="M64" s="296"/>
      <c r="N64" s="296"/>
      <c r="O64" s="296"/>
      <c r="P64" s="297"/>
      <c r="Q64" s="297"/>
      <c r="R64" s="297"/>
      <c r="S64" s="297"/>
      <c r="T64" s="297"/>
      <c r="U64" s="297"/>
      <c r="V64" s="297"/>
      <c r="W64" s="297"/>
      <c r="X64" s="297"/>
      <c r="Y64" s="297"/>
      <c r="Z64" s="297"/>
      <c r="AA64" s="297"/>
      <c r="AB64" s="297"/>
      <c r="AC64" s="297"/>
      <c r="AD64" s="297"/>
      <c r="AE64" s="306"/>
    </row>
    <row r="65" s="260" customFormat="1" ht="15.75" customHeight="1" spans="1:31">
      <c r="A65" s="277">
        <v>46002</v>
      </c>
      <c r="B65" s="278" t="s">
        <v>4785</v>
      </c>
      <c r="C65" s="278" t="s">
        <v>4823</v>
      </c>
      <c r="D65" s="279">
        <v>77773</v>
      </c>
      <c r="E65" s="279">
        <v>220000</v>
      </c>
      <c r="F65" s="280" t="s">
        <v>4746</v>
      </c>
      <c r="G65" s="281" t="s">
        <v>4747</v>
      </c>
      <c r="H65" s="282" t="s">
        <v>4743</v>
      </c>
      <c r="I65" s="296"/>
      <c r="J65" s="296"/>
      <c r="K65" s="296"/>
      <c r="L65" s="296"/>
      <c r="M65" s="296">
        <f>E65</f>
        <v>220000</v>
      </c>
      <c r="N65" s="296"/>
      <c r="O65" s="296"/>
      <c r="P65" s="297"/>
      <c r="Q65" s="297"/>
      <c r="R65" s="297"/>
      <c r="S65" s="297"/>
      <c r="T65" s="297"/>
      <c r="U65" s="297"/>
      <c r="V65" s="297"/>
      <c r="W65" s="297"/>
      <c r="X65" s="297"/>
      <c r="Y65" s="297"/>
      <c r="Z65" s="297"/>
      <c r="AA65" s="297"/>
      <c r="AB65" s="297"/>
      <c r="AC65" s="297"/>
      <c r="AD65" s="297"/>
      <c r="AE65" s="306"/>
    </row>
    <row r="66" s="260" customFormat="1" ht="15.75" customHeight="1" spans="1:31">
      <c r="A66" s="277">
        <v>46002</v>
      </c>
      <c r="B66" s="278">
        <v>1000034866</v>
      </c>
      <c r="C66" s="278" t="s">
        <v>4823</v>
      </c>
      <c r="D66" s="279" t="s">
        <v>6095</v>
      </c>
      <c r="E66" s="279">
        <v>1500</v>
      </c>
      <c r="F66" s="280" t="s">
        <v>4745</v>
      </c>
      <c r="G66" s="281" t="s">
        <v>4742</v>
      </c>
      <c r="H66" s="282" t="s">
        <v>4743</v>
      </c>
      <c r="I66" s="296"/>
      <c r="J66" s="296"/>
      <c r="K66" s="296"/>
      <c r="L66" s="296"/>
      <c r="M66" s="296"/>
      <c r="N66" s="296"/>
      <c r="O66" s="296">
        <f>E66</f>
        <v>1500</v>
      </c>
      <c r="P66" s="297"/>
      <c r="Q66" s="297"/>
      <c r="R66" s="297"/>
      <c r="S66" s="297"/>
      <c r="T66" s="297"/>
      <c r="U66" s="297"/>
      <c r="V66" s="297"/>
      <c r="W66" s="297"/>
      <c r="X66" s="297"/>
      <c r="Y66" s="297"/>
      <c r="Z66" s="297"/>
      <c r="AA66" s="297"/>
      <c r="AB66" s="297"/>
      <c r="AC66" s="297"/>
      <c r="AD66" s="297"/>
      <c r="AE66" s="306"/>
    </row>
    <row r="67" s="260" customFormat="1" ht="15.75" customHeight="1" spans="1:31">
      <c r="A67" s="277">
        <v>46002</v>
      </c>
      <c r="B67" s="278">
        <v>1000034867</v>
      </c>
      <c r="C67" s="278" t="s">
        <v>4823</v>
      </c>
      <c r="D67" s="279" t="s">
        <v>6095</v>
      </c>
      <c r="E67" s="279">
        <v>500</v>
      </c>
      <c r="F67" s="280" t="s">
        <v>4745</v>
      </c>
      <c r="G67" s="281" t="s">
        <v>4749</v>
      </c>
      <c r="H67" s="282" t="s">
        <v>4743</v>
      </c>
      <c r="I67" s="296"/>
      <c r="J67" s="296"/>
      <c r="K67" s="296"/>
      <c r="L67" s="296"/>
      <c r="M67" s="296"/>
      <c r="N67" s="296"/>
      <c r="O67" s="296"/>
      <c r="P67" s="297">
        <f>E67</f>
        <v>500</v>
      </c>
      <c r="Q67" s="297"/>
      <c r="R67" s="297"/>
      <c r="S67" s="297"/>
      <c r="T67" s="297"/>
      <c r="U67" s="297"/>
      <c r="V67" s="297"/>
      <c r="W67" s="297"/>
      <c r="X67" s="297"/>
      <c r="Y67" s="297"/>
      <c r="Z67" s="297"/>
      <c r="AA67" s="297"/>
      <c r="AB67" s="297"/>
      <c r="AC67" s="297"/>
      <c r="AD67" s="297"/>
      <c r="AE67" s="306"/>
    </row>
    <row r="68" s="260" customFormat="1" ht="15.75" customHeight="1" spans="1:31">
      <c r="A68" s="277">
        <v>46002</v>
      </c>
      <c r="B68" s="278">
        <v>1000034868</v>
      </c>
      <c r="C68" s="278" t="s">
        <v>4823</v>
      </c>
      <c r="D68" s="279" t="s">
        <v>5187</v>
      </c>
      <c r="E68" s="279">
        <v>1000</v>
      </c>
      <c r="F68" s="280" t="s">
        <v>4745</v>
      </c>
      <c r="G68" s="281" t="s">
        <v>4742</v>
      </c>
      <c r="H68" s="282" t="s">
        <v>4743</v>
      </c>
      <c r="I68" s="296"/>
      <c r="J68" s="296"/>
      <c r="K68" s="296"/>
      <c r="L68" s="296"/>
      <c r="M68" s="296"/>
      <c r="N68" s="296"/>
      <c r="O68" s="296"/>
      <c r="P68" s="297"/>
      <c r="Q68" s="297">
        <f>E68</f>
        <v>1000</v>
      </c>
      <c r="R68" s="297"/>
      <c r="S68" s="297"/>
      <c r="T68" s="297"/>
      <c r="U68" s="297"/>
      <c r="V68" s="297"/>
      <c r="W68" s="297"/>
      <c r="X68" s="297"/>
      <c r="Y68" s="297"/>
      <c r="Z68" s="297"/>
      <c r="AA68" s="297"/>
      <c r="AB68" s="297"/>
      <c r="AC68" s="297"/>
      <c r="AD68" s="297"/>
      <c r="AE68" s="306"/>
    </row>
    <row r="69" s="260" customFormat="1" ht="15.75" customHeight="1" spans="1:31">
      <c r="A69" s="277">
        <v>46031</v>
      </c>
      <c r="B69" s="278" t="s">
        <v>4785</v>
      </c>
      <c r="C69" s="278" t="s">
        <v>4823</v>
      </c>
      <c r="D69" s="279">
        <v>77773</v>
      </c>
      <c r="E69" s="279">
        <v>20000</v>
      </c>
      <c r="F69" s="280" t="s">
        <v>4741</v>
      </c>
      <c r="G69" s="281" t="s">
        <v>4742</v>
      </c>
      <c r="H69" s="282" t="s">
        <v>4743</v>
      </c>
      <c r="I69" s="296">
        <f>E69</f>
        <v>20000</v>
      </c>
      <c r="J69" s="296"/>
      <c r="K69" s="296"/>
      <c r="L69" s="296"/>
      <c r="M69" s="296"/>
      <c r="N69" s="296"/>
      <c r="O69" s="296"/>
      <c r="P69" s="297"/>
      <c r="Q69" s="297"/>
      <c r="R69" s="297"/>
      <c r="S69" s="297"/>
      <c r="T69" s="297"/>
      <c r="U69" s="297"/>
      <c r="V69" s="297"/>
      <c r="W69" s="297"/>
      <c r="X69" s="297"/>
      <c r="Y69" s="297"/>
      <c r="Z69" s="297"/>
      <c r="AA69" s="297"/>
      <c r="AB69" s="297"/>
      <c r="AC69" s="297"/>
      <c r="AD69" s="297"/>
      <c r="AE69" s="306"/>
    </row>
    <row r="70" s="260" customFormat="1" ht="15.75" customHeight="1" spans="1:31">
      <c r="A70" s="277">
        <v>46031</v>
      </c>
      <c r="B70" s="278">
        <v>1000035807</v>
      </c>
      <c r="C70" s="278" t="s">
        <v>4823</v>
      </c>
      <c r="D70" s="279" t="s">
        <v>6095</v>
      </c>
      <c r="E70" s="279">
        <v>1000</v>
      </c>
      <c r="F70" s="280" t="s">
        <v>4745</v>
      </c>
      <c r="G70" s="281" t="s">
        <v>4742</v>
      </c>
      <c r="H70" s="282" t="s">
        <v>4743</v>
      </c>
      <c r="I70" s="296"/>
      <c r="J70" s="296"/>
      <c r="K70" s="296"/>
      <c r="L70" s="296"/>
      <c r="M70" s="296"/>
      <c r="N70" s="296"/>
      <c r="O70" s="296">
        <f>E70</f>
        <v>1000</v>
      </c>
      <c r="P70" s="297"/>
      <c r="Q70" s="297"/>
      <c r="R70" s="297"/>
      <c r="S70" s="297"/>
      <c r="T70" s="297"/>
      <c r="U70" s="297"/>
      <c r="V70" s="297"/>
      <c r="W70" s="297"/>
      <c r="X70" s="297"/>
      <c r="Y70" s="297"/>
      <c r="Z70" s="297"/>
      <c r="AA70" s="297"/>
      <c r="AB70" s="297"/>
      <c r="AC70" s="297"/>
      <c r="AD70" s="297"/>
      <c r="AE70" s="306"/>
    </row>
    <row r="71" s="260" customFormat="1" ht="15.75" customHeight="1" spans="1:31">
      <c r="A71" s="277">
        <v>46031</v>
      </c>
      <c r="B71" s="278">
        <v>1000035808</v>
      </c>
      <c r="C71" s="278" t="s">
        <v>4823</v>
      </c>
      <c r="D71" s="279" t="s">
        <v>5187</v>
      </c>
      <c r="E71" s="279">
        <v>500</v>
      </c>
      <c r="F71" s="280" t="s">
        <v>4745</v>
      </c>
      <c r="G71" s="281" t="s">
        <v>4749</v>
      </c>
      <c r="H71" s="282" t="s">
        <v>4743</v>
      </c>
      <c r="I71" s="296"/>
      <c r="J71" s="296"/>
      <c r="K71" s="296"/>
      <c r="L71" s="296"/>
      <c r="M71" s="296"/>
      <c r="N71" s="296"/>
      <c r="O71" s="296"/>
      <c r="P71" s="297"/>
      <c r="Q71" s="297"/>
      <c r="R71" s="297">
        <f>E71</f>
        <v>500</v>
      </c>
      <c r="S71" s="297"/>
      <c r="T71" s="297"/>
      <c r="U71" s="297"/>
      <c r="V71" s="297"/>
      <c r="W71" s="297"/>
      <c r="X71" s="297"/>
      <c r="Y71" s="297"/>
      <c r="Z71" s="297"/>
      <c r="AA71" s="297"/>
      <c r="AB71" s="297"/>
      <c r="AC71" s="297"/>
      <c r="AD71" s="297"/>
      <c r="AE71" s="306"/>
    </row>
    <row r="72" s="260" customFormat="1" ht="15.75" customHeight="1" spans="1:31">
      <c r="A72" s="277">
        <v>46031</v>
      </c>
      <c r="B72" s="278" t="s">
        <v>6129</v>
      </c>
      <c r="C72" s="278" t="s">
        <v>6084</v>
      </c>
      <c r="D72" s="279" t="s">
        <v>6085</v>
      </c>
      <c r="E72" s="279">
        <v>780</v>
      </c>
      <c r="F72" s="280" t="s">
        <v>4745</v>
      </c>
      <c r="G72" s="281" t="s">
        <v>4742</v>
      </c>
      <c r="H72" s="282" t="s">
        <v>4743</v>
      </c>
      <c r="I72" s="296"/>
      <c r="J72" s="296"/>
      <c r="K72" s="296"/>
      <c r="L72" s="296"/>
      <c r="M72" s="296"/>
      <c r="N72" s="296"/>
      <c r="O72" s="296"/>
      <c r="P72" s="297"/>
      <c r="Q72" s="297"/>
      <c r="R72" s="297"/>
      <c r="S72" s="297">
        <f>E72</f>
        <v>780</v>
      </c>
      <c r="T72" s="297"/>
      <c r="U72" s="297"/>
      <c r="V72" s="297"/>
      <c r="W72" s="297"/>
      <c r="X72" s="297"/>
      <c r="Y72" s="297"/>
      <c r="Z72" s="297"/>
      <c r="AA72" s="297"/>
      <c r="AB72" s="297"/>
      <c r="AC72" s="297"/>
      <c r="AD72" s="297"/>
      <c r="AE72" s="306" t="s">
        <v>6130</v>
      </c>
    </row>
    <row r="73" s="260" customFormat="1" ht="15.75" customHeight="1" spans="1:31">
      <c r="A73" s="277">
        <v>46050</v>
      </c>
      <c r="B73" s="278" t="s">
        <v>6131</v>
      </c>
      <c r="C73" s="278" t="s">
        <v>6121</v>
      </c>
      <c r="D73" s="279">
        <v>77809</v>
      </c>
      <c r="E73" s="279">
        <v>10000</v>
      </c>
      <c r="F73" s="280" t="s">
        <v>6087</v>
      </c>
      <c r="G73" s="281" t="s">
        <v>4785</v>
      </c>
      <c r="H73" s="282"/>
      <c r="I73" s="296"/>
      <c r="J73" s="296"/>
      <c r="K73" s="296"/>
      <c r="L73" s="296"/>
      <c r="M73" s="296"/>
      <c r="N73" s="296"/>
      <c r="O73" s="296"/>
      <c r="P73" s="297"/>
      <c r="Q73" s="297"/>
      <c r="R73" s="297"/>
      <c r="S73" s="297"/>
      <c r="T73" s="297"/>
      <c r="U73" s="297"/>
      <c r="V73" s="297"/>
      <c r="W73" s="297"/>
      <c r="X73" s="297"/>
      <c r="Y73" s="297"/>
      <c r="Z73" s="297"/>
      <c r="AA73" s="297"/>
      <c r="AB73" s="297">
        <f>E73</f>
        <v>10000</v>
      </c>
      <c r="AC73" s="297"/>
      <c r="AD73" s="297"/>
      <c r="AE73" s="306" t="s">
        <v>6132</v>
      </c>
    </row>
    <row r="74" s="260" customFormat="1" ht="15.75" customHeight="1" spans="1:31">
      <c r="A74" s="277">
        <v>46050</v>
      </c>
      <c r="B74" s="278" t="s">
        <v>6133</v>
      </c>
      <c r="C74" s="278" t="s">
        <v>6121</v>
      </c>
      <c r="D74" s="279">
        <v>77809</v>
      </c>
      <c r="E74" s="279">
        <v>5000</v>
      </c>
      <c r="F74" s="280" t="s">
        <v>4763</v>
      </c>
      <c r="G74" s="281" t="s">
        <v>4749</v>
      </c>
      <c r="H74" s="282"/>
      <c r="I74" s="296"/>
      <c r="J74" s="296"/>
      <c r="K74" s="296"/>
      <c r="L74" s="296"/>
      <c r="M74" s="296"/>
      <c r="N74" s="296"/>
      <c r="O74" s="296"/>
      <c r="P74" s="297"/>
      <c r="Q74" s="297"/>
      <c r="R74" s="297"/>
      <c r="S74" s="297"/>
      <c r="T74" s="297"/>
      <c r="U74" s="297"/>
      <c r="V74" s="297"/>
      <c r="W74" s="297"/>
      <c r="X74" s="297"/>
      <c r="Y74" s="297"/>
      <c r="Z74" s="297"/>
      <c r="AA74" s="297"/>
      <c r="AB74" s="297"/>
      <c r="AC74" s="297"/>
      <c r="AD74" s="297">
        <f>E74</f>
        <v>5000</v>
      </c>
      <c r="AE74" s="306" t="s">
        <v>6132</v>
      </c>
    </row>
    <row r="75" s="260" customFormat="1" ht="15.75" customHeight="1" spans="1:31">
      <c r="A75" s="277">
        <v>46050</v>
      </c>
      <c r="B75" s="278" t="s">
        <v>6134</v>
      </c>
      <c r="C75" s="278" t="s">
        <v>6121</v>
      </c>
      <c r="D75" s="279">
        <v>77809</v>
      </c>
      <c r="E75" s="279">
        <v>5000</v>
      </c>
      <c r="F75" s="280" t="s">
        <v>6090</v>
      </c>
      <c r="G75" s="281" t="s">
        <v>4785</v>
      </c>
      <c r="H75" s="282"/>
      <c r="I75" s="296"/>
      <c r="J75" s="296"/>
      <c r="K75" s="296"/>
      <c r="L75" s="296"/>
      <c r="M75" s="296"/>
      <c r="N75" s="296"/>
      <c r="O75" s="296"/>
      <c r="P75" s="297"/>
      <c r="Q75" s="297"/>
      <c r="R75" s="297"/>
      <c r="S75" s="297"/>
      <c r="T75" s="297"/>
      <c r="U75" s="297"/>
      <c r="V75" s="297"/>
      <c r="W75" s="297"/>
      <c r="X75" s="297"/>
      <c r="Y75" s="297"/>
      <c r="Z75" s="297"/>
      <c r="AA75" s="297"/>
      <c r="AB75" s="297"/>
      <c r="AC75" s="297">
        <f>E75</f>
        <v>5000</v>
      </c>
      <c r="AD75" s="297"/>
      <c r="AE75" s="306" t="s">
        <v>6132</v>
      </c>
    </row>
    <row r="76" s="260" customFormat="1" ht="15.75" customHeight="1" spans="1:31">
      <c r="A76" s="277">
        <v>46055</v>
      </c>
      <c r="B76" s="278" t="s">
        <v>6135</v>
      </c>
      <c r="C76" s="278" t="s">
        <v>6084</v>
      </c>
      <c r="D76" s="279" t="s">
        <v>6085</v>
      </c>
      <c r="E76" s="279">
        <v>500</v>
      </c>
      <c r="F76" s="280" t="s">
        <v>4745</v>
      </c>
      <c r="G76" s="281" t="s">
        <v>4742</v>
      </c>
      <c r="H76" s="282" t="s">
        <v>4743</v>
      </c>
      <c r="I76" s="296"/>
      <c r="J76" s="296"/>
      <c r="K76" s="296"/>
      <c r="L76" s="296"/>
      <c r="M76" s="296"/>
      <c r="N76" s="296"/>
      <c r="O76" s="296"/>
      <c r="P76" s="297"/>
      <c r="Q76" s="297"/>
      <c r="R76" s="297"/>
      <c r="S76" s="297">
        <f>E76</f>
        <v>500</v>
      </c>
      <c r="T76" s="297"/>
      <c r="U76" s="297"/>
      <c r="V76" s="297"/>
      <c r="W76" s="297"/>
      <c r="X76" s="297"/>
      <c r="Y76" s="297"/>
      <c r="Z76" s="297"/>
      <c r="AA76" s="297"/>
      <c r="AB76" s="297"/>
      <c r="AC76" s="297"/>
      <c r="AD76" s="297"/>
      <c r="AE76" s="306" t="s">
        <v>6136</v>
      </c>
    </row>
    <row r="77" s="260" customFormat="1" ht="15.75" customHeight="1" spans="1:31">
      <c r="A77" s="307">
        <v>46062</v>
      </c>
      <c r="B77" s="308"/>
      <c r="C77" s="308" t="s">
        <v>4823</v>
      </c>
      <c r="D77" s="309">
        <v>77773</v>
      </c>
      <c r="E77" s="309">
        <v>80000</v>
      </c>
      <c r="F77" s="310" t="s">
        <v>4741</v>
      </c>
      <c r="G77" s="311" t="s">
        <v>4742</v>
      </c>
      <c r="H77" s="312" t="s">
        <v>4743</v>
      </c>
      <c r="I77" s="296">
        <f>E77</f>
        <v>80000</v>
      </c>
      <c r="J77" s="296"/>
      <c r="K77" s="296"/>
      <c r="L77" s="296"/>
      <c r="M77" s="296"/>
      <c r="N77" s="296"/>
      <c r="O77" s="296"/>
      <c r="P77" s="297"/>
      <c r="Q77" s="297"/>
      <c r="R77" s="297"/>
      <c r="S77" s="297"/>
      <c r="T77" s="297"/>
      <c r="U77" s="297"/>
      <c r="V77" s="297"/>
      <c r="W77" s="297"/>
      <c r="X77" s="297"/>
      <c r="Y77" s="297"/>
      <c r="Z77" s="297"/>
      <c r="AA77" s="297"/>
      <c r="AB77" s="297"/>
      <c r="AC77" s="297"/>
      <c r="AD77" s="297"/>
      <c r="AE77" s="306"/>
    </row>
    <row r="78" s="260" customFormat="1" ht="15.75" customHeight="1" spans="1:31">
      <c r="A78" s="307">
        <v>46062</v>
      </c>
      <c r="B78" s="308"/>
      <c r="C78" s="308" t="s">
        <v>4823</v>
      </c>
      <c r="D78" s="309" t="s">
        <v>6095</v>
      </c>
      <c r="E78" s="309">
        <v>1100</v>
      </c>
      <c r="F78" s="310" t="s">
        <v>4745</v>
      </c>
      <c r="G78" s="311" t="s">
        <v>4742</v>
      </c>
      <c r="H78" s="312" t="s">
        <v>4743</v>
      </c>
      <c r="I78" s="296"/>
      <c r="J78" s="296"/>
      <c r="K78" s="296"/>
      <c r="L78" s="296"/>
      <c r="M78" s="296"/>
      <c r="N78" s="296"/>
      <c r="O78" s="296">
        <f>E78</f>
        <v>1100</v>
      </c>
      <c r="P78" s="297"/>
      <c r="Q78" s="297"/>
      <c r="R78" s="297"/>
      <c r="S78" s="297"/>
      <c r="T78" s="297"/>
      <c r="U78" s="297"/>
      <c r="V78" s="297"/>
      <c r="W78" s="297"/>
      <c r="X78" s="297"/>
      <c r="Y78" s="297"/>
      <c r="Z78" s="297"/>
      <c r="AA78" s="297"/>
      <c r="AB78" s="297"/>
      <c r="AC78" s="297"/>
      <c r="AD78" s="297"/>
      <c r="AE78" s="306"/>
    </row>
    <row r="79" s="260" customFormat="1" ht="15.75" customHeight="1" spans="1:31">
      <c r="A79" s="307">
        <v>46062</v>
      </c>
      <c r="B79" s="308"/>
      <c r="C79" s="308" t="s">
        <v>4823</v>
      </c>
      <c r="D79" s="309" t="s">
        <v>5187</v>
      </c>
      <c r="E79" s="309">
        <v>500</v>
      </c>
      <c r="F79" s="310" t="s">
        <v>4745</v>
      </c>
      <c r="G79" s="311" t="s">
        <v>4742</v>
      </c>
      <c r="H79" s="312" t="s">
        <v>4743</v>
      </c>
      <c r="I79" s="296"/>
      <c r="J79" s="296"/>
      <c r="K79" s="296"/>
      <c r="L79" s="296"/>
      <c r="M79" s="296"/>
      <c r="N79" s="296"/>
      <c r="O79" s="296"/>
      <c r="P79" s="297"/>
      <c r="Q79" s="297">
        <f>E79</f>
        <v>500</v>
      </c>
      <c r="R79" s="297"/>
      <c r="S79" s="297"/>
      <c r="T79" s="297"/>
      <c r="U79" s="297"/>
      <c r="V79" s="297"/>
      <c r="W79" s="297"/>
      <c r="X79" s="297"/>
      <c r="Y79" s="297"/>
      <c r="Z79" s="297"/>
      <c r="AA79" s="297"/>
      <c r="AB79" s="297"/>
      <c r="AC79" s="297"/>
      <c r="AD79" s="297"/>
      <c r="AE79" s="306"/>
    </row>
    <row r="80" s="260" customFormat="1" ht="15.75" customHeight="1" spans="1:31">
      <c r="A80" s="307"/>
      <c r="B80" s="308"/>
      <c r="C80" s="308"/>
      <c r="D80" s="309"/>
      <c r="E80" s="309"/>
      <c r="F80" s="310"/>
      <c r="G80" s="311"/>
      <c r="H80" s="312"/>
      <c r="I80" s="296"/>
      <c r="J80" s="296"/>
      <c r="K80" s="296"/>
      <c r="L80" s="296"/>
      <c r="M80" s="296"/>
      <c r="N80" s="296"/>
      <c r="O80" s="296"/>
      <c r="P80" s="297"/>
      <c r="Q80" s="297"/>
      <c r="R80" s="297"/>
      <c r="S80" s="297"/>
      <c r="T80" s="297"/>
      <c r="U80" s="297"/>
      <c r="V80" s="297"/>
      <c r="W80" s="297"/>
      <c r="X80" s="297"/>
      <c r="Y80" s="297"/>
      <c r="Z80" s="297"/>
      <c r="AA80" s="297"/>
      <c r="AB80" s="297"/>
      <c r="AC80" s="297"/>
      <c r="AD80" s="297"/>
      <c r="AE80" s="306"/>
    </row>
    <row r="81" s="260" customFormat="1" ht="15.75" customHeight="1" spans="1:31">
      <c r="A81" s="307"/>
      <c r="B81" s="308"/>
      <c r="C81" s="308"/>
      <c r="D81" s="309"/>
      <c r="E81" s="309"/>
      <c r="F81" s="310"/>
      <c r="G81" s="311"/>
      <c r="H81" s="312"/>
      <c r="I81" s="296"/>
      <c r="J81" s="296"/>
      <c r="K81" s="296"/>
      <c r="L81" s="296"/>
      <c r="M81" s="296"/>
      <c r="N81" s="296"/>
      <c r="O81" s="296"/>
      <c r="P81" s="297"/>
      <c r="Q81" s="297"/>
      <c r="R81" s="297"/>
      <c r="S81" s="297"/>
      <c r="T81" s="297"/>
      <c r="U81" s="297"/>
      <c r="V81" s="297"/>
      <c r="W81" s="297"/>
      <c r="X81" s="297"/>
      <c r="Y81" s="297"/>
      <c r="Z81" s="297"/>
      <c r="AA81" s="297"/>
      <c r="AB81" s="297"/>
      <c r="AC81" s="297"/>
      <c r="AD81" s="297"/>
      <c r="AE81" s="306"/>
    </row>
    <row r="82" s="260" customFormat="1" ht="15.75" customHeight="1" spans="1:31">
      <c r="A82" s="307"/>
      <c r="B82" s="308"/>
      <c r="C82" s="308"/>
      <c r="D82" s="309"/>
      <c r="E82" s="309"/>
      <c r="F82" s="310"/>
      <c r="G82" s="311"/>
      <c r="H82" s="312"/>
      <c r="I82" s="296"/>
      <c r="J82" s="296"/>
      <c r="K82" s="296"/>
      <c r="L82" s="296"/>
      <c r="M82" s="296"/>
      <c r="N82" s="296"/>
      <c r="O82" s="296"/>
      <c r="P82" s="297"/>
      <c r="Q82" s="297"/>
      <c r="R82" s="297"/>
      <c r="S82" s="297"/>
      <c r="T82" s="297"/>
      <c r="U82" s="297"/>
      <c r="V82" s="297"/>
      <c r="W82" s="297"/>
      <c r="X82" s="297"/>
      <c r="Y82" s="297"/>
      <c r="Z82" s="297"/>
      <c r="AA82" s="297"/>
      <c r="AB82" s="297"/>
      <c r="AC82" s="297"/>
      <c r="AD82" s="297"/>
      <c r="AE82" s="306"/>
    </row>
    <row r="83" s="261" customFormat="1" spans="1:31">
      <c r="A83" s="277"/>
      <c r="B83" s="279"/>
      <c r="C83" s="279"/>
      <c r="D83" s="279"/>
      <c r="E83" s="279"/>
      <c r="F83" s="279"/>
      <c r="G83" s="279"/>
      <c r="H83" s="279"/>
      <c r="I83" s="323"/>
      <c r="J83" s="323"/>
      <c r="K83" s="323"/>
      <c r="L83" s="323"/>
      <c r="M83" s="323"/>
      <c r="N83" s="323"/>
      <c r="O83" s="323"/>
      <c r="P83" s="279"/>
      <c r="Q83" s="279"/>
      <c r="R83" s="279"/>
      <c r="S83" s="279"/>
      <c r="T83" s="279"/>
      <c r="U83" s="279"/>
      <c r="V83" s="279"/>
      <c r="W83" s="279"/>
      <c r="X83" s="279"/>
      <c r="Y83" s="279"/>
      <c r="Z83" s="279"/>
      <c r="AA83" s="279"/>
      <c r="AB83" s="279"/>
      <c r="AC83" s="279"/>
      <c r="AD83" s="279"/>
      <c r="AE83" s="327"/>
    </row>
    <row r="84" s="260" customFormat="1" spans="1:31">
      <c r="A84" s="313"/>
      <c r="B84" s="297"/>
      <c r="C84" s="297"/>
      <c r="D84" s="279"/>
      <c r="E84" s="279"/>
      <c r="F84" s="297"/>
      <c r="G84" s="297"/>
      <c r="H84" s="297" t="s">
        <v>4824</v>
      </c>
      <c r="I84" s="297"/>
      <c r="J84" s="324"/>
      <c r="K84" s="324"/>
      <c r="L84" s="296"/>
      <c r="M84" s="297"/>
      <c r="N84" s="297"/>
      <c r="O84" s="297"/>
      <c r="P84" s="297"/>
      <c r="Q84" s="297"/>
      <c r="R84" s="297"/>
      <c r="S84" s="297"/>
      <c r="T84" s="297"/>
      <c r="U84" s="297"/>
      <c r="V84" s="297"/>
      <c r="W84" s="297"/>
      <c r="X84" s="297"/>
      <c r="Y84" s="297"/>
      <c r="Z84" s="297"/>
      <c r="AA84" s="297"/>
      <c r="AB84" s="297"/>
      <c r="AC84" s="297"/>
      <c r="AD84" s="297"/>
      <c r="AE84" s="297"/>
    </row>
    <row r="85" s="260" customFormat="1" spans="1:31">
      <c r="A85" s="314"/>
      <c r="B85" s="315"/>
      <c r="C85" s="316"/>
      <c r="D85" s="316"/>
      <c r="E85" s="316"/>
      <c r="F85" s="316"/>
      <c r="G85" s="316"/>
      <c r="H85" s="316" t="s">
        <v>4825</v>
      </c>
      <c r="I85" s="316">
        <f>SUM(I5:I84)</f>
        <v>640000</v>
      </c>
      <c r="J85" s="316">
        <f>SUM(J5:J84)</f>
        <v>170000</v>
      </c>
      <c r="K85" s="316">
        <f>SUM(K5:K84)</f>
        <v>57024</v>
      </c>
      <c r="L85" s="316">
        <f t="shared" ref="L85:AD85" si="0">SUM(L5:L84)</f>
        <v>0</v>
      </c>
      <c r="M85" s="316">
        <f t="shared" si="0"/>
        <v>880000</v>
      </c>
      <c r="N85" s="316">
        <f t="shared" si="0"/>
        <v>0</v>
      </c>
      <c r="O85" s="316">
        <f t="shared" si="0"/>
        <v>8900</v>
      </c>
      <c r="P85" s="316">
        <f t="shared" si="0"/>
        <v>2600</v>
      </c>
      <c r="Q85" s="316">
        <f t="shared" si="0"/>
        <v>9200</v>
      </c>
      <c r="R85" s="316">
        <f t="shared" si="0"/>
        <v>3700</v>
      </c>
      <c r="S85" s="316">
        <f t="shared" si="0"/>
        <v>8017</v>
      </c>
      <c r="T85" s="316">
        <f t="shared" si="0"/>
        <v>0</v>
      </c>
      <c r="U85" s="316">
        <f t="shared" si="0"/>
        <v>0</v>
      </c>
      <c r="V85" s="316">
        <f t="shared" si="0"/>
        <v>500</v>
      </c>
      <c r="W85" s="316">
        <f t="shared" si="0"/>
        <v>500</v>
      </c>
      <c r="X85" s="316">
        <f t="shared" si="0"/>
        <v>0</v>
      </c>
      <c r="Y85" s="316">
        <f t="shared" si="0"/>
        <v>0</v>
      </c>
      <c r="Z85" s="316">
        <f t="shared" si="0"/>
        <v>300</v>
      </c>
      <c r="AA85" s="316">
        <f t="shared" si="0"/>
        <v>300</v>
      </c>
      <c r="AB85" s="316">
        <f t="shared" si="0"/>
        <v>40000</v>
      </c>
      <c r="AC85" s="316">
        <f t="shared" si="0"/>
        <v>31012</v>
      </c>
      <c r="AD85" s="316">
        <f t="shared" si="0"/>
        <v>31012</v>
      </c>
      <c r="AE85" s="316"/>
    </row>
    <row r="86" s="260" customFormat="1" spans="1:31">
      <c r="A86" s="314"/>
      <c r="B86" s="315"/>
      <c r="C86" s="316"/>
      <c r="D86" s="316"/>
      <c r="E86" s="316"/>
      <c r="F86" s="316"/>
      <c r="G86" s="316"/>
      <c r="H86" s="316" t="s">
        <v>6137</v>
      </c>
      <c r="I86" s="316">
        <f>'77773二代'!AL154</f>
        <v>565052</v>
      </c>
      <c r="J86" s="316">
        <f>'77773二代'!AM154</f>
        <v>149000</v>
      </c>
      <c r="K86" s="316">
        <f>'77773二代'!AN154</f>
        <v>42840</v>
      </c>
      <c r="L86" s="316"/>
      <c r="M86" s="316">
        <f>'77773二代'!AP154</f>
        <v>756770</v>
      </c>
      <c r="N86" s="316"/>
      <c r="O86" s="316">
        <f>'77773二代'!AX154</f>
        <v>8649</v>
      </c>
      <c r="P86" s="316">
        <f>'77773二代'!AY154</f>
        <v>1913</v>
      </c>
      <c r="Q86" s="316">
        <f>'77773二代'!BA154</f>
        <v>9203</v>
      </c>
      <c r="R86" s="316">
        <f>'77773二代'!BB154</f>
        <v>3419</v>
      </c>
      <c r="S86" s="316">
        <f>'77773二代'!BC154</f>
        <v>8357</v>
      </c>
      <c r="T86" s="316">
        <f>'77773二代'!BJ154</f>
        <v>0</v>
      </c>
      <c r="U86" s="316">
        <f>'77773二代'!BI154</f>
        <v>0</v>
      </c>
      <c r="V86" s="316">
        <f>'77773二代'!BL154</f>
        <v>467</v>
      </c>
      <c r="W86" s="316">
        <f>'77773二代'!BK154</f>
        <v>467</v>
      </c>
      <c r="X86" s="316">
        <f>'77773二代'!BF154</f>
        <v>0</v>
      </c>
      <c r="Y86" s="316">
        <f>'77773二代'!BE154</f>
        <v>0</v>
      </c>
      <c r="Z86" s="316">
        <f>'77773二代'!BH154</f>
        <v>158</v>
      </c>
      <c r="AA86" s="316">
        <f>'77773二代'!BG154</f>
        <v>158</v>
      </c>
      <c r="AB86" s="316">
        <f>'77773二代'!BM154</f>
        <v>21420</v>
      </c>
      <c r="AC86" s="316">
        <f>AB86</f>
        <v>21420</v>
      </c>
      <c r="AD86" s="316">
        <f>'77773二代'!BN154</f>
        <v>21420</v>
      </c>
      <c r="AE86" s="316"/>
    </row>
    <row r="87" s="260" customFormat="1" spans="1:31">
      <c r="A87" s="314"/>
      <c r="B87" s="315"/>
      <c r="C87" s="316"/>
      <c r="D87" s="316"/>
      <c r="E87" s="316"/>
      <c r="F87" s="317"/>
      <c r="G87" s="316"/>
      <c r="H87" s="316" t="s">
        <v>4827</v>
      </c>
      <c r="I87" s="316"/>
      <c r="J87" s="325"/>
      <c r="K87" s="325"/>
      <c r="L87" s="325"/>
      <c r="M87" s="316"/>
      <c r="N87" s="316"/>
      <c r="O87" s="316"/>
      <c r="P87" s="316"/>
      <c r="Q87" s="316"/>
      <c r="R87" s="316"/>
      <c r="S87" s="316"/>
      <c r="T87" s="316"/>
      <c r="U87" s="316"/>
      <c r="V87" s="316"/>
      <c r="W87" s="316"/>
      <c r="X87" s="316"/>
      <c r="Y87" s="316"/>
      <c r="Z87" s="316"/>
      <c r="AA87" s="316"/>
      <c r="AB87" s="316"/>
      <c r="AC87" s="316"/>
      <c r="AD87" s="316"/>
      <c r="AE87" s="316"/>
    </row>
    <row r="88" s="260" customFormat="1" ht="15" spans="1:31">
      <c r="A88" s="318"/>
      <c r="B88" s="319"/>
      <c r="C88" s="320"/>
      <c r="D88" s="321"/>
      <c r="E88" s="321"/>
      <c r="F88" s="321"/>
      <c r="G88" s="321"/>
      <c r="H88" s="321" t="s">
        <v>6138</v>
      </c>
      <c r="I88" s="326">
        <f t="shared" ref="I88:K88" si="1">I85-I86-I87</f>
        <v>74948</v>
      </c>
      <c r="J88" s="326">
        <f t="shared" si="1"/>
        <v>21000</v>
      </c>
      <c r="K88" s="326">
        <f t="shared" si="1"/>
        <v>14184</v>
      </c>
      <c r="L88" s="326">
        <f t="shared" ref="L88:Y88" si="2">L85-L86-L87</f>
        <v>0</v>
      </c>
      <c r="M88" s="326">
        <f t="shared" si="2"/>
        <v>123230</v>
      </c>
      <c r="N88" s="326">
        <f t="shared" si="2"/>
        <v>0</v>
      </c>
      <c r="O88" s="326">
        <f t="shared" si="2"/>
        <v>251</v>
      </c>
      <c r="P88" s="326">
        <f t="shared" si="2"/>
        <v>687</v>
      </c>
      <c r="Q88" s="326">
        <f t="shared" si="2"/>
        <v>-3</v>
      </c>
      <c r="R88" s="326">
        <f t="shared" si="2"/>
        <v>281</v>
      </c>
      <c r="S88" s="326">
        <f t="shared" si="2"/>
        <v>-340</v>
      </c>
      <c r="T88" s="326">
        <f t="shared" si="2"/>
        <v>0</v>
      </c>
      <c r="U88" s="326">
        <f t="shared" si="2"/>
        <v>0</v>
      </c>
      <c r="V88" s="326">
        <f t="shared" si="2"/>
        <v>33</v>
      </c>
      <c r="W88" s="326">
        <f t="shared" si="2"/>
        <v>33</v>
      </c>
      <c r="X88" s="326">
        <f t="shared" si="2"/>
        <v>0</v>
      </c>
      <c r="Y88" s="326">
        <f t="shared" si="2"/>
        <v>0</v>
      </c>
      <c r="Z88" s="326">
        <f t="shared" ref="Z88:AE88" si="3">Z85-Z86-Z87</f>
        <v>142</v>
      </c>
      <c r="AA88" s="326">
        <f t="shared" si="3"/>
        <v>142</v>
      </c>
      <c r="AB88" s="326">
        <f t="shared" si="3"/>
        <v>18580</v>
      </c>
      <c r="AC88" s="326">
        <f t="shared" si="3"/>
        <v>9592</v>
      </c>
      <c r="AD88" s="326">
        <f t="shared" si="3"/>
        <v>9592</v>
      </c>
      <c r="AE88" s="326"/>
    </row>
    <row r="89" s="260" customFormat="1" ht="15" spans="1:12">
      <c r="A89" s="262"/>
      <c r="J89" s="263"/>
      <c r="K89" s="263"/>
      <c r="L89" s="263"/>
    </row>
    <row r="90" s="260" customFormat="1" spans="1:12">
      <c r="A90" s="262"/>
      <c r="H90" s="322"/>
      <c r="J90" s="263"/>
      <c r="K90" s="263"/>
      <c r="L90" s="263"/>
    </row>
    <row r="91" s="260" customFormat="1" spans="1:12">
      <c r="A91" s="262"/>
      <c r="J91" s="263"/>
      <c r="K91" s="263"/>
      <c r="L91" s="263"/>
    </row>
    <row r="92" s="260" customFormat="1" spans="1:14">
      <c r="A92" s="262"/>
      <c r="C92"/>
      <c r="F92"/>
      <c r="G92"/>
      <c r="H92"/>
      <c r="I92"/>
      <c r="J92" s="263"/>
      <c r="K92" s="263"/>
      <c r="L92" s="263"/>
      <c r="M92"/>
      <c r="N92"/>
    </row>
  </sheetData>
  <autoFilter xmlns:etc="http://www.wps.cn/officeDocument/2017/etCustomData" ref="A4:AE88" etc:filterBottomFollowUsedRange="0">
    <extLst/>
  </autoFilter>
  <mergeCells count="16">
    <mergeCell ref="A1:H1"/>
    <mergeCell ref="I2:L2"/>
    <mergeCell ref="M2:N2"/>
    <mergeCell ref="O2:P2"/>
    <mergeCell ref="Q2:R2"/>
    <mergeCell ref="T2:W2"/>
    <mergeCell ref="X2:AA2"/>
    <mergeCell ref="AB2:AD2"/>
    <mergeCell ref="A2:A4"/>
    <mergeCell ref="B2:B4"/>
    <mergeCell ref="C2:C4"/>
    <mergeCell ref="D2:D4"/>
    <mergeCell ref="E2:E4"/>
    <mergeCell ref="F2:F4"/>
    <mergeCell ref="G2:G4"/>
    <mergeCell ref="H2:H4"/>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I4" sqref="I4"/>
    </sheetView>
  </sheetViews>
  <sheetFormatPr defaultColWidth="11.3" defaultRowHeight="42.5" customHeight="1" outlineLevelCol="6"/>
  <cols>
    <col min="1" max="1" width="12.925" style="243" customWidth="1"/>
    <col min="2" max="2" width="21.1416666666667" style="243" customWidth="1"/>
    <col min="3" max="3" width="31.4166666666667" style="243" customWidth="1"/>
    <col min="4" max="4" width="21.1416666666667" style="243" customWidth="1"/>
    <col min="5" max="5" width="17.0333333333333" style="244" customWidth="1"/>
    <col min="6" max="6" width="14.3916666666667" style="245"/>
    <col min="7" max="16384" width="11.3" style="242"/>
  </cols>
  <sheetData>
    <row r="1" s="239" customFormat="1" customHeight="1" spans="1:7">
      <c r="A1" s="246" t="s">
        <v>6139</v>
      </c>
      <c r="B1" s="247"/>
      <c r="C1" s="247"/>
      <c r="D1" s="247"/>
      <c r="E1" s="248"/>
      <c r="F1" s="249"/>
      <c r="G1" s="250" t="s">
        <v>4933</v>
      </c>
    </row>
    <row r="2" s="240" customFormat="1" customHeight="1" spans="1:6">
      <c r="A2" s="251" t="s">
        <v>6140</v>
      </c>
      <c r="B2" s="252" t="s">
        <v>6141</v>
      </c>
      <c r="C2" s="252" t="s">
        <v>4886</v>
      </c>
      <c r="D2" s="252" t="s">
        <v>4888</v>
      </c>
      <c r="E2" s="252" t="s">
        <v>6142</v>
      </c>
      <c r="F2" s="253">
        <f>'77773二代'!AJ156</f>
        <v>485010</v>
      </c>
    </row>
    <row r="3" s="241" customFormat="1" ht="73" customHeight="1" spans="1:7">
      <c r="A3" s="254">
        <v>1</v>
      </c>
      <c r="B3" s="254" t="s">
        <v>6052</v>
      </c>
      <c r="C3" s="254" t="s">
        <v>6053</v>
      </c>
      <c r="D3" s="255"/>
      <c r="E3" s="256">
        <f>(1-$E$7)/10</f>
        <v>0.0979166666666667</v>
      </c>
      <c r="F3" s="257">
        <f>E3*$F$2</f>
        <v>47490.5625</v>
      </c>
      <c r="G3" s="258">
        <v>0</v>
      </c>
    </row>
    <row r="4" s="241" customFormat="1" ht="73" customHeight="1" spans="1:7">
      <c r="A4" s="254">
        <v>2</v>
      </c>
      <c r="B4" s="254" t="s">
        <v>6058</v>
      </c>
      <c r="C4" s="254" t="s">
        <v>6059</v>
      </c>
      <c r="D4" s="254"/>
      <c r="E4" s="256">
        <f t="shared" ref="E3:E6" si="0">(1-$E$7)/10</f>
        <v>0.0979166666666667</v>
      </c>
      <c r="F4" s="257">
        <f t="shared" ref="F4:F13" si="1">E4*$F$2</f>
        <v>47490.5625</v>
      </c>
      <c r="G4" s="256">
        <v>0.108796296296296</v>
      </c>
    </row>
    <row r="5" s="241" customFormat="1" ht="73" customHeight="1" spans="1:7">
      <c r="A5" s="254">
        <v>3</v>
      </c>
      <c r="B5" s="254" t="s">
        <v>6054</v>
      </c>
      <c r="C5" s="254" t="s">
        <v>6055</v>
      </c>
      <c r="D5" s="254"/>
      <c r="E5" s="256">
        <f t="shared" si="0"/>
        <v>0.0979166666666667</v>
      </c>
      <c r="F5" s="257">
        <f t="shared" si="1"/>
        <v>47490.5625</v>
      </c>
      <c r="G5" s="256">
        <v>0.108796296296296</v>
      </c>
    </row>
    <row r="6" s="241" customFormat="1" ht="73" customHeight="1" spans="1:7">
      <c r="A6" s="254">
        <v>4</v>
      </c>
      <c r="B6" s="254" t="s">
        <v>6049</v>
      </c>
      <c r="C6" s="254" t="s">
        <v>6050</v>
      </c>
      <c r="D6" s="254"/>
      <c r="E6" s="256">
        <f t="shared" si="0"/>
        <v>0.0979166666666667</v>
      </c>
      <c r="F6" s="257">
        <f t="shared" si="1"/>
        <v>47490.5625</v>
      </c>
      <c r="G6" s="256">
        <v>0.108796296296296</v>
      </c>
    </row>
    <row r="7" s="241" customFormat="1" ht="73" customHeight="1" spans="1:7">
      <c r="A7" s="254">
        <v>5</v>
      </c>
      <c r="B7" s="254" t="s">
        <v>6060</v>
      </c>
      <c r="C7" s="254" t="s">
        <v>6061</v>
      </c>
      <c r="D7" s="254"/>
      <c r="E7" s="256">
        <f>1/48</f>
        <v>0.0208333333333333</v>
      </c>
      <c r="F7" s="257">
        <f t="shared" si="1"/>
        <v>10104.375</v>
      </c>
      <c r="G7" s="256">
        <v>0.0208333333333333</v>
      </c>
    </row>
    <row r="8" s="241" customFormat="1" ht="73" customHeight="1" spans="1:7">
      <c r="A8" s="254">
        <v>6</v>
      </c>
      <c r="B8" s="254" t="s">
        <v>6062</v>
      </c>
      <c r="C8" s="254" t="s">
        <v>6063</v>
      </c>
      <c r="D8" s="254"/>
      <c r="E8" s="256">
        <f t="shared" ref="E8:E13" si="2">(1-$E$7)/10</f>
        <v>0.0979166666666667</v>
      </c>
      <c r="F8" s="257">
        <f t="shared" si="1"/>
        <v>47490.5625</v>
      </c>
      <c r="G8" s="256">
        <v>0.108796296296296</v>
      </c>
    </row>
    <row r="9" s="241" customFormat="1" ht="73" customHeight="1" spans="1:7">
      <c r="A9" s="254">
        <v>7</v>
      </c>
      <c r="B9" s="254" t="s">
        <v>6064</v>
      </c>
      <c r="C9" s="254" t="s">
        <v>6065</v>
      </c>
      <c r="D9" s="254"/>
      <c r="E9" s="256">
        <f t="shared" si="2"/>
        <v>0.0979166666666667</v>
      </c>
      <c r="F9" s="257">
        <f t="shared" si="1"/>
        <v>47490.5625</v>
      </c>
      <c r="G9" s="256">
        <v>0.108796296296296</v>
      </c>
    </row>
    <row r="10" s="241" customFormat="1" ht="73" customHeight="1" spans="1:7">
      <c r="A10" s="254">
        <v>8</v>
      </c>
      <c r="B10" s="254" t="s">
        <v>6056</v>
      </c>
      <c r="C10" s="254" t="s">
        <v>6057</v>
      </c>
      <c r="D10" s="254"/>
      <c r="E10" s="256">
        <f t="shared" si="2"/>
        <v>0.0979166666666667</v>
      </c>
      <c r="F10" s="257">
        <f t="shared" si="1"/>
        <v>47490.5625</v>
      </c>
      <c r="G10" s="256">
        <v>0.108796296296296</v>
      </c>
    </row>
    <row r="11" s="241" customFormat="1" ht="73" customHeight="1" spans="1:7">
      <c r="A11" s="254">
        <v>9</v>
      </c>
      <c r="B11" s="254" t="s">
        <v>6066</v>
      </c>
      <c r="C11" s="254" t="s">
        <v>6067</v>
      </c>
      <c r="D11" s="254"/>
      <c r="E11" s="256">
        <f t="shared" si="2"/>
        <v>0.0979166666666667</v>
      </c>
      <c r="F11" s="257">
        <f t="shared" si="1"/>
        <v>47490.5625</v>
      </c>
      <c r="G11" s="256">
        <v>0.108796296296296</v>
      </c>
    </row>
    <row r="12" s="241" customFormat="1" ht="73" customHeight="1" spans="1:7">
      <c r="A12" s="254">
        <v>10</v>
      </c>
      <c r="B12" s="254" t="s">
        <v>6068</v>
      </c>
      <c r="C12" s="254" t="s">
        <v>6069</v>
      </c>
      <c r="D12" s="254"/>
      <c r="E12" s="256">
        <f t="shared" si="2"/>
        <v>0.0979166666666667</v>
      </c>
      <c r="F12" s="257">
        <f t="shared" si="1"/>
        <v>47490.5625</v>
      </c>
      <c r="G12" s="256">
        <v>0.108796296296296</v>
      </c>
    </row>
    <row r="13" s="241" customFormat="1" ht="73" customHeight="1" spans="1:7">
      <c r="A13" s="254">
        <v>11</v>
      </c>
      <c r="B13" s="254" t="s">
        <v>6070</v>
      </c>
      <c r="C13" s="254" t="s">
        <v>6071</v>
      </c>
      <c r="D13" s="254"/>
      <c r="E13" s="256">
        <f t="shared" si="2"/>
        <v>0.0979166666666667</v>
      </c>
      <c r="F13" s="257">
        <f t="shared" si="1"/>
        <v>47490.5625</v>
      </c>
      <c r="G13" s="256">
        <v>0.108796296296296</v>
      </c>
    </row>
    <row r="14" s="242" customFormat="1" customHeight="1" spans="1:7">
      <c r="A14" s="243"/>
      <c r="B14" s="243"/>
      <c r="E14" s="259">
        <f>SUM(E3:E13)</f>
        <v>1</v>
      </c>
      <c r="F14" s="245"/>
      <c r="G14" s="259">
        <f>SUM(G3:G13)</f>
        <v>0.999999999999998</v>
      </c>
    </row>
  </sheetData>
  <mergeCells count="1">
    <mergeCell ref="A1:E1"/>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E83"/>
  <sheetViews>
    <sheetView zoomScale="90" zoomScaleNormal="90" workbookViewId="0">
      <pane xSplit="14" ySplit="1" topLeftCell="AH70" activePane="bottomRight" state="frozen"/>
      <selection/>
      <selection pane="topRight"/>
      <selection pane="bottomLeft"/>
      <selection pane="bottomRight" activeCell="A82" sqref="$A82:$XFD83"/>
    </sheetView>
  </sheetViews>
  <sheetFormatPr defaultColWidth="8.96666666666667" defaultRowHeight="14.25"/>
  <cols>
    <col min="4" max="4" width="12.575" customWidth="1"/>
    <col min="5" max="5" width="10.125"/>
    <col min="7" max="7" width="20.1916666666667" customWidth="1"/>
    <col min="24" max="24" width="13.825"/>
    <col min="27" max="27" width="11"/>
  </cols>
  <sheetData>
    <row r="1" s="1" customFormat="1" ht="51" customHeight="1" spans="1:61">
      <c r="A1" s="7" t="s">
        <v>6</v>
      </c>
      <c r="B1" s="8" t="s">
        <v>7</v>
      </c>
      <c r="C1" s="8" t="s">
        <v>8</v>
      </c>
      <c r="D1" s="8" t="s">
        <v>9</v>
      </c>
      <c r="E1" s="9" t="s">
        <v>10</v>
      </c>
      <c r="F1" s="8" t="s">
        <v>11</v>
      </c>
      <c r="G1" s="8" t="s">
        <v>12</v>
      </c>
      <c r="H1" s="10" t="s">
        <v>13</v>
      </c>
      <c r="I1" s="10" t="s">
        <v>14</v>
      </c>
      <c r="J1" s="10" t="s">
        <v>15</v>
      </c>
      <c r="K1" s="8" t="s">
        <v>16</v>
      </c>
      <c r="L1" s="8" t="s">
        <v>17</v>
      </c>
      <c r="M1" s="82" t="s">
        <v>18</v>
      </c>
      <c r="N1" s="82" t="s">
        <v>19</v>
      </c>
      <c r="O1" s="83" t="s">
        <v>20</v>
      </c>
      <c r="P1" s="8" t="s">
        <v>21</v>
      </c>
      <c r="Q1" s="8" t="s">
        <v>22</v>
      </c>
      <c r="R1" s="8" t="s">
        <v>23</v>
      </c>
      <c r="S1" s="9" t="s">
        <v>24</v>
      </c>
      <c r="T1" s="83" t="s">
        <v>25</v>
      </c>
      <c r="U1" s="107" t="s">
        <v>26</v>
      </c>
      <c r="V1" s="8" t="s">
        <v>27</v>
      </c>
      <c r="W1" s="8" t="s">
        <v>28</v>
      </c>
      <c r="X1" s="108" t="s">
        <v>29</v>
      </c>
      <c r="Y1" s="148" t="s">
        <v>30</v>
      </c>
      <c r="Z1" s="148" t="s">
        <v>32</v>
      </c>
      <c r="AA1" s="149" t="s">
        <v>6143</v>
      </c>
      <c r="AB1" s="9" t="s">
        <v>6144</v>
      </c>
      <c r="AC1" s="149" t="s">
        <v>33</v>
      </c>
      <c r="AD1" s="149" t="s">
        <v>34</v>
      </c>
      <c r="AE1" s="149" t="s">
        <v>35</v>
      </c>
      <c r="AF1" s="149" t="s">
        <v>37</v>
      </c>
      <c r="AG1" s="149" t="s">
        <v>38</v>
      </c>
      <c r="AH1" s="8" t="s">
        <v>6145</v>
      </c>
      <c r="AI1" s="8" t="s">
        <v>41</v>
      </c>
      <c r="AJ1" s="168" t="s">
        <v>42</v>
      </c>
      <c r="AK1" s="169" t="s">
        <v>43</v>
      </c>
      <c r="AL1" s="169" t="s">
        <v>44</v>
      </c>
      <c r="AM1" s="8" t="s">
        <v>45</v>
      </c>
      <c r="AN1" s="170" t="s">
        <v>49</v>
      </c>
      <c r="AO1" s="100" t="s">
        <v>50</v>
      </c>
      <c r="AP1" s="170" t="s">
        <v>53</v>
      </c>
      <c r="AQ1" s="100" t="s">
        <v>54</v>
      </c>
      <c r="AR1" s="170" t="s">
        <v>55</v>
      </c>
      <c r="AS1" s="100" t="s">
        <v>56</v>
      </c>
      <c r="AT1" s="170" t="s">
        <v>57</v>
      </c>
      <c r="AU1" s="100" t="s">
        <v>58</v>
      </c>
      <c r="AV1" s="170" t="s">
        <v>60</v>
      </c>
      <c r="AW1" s="100" t="s">
        <v>61</v>
      </c>
      <c r="AX1" s="188" t="s">
        <v>62</v>
      </c>
      <c r="AY1" s="16" t="s">
        <v>6146</v>
      </c>
      <c r="AZ1" s="170" t="s">
        <v>66</v>
      </c>
      <c r="BA1" s="189" t="s">
        <v>67</v>
      </c>
      <c r="BB1" s="189" t="s">
        <v>6147</v>
      </c>
      <c r="BC1" s="189" t="s">
        <v>69</v>
      </c>
      <c r="BD1" s="190" t="s">
        <v>6148</v>
      </c>
      <c r="BE1" s="192">
        <v>800000</v>
      </c>
      <c r="BF1" s="193">
        <v>400000</v>
      </c>
      <c r="BG1" s="194" t="s">
        <v>69</v>
      </c>
      <c r="BH1" s="194" t="s">
        <v>6148</v>
      </c>
      <c r="BI1" s="1">
        <v>30000</v>
      </c>
    </row>
    <row r="2" s="2" customFormat="1" ht="26" customHeight="1" spans="1:58">
      <c r="A2" s="11">
        <v>45268</v>
      </c>
      <c r="B2" s="12" t="s">
        <v>315</v>
      </c>
      <c r="C2" s="13" t="s">
        <v>213</v>
      </c>
      <c r="D2" s="14">
        <v>4500120504</v>
      </c>
      <c r="E2" s="15" t="s">
        <v>6149</v>
      </c>
      <c r="F2" s="14" t="s">
        <v>6150</v>
      </c>
      <c r="G2" s="16" t="s">
        <v>73</v>
      </c>
      <c r="H2" s="17" t="s">
        <v>74</v>
      </c>
      <c r="I2" s="84">
        <v>552</v>
      </c>
      <c r="J2" s="85">
        <v>0</v>
      </c>
      <c r="K2" s="16">
        <v>24</v>
      </c>
      <c r="L2" s="84">
        <f t="shared" ref="L2:L65" si="0">I2/K2</f>
        <v>23</v>
      </c>
      <c r="M2" s="86">
        <v>45327</v>
      </c>
      <c r="N2" s="86" t="s">
        <v>6151</v>
      </c>
      <c r="O2" s="87"/>
      <c r="P2" s="87"/>
      <c r="Q2" s="87"/>
      <c r="R2" s="87"/>
      <c r="S2" s="87"/>
      <c r="T2" s="109"/>
      <c r="U2" s="29" t="s">
        <v>6152</v>
      </c>
      <c r="V2" s="110" t="s">
        <v>186</v>
      </c>
      <c r="W2" s="111">
        <v>1.19</v>
      </c>
      <c r="X2" s="112">
        <f t="shared" ref="X2:X7" si="1">I2*W2</f>
        <v>656.88</v>
      </c>
      <c r="Y2" s="84"/>
      <c r="Z2" s="150"/>
      <c r="AA2" s="151"/>
      <c r="AB2" s="87"/>
      <c r="AC2" s="152"/>
      <c r="AD2" s="152"/>
      <c r="AE2" s="152"/>
      <c r="AF2" s="152">
        <f t="shared" ref="AF2:AF29" si="2">I2</f>
        <v>552</v>
      </c>
      <c r="AG2" s="152"/>
      <c r="AH2" s="152"/>
      <c r="AI2" s="171">
        <f t="shared" ref="AI2:AI7" si="3">AF2</f>
        <v>552</v>
      </c>
      <c r="AJ2" s="84"/>
      <c r="AK2" s="172"/>
      <c r="AL2" s="172"/>
      <c r="AM2" s="173">
        <f t="shared" ref="AM2:AM8" si="4">AF2</f>
        <v>552</v>
      </c>
      <c r="AN2" s="173"/>
      <c r="AO2" s="180"/>
      <c r="AP2" s="180"/>
      <c r="AQ2" s="180"/>
      <c r="AR2" s="180"/>
      <c r="AS2" s="180"/>
      <c r="AT2" s="180"/>
      <c r="AU2" s="180"/>
      <c r="AV2" s="180"/>
      <c r="AW2" s="180"/>
      <c r="AX2" s="185"/>
      <c r="AY2" s="185"/>
      <c r="AZ2" s="185"/>
      <c r="BA2" s="185"/>
      <c r="BB2" s="185"/>
      <c r="BE2" s="195"/>
      <c r="BF2" s="195"/>
    </row>
    <row r="3" s="2" customFormat="1" ht="26" customHeight="1" spans="1:58">
      <c r="A3" s="11">
        <v>45268</v>
      </c>
      <c r="B3" s="12" t="s">
        <v>315</v>
      </c>
      <c r="C3" s="13" t="s">
        <v>213</v>
      </c>
      <c r="D3" s="14">
        <v>4500120504</v>
      </c>
      <c r="E3" s="15" t="s">
        <v>6153</v>
      </c>
      <c r="F3" s="14" t="s">
        <v>6154</v>
      </c>
      <c r="G3" s="16" t="s">
        <v>73</v>
      </c>
      <c r="H3" s="17" t="s">
        <v>74</v>
      </c>
      <c r="I3" s="84">
        <v>936</v>
      </c>
      <c r="J3" s="85">
        <v>0</v>
      </c>
      <c r="K3" s="16">
        <v>24</v>
      </c>
      <c r="L3" s="84">
        <f t="shared" si="0"/>
        <v>39</v>
      </c>
      <c r="M3" s="86">
        <v>45327</v>
      </c>
      <c r="N3" s="86" t="s">
        <v>6151</v>
      </c>
      <c r="O3" s="87"/>
      <c r="P3" s="87"/>
      <c r="Q3" s="87"/>
      <c r="R3" s="87"/>
      <c r="S3" s="87"/>
      <c r="T3" s="109"/>
      <c r="U3" s="29" t="s">
        <v>6152</v>
      </c>
      <c r="V3" s="110" t="s">
        <v>186</v>
      </c>
      <c r="W3" s="111">
        <v>1.19</v>
      </c>
      <c r="X3" s="112">
        <f t="shared" si="1"/>
        <v>1113.84</v>
      </c>
      <c r="Y3" s="84"/>
      <c r="Z3" s="150"/>
      <c r="AA3" s="151"/>
      <c r="AB3" s="87"/>
      <c r="AC3" s="152"/>
      <c r="AD3" s="152"/>
      <c r="AE3" s="152"/>
      <c r="AF3" s="152">
        <f t="shared" si="2"/>
        <v>936</v>
      </c>
      <c r="AG3" s="152"/>
      <c r="AH3" s="152"/>
      <c r="AI3" s="171">
        <f t="shared" si="3"/>
        <v>936</v>
      </c>
      <c r="AJ3" s="84"/>
      <c r="AK3" s="172"/>
      <c r="AL3" s="172"/>
      <c r="AM3" s="173">
        <f t="shared" si="4"/>
        <v>936</v>
      </c>
      <c r="AN3" s="173"/>
      <c r="AO3" s="180"/>
      <c r="AP3" s="180"/>
      <c r="AQ3" s="180"/>
      <c r="AR3" s="180"/>
      <c r="AS3" s="180"/>
      <c r="AT3" s="180"/>
      <c r="AU3" s="180"/>
      <c r="AV3" s="180"/>
      <c r="AW3" s="180"/>
      <c r="AX3" s="185"/>
      <c r="AY3" s="185"/>
      <c r="AZ3" s="185"/>
      <c r="BA3" s="185"/>
      <c r="BB3" s="185"/>
      <c r="BE3" s="195"/>
      <c r="BF3" s="195"/>
    </row>
    <row r="4" s="2" customFormat="1" ht="26" customHeight="1" spans="1:58">
      <c r="A4" s="11">
        <v>45271</v>
      </c>
      <c r="B4" s="12" t="s">
        <v>315</v>
      </c>
      <c r="C4" s="13" t="s">
        <v>213</v>
      </c>
      <c r="D4" s="14">
        <v>4500120804</v>
      </c>
      <c r="E4" s="15" t="s">
        <v>6149</v>
      </c>
      <c r="F4" s="14" t="s">
        <v>6155</v>
      </c>
      <c r="G4" s="16" t="s">
        <v>73</v>
      </c>
      <c r="H4" s="17" t="s">
        <v>74</v>
      </c>
      <c r="I4" s="84">
        <v>552</v>
      </c>
      <c r="J4" s="85">
        <v>0</v>
      </c>
      <c r="K4" s="16">
        <v>24</v>
      </c>
      <c r="L4" s="84">
        <f t="shared" si="0"/>
        <v>23</v>
      </c>
      <c r="M4" s="86">
        <v>45356</v>
      </c>
      <c r="N4" s="86" t="s">
        <v>6156</v>
      </c>
      <c r="O4" s="87"/>
      <c r="P4" s="87"/>
      <c r="Q4" s="87"/>
      <c r="R4" s="87" t="s">
        <v>319</v>
      </c>
      <c r="S4" s="87" t="s">
        <v>123</v>
      </c>
      <c r="T4" s="109" t="s">
        <v>3332</v>
      </c>
      <c r="U4" s="29" t="s">
        <v>6157</v>
      </c>
      <c r="V4" s="110" t="s">
        <v>186</v>
      </c>
      <c r="W4" s="111">
        <v>1.19</v>
      </c>
      <c r="X4" s="112">
        <v>1113.84</v>
      </c>
      <c r="Y4" s="84"/>
      <c r="Z4" s="16" t="s">
        <v>73</v>
      </c>
      <c r="AA4" s="151"/>
      <c r="AB4" s="87"/>
      <c r="AC4" s="152"/>
      <c r="AD4" s="152"/>
      <c r="AE4" s="152"/>
      <c r="AF4" s="152">
        <v>936</v>
      </c>
      <c r="AG4" s="152"/>
      <c r="AH4" s="152"/>
      <c r="AI4" s="171">
        <v>936</v>
      </c>
      <c r="AJ4" s="84"/>
      <c r="AK4" s="172"/>
      <c r="AL4" s="172"/>
      <c r="AM4" s="173">
        <f t="shared" si="4"/>
        <v>936</v>
      </c>
      <c r="AN4" s="173"/>
      <c r="AO4" s="180"/>
      <c r="AP4" s="180"/>
      <c r="AQ4" s="180"/>
      <c r="AR4" s="180"/>
      <c r="AS4" s="180"/>
      <c r="AT4" s="180"/>
      <c r="AU4" s="180"/>
      <c r="AV4" s="180"/>
      <c r="AW4" s="180"/>
      <c r="AX4" s="185"/>
      <c r="AY4" s="185"/>
      <c r="AZ4" s="185"/>
      <c r="BA4" s="185"/>
      <c r="BB4" s="185"/>
      <c r="BE4" s="195"/>
      <c r="BF4" s="195"/>
    </row>
    <row r="5" s="2" customFormat="1" ht="26" customHeight="1" spans="1:58">
      <c r="A5" s="11">
        <v>45271</v>
      </c>
      <c r="B5" s="12" t="s">
        <v>315</v>
      </c>
      <c r="C5" s="13" t="s">
        <v>213</v>
      </c>
      <c r="D5" s="14">
        <v>4500120804</v>
      </c>
      <c r="E5" s="15" t="s">
        <v>6153</v>
      </c>
      <c r="F5" s="14" t="s">
        <v>6158</v>
      </c>
      <c r="G5" s="16" t="s">
        <v>73</v>
      </c>
      <c r="H5" s="17" t="s">
        <v>74</v>
      </c>
      <c r="I5" s="84">
        <v>936</v>
      </c>
      <c r="J5" s="85">
        <v>0</v>
      </c>
      <c r="K5" s="16">
        <v>24</v>
      </c>
      <c r="L5" s="84">
        <f t="shared" si="0"/>
        <v>39</v>
      </c>
      <c r="M5" s="86">
        <v>45356</v>
      </c>
      <c r="N5" s="86" t="s">
        <v>6156</v>
      </c>
      <c r="O5" s="87"/>
      <c r="P5" s="87"/>
      <c r="Q5" s="87"/>
      <c r="R5" s="87" t="s">
        <v>319</v>
      </c>
      <c r="S5" s="87" t="s">
        <v>123</v>
      </c>
      <c r="T5" s="109" t="s">
        <v>3332</v>
      </c>
      <c r="U5" s="29" t="s">
        <v>6157</v>
      </c>
      <c r="V5" s="110" t="s">
        <v>186</v>
      </c>
      <c r="W5" s="111">
        <v>1.19</v>
      </c>
      <c r="X5" s="112">
        <v>1113.84</v>
      </c>
      <c r="Y5" s="84"/>
      <c r="Z5" s="16" t="s">
        <v>73</v>
      </c>
      <c r="AA5" s="151"/>
      <c r="AB5" s="87"/>
      <c r="AC5" s="152"/>
      <c r="AD5" s="152"/>
      <c r="AE5" s="152"/>
      <c r="AF5" s="152">
        <v>936</v>
      </c>
      <c r="AG5" s="152"/>
      <c r="AH5" s="152"/>
      <c r="AI5" s="171">
        <v>936</v>
      </c>
      <c r="AJ5" s="84"/>
      <c r="AK5" s="172"/>
      <c r="AL5" s="172"/>
      <c r="AM5" s="173">
        <f t="shared" si="4"/>
        <v>936</v>
      </c>
      <c r="AN5" s="173"/>
      <c r="AO5" s="180"/>
      <c r="AP5" s="180"/>
      <c r="AQ5" s="180"/>
      <c r="AR5" s="180"/>
      <c r="AS5" s="180"/>
      <c r="AT5" s="180"/>
      <c r="AU5" s="180"/>
      <c r="AV5" s="180"/>
      <c r="AW5" s="180"/>
      <c r="AX5" s="185"/>
      <c r="AY5" s="185"/>
      <c r="AZ5" s="185"/>
      <c r="BA5" s="185"/>
      <c r="BB5" s="185"/>
      <c r="BE5" s="195"/>
      <c r="BF5" s="195"/>
    </row>
    <row r="6" s="2" customFormat="1" ht="26" customHeight="1" spans="1:61">
      <c r="A6" s="11">
        <v>45281</v>
      </c>
      <c r="B6" s="12" t="s">
        <v>6159</v>
      </c>
      <c r="C6" s="13" t="s">
        <v>213</v>
      </c>
      <c r="D6" s="14">
        <v>4500121868</v>
      </c>
      <c r="E6" s="15"/>
      <c r="F6" s="14" t="s">
        <v>6160</v>
      </c>
      <c r="G6" s="16" t="s">
        <v>6161</v>
      </c>
      <c r="H6" s="17" t="s">
        <v>74</v>
      </c>
      <c r="I6" s="84">
        <v>3888</v>
      </c>
      <c r="J6" s="85">
        <v>12</v>
      </c>
      <c r="K6" s="16">
        <v>48</v>
      </c>
      <c r="L6" s="84">
        <f t="shared" si="0"/>
        <v>81</v>
      </c>
      <c r="M6" s="86">
        <v>45350</v>
      </c>
      <c r="N6" s="86" t="s">
        <v>6162</v>
      </c>
      <c r="O6" s="87"/>
      <c r="P6" s="87"/>
      <c r="Q6" s="87"/>
      <c r="R6" s="87">
        <v>45295</v>
      </c>
      <c r="S6" s="87" t="s">
        <v>77</v>
      </c>
      <c r="T6" s="109" t="s">
        <v>3332</v>
      </c>
      <c r="U6" s="29" t="s">
        <v>6163</v>
      </c>
      <c r="V6" s="110" t="s">
        <v>218</v>
      </c>
      <c r="W6" s="111">
        <v>1.47</v>
      </c>
      <c r="X6" s="112">
        <f t="shared" si="1"/>
        <v>5715.36</v>
      </c>
      <c r="Y6" s="84"/>
      <c r="Z6" s="150"/>
      <c r="AA6" s="151"/>
      <c r="AB6" s="87"/>
      <c r="AC6" s="152"/>
      <c r="AD6" s="152"/>
      <c r="AE6" s="152"/>
      <c r="AF6" s="152">
        <f t="shared" si="2"/>
        <v>3888</v>
      </c>
      <c r="AG6" s="152"/>
      <c r="AH6" s="152"/>
      <c r="AI6" s="171">
        <f t="shared" si="3"/>
        <v>3888</v>
      </c>
      <c r="AJ6" s="84"/>
      <c r="AK6" s="172"/>
      <c r="AL6" s="172"/>
      <c r="AM6" s="173">
        <f t="shared" si="4"/>
        <v>3888</v>
      </c>
      <c r="AN6" s="173"/>
      <c r="AO6" s="180"/>
      <c r="AP6" s="180">
        <f>I6/12</f>
        <v>324</v>
      </c>
      <c r="AQ6" s="180"/>
      <c r="AR6" s="180"/>
      <c r="AS6" s="180"/>
      <c r="AT6" s="180"/>
      <c r="AU6" s="180"/>
      <c r="AV6" s="180"/>
      <c r="AW6" s="180"/>
      <c r="AX6" s="180"/>
      <c r="AY6" s="180"/>
      <c r="AZ6" s="180"/>
      <c r="BA6" s="180"/>
      <c r="BB6" s="180"/>
      <c r="BC6" s="84">
        <f t="shared" ref="BC6:BC8" si="5">AF6</f>
        <v>3888</v>
      </c>
      <c r="BD6" s="2" t="e">
        <f>#REF!+BC6</f>
        <v>#REF!</v>
      </c>
      <c r="BE6" s="195" t="e">
        <f>$BE$3-BD6</f>
        <v>#REF!</v>
      </c>
      <c r="BF6" s="195"/>
      <c r="BG6" s="2">
        <f>AN6+AO6+AT6+AU6</f>
        <v>0</v>
      </c>
      <c r="BH6" s="2" t="e">
        <f>#REF!+BG6</f>
        <v>#REF!</v>
      </c>
      <c r="BI6" s="2" t="e">
        <f>$BI$3-BH6</f>
        <v>#REF!</v>
      </c>
    </row>
    <row r="7" s="2" customFormat="1" ht="26" customHeight="1" spans="1:61">
      <c r="A7" s="11">
        <v>45302</v>
      </c>
      <c r="B7" s="12" t="s">
        <v>332</v>
      </c>
      <c r="C7" s="13" t="s">
        <v>117</v>
      </c>
      <c r="D7" s="14">
        <v>4500123153</v>
      </c>
      <c r="E7" s="15">
        <v>5200003424</v>
      </c>
      <c r="F7" s="14" t="s">
        <v>6164</v>
      </c>
      <c r="G7" s="16" t="s">
        <v>304</v>
      </c>
      <c r="H7" s="17" t="s">
        <v>74</v>
      </c>
      <c r="I7" s="84">
        <v>4992</v>
      </c>
      <c r="J7" s="85">
        <v>0</v>
      </c>
      <c r="K7" s="16">
        <v>24</v>
      </c>
      <c r="L7" s="84">
        <f t="shared" si="0"/>
        <v>208</v>
      </c>
      <c r="M7" s="86">
        <v>45359</v>
      </c>
      <c r="N7" s="86" t="s">
        <v>6165</v>
      </c>
      <c r="O7" s="87"/>
      <c r="P7" s="87"/>
      <c r="Q7" s="87"/>
      <c r="R7" s="87">
        <v>45341</v>
      </c>
      <c r="S7" s="87" t="s">
        <v>77</v>
      </c>
      <c r="T7" s="109" t="s">
        <v>335</v>
      </c>
      <c r="U7" s="29" t="s">
        <v>336</v>
      </c>
      <c r="V7" s="110" t="s">
        <v>337</v>
      </c>
      <c r="W7" s="111">
        <v>1.19</v>
      </c>
      <c r="X7" s="112">
        <f t="shared" si="1"/>
        <v>5940.48</v>
      </c>
      <c r="Y7" s="84"/>
      <c r="Z7" s="150" t="s">
        <v>73</v>
      </c>
      <c r="AA7" s="151" t="s">
        <v>128</v>
      </c>
      <c r="AB7" s="87"/>
      <c r="AC7" s="152"/>
      <c r="AD7" s="152"/>
      <c r="AE7" s="152"/>
      <c r="AF7" s="152">
        <f t="shared" si="2"/>
        <v>4992</v>
      </c>
      <c r="AG7" s="152"/>
      <c r="AH7" s="152"/>
      <c r="AI7" s="171">
        <f t="shared" si="3"/>
        <v>4992</v>
      </c>
      <c r="AJ7" s="173"/>
      <c r="AK7" s="172"/>
      <c r="AL7" s="172"/>
      <c r="AM7" s="173">
        <f t="shared" si="4"/>
        <v>4992</v>
      </c>
      <c r="AN7" s="173"/>
      <c r="AO7" s="180"/>
      <c r="AP7" s="180"/>
      <c r="AQ7" s="180"/>
      <c r="AR7" s="180"/>
      <c r="AS7" s="180"/>
      <c r="AT7" s="180"/>
      <c r="AU7" s="180"/>
      <c r="AV7" s="180"/>
      <c r="AW7" s="180"/>
      <c r="AX7" s="180"/>
      <c r="AY7" s="180"/>
      <c r="AZ7" s="180"/>
      <c r="BA7" s="180"/>
      <c r="BB7" s="180"/>
      <c r="BC7" s="88">
        <f t="shared" si="5"/>
        <v>4992</v>
      </c>
      <c r="BD7" s="3" t="e">
        <f>#REF!+BC7</f>
        <v>#REF!</v>
      </c>
      <c r="BE7" s="196" t="e">
        <f>$BE$3-BD7</f>
        <v>#REF!</v>
      </c>
      <c r="BF7" s="195"/>
      <c r="BG7" s="2">
        <f>AN7+AO7+AT7+AU7</f>
        <v>0</v>
      </c>
      <c r="BH7" s="2" t="e">
        <f>#REF!+BG7</f>
        <v>#REF!</v>
      </c>
      <c r="BI7" s="2" t="e">
        <f>$BI$3-BH7</f>
        <v>#REF!</v>
      </c>
    </row>
    <row r="8" s="3" customFormat="1" ht="26" customHeight="1" spans="1:58">
      <c r="A8" s="18">
        <v>45341</v>
      </c>
      <c r="B8" s="19" t="s">
        <v>70</v>
      </c>
      <c r="C8" s="20" t="s">
        <v>6166</v>
      </c>
      <c r="D8" s="21" t="s">
        <v>6167</v>
      </c>
      <c r="E8" s="22"/>
      <c r="F8" s="21"/>
      <c r="G8" s="23" t="s">
        <v>525</v>
      </c>
      <c r="H8" s="24" t="s">
        <v>74</v>
      </c>
      <c r="I8" s="88" t="e">
        <f>60000-#REF!-#REF!-#REF!-#REF!-#REF!-#REF!-#REF!</f>
        <v>#REF!</v>
      </c>
      <c r="J8" s="89">
        <v>0</v>
      </c>
      <c r="K8" s="23">
        <v>30</v>
      </c>
      <c r="L8" s="88" t="e">
        <f t="shared" si="0"/>
        <v>#REF!</v>
      </c>
      <c r="M8" s="90">
        <v>45387</v>
      </c>
      <c r="N8" s="90">
        <v>45383</v>
      </c>
      <c r="O8" s="91"/>
      <c r="P8" s="91"/>
      <c r="Q8" s="91"/>
      <c r="R8" s="91" t="s">
        <v>6168</v>
      </c>
      <c r="S8" s="91" t="s">
        <v>77</v>
      </c>
      <c r="T8" s="113" t="s">
        <v>3332</v>
      </c>
      <c r="U8" s="114" t="s">
        <v>6169</v>
      </c>
      <c r="V8" s="115"/>
      <c r="W8" s="116"/>
      <c r="X8" s="117"/>
      <c r="Y8" s="88"/>
      <c r="Z8" s="153" t="s">
        <v>77</v>
      </c>
      <c r="AA8" s="154"/>
      <c r="AB8" s="91"/>
      <c r="AC8" s="155"/>
      <c r="AD8" s="155"/>
      <c r="AE8" s="155"/>
      <c r="AF8" s="155" t="e">
        <f t="shared" si="2"/>
        <v>#REF!</v>
      </c>
      <c r="AG8" s="155"/>
      <c r="AH8" s="155"/>
      <c r="AI8" s="174" t="e">
        <f t="shared" ref="AI8:AI26" si="6">I8</f>
        <v>#REF!</v>
      </c>
      <c r="AJ8" s="88"/>
      <c r="AK8" s="175"/>
      <c r="AL8" s="175"/>
      <c r="AM8" s="175" t="e">
        <f t="shared" si="4"/>
        <v>#REF!</v>
      </c>
      <c r="AN8" s="175"/>
      <c r="AO8" s="181"/>
      <c r="AP8" s="181"/>
      <c r="AQ8" s="181"/>
      <c r="AR8" s="181"/>
      <c r="AS8" s="181"/>
      <c r="AT8" s="181"/>
      <c r="AU8" s="181"/>
      <c r="AV8" s="181"/>
      <c r="AW8" s="181"/>
      <c r="AX8" s="181" t="e">
        <f>I8/30</f>
        <v>#REF!</v>
      </c>
      <c r="AY8" s="181"/>
      <c r="AZ8" s="181"/>
      <c r="BA8" s="181"/>
      <c r="BB8" s="181"/>
      <c r="BC8" s="88" t="e">
        <f t="shared" si="5"/>
        <v>#REF!</v>
      </c>
      <c r="BD8" s="3" t="e">
        <f>#REF!+BC8</f>
        <v>#REF!</v>
      </c>
      <c r="BE8" s="196" t="e">
        <f>$BE$3-BD8</f>
        <v>#REF!</v>
      </c>
      <c r="BF8" s="196"/>
    </row>
    <row r="9" s="2" customFormat="1" ht="36" customHeight="1" spans="1:64">
      <c r="A9" s="25">
        <v>45383</v>
      </c>
      <c r="B9" s="26" t="s">
        <v>854</v>
      </c>
      <c r="C9" s="27" t="s">
        <v>117</v>
      </c>
      <c r="D9" s="28">
        <v>4500128621</v>
      </c>
      <c r="E9" s="29" t="s">
        <v>6170</v>
      </c>
      <c r="F9" s="28" t="s">
        <v>6171</v>
      </c>
      <c r="G9" s="30" t="s">
        <v>160</v>
      </c>
      <c r="H9" s="17" t="s">
        <v>74</v>
      </c>
      <c r="I9" s="84">
        <v>1066</v>
      </c>
      <c r="J9" s="85">
        <v>0</v>
      </c>
      <c r="K9" s="16">
        <v>13</v>
      </c>
      <c r="L9" s="84">
        <f t="shared" si="0"/>
        <v>82</v>
      </c>
      <c r="M9" s="86">
        <v>45427</v>
      </c>
      <c r="N9" s="86">
        <v>45423</v>
      </c>
      <c r="O9" s="87" t="s">
        <v>6172</v>
      </c>
      <c r="P9" s="87" t="s">
        <v>863</v>
      </c>
      <c r="Q9" s="87"/>
      <c r="R9" s="87">
        <v>45392</v>
      </c>
      <c r="S9" s="87" t="s">
        <v>77</v>
      </c>
      <c r="T9" s="87" t="s">
        <v>77</v>
      </c>
      <c r="U9" s="29" t="s">
        <v>6173</v>
      </c>
      <c r="V9" s="87" t="s">
        <v>396</v>
      </c>
      <c r="W9" s="111">
        <v>1.4071</v>
      </c>
      <c r="X9" s="112">
        <f>I9*W9</f>
        <v>1499.9686</v>
      </c>
      <c r="Y9" s="84"/>
      <c r="Z9" s="150" t="s">
        <v>160</v>
      </c>
      <c r="AA9" s="151"/>
      <c r="AB9" s="152"/>
      <c r="AC9" s="152"/>
      <c r="AD9" s="152"/>
      <c r="AE9" s="87"/>
      <c r="AF9" s="152">
        <f t="shared" si="2"/>
        <v>1066</v>
      </c>
      <c r="AG9" s="152"/>
      <c r="AH9" s="152"/>
      <c r="AI9" s="173">
        <f t="shared" si="6"/>
        <v>1066</v>
      </c>
      <c r="AJ9" s="84"/>
      <c r="AK9" s="173"/>
      <c r="AL9" s="173"/>
      <c r="AM9" s="173">
        <f>I9</f>
        <v>1066</v>
      </c>
      <c r="AN9" s="173"/>
      <c r="AO9" s="173"/>
      <c r="AP9" s="173"/>
      <c r="AQ9" s="180"/>
      <c r="AR9" s="180"/>
      <c r="AS9" s="180"/>
      <c r="AT9" s="180"/>
      <c r="AU9" s="180">
        <f>I9/13</f>
        <v>82</v>
      </c>
      <c r="AV9" s="180"/>
      <c r="AW9" s="180"/>
      <c r="AX9" s="180"/>
      <c r="AY9" s="180"/>
      <c r="AZ9" s="180"/>
      <c r="BA9" s="180"/>
      <c r="BB9" s="180"/>
      <c r="BC9" s="180"/>
      <c r="BD9" s="180"/>
      <c r="BE9" s="180"/>
      <c r="BF9" s="84">
        <f>AF9</f>
        <v>1066</v>
      </c>
      <c r="BG9" s="2" t="e">
        <f>'77515 DIY厨艺大师'!#REF!+BF9</f>
        <v>#REF!</v>
      </c>
      <c r="BH9" s="195"/>
      <c r="BI9" s="195" t="e">
        <f>'77515 DIY厨艺大师'!$CB$2+'77515 DIY厨艺大师'!$CC$2-BG9</f>
        <v>#VALUE!</v>
      </c>
      <c r="BJ9" s="2">
        <f>AP9+AQ9+AW9+AX9</f>
        <v>0</v>
      </c>
      <c r="BK9" s="2" t="e">
        <f>'77515 DIY厨艺大师'!#REF!+BJ9</f>
        <v>#REF!</v>
      </c>
      <c r="BL9" s="2" t="e">
        <f>'77515 DIY厨艺大师'!$CF$2-BK9</f>
        <v>#REF!</v>
      </c>
    </row>
    <row r="10" s="2" customFormat="1" ht="36" customHeight="1" spans="1:64">
      <c r="A10" s="25">
        <v>45393</v>
      </c>
      <c r="B10" s="26" t="s">
        <v>933</v>
      </c>
      <c r="C10" s="27" t="s">
        <v>934</v>
      </c>
      <c r="D10" s="28">
        <v>4500129576</v>
      </c>
      <c r="E10" s="29">
        <v>5000001487</v>
      </c>
      <c r="F10" s="28" t="s">
        <v>6174</v>
      </c>
      <c r="G10" s="16" t="s">
        <v>403</v>
      </c>
      <c r="H10" s="17" t="s">
        <v>74</v>
      </c>
      <c r="I10" s="84">
        <v>7332</v>
      </c>
      <c r="J10" s="85">
        <v>0</v>
      </c>
      <c r="K10" s="16">
        <v>52</v>
      </c>
      <c r="L10" s="84">
        <f t="shared" si="0"/>
        <v>141</v>
      </c>
      <c r="M10" s="86">
        <v>45426</v>
      </c>
      <c r="N10" s="86" t="s">
        <v>6175</v>
      </c>
      <c r="O10" s="87" t="s">
        <v>878</v>
      </c>
      <c r="P10" s="87" t="s">
        <v>6176</v>
      </c>
      <c r="Q10" s="87"/>
      <c r="R10" s="87" t="s">
        <v>3332</v>
      </c>
      <c r="S10" s="87" t="s">
        <v>77</v>
      </c>
      <c r="T10" s="87" t="s">
        <v>3332</v>
      </c>
      <c r="U10" s="29" t="s">
        <v>6177</v>
      </c>
      <c r="V10" s="87" t="s">
        <v>938</v>
      </c>
      <c r="W10" s="111">
        <v>1.3813</v>
      </c>
      <c r="X10" s="112">
        <f>I10*W10</f>
        <v>10127.6916</v>
      </c>
      <c r="Y10" s="84"/>
      <c r="Z10" s="150"/>
      <c r="AA10" s="151"/>
      <c r="AB10" s="152"/>
      <c r="AC10" s="152"/>
      <c r="AD10" s="152"/>
      <c r="AE10" s="87"/>
      <c r="AF10" s="152">
        <f t="shared" si="2"/>
        <v>7332</v>
      </c>
      <c r="AG10" s="152"/>
      <c r="AH10" s="152"/>
      <c r="AI10" s="173">
        <f>AF10</f>
        <v>7332</v>
      </c>
      <c r="AJ10" s="173"/>
      <c r="AK10" s="173"/>
      <c r="AL10" s="173"/>
      <c r="AO10" s="173">
        <f>AF10</f>
        <v>7332</v>
      </c>
      <c r="AP10" s="173"/>
      <c r="AQ10" s="180"/>
      <c r="AR10" s="180"/>
      <c r="AS10" s="180"/>
      <c r="AT10" s="180"/>
      <c r="AU10" s="180">
        <f>AF10/13</f>
        <v>564</v>
      </c>
      <c r="AV10" s="180"/>
      <c r="AW10" s="180"/>
      <c r="AX10" s="180"/>
      <c r="AY10" s="180"/>
      <c r="AZ10" s="180"/>
      <c r="BA10" s="180"/>
      <c r="BB10" s="180"/>
      <c r="BC10" s="180"/>
      <c r="BD10" s="180"/>
      <c r="BE10" s="180"/>
      <c r="BF10" s="84">
        <f>AF10</f>
        <v>7332</v>
      </c>
      <c r="BG10" s="2" t="e">
        <f>BG9+BF10</f>
        <v>#REF!</v>
      </c>
      <c r="BH10" s="195"/>
      <c r="BI10" s="195" t="e">
        <f>$BH$3+$BI$3-BG10</f>
        <v>#REF!</v>
      </c>
      <c r="BJ10" s="2">
        <f>AP10+AQ10+AW10+AX10</f>
        <v>0</v>
      </c>
      <c r="BK10" s="2" t="e">
        <f>BK9+BJ10</f>
        <v>#REF!</v>
      </c>
      <c r="BL10" s="2" t="e">
        <f>$BL$3-BK10</f>
        <v>#REF!</v>
      </c>
    </row>
    <row r="11" s="4" customFormat="1" ht="36" customHeight="1" spans="1:62">
      <c r="A11" s="31">
        <v>45411</v>
      </c>
      <c r="B11" s="32" t="s">
        <v>587</v>
      </c>
      <c r="C11" s="33" t="s">
        <v>117</v>
      </c>
      <c r="D11" s="34">
        <v>4500131236</v>
      </c>
      <c r="E11" s="35" t="s">
        <v>6178</v>
      </c>
      <c r="F11" s="34" t="s">
        <v>6179</v>
      </c>
      <c r="G11" s="36" t="s">
        <v>832</v>
      </c>
      <c r="H11" s="37" t="s">
        <v>833</v>
      </c>
      <c r="I11" s="92">
        <v>1152</v>
      </c>
      <c r="J11" s="93">
        <v>0</v>
      </c>
      <c r="K11" s="40">
        <v>1152</v>
      </c>
      <c r="L11" s="92">
        <f t="shared" si="0"/>
        <v>1</v>
      </c>
      <c r="M11" s="94">
        <v>45446</v>
      </c>
      <c r="N11" s="94">
        <v>45442</v>
      </c>
      <c r="O11" s="95"/>
      <c r="P11" s="95"/>
      <c r="Q11" s="95"/>
      <c r="R11" s="118"/>
      <c r="S11" s="97"/>
      <c r="T11" s="119"/>
      <c r="U11" s="35" t="s">
        <v>1103</v>
      </c>
      <c r="V11" s="97" t="s">
        <v>1006</v>
      </c>
      <c r="W11" s="120">
        <v>1752.1376</v>
      </c>
      <c r="X11" s="121">
        <f t="shared" ref="X11:X25" si="7">W11*L11</f>
        <v>1752.1376</v>
      </c>
      <c r="Y11" s="156"/>
      <c r="Z11" s="157"/>
      <c r="AA11" s="158"/>
      <c r="AB11" s="159"/>
      <c r="AC11" s="159"/>
      <c r="AD11" s="159"/>
      <c r="AE11" s="95"/>
      <c r="AF11" s="160">
        <f t="shared" si="2"/>
        <v>1152</v>
      </c>
      <c r="AG11" s="159"/>
      <c r="AH11" s="159"/>
      <c r="AI11" s="176">
        <f t="shared" si="6"/>
        <v>1152</v>
      </c>
      <c r="AJ11" s="177"/>
      <c r="AK11" s="177"/>
      <c r="AL11" s="177"/>
      <c r="AM11" s="177"/>
      <c r="AN11" s="177"/>
      <c r="AO11" s="176">
        <f t="shared" ref="AO11:AO25" si="8">I11</f>
        <v>1152</v>
      </c>
      <c r="AP11" s="177"/>
      <c r="AQ11" s="177"/>
      <c r="AR11" s="92"/>
      <c r="AS11" s="182">
        <f t="shared" ref="AS11:AS25" si="9">I11/12</f>
        <v>96</v>
      </c>
      <c r="AT11" s="92"/>
      <c r="AU11" s="183"/>
      <c r="AV11" s="183"/>
      <c r="AW11" s="183"/>
      <c r="AX11" s="183"/>
      <c r="AY11" s="183"/>
      <c r="AZ11" s="183"/>
      <c r="BA11" s="183"/>
      <c r="BB11" s="183"/>
      <c r="BC11" s="183"/>
      <c r="BD11" s="183"/>
      <c r="BE11" s="183"/>
      <c r="BF11" s="183"/>
      <c r="BG11" s="92"/>
      <c r="BI11" s="197"/>
      <c r="BJ11" s="197"/>
    </row>
    <row r="12" s="4" customFormat="1" ht="36" customHeight="1" spans="1:62">
      <c r="A12" s="31">
        <v>45411</v>
      </c>
      <c r="B12" s="32" t="s">
        <v>587</v>
      </c>
      <c r="C12" s="33" t="s">
        <v>117</v>
      </c>
      <c r="D12" s="34">
        <v>4500131236</v>
      </c>
      <c r="E12" s="1697" t="s">
        <v>6180</v>
      </c>
      <c r="F12" s="34" t="s">
        <v>6181</v>
      </c>
      <c r="G12" s="36" t="s">
        <v>832</v>
      </c>
      <c r="H12" s="37" t="s">
        <v>833</v>
      </c>
      <c r="I12" s="92">
        <v>1152</v>
      </c>
      <c r="J12" s="93">
        <v>0</v>
      </c>
      <c r="K12" s="40">
        <v>1152</v>
      </c>
      <c r="L12" s="92">
        <f t="shared" si="0"/>
        <v>1</v>
      </c>
      <c r="M12" s="94">
        <v>45446</v>
      </c>
      <c r="N12" s="94">
        <v>45442</v>
      </c>
      <c r="O12" s="95"/>
      <c r="P12" s="95"/>
      <c r="Q12" s="95"/>
      <c r="R12" s="118"/>
      <c r="S12" s="97"/>
      <c r="T12" s="119"/>
      <c r="U12" s="35" t="s">
        <v>1103</v>
      </c>
      <c r="V12" s="97" t="s">
        <v>1006</v>
      </c>
      <c r="W12" s="120">
        <v>1752.1376</v>
      </c>
      <c r="X12" s="121">
        <f t="shared" si="7"/>
        <v>1752.1376</v>
      </c>
      <c r="Y12" s="156"/>
      <c r="Z12" s="157"/>
      <c r="AA12" s="158"/>
      <c r="AB12" s="159"/>
      <c r="AC12" s="159"/>
      <c r="AD12" s="159"/>
      <c r="AE12" s="95"/>
      <c r="AF12" s="160">
        <f t="shared" si="2"/>
        <v>1152</v>
      </c>
      <c r="AG12" s="159"/>
      <c r="AH12" s="159"/>
      <c r="AI12" s="176">
        <f t="shared" si="6"/>
        <v>1152</v>
      </c>
      <c r="AJ12" s="177"/>
      <c r="AK12" s="177"/>
      <c r="AL12" s="177"/>
      <c r="AM12" s="177"/>
      <c r="AN12" s="177"/>
      <c r="AO12" s="176">
        <f t="shared" si="8"/>
        <v>1152</v>
      </c>
      <c r="AP12" s="177"/>
      <c r="AQ12" s="177"/>
      <c r="AR12" s="92"/>
      <c r="AS12" s="182">
        <f t="shared" si="9"/>
        <v>96</v>
      </c>
      <c r="AT12" s="92"/>
      <c r="AU12" s="183"/>
      <c r="AV12" s="183"/>
      <c r="AW12" s="183"/>
      <c r="AX12" s="183"/>
      <c r="AY12" s="183"/>
      <c r="AZ12" s="183"/>
      <c r="BA12" s="183"/>
      <c r="BB12" s="183"/>
      <c r="BC12" s="183"/>
      <c r="BD12" s="183"/>
      <c r="BE12" s="183"/>
      <c r="BF12" s="183"/>
      <c r="BG12" s="92"/>
      <c r="BI12" s="197"/>
      <c r="BJ12" s="197"/>
    </row>
    <row r="13" s="4" customFormat="1" ht="36" customHeight="1" spans="1:62">
      <c r="A13" s="31">
        <v>45411</v>
      </c>
      <c r="B13" s="32" t="s">
        <v>587</v>
      </c>
      <c r="C13" s="33" t="s">
        <v>117</v>
      </c>
      <c r="D13" s="38">
        <v>4500131242</v>
      </c>
      <c r="E13" s="1698" t="s">
        <v>6182</v>
      </c>
      <c r="F13" s="38" t="s">
        <v>6183</v>
      </c>
      <c r="G13" s="40" t="s">
        <v>832</v>
      </c>
      <c r="H13" s="37" t="s">
        <v>833</v>
      </c>
      <c r="I13" s="92">
        <v>1152</v>
      </c>
      <c r="J13" s="93">
        <v>0</v>
      </c>
      <c r="K13" s="40">
        <v>1152</v>
      </c>
      <c r="L13" s="92">
        <f t="shared" si="0"/>
        <v>1</v>
      </c>
      <c r="M13" s="96">
        <v>45450</v>
      </c>
      <c r="N13" s="96">
        <v>45446</v>
      </c>
      <c r="O13" s="97"/>
      <c r="P13" s="97"/>
      <c r="Q13" s="97"/>
      <c r="R13" s="97"/>
      <c r="S13" s="97"/>
      <c r="T13" s="97"/>
      <c r="U13" s="122" t="s">
        <v>1103</v>
      </c>
      <c r="V13" s="39" t="s">
        <v>1006</v>
      </c>
      <c r="W13" s="120">
        <v>1752.1376</v>
      </c>
      <c r="X13" s="121">
        <f t="shared" si="7"/>
        <v>1752.1376</v>
      </c>
      <c r="Y13" s="92"/>
      <c r="Z13" s="157"/>
      <c r="AA13" s="161"/>
      <c r="AB13" s="160"/>
      <c r="AC13" s="160"/>
      <c r="AD13" s="160"/>
      <c r="AE13" s="97"/>
      <c r="AF13" s="160">
        <f t="shared" si="2"/>
        <v>1152</v>
      </c>
      <c r="AG13" s="160"/>
      <c r="AH13" s="160"/>
      <c r="AI13" s="176">
        <f t="shared" si="6"/>
        <v>1152</v>
      </c>
      <c r="AJ13" s="176"/>
      <c r="AK13" s="176"/>
      <c r="AL13" s="176"/>
      <c r="AM13" s="177"/>
      <c r="AN13" s="177"/>
      <c r="AO13" s="176">
        <f t="shared" si="8"/>
        <v>1152</v>
      </c>
      <c r="AP13" s="176"/>
      <c r="AQ13" s="176"/>
      <c r="AR13" s="182"/>
      <c r="AS13" s="182">
        <f t="shared" si="9"/>
        <v>96</v>
      </c>
      <c r="AT13" s="182"/>
      <c r="AU13" s="182"/>
      <c r="AV13" s="182"/>
      <c r="AW13" s="182"/>
      <c r="AX13" s="182"/>
      <c r="AY13" s="182"/>
      <c r="AZ13" s="182"/>
      <c r="BA13" s="182"/>
      <c r="BB13" s="182"/>
      <c r="BC13" s="182"/>
      <c r="BD13" s="182"/>
      <c r="BE13" s="182"/>
      <c r="BF13" s="182"/>
      <c r="BG13" s="92"/>
      <c r="BI13" s="197"/>
      <c r="BJ13" s="197"/>
    </row>
    <row r="14" s="4" customFormat="1" ht="36" customHeight="1" spans="1:62">
      <c r="A14" s="31">
        <v>45411</v>
      </c>
      <c r="B14" s="32" t="s">
        <v>587</v>
      </c>
      <c r="C14" s="33" t="s">
        <v>117</v>
      </c>
      <c r="D14" s="38">
        <v>4500131242</v>
      </c>
      <c r="E14" s="39" t="s">
        <v>6184</v>
      </c>
      <c r="F14" s="38" t="s">
        <v>6185</v>
      </c>
      <c r="G14" s="40" t="s">
        <v>832</v>
      </c>
      <c r="H14" s="37" t="s">
        <v>833</v>
      </c>
      <c r="I14" s="92">
        <v>1152</v>
      </c>
      <c r="J14" s="93">
        <v>0</v>
      </c>
      <c r="K14" s="40">
        <v>1152</v>
      </c>
      <c r="L14" s="92">
        <f t="shared" si="0"/>
        <v>1</v>
      </c>
      <c r="M14" s="96">
        <v>45450</v>
      </c>
      <c r="N14" s="96">
        <v>45446</v>
      </c>
      <c r="O14" s="97"/>
      <c r="P14" s="97"/>
      <c r="Q14" s="97"/>
      <c r="R14" s="97"/>
      <c r="S14" s="97"/>
      <c r="T14" s="97"/>
      <c r="U14" s="122" t="s">
        <v>1103</v>
      </c>
      <c r="V14" s="39" t="s">
        <v>1006</v>
      </c>
      <c r="W14" s="120">
        <v>1752.1376</v>
      </c>
      <c r="X14" s="121">
        <f t="shared" si="7"/>
        <v>1752.1376</v>
      </c>
      <c r="Y14" s="92"/>
      <c r="Z14" s="157"/>
      <c r="AA14" s="161"/>
      <c r="AB14" s="160"/>
      <c r="AC14" s="160"/>
      <c r="AD14" s="160"/>
      <c r="AE14" s="97"/>
      <c r="AF14" s="160">
        <f t="shared" si="2"/>
        <v>1152</v>
      </c>
      <c r="AG14" s="160"/>
      <c r="AH14" s="160"/>
      <c r="AI14" s="176">
        <f t="shared" si="6"/>
        <v>1152</v>
      </c>
      <c r="AJ14" s="176"/>
      <c r="AK14" s="176"/>
      <c r="AL14" s="176"/>
      <c r="AM14" s="177"/>
      <c r="AN14" s="177"/>
      <c r="AO14" s="176">
        <f t="shared" si="8"/>
        <v>1152</v>
      </c>
      <c r="AP14" s="176"/>
      <c r="AQ14" s="176"/>
      <c r="AR14" s="182"/>
      <c r="AS14" s="182">
        <f t="shared" si="9"/>
        <v>96</v>
      </c>
      <c r="AT14" s="182"/>
      <c r="AU14" s="182"/>
      <c r="AV14" s="182"/>
      <c r="AW14" s="182"/>
      <c r="AX14" s="182"/>
      <c r="AY14" s="182"/>
      <c r="AZ14" s="182"/>
      <c r="BA14" s="182"/>
      <c r="BB14" s="182"/>
      <c r="BC14" s="182"/>
      <c r="BD14" s="182"/>
      <c r="BE14" s="182"/>
      <c r="BF14" s="182"/>
      <c r="BG14" s="92"/>
      <c r="BI14" s="197"/>
      <c r="BJ14" s="197"/>
    </row>
    <row r="15" s="4" customFormat="1" ht="36" customHeight="1" spans="1:62">
      <c r="A15" s="31">
        <v>45411</v>
      </c>
      <c r="B15" s="32" t="s">
        <v>587</v>
      </c>
      <c r="C15" s="33" t="s">
        <v>117</v>
      </c>
      <c r="D15" s="38">
        <v>4500131242</v>
      </c>
      <c r="E15" s="1698" t="s">
        <v>6186</v>
      </c>
      <c r="F15" s="38" t="s">
        <v>6187</v>
      </c>
      <c r="G15" s="40" t="s">
        <v>832</v>
      </c>
      <c r="H15" s="37" t="s">
        <v>833</v>
      </c>
      <c r="I15" s="92">
        <v>1152</v>
      </c>
      <c r="J15" s="93">
        <v>0</v>
      </c>
      <c r="K15" s="40">
        <v>1152</v>
      </c>
      <c r="L15" s="92">
        <f t="shared" si="0"/>
        <v>1</v>
      </c>
      <c r="M15" s="96">
        <v>45450</v>
      </c>
      <c r="N15" s="96">
        <v>45446</v>
      </c>
      <c r="O15" s="97"/>
      <c r="P15" s="97"/>
      <c r="Q15" s="97"/>
      <c r="R15" s="97"/>
      <c r="S15" s="97"/>
      <c r="T15" s="97"/>
      <c r="U15" s="122" t="s">
        <v>1103</v>
      </c>
      <c r="V15" s="39" t="s">
        <v>1006</v>
      </c>
      <c r="W15" s="120">
        <v>1752.1376</v>
      </c>
      <c r="X15" s="121">
        <f t="shared" si="7"/>
        <v>1752.1376</v>
      </c>
      <c r="Y15" s="92"/>
      <c r="Z15" s="157"/>
      <c r="AA15" s="161"/>
      <c r="AB15" s="160"/>
      <c r="AC15" s="160"/>
      <c r="AD15" s="160"/>
      <c r="AE15" s="97"/>
      <c r="AF15" s="160">
        <f t="shared" si="2"/>
        <v>1152</v>
      </c>
      <c r="AG15" s="160"/>
      <c r="AH15" s="160"/>
      <c r="AI15" s="176">
        <f t="shared" si="6"/>
        <v>1152</v>
      </c>
      <c r="AJ15" s="176"/>
      <c r="AK15" s="176"/>
      <c r="AL15" s="176"/>
      <c r="AM15" s="177"/>
      <c r="AN15" s="177"/>
      <c r="AO15" s="176">
        <f t="shared" si="8"/>
        <v>1152</v>
      </c>
      <c r="AP15" s="176"/>
      <c r="AQ15" s="176"/>
      <c r="AR15" s="182"/>
      <c r="AS15" s="182">
        <f t="shared" si="9"/>
        <v>96</v>
      </c>
      <c r="AT15" s="182"/>
      <c r="AU15" s="182"/>
      <c r="AV15" s="182"/>
      <c r="AW15" s="182"/>
      <c r="AX15" s="182"/>
      <c r="AY15" s="182"/>
      <c r="AZ15" s="182"/>
      <c r="BA15" s="182"/>
      <c r="BB15" s="182"/>
      <c r="BC15" s="182"/>
      <c r="BD15" s="182"/>
      <c r="BE15" s="182"/>
      <c r="BF15" s="182"/>
      <c r="BG15" s="92"/>
      <c r="BI15" s="197"/>
      <c r="BJ15" s="197"/>
    </row>
    <row r="16" s="4" customFormat="1" ht="36" customHeight="1" spans="1:62">
      <c r="A16" s="31">
        <v>45411</v>
      </c>
      <c r="B16" s="32" t="s">
        <v>587</v>
      </c>
      <c r="C16" s="33" t="s">
        <v>117</v>
      </c>
      <c r="D16" s="38">
        <v>4500131242</v>
      </c>
      <c r="E16" s="1698" t="s">
        <v>6188</v>
      </c>
      <c r="F16" s="38" t="s">
        <v>6189</v>
      </c>
      <c r="G16" s="40" t="s">
        <v>832</v>
      </c>
      <c r="H16" s="37" t="s">
        <v>833</v>
      </c>
      <c r="I16" s="92">
        <v>1152</v>
      </c>
      <c r="J16" s="93">
        <v>0</v>
      </c>
      <c r="K16" s="40">
        <v>1152</v>
      </c>
      <c r="L16" s="92">
        <f t="shared" si="0"/>
        <v>1</v>
      </c>
      <c r="M16" s="96">
        <v>45450</v>
      </c>
      <c r="N16" s="96">
        <v>45446</v>
      </c>
      <c r="O16" s="97"/>
      <c r="P16" s="97"/>
      <c r="Q16" s="97"/>
      <c r="R16" s="97"/>
      <c r="S16" s="97"/>
      <c r="T16" s="97"/>
      <c r="U16" s="122" t="s">
        <v>1103</v>
      </c>
      <c r="V16" s="39" t="s">
        <v>1006</v>
      </c>
      <c r="W16" s="120">
        <v>1752.1376</v>
      </c>
      <c r="X16" s="121">
        <f t="shared" si="7"/>
        <v>1752.1376</v>
      </c>
      <c r="Y16" s="92"/>
      <c r="Z16" s="157"/>
      <c r="AA16" s="161"/>
      <c r="AB16" s="160"/>
      <c r="AC16" s="160"/>
      <c r="AD16" s="160"/>
      <c r="AE16" s="97"/>
      <c r="AF16" s="160">
        <f t="shared" si="2"/>
        <v>1152</v>
      </c>
      <c r="AG16" s="160"/>
      <c r="AH16" s="160"/>
      <c r="AI16" s="176">
        <f t="shared" si="6"/>
        <v>1152</v>
      </c>
      <c r="AJ16" s="176"/>
      <c r="AK16" s="176"/>
      <c r="AL16" s="176"/>
      <c r="AM16" s="177"/>
      <c r="AN16" s="177"/>
      <c r="AO16" s="176">
        <f t="shared" si="8"/>
        <v>1152</v>
      </c>
      <c r="AP16" s="176"/>
      <c r="AQ16" s="176"/>
      <c r="AR16" s="182"/>
      <c r="AS16" s="182">
        <f t="shared" si="9"/>
        <v>96</v>
      </c>
      <c r="AT16" s="182"/>
      <c r="AU16" s="182"/>
      <c r="AV16" s="182"/>
      <c r="AW16" s="182"/>
      <c r="AX16" s="182"/>
      <c r="AY16" s="182"/>
      <c r="AZ16" s="182"/>
      <c r="BA16" s="182"/>
      <c r="BB16" s="182"/>
      <c r="BC16" s="182"/>
      <c r="BD16" s="182"/>
      <c r="BE16" s="182"/>
      <c r="BF16" s="182"/>
      <c r="BG16" s="92"/>
      <c r="BI16" s="197"/>
      <c r="BJ16" s="197"/>
    </row>
    <row r="17" s="4" customFormat="1" ht="36" customHeight="1" spans="1:62">
      <c r="A17" s="41">
        <v>45411</v>
      </c>
      <c r="B17" s="42" t="s">
        <v>587</v>
      </c>
      <c r="C17" s="43" t="s">
        <v>117</v>
      </c>
      <c r="D17" s="44">
        <v>4500131244</v>
      </c>
      <c r="E17" s="1699" t="s">
        <v>6190</v>
      </c>
      <c r="F17" s="44" t="s">
        <v>6191</v>
      </c>
      <c r="G17" s="40" t="s">
        <v>832</v>
      </c>
      <c r="H17" s="37" t="s">
        <v>833</v>
      </c>
      <c r="I17" s="92">
        <v>1152</v>
      </c>
      <c r="J17" s="93">
        <v>0</v>
      </c>
      <c r="K17" s="40">
        <v>1152</v>
      </c>
      <c r="L17" s="92">
        <f t="shared" si="0"/>
        <v>1</v>
      </c>
      <c r="M17" s="96">
        <v>45457</v>
      </c>
      <c r="N17" s="96">
        <v>45453</v>
      </c>
      <c r="O17" s="97"/>
      <c r="P17" s="97"/>
      <c r="Q17" s="97"/>
      <c r="R17" s="97"/>
      <c r="S17" s="97"/>
      <c r="T17" s="123"/>
      <c r="U17" s="39" t="s">
        <v>1103</v>
      </c>
      <c r="V17" s="39" t="s">
        <v>1006</v>
      </c>
      <c r="W17" s="120">
        <v>1752.1376</v>
      </c>
      <c r="X17" s="121">
        <f t="shared" si="7"/>
        <v>1752.1376</v>
      </c>
      <c r="Y17" s="92"/>
      <c r="Z17" s="157"/>
      <c r="AA17" s="161"/>
      <c r="AB17" s="160"/>
      <c r="AC17" s="160"/>
      <c r="AD17" s="160"/>
      <c r="AE17" s="97"/>
      <c r="AF17" s="160">
        <f t="shared" si="2"/>
        <v>1152</v>
      </c>
      <c r="AG17" s="160"/>
      <c r="AH17" s="160"/>
      <c r="AI17" s="176">
        <f t="shared" si="6"/>
        <v>1152</v>
      </c>
      <c r="AJ17" s="176"/>
      <c r="AK17" s="176"/>
      <c r="AL17" s="176"/>
      <c r="AM17" s="176"/>
      <c r="AN17" s="176"/>
      <c r="AO17" s="176">
        <f t="shared" si="8"/>
        <v>1152</v>
      </c>
      <c r="AP17" s="176"/>
      <c r="AQ17" s="176"/>
      <c r="AR17" s="182"/>
      <c r="AS17" s="182">
        <f t="shared" si="9"/>
        <v>96</v>
      </c>
      <c r="AT17" s="92"/>
      <c r="AU17" s="182"/>
      <c r="AV17" s="182"/>
      <c r="AW17" s="182"/>
      <c r="AX17" s="182"/>
      <c r="AY17" s="182"/>
      <c r="AZ17" s="182"/>
      <c r="BA17" s="182"/>
      <c r="BB17" s="182"/>
      <c r="BC17" s="182"/>
      <c r="BD17" s="182"/>
      <c r="BE17" s="182"/>
      <c r="BF17" s="182"/>
      <c r="BG17" s="92"/>
      <c r="BI17" s="197"/>
      <c r="BJ17" s="197"/>
    </row>
    <row r="18" s="4" customFormat="1" ht="36" customHeight="1" spans="1:62">
      <c r="A18" s="41">
        <v>45411</v>
      </c>
      <c r="B18" s="42" t="s">
        <v>587</v>
      </c>
      <c r="C18" s="43" t="s">
        <v>117</v>
      </c>
      <c r="D18" s="44">
        <v>4500131244</v>
      </c>
      <c r="E18" s="1699" t="s">
        <v>6192</v>
      </c>
      <c r="F18" s="44" t="s">
        <v>6193</v>
      </c>
      <c r="G18" s="40" t="s">
        <v>832</v>
      </c>
      <c r="H18" s="37" t="s">
        <v>833</v>
      </c>
      <c r="I18" s="92">
        <v>2304</v>
      </c>
      <c r="J18" s="93">
        <v>0</v>
      </c>
      <c r="K18" s="40">
        <v>1152</v>
      </c>
      <c r="L18" s="92">
        <f t="shared" si="0"/>
        <v>2</v>
      </c>
      <c r="M18" s="96">
        <v>45457</v>
      </c>
      <c r="N18" s="96">
        <v>45453</v>
      </c>
      <c r="O18" s="97"/>
      <c r="P18" s="97"/>
      <c r="Q18" s="97"/>
      <c r="R18" s="97"/>
      <c r="S18" s="97"/>
      <c r="T18" s="123"/>
      <c r="U18" s="39" t="s">
        <v>1103</v>
      </c>
      <c r="V18" s="39" t="s">
        <v>1006</v>
      </c>
      <c r="W18" s="120">
        <v>1752.1376</v>
      </c>
      <c r="X18" s="121">
        <f t="shared" si="7"/>
        <v>3504.2752</v>
      </c>
      <c r="Y18" s="92"/>
      <c r="Z18" s="157"/>
      <c r="AA18" s="161"/>
      <c r="AB18" s="160"/>
      <c r="AC18" s="160"/>
      <c r="AD18" s="160"/>
      <c r="AE18" s="97"/>
      <c r="AF18" s="160">
        <f t="shared" si="2"/>
        <v>2304</v>
      </c>
      <c r="AG18" s="160"/>
      <c r="AH18" s="160"/>
      <c r="AI18" s="176">
        <f t="shared" si="6"/>
        <v>2304</v>
      </c>
      <c r="AJ18" s="176"/>
      <c r="AK18" s="176"/>
      <c r="AL18" s="176"/>
      <c r="AM18" s="176"/>
      <c r="AN18" s="176"/>
      <c r="AO18" s="176">
        <f t="shared" si="8"/>
        <v>2304</v>
      </c>
      <c r="AP18" s="176"/>
      <c r="AQ18" s="176"/>
      <c r="AR18" s="182"/>
      <c r="AS18" s="182">
        <f t="shared" si="9"/>
        <v>192</v>
      </c>
      <c r="AT18" s="92"/>
      <c r="AU18" s="182"/>
      <c r="AV18" s="182"/>
      <c r="AW18" s="182"/>
      <c r="AX18" s="182"/>
      <c r="AY18" s="182"/>
      <c r="AZ18" s="182"/>
      <c r="BA18" s="182"/>
      <c r="BB18" s="182"/>
      <c r="BC18" s="182"/>
      <c r="BD18" s="182"/>
      <c r="BE18" s="182"/>
      <c r="BF18" s="182"/>
      <c r="BG18" s="92"/>
      <c r="BI18" s="197"/>
      <c r="BJ18" s="197"/>
    </row>
    <row r="19" s="4" customFormat="1" ht="36" customHeight="1" spans="1:62">
      <c r="A19" s="45">
        <v>45411</v>
      </c>
      <c r="B19" s="35" t="s">
        <v>587</v>
      </c>
      <c r="C19" s="33" t="s">
        <v>117</v>
      </c>
      <c r="D19" s="46">
        <v>4500131246</v>
      </c>
      <c r="E19" s="1700" t="s">
        <v>6194</v>
      </c>
      <c r="F19" s="46" t="s">
        <v>6195</v>
      </c>
      <c r="G19" s="40" t="s">
        <v>832</v>
      </c>
      <c r="H19" s="37" t="s">
        <v>833</v>
      </c>
      <c r="I19" s="92">
        <v>2304</v>
      </c>
      <c r="J19" s="93">
        <v>0</v>
      </c>
      <c r="K19" s="40">
        <v>1152</v>
      </c>
      <c r="L19" s="92">
        <f t="shared" si="0"/>
        <v>2</v>
      </c>
      <c r="M19" s="96">
        <v>45461</v>
      </c>
      <c r="N19" s="96">
        <v>45457</v>
      </c>
      <c r="O19" s="97"/>
      <c r="P19" s="97"/>
      <c r="Q19" s="97"/>
      <c r="R19" s="97"/>
      <c r="S19" s="97"/>
      <c r="T19" s="97"/>
      <c r="U19" s="39" t="s">
        <v>1103</v>
      </c>
      <c r="V19" s="39" t="s">
        <v>1006</v>
      </c>
      <c r="W19" s="120">
        <v>1752.1376</v>
      </c>
      <c r="X19" s="121">
        <f t="shared" si="7"/>
        <v>3504.2752</v>
      </c>
      <c r="Y19" s="92"/>
      <c r="Z19" s="157"/>
      <c r="AA19" s="161"/>
      <c r="AB19" s="160"/>
      <c r="AC19" s="160"/>
      <c r="AD19" s="160"/>
      <c r="AE19" s="97"/>
      <c r="AF19" s="160">
        <f t="shared" si="2"/>
        <v>2304</v>
      </c>
      <c r="AG19" s="160"/>
      <c r="AH19" s="160"/>
      <c r="AI19" s="176">
        <f t="shared" si="6"/>
        <v>2304</v>
      </c>
      <c r="AJ19" s="176"/>
      <c r="AK19" s="176"/>
      <c r="AL19" s="176"/>
      <c r="AM19" s="176"/>
      <c r="AN19" s="176"/>
      <c r="AO19" s="176">
        <f t="shared" si="8"/>
        <v>2304</v>
      </c>
      <c r="AP19" s="176"/>
      <c r="AQ19" s="176"/>
      <c r="AR19" s="182"/>
      <c r="AS19" s="182">
        <f t="shared" si="9"/>
        <v>192</v>
      </c>
      <c r="AT19" s="92"/>
      <c r="AU19" s="182"/>
      <c r="AV19" s="182"/>
      <c r="AW19" s="182"/>
      <c r="AX19" s="182"/>
      <c r="AY19" s="182"/>
      <c r="AZ19" s="182"/>
      <c r="BA19" s="182"/>
      <c r="BB19" s="182"/>
      <c r="BC19" s="182"/>
      <c r="BD19" s="182"/>
      <c r="BE19" s="182"/>
      <c r="BF19" s="182"/>
      <c r="BG19" s="92"/>
      <c r="BI19" s="197"/>
      <c r="BJ19" s="197"/>
    </row>
    <row r="20" s="4" customFormat="1" ht="36" customHeight="1" spans="1:62">
      <c r="A20" s="45">
        <v>45411</v>
      </c>
      <c r="B20" s="35" t="s">
        <v>587</v>
      </c>
      <c r="C20" s="33" t="s">
        <v>117</v>
      </c>
      <c r="D20" s="46">
        <v>4500131246</v>
      </c>
      <c r="E20" s="1700" t="s">
        <v>6196</v>
      </c>
      <c r="F20" s="46" t="s">
        <v>6197</v>
      </c>
      <c r="G20" s="40" t="s">
        <v>832</v>
      </c>
      <c r="H20" s="37" t="s">
        <v>833</v>
      </c>
      <c r="I20" s="92">
        <v>2304</v>
      </c>
      <c r="J20" s="93">
        <v>0</v>
      </c>
      <c r="K20" s="40">
        <v>1152</v>
      </c>
      <c r="L20" s="92">
        <f t="shared" si="0"/>
        <v>2</v>
      </c>
      <c r="M20" s="96">
        <v>45461</v>
      </c>
      <c r="N20" s="96">
        <v>45457</v>
      </c>
      <c r="O20" s="97"/>
      <c r="P20" s="97"/>
      <c r="Q20" s="97"/>
      <c r="R20" s="97"/>
      <c r="S20" s="97"/>
      <c r="T20" s="97"/>
      <c r="U20" s="39" t="s">
        <v>1103</v>
      </c>
      <c r="V20" s="39" t="s">
        <v>1006</v>
      </c>
      <c r="W20" s="120">
        <v>1752.1376</v>
      </c>
      <c r="X20" s="121">
        <f t="shared" si="7"/>
        <v>3504.2752</v>
      </c>
      <c r="Y20" s="92"/>
      <c r="Z20" s="157"/>
      <c r="AA20" s="161"/>
      <c r="AB20" s="160"/>
      <c r="AC20" s="160"/>
      <c r="AD20" s="160"/>
      <c r="AE20" s="97"/>
      <c r="AF20" s="160">
        <f t="shared" si="2"/>
        <v>2304</v>
      </c>
      <c r="AG20" s="160"/>
      <c r="AH20" s="160"/>
      <c r="AI20" s="176">
        <f t="shared" si="6"/>
        <v>2304</v>
      </c>
      <c r="AJ20" s="176"/>
      <c r="AK20" s="176"/>
      <c r="AL20" s="176"/>
      <c r="AM20" s="176"/>
      <c r="AN20" s="176"/>
      <c r="AO20" s="176">
        <f t="shared" si="8"/>
        <v>2304</v>
      </c>
      <c r="AP20" s="176"/>
      <c r="AQ20" s="176"/>
      <c r="AR20" s="182"/>
      <c r="AS20" s="182">
        <f t="shared" si="9"/>
        <v>192</v>
      </c>
      <c r="AT20" s="92"/>
      <c r="AU20" s="182"/>
      <c r="AV20" s="182"/>
      <c r="AW20" s="182"/>
      <c r="AX20" s="182"/>
      <c r="AY20" s="182"/>
      <c r="AZ20" s="182"/>
      <c r="BA20" s="182"/>
      <c r="BB20" s="182"/>
      <c r="BC20" s="182"/>
      <c r="BD20" s="182"/>
      <c r="BE20" s="182"/>
      <c r="BF20" s="182"/>
      <c r="BG20" s="92"/>
      <c r="BI20" s="197"/>
      <c r="BJ20" s="197"/>
    </row>
    <row r="21" s="4" customFormat="1" ht="36" customHeight="1" spans="1:62">
      <c r="A21" s="45">
        <v>45411</v>
      </c>
      <c r="B21" s="35" t="s">
        <v>587</v>
      </c>
      <c r="C21" s="33" t="s">
        <v>117</v>
      </c>
      <c r="D21" s="34">
        <v>4500131248</v>
      </c>
      <c r="E21" s="1697" t="s">
        <v>6198</v>
      </c>
      <c r="F21" s="34" t="s">
        <v>6199</v>
      </c>
      <c r="G21" s="40" t="s">
        <v>832</v>
      </c>
      <c r="H21" s="37" t="s">
        <v>833</v>
      </c>
      <c r="I21" s="92">
        <v>1152</v>
      </c>
      <c r="J21" s="93">
        <v>0</v>
      </c>
      <c r="K21" s="40">
        <v>1152</v>
      </c>
      <c r="L21" s="92">
        <f t="shared" si="0"/>
        <v>1</v>
      </c>
      <c r="M21" s="96">
        <v>45464</v>
      </c>
      <c r="N21" s="96">
        <v>45460</v>
      </c>
      <c r="O21" s="97"/>
      <c r="P21" s="97"/>
      <c r="Q21" s="97"/>
      <c r="R21" s="97"/>
      <c r="S21" s="97"/>
      <c r="T21" s="97"/>
      <c r="U21" s="39" t="s">
        <v>1103</v>
      </c>
      <c r="V21" s="39" t="s">
        <v>1006</v>
      </c>
      <c r="W21" s="120">
        <v>1746.3776</v>
      </c>
      <c r="X21" s="121">
        <f t="shared" si="7"/>
        <v>1746.3776</v>
      </c>
      <c r="Y21" s="92"/>
      <c r="Z21" s="157"/>
      <c r="AA21" s="161"/>
      <c r="AB21" s="160"/>
      <c r="AC21" s="160"/>
      <c r="AD21" s="160"/>
      <c r="AE21" s="97"/>
      <c r="AF21" s="160">
        <f t="shared" si="2"/>
        <v>1152</v>
      </c>
      <c r="AG21" s="160"/>
      <c r="AH21" s="160"/>
      <c r="AI21" s="176">
        <f t="shared" si="6"/>
        <v>1152</v>
      </c>
      <c r="AJ21" s="176"/>
      <c r="AK21" s="176"/>
      <c r="AL21" s="176"/>
      <c r="AM21" s="176"/>
      <c r="AN21" s="176"/>
      <c r="AO21" s="176">
        <f t="shared" si="8"/>
        <v>1152</v>
      </c>
      <c r="AP21" s="176"/>
      <c r="AQ21" s="176"/>
      <c r="AR21" s="182"/>
      <c r="AS21" s="182">
        <f t="shared" si="9"/>
        <v>96</v>
      </c>
      <c r="AT21" s="182"/>
      <c r="AU21" s="182"/>
      <c r="AV21" s="182"/>
      <c r="AW21" s="182"/>
      <c r="AX21" s="182"/>
      <c r="AY21" s="182"/>
      <c r="AZ21" s="182"/>
      <c r="BA21" s="182"/>
      <c r="BB21" s="182"/>
      <c r="BC21" s="182"/>
      <c r="BD21" s="182"/>
      <c r="BE21" s="182"/>
      <c r="BF21" s="182"/>
      <c r="BG21" s="92"/>
      <c r="BI21" s="197"/>
      <c r="BJ21" s="197"/>
    </row>
    <row r="22" s="4" customFormat="1" ht="36" customHeight="1" spans="1:62">
      <c r="A22" s="45">
        <v>45411</v>
      </c>
      <c r="B22" s="35" t="s">
        <v>587</v>
      </c>
      <c r="C22" s="33" t="s">
        <v>117</v>
      </c>
      <c r="D22" s="34">
        <v>4500131248</v>
      </c>
      <c r="E22" s="1697" t="s">
        <v>6200</v>
      </c>
      <c r="F22" s="34" t="s">
        <v>6201</v>
      </c>
      <c r="G22" s="40" t="s">
        <v>832</v>
      </c>
      <c r="H22" s="37" t="s">
        <v>833</v>
      </c>
      <c r="I22" s="92">
        <v>2304</v>
      </c>
      <c r="J22" s="93">
        <v>0</v>
      </c>
      <c r="K22" s="40">
        <v>1152</v>
      </c>
      <c r="L22" s="92">
        <f t="shared" si="0"/>
        <v>2</v>
      </c>
      <c r="M22" s="96">
        <v>45464</v>
      </c>
      <c r="N22" s="96">
        <v>45460</v>
      </c>
      <c r="O22" s="97"/>
      <c r="P22" s="97"/>
      <c r="Q22" s="97"/>
      <c r="R22" s="97"/>
      <c r="S22" s="97"/>
      <c r="T22" s="97"/>
      <c r="U22" s="39" t="s">
        <v>1103</v>
      </c>
      <c r="V22" s="39" t="s">
        <v>1006</v>
      </c>
      <c r="W22" s="120">
        <v>1746.3776</v>
      </c>
      <c r="X22" s="121">
        <f t="shared" si="7"/>
        <v>3492.7552</v>
      </c>
      <c r="Y22" s="92"/>
      <c r="Z22" s="157"/>
      <c r="AA22" s="161"/>
      <c r="AB22" s="160"/>
      <c r="AC22" s="160"/>
      <c r="AD22" s="160"/>
      <c r="AE22" s="97"/>
      <c r="AF22" s="160">
        <f t="shared" si="2"/>
        <v>2304</v>
      </c>
      <c r="AG22" s="160"/>
      <c r="AH22" s="160"/>
      <c r="AI22" s="176">
        <f t="shared" si="6"/>
        <v>2304</v>
      </c>
      <c r="AJ22" s="176"/>
      <c r="AK22" s="176"/>
      <c r="AL22" s="176"/>
      <c r="AM22" s="176"/>
      <c r="AN22" s="176"/>
      <c r="AO22" s="176">
        <f t="shared" si="8"/>
        <v>2304</v>
      </c>
      <c r="AP22" s="176"/>
      <c r="AQ22" s="176"/>
      <c r="AR22" s="182"/>
      <c r="AS22" s="182">
        <f t="shared" si="9"/>
        <v>192</v>
      </c>
      <c r="AT22" s="182"/>
      <c r="AU22" s="182"/>
      <c r="AV22" s="182"/>
      <c r="AW22" s="182"/>
      <c r="AX22" s="182"/>
      <c r="AY22" s="182"/>
      <c r="AZ22" s="182"/>
      <c r="BA22" s="182"/>
      <c r="BB22" s="182"/>
      <c r="BC22" s="182"/>
      <c r="BD22" s="182"/>
      <c r="BE22" s="182"/>
      <c r="BF22" s="182"/>
      <c r="BG22" s="92"/>
      <c r="BI22" s="197"/>
      <c r="BJ22" s="197"/>
    </row>
    <row r="23" s="4" customFormat="1" ht="36" customHeight="1" spans="1:62">
      <c r="A23" s="45">
        <v>45411</v>
      </c>
      <c r="B23" s="35" t="s">
        <v>587</v>
      </c>
      <c r="C23" s="33" t="s">
        <v>117</v>
      </c>
      <c r="D23" s="34">
        <v>4500131248</v>
      </c>
      <c r="E23" s="1697" t="s">
        <v>6202</v>
      </c>
      <c r="F23" s="34" t="s">
        <v>6203</v>
      </c>
      <c r="G23" s="40" t="s">
        <v>832</v>
      </c>
      <c r="H23" s="37" t="s">
        <v>833</v>
      </c>
      <c r="I23" s="92">
        <v>2304</v>
      </c>
      <c r="J23" s="93">
        <v>0</v>
      </c>
      <c r="K23" s="40">
        <v>1152</v>
      </c>
      <c r="L23" s="92">
        <f t="shared" si="0"/>
        <v>2</v>
      </c>
      <c r="M23" s="96">
        <v>45464</v>
      </c>
      <c r="N23" s="96">
        <v>45460</v>
      </c>
      <c r="O23" s="97"/>
      <c r="P23" s="97"/>
      <c r="Q23" s="97"/>
      <c r="R23" s="97"/>
      <c r="S23" s="97"/>
      <c r="T23" s="97"/>
      <c r="U23" s="39" t="s">
        <v>1103</v>
      </c>
      <c r="V23" s="39" t="s">
        <v>1006</v>
      </c>
      <c r="W23" s="120">
        <v>1746.3776</v>
      </c>
      <c r="X23" s="121">
        <f t="shared" si="7"/>
        <v>3492.7552</v>
      </c>
      <c r="Y23" s="92"/>
      <c r="Z23" s="157"/>
      <c r="AA23" s="161"/>
      <c r="AB23" s="160"/>
      <c r="AC23" s="160"/>
      <c r="AD23" s="160"/>
      <c r="AE23" s="97"/>
      <c r="AF23" s="160">
        <f t="shared" si="2"/>
        <v>2304</v>
      </c>
      <c r="AG23" s="160"/>
      <c r="AH23" s="160"/>
      <c r="AI23" s="176">
        <f t="shared" si="6"/>
        <v>2304</v>
      </c>
      <c r="AJ23" s="176"/>
      <c r="AK23" s="176"/>
      <c r="AL23" s="176"/>
      <c r="AM23" s="176"/>
      <c r="AN23" s="176"/>
      <c r="AO23" s="176">
        <f t="shared" si="8"/>
        <v>2304</v>
      </c>
      <c r="AP23" s="176"/>
      <c r="AQ23" s="176"/>
      <c r="AR23" s="182"/>
      <c r="AS23" s="182">
        <f t="shared" si="9"/>
        <v>192</v>
      </c>
      <c r="AT23" s="182"/>
      <c r="AU23" s="182"/>
      <c r="AV23" s="182"/>
      <c r="AW23" s="182"/>
      <c r="AX23" s="182"/>
      <c r="AY23" s="182"/>
      <c r="AZ23" s="182"/>
      <c r="BA23" s="182"/>
      <c r="BB23" s="182"/>
      <c r="BC23" s="182"/>
      <c r="BD23" s="182"/>
      <c r="BE23" s="182"/>
      <c r="BF23" s="182"/>
      <c r="BG23" s="92"/>
      <c r="BI23" s="197"/>
      <c r="BJ23" s="197"/>
    </row>
    <row r="24" s="4" customFormat="1" ht="36" customHeight="1" spans="1:62">
      <c r="A24" s="48">
        <v>45411</v>
      </c>
      <c r="B24" s="49" t="s">
        <v>587</v>
      </c>
      <c r="C24" s="50" t="s">
        <v>117</v>
      </c>
      <c r="D24" s="34">
        <v>4500131249</v>
      </c>
      <c r="E24" s="1697" t="s">
        <v>6204</v>
      </c>
      <c r="F24" s="34" t="s">
        <v>6205</v>
      </c>
      <c r="G24" s="40" t="s">
        <v>832</v>
      </c>
      <c r="H24" s="37" t="s">
        <v>833</v>
      </c>
      <c r="I24" s="92">
        <v>1152</v>
      </c>
      <c r="J24" s="93">
        <v>0</v>
      </c>
      <c r="K24" s="40">
        <v>1152</v>
      </c>
      <c r="L24" s="92">
        <f t="shared" si="0"/>
        <v>1</v>
      </c>
      <c r="M24" s="96">
        <v>45471</v>
      </c>
      <c r="N24" s="96">
        <v>45467</v>
      </c>
      <c r="O24" s="97"/>
      <c r="P24" s="97"/>
      <c r="Q24" s="97"/>
      <c r="R24" s="118"/>
      <c r="S24" s="97"/>
      <c r="T24" s="119"/>
      <c r="U24" s="39" t="s">
        <v>1103</v>
      </c>
      <c r="V24" s="97" t="s">
        <v>1006</v>
      </c>
      <c r="W24" s="120">
        <v>1752.1376</v>
      </c>
      <c r="X24" s="121">
        <f t="shared" si="7"/>
        <v>1752.1376</v>
      </c>
      <c r="Y24" s="92"/>
      <c r="Z24" s="157"/>
      <c r="AA24" s="161"/>
      <c r="AB24" s="160"/>
      <c r="AC24" s="160"/>
      <c r="AD24" s="160"/>
      <c r="AE24" s="97"/>
      <c r="AF24" s="160">
        <f t="shared" si="2"/>
        <v>1152</v>
      </c>
      <c r="AG24" s="160"/>
      <c r="AH24" s="160"/>
      <c r="AI24" s="176">
        <f t="shared" si="6"/>
        <v>1152</v>
      </c>
      <c r="AJ24" s="176"/>
      <c r="AK24" s="176"/>
      <c r="AL24" s="176"/>
      <c r="AM24" s="177"/>
      <c r="AN24" s="177"/>
      <c r="AO24" s="176">
        <f t="shared" si="8"/>
        <v>1152</v>
      </c>
      <c r="AP24" s="176"/>
      <c r="AQ24" s="176"/>
      <c r="AR24" s="182"/>
      <c r="AS24" s="182">
        <f t="shared" si="9"/>
        <v>96</v>
      </c>
      <c r="AT24" s="182"/>
      <c r="AU24" s="182"/>
      <c r="AV24" s="182"/>
      <c r="AW24" s="182"/>
      <c r="AX24" s="182"/>
      <c r="AY24" s="182"/>
      <c r="AZ24" s="182"/>
      <c r="BA24" s="182"/>
      <c r="BB24" s="182"/>
      <c r="BC24" s="182"/>
      <c r="BD24" s="182"/>
      <c r="BE24" s="182"/>
      <c r="BF24" s="182"/>
      <c r="BG24" s="92"/>
      <c r="BI24" s="197"/>
      <c r="BJ24" s="197"/>
    </row>
    <row r="25" s="4" customFormat="1" ht="36" customHeight="1" spans="1:62">
      <c r="A25" s="48">
        <v>45411</v>
      </c>
      <c r="B25" s="49" t="s">
        <v>587</v>
      </c>
      <c r="C25" s="50" t="s">
        <v>117</v>
      </c>
      <c r="D25" s="34">
        <v>4500131249</v>
      </c>
      <c r="E25" s="1697" t="s">
        <v>6206</v>
      </c>
      <c r="F25" s="34" t="s">
        <v>6207</v>
      </c>
      <c r="G25" s="40" t="s">
        <v>832</v>
      </c>
      <c r="H25" s="37" t="s">
        <v>833</v>
      </c>
      <c r="I25" s="92">
        <v>2304</v>
      </c>
      <c r="J25" s="93">
        <v>0</v>
      </c>
      <c r="K25" s="40">
        <v>1152</v>
      </c>
      <c r="L25" s="92">
        <f t="shared" si="0"/>
        <v>2</v>
      </c>
      <c r="M25" s="96">
        <v>45471</v>
      </c>
      <c r="N25" s="96">
        <v>45467</v>
      </c>
      <c r="O25" s="97"/>
      <c r="P25" s="97"/>
      <c r="Q25" s="97"/>
      <c r="R25" s="118"/>
      <c r="S25" s="97"/>
      <c r="T25" s="119"/>
      <c r="U25" s="39" t="s">
        <v>1103</v>
      </c>
      <c r="V25" s="97" t="s">
        <v>1006</v>
      </c>
      <c r="W25" s="120">
        <v>1752.1376</v>
      </c>
      <c r="X25" s="121">
        <f t="shared" si="7"/>
        <v>3504.2752</v>
      </c>
      <c r="Y25" s="92"/>
      <c r="Z25" s="157"/>
      <c r="AA25" s="161"/>
      <c r="AB25" s="160"/>
      <c r="AC25" s="160"/>
      <c r="AD25" s="160"/>
      <c r="AE25" s="97"/>
      <c r="AF25" s="160">
        <f t="shared" si="2"/>
        <v>2304</v>
      </c>
      <c r="AG25" s="160"/>
      <c r="AH25" s="160"/>
      <c r="AI25" s="176">
        <f t="shared" si="6"/>
        <v>2304</v>
      </c>
      <c r="AJ25" s="176"/>
      <c r="AK25" s="176"/>
      <c r="AL25" s="176"/>
      <c r="AM25" s="177"/>
      <c r="AN25" s="177"/>
      <c r="AO25" s="176">
        <f t="shared" si="8"/>
        <v>2304</v>
      </c>
      <c r="AP25" s="176"/>
      <c r="AQ25" s="176"/>
      <c r="AR25" s="182"/>
      <c r="AS25" s="182">
        <f t="shared" si="9"/>
        <v>192</v>
      </c>
      <c r="AT25" s="182"/>
      <c r="AU25" s="182"/>
      <c r="AV25" s="182"/>
      <c r="AW25" s="182"/>
      <c r="AX25" s="182"/>
      <c r="AY25" s="182"/>
      <c r="AZ25" s="182"/>
      <c r="BA25" s="182"/>
      <c r="BB25" s="182"/>
      <c r="BC25" s="182"/>
      <c r="BD25" s="182"/>
      <c r="BE25" s="182"/>
      <c r="BF25" s="182"/>
      <c r="BG25" s="92"/>
      <c r="BI25" s="197"/>
      <c r="BJ25" s="197"/>
    </row>
    <row r="26" s="2" customFormat="1" ht="36" customHeight="1" spans="1:62">
      <c r="A26" s="25">
        <v>16438</v>
      </c>
      <c r="B26" s="26" t="s">
        <v>1142</v>
      </c>
      <c r="C26" s="27" t="s">
        <v>1143</v>
      </c>
      <c r="D26" s="28">
        <v>4500131403</v>
      </c>
      <c r="E26" s="29" t="s">
        <v>1144</v>
      </c>
      <c r="F26" s="28" t="s">
        <v>6208</v>
      </c>
      <c r="G26" s="16" t="s">
        <v>73</v>
      </c>
      <c r="H26" s="17" t="s">
        <v>74</v>
      </c>
      <c r="I26" s="84">
        <v>720</v>
      </c>
      <c r="J26" s="85">
        <v>0</v>
      </c>
      <c r="K26" s="16">
        <v>24</v>
      </c>
      <c r="L26" s="84">
        <f t="shared" si="0"/>
        <v>30</v>
      </c>
      <c r="M26" s="86">
        <v>45449</v>
      </c>
      <c r="N26" s="86">
        <v>45446</v>
      </c>
      <c r="O26" s="87"/>
      <c r="P26" s="87"/>
      <c r="Q26" s="87"/>
      <c r="R26" s="87" t="s">
        <v>1185</v>
      </c>
      <c r="S26" s="87" t="s">
        <v>77</v>
      </c>
      <c r="T26" s="109" t="s">
        <v>3386</v>
      </c>
      <c r="U26" s="124" t="s">
        <v>6209</v>
      </c>
      <c r="V26" s="29" t="s">
        <v>1140</v>
      </c>
      <c r="W26" s="111">
        <v>1.3507</v>
      </c>
      <c r="X26" s="112">
        <f t="shared" ref="X26:X29" si="10">I26*W26</f>
        <v>972.504</v>
      </c>
      <c r="Y26" s="84"/>
      <c r="Z26" s="150"/>
      <c r="AA26" s="151"/>
      <c r="AB26" s="152"/>
      <c r="AC26" s="152"/>
      <c r="AD26" s="152"/>
      <c r="AE26" s="87"/>
      <c r="AF26" s="152">
        <f t="shared" si="2"/>
        <v>720</v>
      </c>
      <c r="AG26" s="152"/>
      <c r="AH26" s="152"/>
      <c r="AI26" s="173">
        <f t="shared" si="6"/>
        <v>720</v>
      </c>
      <c r="AJ26" s="173"/>
      <c r="AK26" s="173"/>
      <c r="AL26" s="173"/>
      <c r="AM26" s="173">
        <f t="shared" ref="AM26:AM29" si="11">AF26</f>
        <v>720</v>
      </c>
      <c r="AN26" s="178"/>
      <c r="AO26" s="173"/>
      <c r="AP26" s="173"/>
      <c r="AQ26" s="173"/>
      <c r="AR26" s="180"/>
      <c r="AS26" s="180"/>
      <c r="AT26" s="180"/>
      <c r="AU26" s="180"/>
      <c r="AV26" s="180"/>
      <c r="AW26" s="180"/>
      <c r="AX26" s="180"/>
      <c r="AY26" s="180"/>
      <c r="AZ26" s="180"/>
      <c r="BA26" s="180"/>
      <c r="BB26" s="180"/>
      <c r="BC26" s="180"/>
      <c r="BD26" s="180"/>
      <c r="BE26" s="180"/>
      <c r="BF26" s="180"/>
      <c r="BG26" s="84"/>
      <c r="BI26" s="195"/>
      <c r="BJ26" s="195"/>
    </row>
    <row r="27" s="2" customFormat="1" ht="36" customHeight="1" spans="1:62">
      <c r="A27" s="25">
        <v>16438</v>
      </c>
      <c r="B27" s="26" t="s">
        <v>1142</v>
      </c>
      <c r="C27" s="27" t="s">
        <v>1143</v>
      </c>
      <c r="D27" s="28">
        <v>4500131403</v>
      </c>
      <c r="E27" s="29" t="s">
        <v>1144</v>
      </c>
      <c r="F27" s="28" t="s">
        <v>6210</v>
      </c>
      <c r="G27" s="16" t="s">
        <v>403</v>
      </c>
      <c r="H27" s="17" t="s">
        <v>74</v>
      </c>
      <c r="I27" s="84">
        <v>4004</v>
      </c>
      <c r="J27" s="85">
        <v>0</v>
      </c>
      <c r="K27" s="16">
        <v>52</v>
      </c>
      <c r="L27" s="84">
        <f t="shared" si="0"/>
        <v>77</v>
      </c>
      <c r="M27" s="86">
        <v>45449</v>
      </c>
      <c r="N27" s="86">
        <v>45446</v>
      </c>
      <c r="O27" s="87"/>
      <c r="P27" s="87"/>
      <c r="Q27" s="87"/>
      <c r="R27" s="87" t="s">
        <v>1185</v>
      </c>
      <c r="S27" s="87" t="s">
        <v>77</v>
      </c>
      <c r="T27" s="109" t="s">
        <v>3386</v>
      </c>
      <c r="U27" s="122" t="s">
        <v>1147</v>
      </c>
      <c r="V27" s="29" t="s">
        <v>1140</v>
      </c>
      <c r="W27" s="111">
        <v>1.3863</v>
      </c>
      <c r="X27" s="112">
        <f t="shared" si="10"/>
        <v>5550.7452</v>
      </c>
      <c r="Y27" s="84"/>
      <c r="Z27" s="150"/>
      <c r="AA27" s="151"/>
      <c r="AB27" s="152"/>
      <c r="AC27" s="152"/>
      <c r="AD27" s="152"/>
      <c r="AE27" s="87"/>
      <c r="AF27" s="152">
        <f t="shared" si="2"/>
        <v>4004</v>
      </c>
      <c r="AG27" s="152"/>
      <c r="AH27" s="152"/>
      <c r="AI27" s="173">
        <f>AF27</f>
        <v>4004</v>
      </c>
      <c r="AJ27" s="173"/>
      <c r="AK27" s="173"/>
      <c r="AL27" s="173"/>
      <c r="AM27" s="173">
        <f t="shared" si="11"/>
        <v>4004</v>
      </c>
      <c r="AN27" s="178"/>
      <c r="AO27" s="173"/>
      <c r="AP27" s="173"/>
      <c r="AQ27" s="173"/>
      <c r="AR27" s="180"/>
      <c r="AS27" s="180"/>
      <c r="AT27" s="180"/>
      <c r="AU27" s="180"/>
      <c r="AV27" s="180">
        <f>AF27/13</f>
        <v>308</v>
      </c>
      <c r="AW27" s="180"/>
      <c r="AX27" s="180"/>
      <c r="AY27" s="180"/>
      <c r="AZ27" s="180"/>
      <c r="BA27" s="180"/>
      <c r="BB27" s="180"/>
      <c r="BC27" s="180"/>
      <c r="BD27" s="180"/>
      <c r="BE27" s="180"/>
      <c r="BF27" s="180"/>
      <c r="BG27" s="84"/>
      <c r="BI27" s="195"/>
      <c r="BJ27" s="195"/>
    </row>
    <row r="28" s="2" customFormat="1" ht="36" customHeight="1" spans="1:65">
      <c r="A28" s="51">
        <v>45405</v>
      </c>
      <c r="B28" s="52" t="s">
        <v>179</v>
      </c>
      <c r="C28" s="53" t="s">
        <v>213</v>
      </c>
      <c r="D28" s="28">
        <v>4500130192</v>
      </c>
      <c r="E28" s="54" t="s">
        <v>6211</v>
      </c>
      <c r="F28" s="28" t="s">
        <v>6212</v>
      </c>
      <c r="G28" s="55" t="s">
        <v>73</v>
      </c>
      <c r="H28" s="17" t="s">
        <v>74</v>
      </c>
      <c r="I28" s="84">
        <v>504</v>
      </c>
      <c r="J28" s="85">
        <v>0</v>
      </c>
      <c r="K28" s="16">
        <v>24</v>
      </c>
      <c r="L28" s="84">
        <f t="shared" si="0"/>
        <v>21</v>
      </c>
      <c r="M28" s="98">
        <v>45447</v>
      </c>
      <c r="N28" s="98" t="s">
        <v>6213</v>
      </c>
      <c r="O28" s="99"/>
      <c r="P28" s="99"/>
      <c r="Q28" s="99"/>
      <c r="R28" s="87" t="s">
        <v>1910</v>
      </c>
      <c r="S28" s="87" t="s">
        <v>77</v>
      </c>
      <c r="T28" s="109" t="s">
        <v>6214</v>
      </c>
      <c r="U28" s="125" t="s">
        <v>6215</v>
      </c>
      <c r="V28" s="29" t="s">
        <v>186</v>
      </c>
      <c r="W28" s="111">
        <v>1.3645</v>
      </c>
      <c r="X28" s="112">
        <f t="shared" si="10"/>
        <v>687.708</v>
      </c>
      <c r="Y28" s="162"/>
      <c r="Z28" s="150" t="s">
        <v>188</v>
      </c>
      <c r="AA28" s="163" t="s">
        <v>128</v>
      </c>
      <c r="AB28" s="164"/>
      <c r="AC28" s="164"/>
      <c r="AD28" s="164"/>
      <c r="AE28" s="99"/>
      <c r="AF28" s="152">
        <f t="shared" si="2"/>
        <v>504</v>
      </c>
      <c r="AG28" s="164"/>
      <c r="AH28" s="164"/>
      <c r="AI28" s="173"/>
      <c r="AJ28" s="84">
        <f>AF28</f>
        <v>504</v>
      </c>
      <c r="AK28" s="178"/>
      <c r="AL28" s="178"/>
      <c r="AM28" s="173">
        <f t="shared" si="11"/>
        <v>504</v>
      </c>
      <c r="AN28" s="173"/>
      <c r="AO28" s="173"/>
      <c r="AP28" s="178"/>
      <c r="AQ28" s="178"/>
      <c r="AR28" s="84"/>
      <c r="AS28" s="180"/>
      <c r="AT28" s="84"/>
      <c r="AU28" s="184"/>
      <c r="AV28" s="184"/>
      <c r="AW28" s="184"/>
      <c r="AX28" s="184"/>
      <c r="AY28" s="184"/>
      <c r="AZ28" s="184"/>
      <c r="BA28" s="184"/>
      <c r="BB28" s="184"/>
      <c r="BC28" s="184"/>
      <c r="BD28" s="184"/>
      <c r="BE28" s="184"/>
      <c r="BF28" s="184"/>
      <c r="BG28" s="84">
        <f t="shared" ref="BG28:BG30" si="12">AF28</f>
        <v>504</v>
      </c>
      <c r="BH28" s="2" t="e">
        <f>'77515 DIY厨艺大师'!#REF!+BG28</f>
        <v>#REF!</v>
      </c>
      <c r="BI28" s="195"/>
      <c r="BJ28" s="195" t="e">
        <f>'77515 DIY厨艺大师'!$CB$2+'77515 DIY厨艺大师'!$CC$2-BH28</f>
        <v>#VALUE!</v>
      </c>
      <c r="BK28" s="2">
        <f t="shared" ref="BK28:BK30" si="13">AQ28+AR28+AX28+AY28</f>
        <v>0</v>
      </c>
      <c r="BL28" s="2" t="e">
        <f>'77515 DIY厨艺大师'!#REF!+BK28</f>
        <v>#REF!</v>
      </c>
      <c r="BM28" s="2" t="e">
        <f>'77515 DIY厨艺大师'!$CF$2-BL28</f>
        <v>#REF!</v>
      </c>
    </row>
    <row r="29" s="2" customFormat="1" ht="36" customHeight="1" spans="1:65">
      <c r="A29" s="51">
        <v>45411</v>
      </c>
      <c r="B29" s="15" t="s">
        <v>315</v>
      </c>
      <c r="C29" s="27" t="s">
        <v>373</v>
      </c>
      <c r="D29" s="56">
        <v>4500132045</v>
      </c>
      <c r="E29" s="57" t="s">
        <v>6216</v>
      </c>
      <c r="F29" s="56" t="s">
        <v>6217</v>
      </c>
      <c r="G29" s="16" t="s">
        <v>73</v>
      </c>
      <c r="H29" s="17" t="s">
        <v>74</v>
      </c>
      <c r="I29" s="84">
        <v>504</v>
      </c>
      <c r="J29" s="85">
        <v>0</v>
      </c>
      <c r="K29" s="16">
        <v>24</v>
      </c>
      <c r="L29" s="84">
        <f t="shared" si="0"/>
        <v>21</v>
      </c>
      <c r="M29" s="86">
        <v>45461</v>
      </c>
      <c r="N29" s="86" t="s">
        <v>6213</v>
      </c>
      <c r="O29" s="87" t="s">
        <v>5238</v>
      </c>
      <c r="P29" s="87"/>
      <c r="Q29" s="87"/>
      <c r="R29" s="87" t="s">
        <v>1910</v>
      </c>
      <c r="S29" s="87" t="s">
        <v>123</v>
      </c>
      <c r="T29" s="126" t="s">
        <v>6218</v>
      </c>
      <c r="U29" s="29" t="s">
        <v>6219</v>
      </c>
      <c r="V29" s="29" t="s">
        <v>186</v>
      </c>
      <c r="W29" s="111">
        <v>1.3507</v>
      </c>
      <c r="X29" s="112">
        <f t="shared" si="10"/>
        <v>680.7528</v>
      </c>
      <c r="Y29" s="84"/>
      <c r="Z29" s="150" t="s">
        <v>188</v>
      </c>
      <c r="AA29" s="151" t="s">
        <v>128</v>
      </c>
      <c r="AB29" s="152"/>
      <c r="AC29" s="152"/>
      <c r="AD29" s="152"/>
      <c r="AE29" s="87"/>
      <c r="AF29" s="152">
        <f t="shared" si="2"/>
        <v>504</v>
      </c>
      <c r="AG29" s="152"/>
      <c r="AH29" s="152"/>
      <c r="AI29" s="173"/>
      <c r="AJ29" s="84">
        <f>AF29</f>
        <v>504</v>
      </c>
      <c r="AK29" s="173"/>
      <c r="AL29" s="173"/>
      <c r="AM29" s="173">
        <f t="shared" si="11"/>
        <v>504</v>
      </c>
      <c r="AN29" s="173"/>
      <c r="AO29" s="173"/>
      <c r="AP29" s="173"/>
      <c r="AQ29" s="173"/>
      <c r="AR29" s="180"/>
      <c r="AS29" s="180"/>
      <c r="AT29" s="84"/>
      <c r="AU29" s="180"/>
      <c r="AV29" s="180"/>
      <c r="AW29" s="180"/>
      <c r="AX29" s="180"/>
      <c r="AY29" s="180"/>
      <c r="AZ29" s="180"/>
      <c r="BA29" s="180"/>
      <c r="BB29" s="180"/>
      <c r="BC29" s="180"/>
      <c r="BD29" s="180"/>
      <c r="BE29" s="180"/>
      <c r="BF29" s="180"/>
      <c r="BG29" s="84">
        <f t="shared" si="12"/>
        <v>504</v>
      </c>
      <c r="BH29" s="2" t="e">
        <f>'77515 DIY厨艺大师'!#REF!+BG29</f>
        <v>#REF!</v>
      </c>
      <c r="BI29" s="195"/>
      <c r="BJ29" s="195" t="e">
        <f>'77515 DIY厨艺大师'!$CB$2+'77515 DIY厨艺大师'!$CC$2-BH29</f>
        <v>#VALUE!</v>
      </c>
      <c r="BK29" s="2">
        <f t="shared" si="13"/>
        <v>0</v>
      </c>
      <c r="BL29" s="2" t="e">
        <f>'77515 DIY厨艺大师'!#REF!+BK29</f>
        <v>#REF!</v>
      </c>
      <c r="BM29" s="2" t="e">
        <f>'77515 DIY厨艺大师'!$CF$2-BL29</f>
        <v>#REF!</v>
      </c>
    </row>
    <row r="30" s="2" customFormat="1" ht="36" customHeight="1" spans="1:65">
      <c r="A30" s="25">
        <v>45425</v>
      </c>
      <c r="B30" s="26" t="s">
        <v>1709</v>
      </c>
      <c r="C30" s="27" t="s">
        <v>233</v>
      </c>
      <c r="D30" s="28">
        <v>4500133178</v>
      </c>
      <c r="E30" s="29"/>
      <c r="F30" s="28" t="s">
        <v>6220</v>
      </c>
      <c r="G30" s="16" t="s">
        <v>386</v>
      </c>
      <c r="H30" s="17" t="s">
        <v>74</v>
      </c>
      <c r="I30" s="100">
        <v>5220</v>
      </c>
      <c r="J30" s="85">
        <v>0</v>
      </c>
      <c r="K30" s="16">
        <v>60</v>
      </c>
      <c r="L30" s="84">
        <f t="shared" si="0"/>
        <v>87</v>
      </c>
      <c r="M30" s="86">
        <v>45449</v>
      </c>
      <c r="N30" s="86" t="s">
        <v>6221</v>
      </c>
      <c r="O30" s="87"/>
      <c r="P30" s="87"/>
      <c r="Q30" s="87"/>
      <c r="R30" s="87"/>
      <c r="S30" s="87"/>
      <c r="T30" s="109"/>
      <c r="U30" s="124" t="s">
        <v>6222</v>
      </c>
      <c r="V30" s="29" t="s">
        <v>491</v>
      </c>
      <c r="W30" s="111">
        <v>99.9353</v>
      </c>
      <c r="X30" s="112">
        <f>W30*L30</f>
        <v>8694.3711</v>
      </c>
      <c r="Y30" s="84"/>
      <c r="Z30" s="150" t="s">
        <v>443</v>
      </c>
      <c r="AA30" s="151"/>
      <c r="AB30" s="152"/>
      <c r="AC30" s="152"/>
      <c r="AD30" s="152"/>
      <c r="AE30" s="87"/>
      <c r="AF30" s="152"/>
      <c r="AG30" s="152"/>
      <c r="AH30" s="152"/>
      <c r="AI30" s="84"/>
      <c r="AJ30" s="173"/>
      <c r="AK30" s="173"/>
      <c r="AL30" s="173"/>
      <c r="AM30" s="173"/>
      <c r="AN30" s="178"/>
      <c r="AO30" s="173"/>
      <c r="AP30" s="173"/>
      <c r="AQ30" s="173"/>
      <c r="AR30" s="180"/>
      <c r="AS30" s="180"/>
      <c r="AT30" s="180"/>
      <c r="AU30" s="180"/>
      <c r="AV30" s="180"/>
      <c r="AW30" s="180"/>
      <c r="AX30" s="180"/>
      <c r="AY30" s="180"/>
      <c r="AZ30" s="180"/>
      <c r="BA30" s="180"/>
      <c r="BB30" s="180"/>
      <c r="BC30" s="180"/>
      <c r="BD30" s="180"/>
      <c r="BE30" s="180"/>
      <c r="BF30" s="180"/>
      <c r="BG30" s="84">
        <f t="shared" si="12"/>
        <v>0</v>
      </c>
      <c r="BH30" s="2" t="e">
        <f>取消单!BI31+BG30</f>
        <v>#REF!</v>
      </c>
      <c r="BI30" s="195"/>
      <c r="BJ30" s="198" t="e">
        <f>'77515 DIY厨艺大师'!$CB$2+'77515 DIY厨艺大师'!$CC$2-BH30</f>
        <v>#VALUE!</v>
      </c>
      <c r="BK30" s="199">
        <f t="shared" si="13"/>
        <v>0</v>
      </c>
      <c r="BL30" s="200" t="e">
        <f>取消单!BQ50+BK30</f>
        <v>#REF!</v>
      </c>
      <c r="BM30" s="199" t="e">
        <f>'77515 DIY厨艺大师'!$CF$2-BL30</f>
        <v>#REF!</v>
      </c>
    </row>
    <row r="31" s="2" customFormat="1" ht="36" customHeight="1" spans="1:66">
      <c r="A31" s="25">
        <v>45425</v>
      </c>
      <c r="B31" s="26" t="s">
        <v>1709</v>
      </c>
      <c r="C31" s="27" t="s">
        <v>233</v>
      </c>
      <c r="D31" s="28">
        <v>4500133178</v>
      </c>
      <c r="E31" s="29"/>
      <c r="F31" s="28" t="s">
        <v>6223</v>
      </c>
      <c r="G31" s="16" t="s">
        <v>160</v>
      </c>
      <c r="H31" s="17" t="s">
        <v>74</v>
      </c>
      <c r="I31" s="84">
        <v>3601</v>
      </c>
      <c r="J31" s="85">
        <v>0</v>
      </c>
      <c r="K31" s="16">
        <v>13</v>
      </c>
      <c r="L31" s="84">
        <f t="shared" si="0"/>
        <v>277</v>
      </c>
      <c r="M31" s="86">
        <v>45449</v>
      </c>
      <c r="N31" s="86" t="s">
        <v>6221</v>
      </c>
      <c r="O31" s="87"/>
      <c r="P31" s="87"/>
      <c r="Q31" s="87"/>
      <c r="R31" s="87" t="s">
        <v>3332</v>
      </c>
      <c r="S31" s="87" t="s">
        <v>77</v>
      </c>
      <c r="T31" s="109" t="s">
        <v>6224</v>
      </c>
      <c r="U31" s="124" t="s">
        <v>6222</v>
      </c>
      <c r="V31" s="29" t="s">
        <v>491</v>
      </c>
      <c r="W31" s="111">
        <v>1.4021</v>
      </c>
      <c r="X31" s="112">
        <f>I31*W31</f>
        <v>5048.9621</v>
      </c>
      <c r="Y31" s="84"/>
      <c r="Z31" s="150" t="s">
        <v>160</v>
      </c>
      <c r="AA31" s="151" t="s">
        <v>128</v>
      </c>
      <c r="AB31" s="152"/>
      <c r="AC31" s="152"/>
      <c r="AD31" s="152"/>
      <c r="AE31" s="87"/>
      <c r="AF31" s="152">
        <f>I31</f>
        <v>3601</v>
      </c>
      <c r="AG31" s="152"/>
      <c r="AH31" s="152"/>
      <c r="AI31" s="173">
        <f>I31</f>
        <v>3601</v>
      </c>
      <c r="AJ31" s="173"/>
      <c r="AK31" s="173"/>
      <c r="AL31" s="173"/>
      <c r="AM31" s="173">
        <f>I31</f>
        <v>3601</v>
      </c>
      <c r="AN31" s="178"/>
      <c r="AO31" s="173"/>
      <c r="AP31" s="173"/>
      <c r="AQ31" s="173"/>
      <c r="AR31" s="180"/>
      <c r="AS31" s="180"/>
      <c r="AT31" s="180"/>
      <c r="AU31" s="180"/>
      <c r="AV31" s="180">
        <f>I31/13</f>
        <v>277</v>
      </c>
      <c r="AW31" s="180"/>
      <c r="AX31" s="180"/>
      <c r="AY31" s="180"/>
      <c r="AZ31" s="180"/>
      <c r="BA31" s="180"/>
      <c r="BB31" s="180"/>
      <c r="BC31" s="180"/>
      <c r="BD31" s="180"/>
      <c r="BE31" s="180"/>
      <c r="BF31" s="180"/>
      <c r="BG31" s="180"/>
      <c r="BH31" s="84">
        <f>AF31</f>
        <v>3601</v>
      </c>
      <c r="BI31" s="2" t="e">
        <f>'77515 DIY厨艺大师'!#REF!+BH31</f>
        <v>#REF!</v>
      </c>
      <c r="BJ31" s="195"/>
      <c r="BK31" s="195" t="e">
        <f>'77515 DIY厨艺大师'!$CB$2+'77515 DIY厨艺大师'!$CC$2-BI31</f>
        <v>#VALUE!</v>
      </c>
      <c r="BL31" s="2">
        <f>AQ31+AR31+AX31+AY31</f>
        <v>0</v>
      </c>
      <c r="BM31" s="2" t="e">
        <f>'77515 DIY厨艺大师'!#REF!+BL31</f>
        <v>#REF!</v>
      </c>
      <c r="BN31" s="2" t="e">
        <f>'77515 DIY厨艺大师'!$CF$2-BM31</f>
        <v>#REF!</v>
      </c>
    </row>
    <row r="32" s="2" customFormat="1" ht="36" customHeight="1" spans="1:67">
      <c r="A32" s="11">
        <v>45440</v>
      </c>
      <c r="B32" s="12" t="s">
        <v>189</v>
      </c>
      <c r="C32" s="27" t="s">
        <v>190</v>
      </c>
      <c r="D32" s="14">
        <v>4500134335</v>
      </c>
      <c r="E32" s="29">
        <v>20068400</v>
      </c>
      <c r="F32" s="14" t="s">
        <v>6225</v>
      </c>
      <c r="G32" s="16" t="s">
        <v>160</v>
      </c>
      <c r="H32" s="17" t="s">
        <v>74</v>
      </c>
      <c r="I32" s="84">
        <v>7995</v>
      </c>
      <c r="J32" s="85">
        <v>0</v>
      </c>
      <c r="K32" s="16">
        <v>13</v>
      </c>
      <c r="L32" s="84">
        <f t="shared" si="0"/>
        <v>615</v>
      </c>
      <c r="M32" s="101">
        <v>45496</v>
      </c>
      <c r="N32" s="101" t="s">
        <v>6226</v>
      </c>
      <c r="O32" s="87"/>
      <c r="P32" s="87"/>
      <c r="Q32" s="127"/>
      <c r="R32" s="87" t="s">
        <v>3332</v>
      </c>
      <c r="S32" s="87" t="s">
        <v>123</v>
      </c>
      <c r="T32" s="87" t="s">
        <v>6218</v>
      </c>
      <c r="U32" s="87"/>
      <c r="V32" s="29" t="s">
        <v>6227</v>
      </c>
      <c r="W32" s="15" t="s">
        <v>1011</v>
      </c>
      <c r="X32" s="111">
        <v>1.4309</v>
      </c>
      <c r="Y32" s="112">
        <f t="shared" ref="Y32:Y35" si="14">I32*X32</f>
        <v>11440.0455</v>
      </c>
      <c r="Z32" s="84"/>
      <c r="AA32" s="150" t="s">
        <v>160</v>
      </c>
      <c r="AB32" s="151" t="s">
        <v>128</v>
      </c>
      <c r="AC32" s="152"/>
      <c r="AD32" s="152"/>
      <c r="AE32" s="152"/>
      <c r="AF32" s="87"/>
      <c r="AG32" s="152">
        <f t="shared" ref="AG32:AG35" si="15">I32</f>
        <v>7995</v>
      </c>
      <c r="AH32" s="152"/>
      <c r="AI32" s="152"/>
      <c r="AJ32" s="173">
        <f t="shared" ref="AJ32:AJ36" si="16">I32</f>
        <v>7995</v>
      </c>
      <c r="AK32" s="173"/>
      <c r="AL32" s="173"/>
      <c r="AM32" s="173"/>
      <c r="AN32" s="173">
        <f t="shared" ref="AN32:AN35" si="17">I32</f>
        <v>7995</v>
      </c>
      <c r="AO32" s="173"/>
      <c r="AP32" s="173"/>
      <c r="AQ32" s="173"/>
      <c r="AR32" s="173"/>
      <c r="AS32" s="180"/>
      <c r="AT32" s="180"/>
      <c r="AU32" s="84"/>
      <c r="AV32" s="185"/>
      <c r="AW32" s="180">
        <f>I32/13</f>
        <v>615</v>
      </c>
      <c r="AX32" s="180"/>
      <c r="AY32" s="180"/>
      <c r="AZ32" s="180"/>
      <c r="BA32" s="180"/>
      <c r="BB32" s="180"/>
      <c r="BC32" s="180"/>
      <c r="BD32" s="180"/>
      <c r="BE32" s="180"/>
      <c r="BF32" s="185"/>
      <c r="BG32" s="180"/>
      <c r="BH32" s="180"/>
      <c r="BI32" s="84">
        <f t="shared" ref="BI32:BI34" si="18">AG32</f>
        <v>7995</v>
      </c>
      <c r="BJ32" s="2" t="e">
        <f>'77515 DIY厨艺大师'!#REF!+BI32</f>
        <v>#REF!</v>
      </c>
      <c r="BK32" s="195"/>
      <c r="BL32" s="195" t="e">
        <f>'77515 DIY厨艺大师'!$CB$2+'77515 DIY厨艺大师'!$CC$2-BJ32</f>
        <v>#VALUE!</v>
      </c>
      <c r="BM32" s="2">
        <f t="shared" ref="BM32:BM34" si="19">AR32+AS32+AY32+AZ32</f>
        <v>0</v>
      </c>
      <c r="BN32" s="2" t="e">
        <f>'77515 DIY厨艺大师'!#REF!+BM32</f>
        <v>#REF!</v>
      </c>
      <c r="BO32" s="2" t="e">
        <f>'77515 DIY厨艺大师'!$CF$2-BN32</f>
        <v>#REF!</v>
      </c>
    </row>
    <row r="33" s="2" customFormat="1" ht="36" customHeight="1" spans="1:67">
      <c r="A33" s="11">
        <v>45448</v>
      </c>
      <c r="B33" s="58" t="s">
        <v>189</v>
      </c>
      <c r="C33" s="27" t="s">
        <v>190</v>
      </c>
      <c r="D33" s="59">
        <v>4500135946</v>
      </c>
      <c r="E33" s="60">
        <v>20068401</v>
      </c>
      <c r="F33" s="59" t="s">
        <v>6228</v>
      </c>
      <c r="G33" s="16" t="s">
        <v>160</v>
      </c>
      <c r="H33" s="17" t="s">
        <v>74</v>
      </c>
      <c r="I33" s="84">
        <v>7995</v>
      </c>
      <c r="J33" s="85">
        <v>0</v>
      </c>
      <c r="K33" s="16">
        <v>13</v>
      </c>
      <c r="L33" s="84">
        <f t="shared" si="0"/>
        <v>615</v>
      </c>
      <c r="M33" s="101">
        <v>45527</v>
      </c>
      <c r="N33" s="101" t="s">
        <v>6229</v>
      </c>
      <c r="O33" s="87"/>
      <c r="P33" s="87"/>
      <c r="Q33" s="87"/>
      <c r="R33" s="87" t="s">
        <v>3332</v>
      </c>
      <c r="S33" s="87" t="s">
        <v>123</v>
      </c>
      <c r="T33" s="126" t="s">
        <v>6230</v>
      </c>
      <c r="U33" s="126"/>
      <c r="V33" s="29" t="s">
        <v>6227</v>
      </c>
      <c r="W33" s="15" t="s">
        <v>1011</v>
      </c>
      <c r="X33" s="111">
        <v>1.4309</v>
      </c>
      <c r="Y33" s="112">
        <f t="shared" si="14"/>
        <v>11440.0455</v>
      </c>
      <c r="Z33" s="84"/>
      <c r="AA33" s="150" t="s">
        <v>160</v>
      </c>
      <c r="AB33" s="151" t="s">
        <v>128</v>
      </c>
      <c r="AC33" s="152"/>
      <c r="AD33" s="152"/>
      <c r="AE33" s="152"/>
      <c r="AF33" s="87"/>
      <c r="AG33" s="152">
        <f t="shared" si="15"/>
        <v>7995</v>
      </c>
      <c r="AH33" s="152"/>
      <c r="AI33" s="152"/>
      <c r="AJ33" s="173">
        <f t="shared" si="16"/>
        <v>7995</v>
      </c>
      <c r="AK33" s="173"/>
      <c r="AL33" s="173"/>
      <c r="AM33" s="173"/>
      <c r="AN33" s="173">
        <f t="shared" si="17"/>
        <v>7995</v>
      </c>
      <c r="AO33" s="173"/>
      <c r="AP33" s="173"/>
      <c r="AQ33" s="173"/>
      <c r="AR33" s="173"/>
      <c r="AS33" s="180"/>
      <c r="AT33" s="180"/>
      <c r="AU33" s="180"/>
      <c r="AW33" s="180">
        <f>I33/13</f>
        <v>615</v>
      </c>
      <c r="AX33" s="180"/>
      <c r="AY33" s="180"/>
      <c r="AZ33" s="180"/>
      <c r="BA33" s="180"/>
      <c r="BB33" s="180"/>
      <c r="BC33" s="180"/>
      <c r="BD33" s="180"/>
      <c r="BE33" s="180"/>
      <c r="BF33" s="180"/>
      <c r="BG33" s="180"/>
      <c r="BH33" s="180"/>
      <c r="BI33" s="84">
        <f t="shared" si="18"/>
        <v>7995</v>
      </c>
      <c r="BJ33" s="199" t="e">
        <f>取消单!BM50+BI33</f>
        <v>#REF!</v>
      </c>
      <c r="BK33" s="195"/>
      <c r="BL33" s="198" t="e">
        <f>'77515 DIY厨艺大师'!$CB$2+'77515 DIY厨艺大师'!$CC$2-BJ33</f>
        <v>#VALUE!</v>
      </c>
      <c r="BM33" s="199">
        <f t="shared" si="19"/>
        <v>0</v>
      </c>
      <c r="BN33" s="199" t="e">
        <f>取消单!BQ50+BM33</f>
        <v>#REF!</v>
      </c>
      <c r="BO33" s="199" t="e">
        <f>'77515 DIY厨艺大师'!$CF$2-BN33</f>
        <v>#REF!</v>
      </c>
    </row>
    <row r="34" s="2" customFormat="1" ht="36" customHeight="1" spans="1:67">
      <c r="A34" s="25">
        <v>45383</v>
      </c>
      <c r="B34" s="26" t="s">
        <v>449</v>
      </c>
      <c r="C34" s="27" t="s">
        <v>477</v>
      </c>
      <c r="D34" s="61">
        <v>4500128257</v>
      </c>
      <c r="E34" s="29" t="s">
        <v>6231</v>
      </c>
      <c r="F34" s="28" t="s">
        <v>6232</v>
      </c>
      <c r="G34" s="16" t="s">
        <v>73</v>
      </c>
      <c r="H34" s="17" t="s">
        <v>74</v>
      </c>
      <c r="I34" s="84">
        <v>504</v>
      </c>
      <c r="J34" s="85">
        <v>0</v>
      </c>
      <c r="K34" s="16">
        <v>24</v>
      </c>
      <c r="L34" s="84">
        <f t="shared" si="0"/>
        <v>21</v>
      </c>
      <c r="M34" s="86">
        <v>45432</v>
      </c>
      <c r="N34" s="102" t="s">
        <v>6233</v>
      </c>
      <c r="O34" s="87"/>
      <c r="P34" s="87"/>
      <c r="Q34" s="87" t="s">
        <v>1009</v>
      </c>
      <c r="R34" s="87" t="s">
        <v>1910</v>
      </c>
      <c r="S34" s="87" t="s">
        <v>123</v>
      </c>
      <c r="T34" s="87" t="s">
        <v>6234</v>
      </c>
      <c r="U34" s="87"/>
      <c r="V34" s="29" t="s">
        <v>6235</v>
      </c>
      <c r="W34" s="87" t="s">
        <v>186</v>
      </c>
      <c r="X34" s="111">
        <v>1.3507</v>
      </c>
      <c r="Y34" s="112">
        <f t="shared" si="14"/>
        <v>680.7528</v>
      </c>
      <c r="Z34" s="84"/>
      <c r="AA34" s="150" t="s">
        <v>188</v>
      </c>
      <c r="AB34" s="151" t="s">
        <v>128</v>
      </c>
      <c r="AC34" s="152"/>
      <c r="AD34" s="152"/>
      <c r="AE34" s="152"/>
      <c r="AF34" s="87"/>
      <c r="AG34" s="152">
        <f t="shared" si="15"/>
        <v>504</v>
      </c>
      <c r="AH34" s="152"/>
      <c r="AI34" s="152"/>
      <c r="AJ34" s="173"/>
      <c r="AK34" s="84">
        <f>AG34</f>
        <v>504</v>
      </c>
      <c r="AL34" s="173"/>
      <c r="AM34" s="173"/>
      <c r="AN34" s="173">
        <f>AG34</f>
        <v>504</v>
      </c>
      <c r="AO34" s="173"/>
      <c r="AP34" s="173"/>
      <c r="AQ34" s="173"/>
      <c r="AR34" s="173"/>
      <c r="AS34" s="180"/>
      <c r="AT34" s="180"/>
      <c r="AU34" s="84"/>
      <c r="AV34" s="180"/>
      <c r="AW34" s="180"/>
      <c r="AX34" s="180"/>
      <c r="AY34" s="180"/>
      <c r="AZ34" s="180"/>
      <c r="BA34" s="180"/>
      <c r="BB34" s="180"/>
      <c r="BC34" s="180"/>
      <c r="BD34" s="180"/>
      <c r="BE34" s="180"/>
      <c r="BF34" s="180"/>
      <c r="BG34" s="180"/>
      <c r="BH34" s="180"/>
      <c r="BI34" s="84">
        <f t="shared" si="18"/>
        <v>504</v>
      </c>
      <c r="BJ34" s="2" t="e">
        <f>'77515 DIY厨艺大师'!#REF!+BI34</f>
        <v>#REF!</v>
      </c>
      <c r="BK34" s="195"/>
      <c r="BL34" s="195" t="e">
        <f>'77515 DIY厨艺大师'!$CB$2+'77515 DIY厨艺大师'!$CC$2-BJ34</f>
        <v>#VALUE!</v>
      </c>
      <c r="BM34" s="2">
        <f t="shared" si="19"/>
        <v>0</v>
      </c>
      <c r="BN34" s="2" t="e">
        <f>'77515 DIY厨艺大师'!#REF!+BM34</f>
        <v>#REF!</v>
      </c>
      <c r="BO34" s="2" t="e">
        <f>'77515 DIY厨艺大师'!$CF$2-BN34</f>
        <v>#REF!</v>
      </c>
    </row>
    <row r="35" s="2" customFormat="1" ht="36" customHeight="1" spans="1:68">
      <c r="A35" s="25">
        <v>45447</v>
      </c>
      <c r="B35" s="26" t="s">
        <v>899</v>
      </c>
      <c r="C35" s="27" t="s">
        <v>117</v>
      </c>
      <c r="D35" s="28">
        <v>4500135760</v>
      </c>
      <c r="E35" s="29">
        <v>748807</v>
      </c>
      <c r="F35" s="28" t="s">
        <v>6236</v>
      </c>
      <c r="G35" s="16" t="s">
        <v>160</v>
      </c>
      <c r="H35" s="17" t="s">
        <v>74</v>
      </c>
      <c r="I35" s="84">
        <v>18343</v>
      </c>
      <c r="J35" s="85">
        <v>0</v>
      </c>
      <c r="K35" s="16">
        <v>13</v>
      </c>
      <c r="L35" s="84">
        <f t="shared" si="0"/>
        <v>1411</v>
      </c>
      <c r="M35" s="86">
        <v>45488</v>
      </c>
      <c r="N35" s="86" t="s">
        <v>6237</v>
      </c>
      <c r="O35" s="87" t="s">
        <v>6238</v>
      </c>
      <c r="P35" s="87"/>
      <c r="Q35" s="87"/>
      <c r="R35" s="87" t="s">
        <v>3332</v>
      </c>
      <c r="S35" s="87" t="s">
        <v>77</v>
      </c>
      <c r="T35" s="126" t="s">
        <v>1065</v>
      </c>
      <c r="U35" s="126"/>
      <c r="V35" s="29" t="s">
        <v>902</v>
      </c>
      <c r="W35" s="87" t="s">
        <v>903</v>
      </c>
      <c r="X35" s="111">
        <v>1.4309</v>
      </c>
      <c r="Y35" s="112">
        <f t="shared" si="14"/>
        <v>26246.9987</v>
      </c>
      <c r="Z35" s="84"/>
      <c r="AA35" s="150" t="s">
        <v>239</v>
      </c>
      <c r="AB35" s="151" t="s">
        <v>128</v>
      </c>
      <c r="AC35" s="152"/>
      <c r="AD35" s="152"/>
      <c r="AE35" s="152"/>
      <c r="AF35" s="87"/>
      <c r="AG35" s="152">
        <f t="shared" si="15"/>
        <v>18343</v>
      </c>
      <c r="AH35" s="152"/>
      <c r="AI35" s="152"/>
      <c r="AJ35" s="173"/>
      <c r="AK35" s="173">
        <f t="shared" ref="AK35:AK38" si="20">I35</f>
        <v>18343</v>
      </c>
      <c r="AL35" s="173"/>
      <c r="AM35" s="173"/>
      <c r="AN35" s="173">
        <f t="shared" si="17"/>
        <v>18343</v>
      </c>
      <c r="AO35" s="173"/>
      <c r="AP35" s="173"/>
      <c r="AQ35" s="173"/>
      <c r="AR35" s="173"/>
      <c r="AS35" s="180"/>
      <c r="AT35" s="180"/>
      <c r="AU35" s="180"/>
      <c r="AV35" s="180"/>
      <c r="AW35" s="180"/>
      <c r="AX35" s="180">
        <f t="shared" ref="AX35:AX42" si="21">I35/13</f>
        <v>1411</v>
      </c>
      <c r="AY35" s="180"/>
      <c r="AZ35" s="180"/>
      <c r="BA35" s="180"/>
      <c r="BB35" s="180"/>
      <c r="BC35" s="180"/>
      <c r="BD35" s="180"/>
      <c r="BE35" s="180"/>
      <c r="BF35" s="180"/>
      <c r="BG35" s="180"/>
      <c r="BH35" s="180"/>
      <c r="BI35" s="180"/>
      <c r="BJ35" s="84">
        <f>AG35</f>
        <v>18343</v>
      </c>
      <c r="BK35" s="2" t="e">
        <f>'77515 DIY厨艺大师'!#REF!+BJ35</f>
        <v>#REF!</v>
      </c>
      <c r="BL35" s="195"/>
      <c r="BM35" s="195" t="e">
        <f>'77515 DIY厨艺大师'!$CB$2+'77515 DIY厨艺大师'!$CC$2-BK35</f>
        <v>#VALUE!</v>
      </c>
      <c r="BN35" s="2">
        <f>AR35+AS35+AY35+AZ35</f>
        <v>0</v>
      </c>
      <c r="BO35" s="2" t="e">
        <f>'77515 DIY厨艺大师'!#REF!+BN35</f>
        <v>#REF!</v>
      </c>
      <c r="BP35" s="2" t="e">
        <f>'77515 DIY厨艺大师'!$CF$2-BO35</f>
        <v>#REF!</v>
      </c>
    </row>
    <row r="36" s="2" customFormat="1" ht="36" customHeight="1" spans="1:68">
      <c r="A36" s="25">
        <v>45498</v>
      </c>
      <c r="B36" s="26" t="s">
        <v>6239</v>
      </c>
      <c r="C36" s="62" t="s">
        <v>117</v>
      </c>
      <c r="D36" s="28" t="s">
        <v>6240</v>
      </c>
      <c r="E36" s="29"/>
      <c r="F36" s="28"/>
      <c r="G36" s="16" t="s">
        <v>832</v>
      </c>
      <c r="H36" s="17" t="s">
        <v>833</v>
      </c>
      <c r="I36" s="84">
        <v>0</v>
      </c>
      <c r="J36" s="85">
        <v>0</v>
      </c>
      <c r="K36" s="16">
        <v>1152</v>
      </c>
      <c r="L36" s="84">
        <f t="shared" si="0"/>
        <v>0</v>
      </c>
      <c r="M36" s="86">
        <v>45534</v>
      </c>
      <c r="N36" s="86">
        <v>45530</v>
      </c>
      <c r="O36" s="87" t="s">
        <v>6241</v>
      </c>
      <c r="P36" s="87"/>
      <c r="Q36" s="87"/>
      <c r="R36" s="87" t="s">
        <v>77</v>
      </c>
      <c r="S36" s="87" t="s">
        <v>77</v>
      </c>
      <c r="T36" s="87" t="s">
        <v>77</v>
      </c>
      <c r="U36" s="29" t="s">
        <v>6242</v>
      </c>
      <c r="V36" s="87"/>
      <c r="W36" s="111"/>
      <c r="X36" s="112"/>
      <c r="Y36" s="84"/>
      <c r="Z36" s="150" t="s">
        <v>832</v>
      </c>
      <c r="AA36" s="151" t="s">
        <v>128</v>
      </c>
      <c r="AB36" s="165"/>
      <c r="AC36" s="165"/>
      <c r="AD36" s="165"/>
      <c r="AE36" s="106"/>
      <c r="AF36" s="152">
        <f t="shared" ref="AF36:AF49" si="22">I36</f>
        <v>0</v>
      </c>
      <c r="AG36" s="152"/>
      <c r="AH36" s="152"/>
      <c r="AI36" s="152"/>
      <c r="AJ36" s="173">
        <f t="shared" si="16"/>
        <v>0</v>
      </c>
      <c r="AK36" s="173"/>
      <c r="AL36" s="173"/>
      <c r="AM36" s="173"/>
      <c r="AN36" s="178"/>
      <c r="AO36" s="173"/>
      <c r="AP36" s="173">
        <f>I36</f>
        <v>0</v>
      </c>
      <c r="AQ36" s="173"/>
      <c r="AR36" s="173"/>
      <c r="AS36" s="180"/>
      <c r="AT36" s="180">
        <f>I36/12</f>
        <v>0</v>
      </c>
      <c r="AU36" s="180"/>
      <c r="AV36" s="180"/>
      <c r="AW36" s="180"/>
      <c r="AX36" s="180"/>
      <c r="AY36" s="180"/>
      <c r="AZ36" s="180"/>
      <c r="BA36" s="180"/>
      <c r="BB36" s="180"/>
      <c r="BC36" s="180"/>
      <c r="BD36" s="180"/>
      <c r="BE36" s="180"/>
      <c r="BF36" s="180"/>
      <c r="BG36" s="180"/>
      <c r="BH36" s="180"/>
      <c r="BI36" s="180"/>
      <c r="BJ36" s="84">
        <f>AF36</f>
        <v>0</v>
      </c>
      <c r="BK36" s="2" t="e">
        <f>'77515 DIY厨艺大师'!#REF!+BJ36</f>
        <v>#REF!</v>
      </c>
      <c r="BL36" s="195"/>
      <c r="BM36" s="195" t="e">
        <f>'77515 DIY厨艺大师'!$CB$2+'77515 DIY厨艺大师'!$CC$2-BK36</f>
        <v>#VALUE!</v>
      </c>
      <c r="BN36" s="2">
        <f>AR36+AS36+AY36+AZ36</f>
        <v>0</v>
      </c>
      <c r="BO36" s="2" t="e">
        <f>'77515 DIY厨艺大师'!#REF!+BN36</f>
        <v>#REF!</v>
      </c>
      <c r="BP36" s="2" t="e">
        <f>'77515 DIY厨艺大师'!$CF$2-BO36</f>
        <v>#REF!</v>
      </c>
    </row>
    <row r="37" s="2" customFormat="1" ht="36" customHeight="1" spans="1:69">
      <c r="A37" s="63">
        <v>45513</v>
      </c>
      <c r="B37" s="64" t="s">
        <v>315</v>
      </c>
      <c r="C37" s="27" t="s">
        <v>477</v>
      </c>
      <c r="D37" s="65">
        <v>4500142632</v>
      </c>
      <c r="E37" s="66" t="s">
        <v>6243</v>
      </c>
      <c r="F37" s="65" t="s">
        <v>6244</v>
      </c>
      <c r="G37" s="16" t="s">
        <v>73</v>
      </c>
      <c r="H37" s="17" t="s">
        <v>74</v>
      </c>
      <c r="I37" s="103">
        <v>504</v>
      </c>
      <c r="J37" s="85">
        <v>0</v>
      </c>
      <c r="K37" s="16">
        <v>24</v>
      </c>
      <c r="L37" s="84">
        <f t="shared" si="0"/>
        <v>21</v>
      </c>
      <c r="M37" s="86">
        <v>45548</v>
      </c>
      <c r="N37" s="86" t="s">
        <v>6245</v>
      </c>
      <c r="O37" s="87"/>
      <c r="P37" s="87"/>
      <c r="Q37" s="87"/>
      <c r="R37" s="87" t="s">
        <v>1910</v>
      </c>
      <c r="S37" s="87" t="s">
        <v>123</v>
      </c>
      <c r="T37" s="128" t="s">
        <v>6218</v>
      </c>
      <c r="U37" s="29" t="s">
        <v>6246</v>
      </c>
      <c r="V37" s="87" t="s">
        <v>186</v>
      </c>
      <c r="W37" s="111">
        <v>1.3595</v>
      </c>
      <c r="X37" s="112">
        <f t="shared" ref="X37:X49" si="23">I37*W37</f>
        <v>685.188</v>
      </c>
      <c r="Y37" s="84"/>
      <c r="Z37" s="150" t="s">
        <v>188</v>
      </c>
      <c r="AA37" s="151" t="s">
        <v>128</v>
      </c>
      <c r="AB37" s="160"/>
      <c r="AC37" s="160"/>
      <c r="AD37" s="160"/>
      <c r="AE37" s="97"/>
      <c r="AF37" s="152"/>
      <c r="AG37" s="152"/>
      <c r="AH37" s="152"/>
      <c r="AI37" s="152"/>
      <c r="AJ37" s="84"/>
      <c r="AK37" s="84">
        <f t="shared" si="20"/>
        <v>504</v>
      </c>
      <c r="AL37" s="173"/>
      <c r="AM37" s="173"/>
      <c r="AN37" s="173">
        <f t="shared" ref="AN37:AN49" si="24">I37</f>
        <v>504</v>
      </c>
      <c r="AO37" s="173"/>
      <c r="AP37" s="173"/>
      <c r="AQ37" s="173"/>
      <c r="AR37" s="173"/>
      <c r="AS37" s="180"/>
      <c r="AT37" s="180"/>
      <c r="AU37" s="180"/>
      <c r="AV37" s="84"/>
      <c r="AW37" s="180"/>
      <c r="AX37" s="180"/>
      <c r="AY37" s="180"/>
      <c r="AZ37" s="180"/>
      <c r="BA37" s="180"/>
      <c r="BB37" s="180"/>
      <c r="BC37" s="180"/>
      <c r="BD37" s="180"/>
      <c r="BE37" s="180"/>
      <c r="BF37" s="180"/>
      <c r="BG37" s="180"/>
      <c r="BH37" s="180"/>
      <c r="BI37" s="180"/>
      <c r="BJ37" s="180"/>
      <c r="BK37" s="84">
        <f t="shared" ref="BK37:BK46" si="25">AF37</f>
        <v>0</v>
      </c>
      <c r="BL37" s="2" t="e">
        <f>'77515 DIY厨艺大师'!#REF!+BK37</f>
        <v>#REF!</v>
      </c>
      <c r="BM37" s="195"/>
      <c r="BN37" s="195" t="e">
        <f>'77515 DIY厨艺大师'!$CB$2+'77515 DIY厨艺大师'!$CC$2-BL37</f>
        <v>#VALUE!</v>
      </c>
      <c r="BO37" s="2">
        <f t="shared" ref="BO37:BO46" si="26">AR37+AS37+AZ37+BA37</f>
        <v>0</v>
      </c>
      <c r="BP37" s="2" t="e">
        <f>'77515 DIY厨艺大师'!#REF!+BO37</f>
        <v>#REF!</v>
      </c>
      <c r="BQ37" s="2" t="e">
        <f>'77515 DIY厨艺大师'!$CF$2-BP37</f>
        <v>#REF!</v>
      </c>
    </row>
    <row r="38" s="2" customFormat="1" ht="36" customHeight="1" spans="1:69">
      <c r="A38" s="63">
        <v>45513</v>
      </c>
      <c r="B38" s="64" t="s">
        <v>315</v>
      </c>
      <c r="C38" s="27" t="s">
        <v>477</v>
      </c>
      <c r="D38" s="65">
        <v>4500142632</v>
      </c>
      <c r="E38" s="66" t="s">
        <v>6247</v>
      </c>
      <c r="F38" s="65" t="s">
        <v>6248</v>
      </c>
      <c r="G38" s="16" t="s">
        <v>73</v>
      </c>
      <c r="H38" s="17" t="s">
        <v>74</v>
      </c>
      <c r="I38" s="103">
        <v>504</v>
      </c>
      <c r="J38" s="85">
        <v>0</v>
      </c>
      <c r="K38" s="16">
        <v>24</v>
      </c>
      <c r="L38" s="84">
        <f t="shared" si="0"/>
        <v>21</v>
      </c>
      <c r="M38" s="86">
        <v>45548</v>
      </c>
      <c r="N38" s="86" t="s">
        <v>6245</v>
      </c>
      <c r="O38" s="87"/>
      <c r="P38" s="87"/>
      <c r="Q38" s="87"/>
      <c r="R38" s="87" t="s">
        <v>1910</v>
      </c>
      <c r="S38" s="87" t="s">
        <v>123</v>
      </c>
      <c r="T38" s="128" t="s">
        <v>6218</v>
      </c>
      <c r="U38" s="29" t="s">
        <v>6246</v>
      </c>
      <c r="V38" s="87" t="s">
        <v>186</v>
      </c>
      <c r="W38" s="111">
        <v>1.3595</v>
      </c>
      <c r="X38" s="112">
        <f t="shared" si="23"/>
        <v>685.188</v>
      </c>
      <c r="Y38" s="84"/>
      <c r="Z38" s="150" t="s">
        <v>188</v>
      </c>
      <c r="AA38" s="151" t="s">
        <v>128</v>
      </c>
      <c r="AB38" s="160"/>
      <c r="AC38" s="160"/>
      <c r="AD38" s="160"/>
      <c r="AE38" s="97"/>
      <c r="AF38" s="152"/>
      <c r="AG38" s="152"/>
      <c r="AH38" s="152"/>
      <c r="AI38" s="152"/>
      <c r="AJ38" s="84"/>
      <c r="AK38" s="84">
        <f t="shared" si="20"/>
        <v>504</v>
      </c>
      <c r="AL38" s="173"/>
      <c r="AM38" s="173"/>
      <c r="AN38" s="173">
        <f t="shared" si="24"/>
        <v>504</v>
      </c>
      <c r="AO38" s="173"/>
      <c r="AP38" s="173"/>
      <c r="AQ38" s="173"/>
      <c r="AR38" s="173"/>
      <c r="AS38" s="180"/>
      <c r="AT38" s="180"/>
      <c r="AU38" s="180"/>
      <c r="AV38" s="84"/>
      <c r="AW38" s="180"/>
      <c r="AX38" s="180"/>
      <c r="AY38" s="180"/>
      <c r="AZ38" s="180"/>
      <c r="BA38" s="180"/>
      <c r="BB38" s="180"/>
      <c r="BC38" s="180"/>
      <c r="BD38" s="180"/>
      <c r="BE38" s="180"/>
      <c r="BF38" s="180"/>
      <c r="BG38" s="180"/>
      <c r="BH38" s="180"/>
      <c r="BI38" s="180"/>
      <c r="BJ38" s="180"/>
      <c r="BK38" s="84">
        <f t="shared" si="25"/>
        <v>0</v>
      </c>
      <c r="BL38" s="2" t="e">
        <f t="shared" ref="BL38:BL42" si="27">BL37+BK38</f>
        <v>#REF!</v>
      </c>
      <c r="BM38" s="195"/>
      <c r="BN38" s="195" t="e">
        <f>'77515 DIY厨艺大师'!$CB$2+'77515 DIY厨艺大师'!$CC$2-BL38</f>
        <v>#VALUE!</v>
      </c>
      <c r="BO38" s="2">
        <f t="shared" si="26"/>
        <v>0</v>
      </c>
      <c r="BP38" s="2" t="e">
        <f t="shared" ref="BP38:BP42" si="28">BP37+BO38</f>
        <v>#REF!</v>
      </c>
      <c r="BQ38" s="2" t="e">
        <f>'77515 DIY厨艺大师'!$CF$2-BP38</f>
        <v>#REF!</v>
      </c>
    </row>
    <row r="39" s="2" customFormat="1" ht="36" customHeight="1" spans="1:69">
      <c r="A39" s="25">
        <v>45544</v>
      </c>
      <c r="B39" s="26" t="s">
        <v>189</v>
      </c>
      <c r="C39" s="27" t="s">
        <v>190</v>
      </c>
      <c r="D39" s="28">
        <v>4500144899</v>
      </c>
      <c r="E39" s="29">
        <v>20301505</v>
      </c>
      <c r="F39" s="28" t="s">
        <v>6249</v>
      </c>
      <c r="G39" s="16" t="s">
        <v>160</v>
      </c>
      <c r="H39" s="17" t="s">
        <v>74</v>
      </c>
      <c r="I39" s="84">
        <v>1495</v>
      </c>
      <c r="J39" s="85">
        <v>0</v>
      </c>
      <c r="K39" s="16">
        <v>13</v>
      </c>
      <c r="L39" s="84">
        <f t="shared" si="0"/>
        <v>115</v>
      </c>
      <c r="M39" s="86">
        <v>45586</v>
      </c>
      <c r="N39" s="86" t="s">
        <v>6250</v>
      </c>
      <c r="O39" s="87" t="s">
        <v>6251</v>
      </c>
      <c r="P39" s="87"/>
      <c r="Q39" s="87"/>
      <c r="R39" s="87">
        <v>45549</v>
      </c>
      <c r="S39" s="87" t="s">
        <v>123</v>
      </c>
      <c r="T39" s="87" t="s">
        <v>6252</v>
      </c>
      <c r="U39" s="29" t="s">
        <v>6253</v>
      </c>
      <c r="V39" s="87" t="s">
        <v>1011</v>
      </c>
      <c r="W39" s="111">
        <v>1.4432</v>
      </c>
      <c r="X39" s="112">
        <f t="shared" si="23"/>
        <v>2157.584</v>
      </c>
      <c r="Y39" s="84"/>
      <c r="Z39" s="150" t="s">
        <v>160</v>
      </c>
      <c r="AA39" s="151" t="s">
        <v>128</v>
      </c>
      <c r="AB39" s="152"/>
      <c r="AC39" s="152"/>
      <c r="AD39" s="152"/>
      <c r="AE39" s="87"/>
      <c r="AF39" s="152">
        <f t="shared" si="22"/>
        <v>1495</v>
      </c>
      <c r="AG39" s="152"/>
      <c r="AH39" s="152"/>
      <c r="AI39" s="152"/>
      <c r="AJ39" s="173">
        <f t="shared" ref="AJ39:AJ42" si="29">I39</f>
        <v>1495</v>
      </c>
      <c r="AK39" s="173"/>
      <c r="AL39" s="173"/>
      <c r="AM39" s="173"/>
      <c r="AN39" s="173">
        <f t="shared" si="24"/>
        <v>1495</v>
      </c>
      <c r="AO39" s="173"/>
      <c r="AP39" s="178"/>
      <c r="AQ39" s="173"/>
      <c r="AR39" s="173"/>
      <c r="AS39" s="180"/>
      <c r="AT39" s="173"/>
      <c r="AU39" s="180"/>
      <c r="AV39" s="180"/>
      <c r="AW39" s="180"/>
      <c r="AX39" s="180">
        <f t="shared" si="21"/>
        <v>115</v>
      </c>
      <c r="AY39" s="180"/>
      <c r="AZ39" s="180"/>
      <c r="BA39" s="180"/>
      <c r="BB39" s="180"/>
      <c r="BC39" s="180"/>
      <c r="BD39" s="180"/>
      <c r="BE39" s="180"/>
      <c r="BF39" s="180"/>
      <c r="BG39" s="180"/>
      <c r="BH39" s="180"/>
      <c r="BI39" s="180"/>
      <c r="BJ39" s="180"/>
      <c r="BK39" s="84">
        <f t="shared" si="25"/>
        <v>1495</v>
      </c>
      <c r="BL39" s="2" t="e">
        <f>'77515 DIY厨艺大师'!#REF!+BK39</f>
        <v>#REF!</v>
      </c>
      <c r="BM39" s="195"/>
      <c r="BN39" s="195" t="e">
        <f>'77515 DIY厨艺大师'!$CB$2+'77515 DIY厨艺大师'!$CC$2-BL39</f>
        <v>#VALUE!</v>
      </c>
      <c r="BO39" s="2">
        <f t="shared" si="26"/>
        <v>0</v>
      </c>
      <c r="BP39" s="2" t="e">
        <f>'77515 DIY厨艺大师'!#REF!+BO39</f>
        <v>#REF!</v>
      </c>
      <c r="BQ39" s="2" t="e">
        <f>'77515 DIY厨艺大师'!$CF$2-BP39</f>
        <v>#REF!</v>
      </c>
    </row>
    <row r="40" s="2" customFormat="1" ht="36" customHeight="1" spans="1:69">
      <c r="A40" s="25">
        <v>45544</v>
      </c>
      <c r="B40" s="26" t="s">
        <v>232</v>
      </c>
      <c r="C40" s="27" t="s">
        <v>233</v>
      </c>
      <c r="D40" s="28">
        <v>4500144900</v>
      </c>
      <c r="E40" s="29">
        <v>20301508</v>
      </c>
      <c r="F40" s="28" t="s">
        <v>6254</v>
      </c>
      <c r="G40" s="16" t="s">
        <v>160</v>
      </c>
      <c r="H40" s="17" t="s">
        <v>74</v>
      </c>
      <c r="I40" s="84">
        <v>312</v>
      </c>
      <c r="J40" s="85">
        <v>0</v>
      </c>
      <c r="K40" s="16">
        <v>13</v>
      </c>
      <c r="L40" s="84">
        <f t="shared" si="0"/>
        <v>24</v>
      </c>
      <c r="M40" s="86">
        <v>45586</v>
      </c>
      <c r="N40" s="86" t="s">
        <v>6250</v>
      </c>
      <c r="O40" s="87" t="s">
        <v>6251</v>
      </c>
      <c r="P40" s="87"/>
      <c r="Q40" s="87"/>
      <c r="R40" s="87">
        <v>45549</v>
      </c>
      <c r="S40" s="87" t="s">
        <v>123</v>
      </c>
      <c r="T40" s="87" t="s">
        <v>6252</v>
      </c>
      <c r="U40" s="29" t="s">
        <v>6255</v>
      </c>
      <c r="V40" s="87" t="s">
        <v>1011</v>
      </c>
      <c r="W40" s="111">
        <v>1.4483</v>
      </c>
      <c r="X40" s="112">
        <f t="shared" si="23"/>
        <v>451.8696</v>
      </c>
      <c r="Y40" s="84"/>
      <c r="Z40" s="150" t="s">
        <v>160</v>
      </c>
      <c r="AA40" s="151" t="s">
        <v>128</v>
      </c>
      <c r="AB40" s="152"/>
      <c r="AC40" s="152"/>
      <c r="AD40" s="152"/>
      <c r="AE40" s="87"/>
      <c r="AF40" s="152">
        <f t="shared" si="22"/>
        <v>312</v>
      </c>
      <c r="AG40" s="152"/>
      <c r="AH40" s="152"/>
      <c r="AI40" s="152"/>
      <c r="AJ40" s="173">
        <f t="shared" si="29"/>
        <v>312</v>
      </c>
      <c r="AK40" s="173"/>
      <c r="AL40" s="173"/>
      <c r="AM40" s="173"/>
      <c r="AN40" s="173">
        <f t="shared" si="24"/>
        <v>312</v>
      </c>
      <c r="AO40" s="173"/>
      <c r="AP40" s="178"/>
      <c r="AQ40" s="173"/>
      <c r="AR40" s="173"/>
      <c r="AS40" s="180"/>
      <c r="AT40" s="173"/>
      <c r="AU40" s="180"/>
      <c r="AV40" s="180"/>
      <c r="AW40" s="180"/>
      <c r="AX40" s="180">
        <f t="shared" si="21"/>
        <v>24</v>
      </c>
      <c r="AY40" s="180"/>
      <c r="AZ40" s="180"/>
      <c r="BA40" s="180"/>
      <c r="BB40" s="180"/>
      <c r="BC40" s="180"/>
      <c r="BD40" s="180"/>
      <c r="BE40" s="180"/>
      <c r="BF40" s="180"/>
      <c r="BG40" s="180"/>
      <c r="BH40" s="180"/>
      <c r="BI40" s="180"/>
      <c r="BJ40" s="180"/>
      <c r="BK40" s="84">
        <f t="shared" si="25"/>
        <v>312</v>
      </c>
      <c r="BL40" s="2" t="e">
        <f t="shared" si="27"/>
        <v>#REF!</v>
      </c>
      <c r="BM40" s="195"/>
      <c r="BN40" s="195" t="e">
        <f>'77515 DIY厨艺大师'!$CB$2+'77515 DIY厨艺大师'!$CC$2-BL40</f>
        <v>#VALUE!</v>
      </c>
      <c r="BO40" s="2">
        <f t="shared" si="26"/>
        <v>0</v>
      </c>
      <c r="BP40" s="2" t="e">
        <f t="shared" si="28"/>
        <v>#REF!</v>
      </c>
      <c r="BQ40" s="2" t="e">
        <f>'77515 DIY厨艺大师'!$CF$2-BP40</f>
        <v>#REF!</v>
      </c>
    </row>
    <row r="41" s="2" customFormat="1" ht="36" customHeight="1" spans="1:69">
      <c r="A41" s="25">
        <v>45545</v>
      </c>
      <c r="B41" s="26" t="s">
        <v>189</v>
      </c>
      <c r="C41" s="27" t="s">
        <v>190</v>
      </c>
      <c r="D41" s="28">
        <v>4500145062</v>
      </c>
      <c r="E41" s="29">
        <v>20301506</v>
      </c>
      <c r="F41" s="28" t="s">
        <v>6256</v>
      </c>
      <c r="G41" s="16" t="s">
        <v>160</v>
      </c>
      <c r="H41" s="17" t="s">
        <v>74</v>
      </c>
      <c r="I41" s="84">
        <v>1352</v>
      </c>
      <c r="J41" s="85">
        <v>0</v>
      </c>
      <c r="K41" s="16">
        <v>13</v>
      </c>
      <c r="L41" s="84">
        <f t="shared" si="0"/>
        <v>104</v>
      </c>
      <c r="M41" s="86">
        <v>45593</v>
      </c>
      <c r="N41" s="86" t="s">
        <v>6250</v>
      </c>
      <c r="O41" s="87" t="s">
        <v>6257</v>
      </c>
      <c r="P41" s="87"/>
      <c r="Q41" s="87"/>
      <c r="R41" s="87">
        <v>45561</v>
      </c>
      <c r="S41" s="87" t="s">
        <v>123</v>
      </c>
      <c r="T41" s="87" t="s">
        <v>6258</v>
      </c>
      <c r="U41" s="29" t="s">
        <v>6227</v>
      </c>
      <c r="V41" s="87" t="s">
        <v>1011</v>
      </c>
      <c r="W41" s="111">
        <v>1.4432</v>
      </c>
      <c r="X41" s="112">
        <f t="shared" si="23"/>
        <v>1951.2064</v>
      </c>
      <c r="Y41" s="84"/>
      <c r="Z41" s="150" t="s">
        <v>160</v>
      </c>
      <c r="AA41" s="151" t="s">
        <v>128</v>
      </c>
      <c r="AB41" s="152"/>
      <c r="AC41" s="152"/>
      <c r="AD41" s="152"/>
      <c r="AE41" s="87"/>
      <c r="AF41" s="152">
        <f t="shared" si="22"/>
        <v>1352</v>
      </c>
      <c r="AG41" s="152"/>
      <c r="AH41" s="152"/>
      <c r="AI41" s="152"/>
      <c r="AJ41" s="173">
        <f t="shared" si="29"/>
        <v>1352</v>
      </c>
      <c r="AK41" s="173"/>
      <c r="AL41" s="173"/>
      <c r="AM41" s="173"/>
      <c r="AN41" s="173">
        <f t="shared" si="24"/>
        <v>1352</v>
      </c>
      <c r="AO41" s="173"/>
      <c r="AP41" s="173"/>
      <c r="AQ41" s="173"/>
      <c r="AR41" s="173"/>
      <c r="AS41" s="180"/>
      <c r="AT41" s="180"/>
      <c r="AU41" s="180"/>
      <c r="AV41" s="180"/>
      <c r="AW41" s="180"/>
      <c r="AX41" s="180">
        <f t="shared" si="21"/>
        <v>104</v>
      </c>
      <c r="AY41" s="180"/>
      <c r="AZ41" s="180"/>
      <c r="BA41" s="180"/>
      <c r="BB41" s="180"/>
      <c r="BC41" s="180"/>
      <c r="BD41" s="180"/>
      <c r="BE41" s="180"/>
      <c r="BF41" s="180"/>
      <c r="BG41" s="180"/>
      <c r="BH41" s="180"/>
      <c r="BI41" s="180"/>
      <c r="BJ41" s="180"/>
      <c r="BK41" s="84">
        <f t="shared" si="25"/>
        <v>1352</v>
      </c>
      <c r="BL41" s="2" t="e">
        <f>'77515 DIY厨艺大师'!#REF!+BK41</f>
        <v>#REF!</v>
      </c>
      <c r="BM41" s="195"/>
      <c r="BN41" s="195" t="e">
        <f>'77515 DIY厨艺大师'!$CB$2+'77515 DIY厨艺大师'!$CC$2-BL41</f>
        <v>#VALUE!</v>
      </c>
      <c r="BO41" s="2">
        <f t="shared" si="26"/>
        <v>0</v>
      </c>
      <c r="BP41" s="2" t="e">
        <f>'77515 DIY厨艺大师'!#REF!+BO41</f>
        <v>#REF!</v>
      </c>
      <c r="BQ41" s="2" t="e">
        <f>'77515 DIY厨艺大师'!$CF$2-BP41</f>
        <v>#REF!</v>
      </c>
    </row>
    <row r="42" s="2" customFormat="1" ht="36" customHeight="1" spans="1:69">
      <c r="A42" s="25">
        <v>45545</v>
      </c>
      <c r="B42" s="26" t="s">
        <v>232</v>
      </c>
      <c r="C42" s="27" t="s">
        <v>233</v>
      </c>
      <c r="D42" s="28">
        <v>4500145063</v>
      </c>
      <c r="E42" s="29">
        <v>20301509</v>
      </c>
      <c r="F42" s="28" t="s">
        <v>6259</v>
      </c>
      <c r="G42" s="16" t="s">
        <v>160</v>
      </c>
      <c r="H42" s="17" t="s">
        <v>74</v>
      </c>
      <c r="I42" s="84">
        <v>156</v>
      </c>
      <c r="J42" s="85">
        <v>0</v>
      </c>
      <c r="K42" s="16">
        <v>13</v>
      </c>
      <c r="L42" s="84">
        <f t="shared" si="0"/>
        <v>12</v>
      </c>
      <c r="M42" s="86">
        <v>45593</v>
      </c>
      <c r="N42" s="86" t="s">
        <v>6250</v>
      </c>
      <c r="O42" s="87" t="s">
        <v>6257</v>
      </c>
      <c r="P42" s="87"/>
      <c r="Q42" s="87"/>
      <c r="R42" s="87">
        <v>45561</v>
      </c>
      <c r="S42" s="87" t="s">
        <v>123</v>
      </c>
      <c r="T42" s="87" t="s">
        <v>6258</v>
      </c>
      <c r="U42" s="29" t="s">
        <v>2295</v>
      </c>
      <c r="V42" s="87" t="s">
        <v>1011</v>
      </c>
      <c r="W42" s="111">
        <v>1.4483</v>
      </c>
      <c r="X42" s="112">
        <f t="shared" si="23"/>
        <v>225.9348</v>
      </c>
      <c r="Y42" s="84"/>
      <c r="Z42" s="150" t="s">
        <v>160</v>
      </c>
      <c r="AA42" s="151" t="s">
        <v>128</v>
      </c>
      <c r="AB42" s="152"/>
      <c r="AC42" s="152"/>
      <c r="AD42" s="152"/>
      <c r="AE42" s="87"/>
      <c r="AF42" s="152">
        <f t="shared" si="22"/>
        <v>156</v>
      </c>
      <c r="AG42" s="152"/>
      <c r="AH42" s="152"/>
      <c r="AI42" s="152"/>
      <c r="AJ42" s="173">
        <f t="shared" si="29"/>
        <v>156</v>
      </c>
      <c r="AK42" s="173"/>
      <c r="AL42" s="173"/>
      <c r="AM42" s="173"/>
      <c r="AN42" s="173">
        <f t="shared" si="24"/>
        <v>156</v>
      </c>
      <c r="AO42" s="173"/>
      <c r="AP42" s="173"/>
      <c r="AQ42" s="173"/>
      <c r="AR42" s="173"/>
      <c r="AS42" s="180"/>
      <c r="AT42" s="180"/>
      <c r="AU42" s="180"/>
      <c r="AV42" s="180"/>
      <c r="AW42" s="180"/>
      <c r="AX42" s="180">
        <f t="shared" si="21"/>
        <v>12</v>
      </c>
      <c r="AY42" s="180"/>
      <c r="AZ42" s="180"/>
      <c r="BA42" s="180"/>
      <c r="BB42" s="180"/>
      <c r="BC42" s="180"/>
      <c r="BD42" s="180"/>
      <c r="BE42" s="180"/>
      <c r="BF42" s="180"/>
      <c r="BG42" s="180"/>
      <c r="BH42" s="180"/>
      <c r="BI42" s="180"/>
      <c r="BJ42" s="180"/>
      <c r="BK42" s="84">
        <f t="shared" si="25"/>
        <v>156</v>
      </c>
      <c r="BL42" s="2" t="e">
        <f t="shared" si="27"/>
        <v>#REF!</v>
      </c>
      <c r="BM42" s="195"/>
      <c r="BN42" s="195" t="e">
        <f>'77515 DIY厨艺大师'!$CB$2+'77515 DIY厨艺大师'!$CC$2-BL42</f>
        <v>#VALUE!</v>
      </c>
      <c r="BO42" s="2">
        <f t="shared" si="26"/>
        <v>0</v>
      </c>
      <c r="BP42" s="2" t="e">
        <f t="shared" si="28"/>
        <v>#REF!</v>
      </c>
      <c r="BQ42" s="2" t="e">
        <f>'77515 DIY厨艺大师'!$CF$2-BP42</f>
        <v>#REF!</v>
      </c>
    </row>
    <row r="43" s="5" customFormat="1" ht="36" customHeight="1" spans="1:69">
      <c r="A43" s="67">
        <v>45561</v>
      </c>
      <c r="B43" s="68" t="s">
        <v>151</v>
      </c>
      <c r="C43" s="69" t="s">
        <v>117</v>
      </c>
      <c r="D43" s="70">
        <v>4500146118</v>
      </c>
      <c r="E43" s="71" t="s">
        <v>6260</v>
      </c>
      <c r="F43" s="70" t="s">
        <v>6261</v>
      </c>
      <c r="G43" s="72" t="s">
        <v>73</v>
      </c>
      <c r="H43" s="73" t="s">
        <v>74</v>
      </c>
      <c r="I43" s="104">
        <v>2232</v>
      </c>
      <c r="J43" s="105">
        <v>0</v>
      </c>
      <c r="K43" s="72">
        <v>24</v>
      </c>
      <c r="L43" s="104">
        <f t="shared" si="0"/>
        <v>93</v>
      </c>
      <c r="M43" s="101">
        <v>45609</v>
      </c>
      <c r="N43" s="101" t="s">
        <v>6221</v>
      </c>
      <c r="O43" s="106" t="s">
        <v>6262</v>
      </c>
      <c r="P43" s="106"/>
      <c r="Q43" s="106" t="s">
        <v>6263</v>
      </c>
      <c r="R43" s="106">
        <v>45561</v>
      </c>
      <c r="S43" s="106" t="s">
        <v>123</v>
      </c>
      <c r="T43" s="129" t="s">
        <v>6264</v>
      </c>
      <c r="U43" s="71" t="s">
        <v>6265</v>
      </c>
      <c r="V43" s="71" t="s">
        <v>6266</v>
      </c>
      <c r="W43" s="130">
        <v>1.3355</v>
      </c>
      <c r="X43" s="131">
        <f t="shared" si="23"/>
        <v>2980.836</v>
      </c>
      <c r="Y43" s="104"/>
      <c r="Z43" s="166" t="s">
        <v>188</v>
      </c>
      <c r="AA43" s="167" t="s">
        <v>128</v>
      </c>
      <c r="AB43" s="165"/>
      <c r="AC43" s="165"/>
      <c r="AD43" s="165"/>
      <c r="AE43" s="106"/>
      <c r="AF43" s="165">
        <f t="shared" si="22"/>
        <v>2232</v>
      </c>
      <c r="AG43" s="165"/>
      <c r="AH43" s="165"/>
      <c r="AI43" s="165"/>
      <c r="AJ43" s="104"/>
      <c r="AK43" s="104">
        <f t="shared" ref="AK43:AK49" si="30">I43</f>
        <v>2232</v>
      </c>
      <c r="AL43" s="179"/>
      <c r="AM43" s="179"/>
      <c r="AN43" s="179">
        <f t="shared" si="24"/>
        <v>2232</v>
      </c>
      <c r="AO43" s="179"/>
      <c r="AP43" s="179"/>
      <c r="AQ43" s="179"/>
      <c r="AR43" s="179"/>
      <c r="AS43" s="186"/>
      <c r="AT43" s="186"/>
      <c r="AU43" s="186"/>
      <c r="AV43" s="186"/>
      <c r="AW43" s="186"/>
      <c r="AX43" s="186"/>
      <c r="AY43" s="186"/>
      <c r="AZ43" s="186"/>
      <c r="BA43" s="186"/>
      <c r="BB43" s="186"/>
      <c r="BC43" s="186"/>
      <c r="BD43" s="186"/>
      <c r="BE43" s="186"/>
      <c r="BF43" s="186"/>
      <c r="BG43" s="186"/>
      <c r="BH43" s="186"/>
      <c r="BI43" s="186"/>
      <c r="BJ43" s="186"/>
      <c r="BK43" s="84">
        <f t="shared" si="25"/>
        <v>2232</v>
      </c>
      <c r="BL43" s="2" t="e">
        <f>'77515 DIY厨艺大师'!#REF!+BK43</f>
        <v>#REF!</v>
      </c>
      <c r="BM43" s="195"/>
      <c r="BN43" s="195" t="e">
        <f>'77515 DIY厨艺大师'!$CB$2+'77515 DIY厨艺大师'!$CC$2-BL43</f>
        <v>#VALUE!</v>
      </c>
      <c r="BO43" s="2">
        <f t="shared" si="26"/>
        <v>0</v>
      </c>
      <c r="BP43" s="2" t="e">
        <f>'77515 DIY厨艺大师'!#REF!+BO43</f>
        <v>#REF!</v>
      </c>
      <c r="BQ43" s="2" t="e">
        <f>'77515 DIY厨艺大师'!$CF$2-BP43</f>
        <v>#REF!</v>
      </c>
    </row>
    <row r="44" s="5" customFormat="1" ht="36" customHeight="1" spans="1:69">
      <c r="A44" s="67">
        <v>45561</v>
      </c>
      <c r="B44" s="68" t="s">
        <v>151</v>
      </c>
      <c r="C44" s="69" t="s">
        <v>117</v>
      </c>
      <c r="D44" s="70" t="s">
        <v>6267</v>
      </c>
      <c r="E44" s="71" t="s">
        <v>6268</v>
      </c>
      <c r="F44" s="70" t="s">
        <v>6269</v>
      </c>
      <c r="G44" s="72" t="s">
        <v>73</v>
      </c>
      <c r="H44" s="73" t="s">
        <v>74</v>
      </c>
      <c r="I44" s="104">
        <v>10968</v>
      </c>
      <c r="J44" s="105">
        <v>0</v>
      </c>
      <c r="K44" s="72">
        <v>24</v>
      </c>
      <c r="L44" s="104">
        <f t="shared" si="0"/>
        <v>457</v>
      </c>
      <c r="M44" s="101">
        <v>45609</v>
      </c>
      <c r="N44" s="101" t="s">
        <v>6221</v>
      </c>
      <c r="O44" s="106" t="s">
        <v>6262</v>
      </c>
      <c r="P44" s="106"/>
      <c r="Q44" s="106" t="s">
        <v>6263</v>
      </c>
      <c r="R44" s="106">
        <v>45561</v>
      </c>
      <c r="S44" s="106" t="s">
        <v>123</v>
      </c>
      <c r="T44" s="129" t="s">
        <v>6264</v>
      </c>
      <c r="U44" s="71" t="s">
        <v>6265</v>
      </c>
      <c r="V44" s="71" t="s">
        <v>6266</v>
      </c>
      <c r="W44" s="130">
        <v>1.3355</v>
      </c>
      <c r="X44" s="131">
        <f t="shared" si="23"/>
        <v>14647.764</v>
      </c>
      <c r="Y44" s="104"/>
      <c r="Z44" s="166" t="s">
        <v>188</v>
      </c>
      <c r="AA44" s="167" t="s">
        <v>128</v>
      </c>
      <c r="AB44" s="165"/>
      <c r="AC44" s="165"/>
      <c r="AD44" s="165"/>
      <c r="AE44" s="106"/>
      <c r="AF44" s="165">
        <f t="shared" si="22"/>
        <v>10968</v>
      </c>
      <c r="AG44" s="165"/>
      <c r="AH44" s="165"/>
      <c r="AI44" s="165"/>
      <c r="AJ44" s="104"/>
      <c r="AK44" s="104">
        <f t="shared" si="30"/>
        <v>10968</v>
      </c>
      <c r="AL44" s="179"/>
      <c r="AM44" s="179"/>
      <c r="AN44" s="179">
        <f t="shared" si="24"/>
        <v>10968</v>
      </c>
      <c r="AO44" s="179"/>
      <c r="AP44" s="179"/>
      <c r="AQ44" s="179"/>
      <c r="AR44" s="179"/>
      <c r="AS44" s="186"/>
      <c r="AT44" s="186"/>
      <c r="AU44" s="186"/>
      <c r="AV44" s="186"/>
      <c r="AW44" s="186"/>
      <c r="AX44" s="186"/>
      <c r="AY44" s="186"/>
      <c r="AZ44" s="186"/>
      <c r="BA44" s="186"/>
      <c r="BB44" s="186"/>
      <c r="BC44" s="186"/>
      <c r="BD44" s="186"/>
      <c r="BE44" s="186"/>
      <c r="BF44" s="186"/>
      <c r="BG44" s="186"/>
      <c r="BH44" s="186"/>
      <c r="BI44" s="186"/>
      <c r="BJ44" s="186"/>
      <c r="BK44" s="84">
        <f t="shared" si="25"/>
        <v>10968</v>
      </c>
      <c r="BL44" s="2" t="e">
        <f t="shared" ref="BL44:BL46" si="31">BL43+BK44</f>
        <v>#REF!</v>
      </c>
      <c r="BM44" s="195"/>
      <c r="BN44" s="195" t="e">
        <f>'77515 DIY厨艺大师'!$CB$2+'77515 DIY厨艺大师'!$CC$2-BL44</f>
        <v>#VALUE!</v>
      </c>
      <c r="BO44" s="2">
        <f t="shared" si="26"/>
        <v>0</v>
      </c>
      <c r="BP44" s="2" t="e">
        <f t="shared" ref="BP44:BP46" si="32">BP43+BO44</f>
        <v>#REF!</v>
      </c>
      <c r="BQ44" s="2" t="e">
        <f>'77515 DIY厨艺大师'!$CF$2-BP44</f>
        <v>#REF!</v>
      </c>
    </row>
    <row r="45" s="5" customFormat="1" ht="36" customHeight="1" spans="1:69">
      <c r="A45" s="67">
        <v>45561</v>
      </c>
      <c r="B45" s="68" t="s">
        <v>151</v>
      </c>
      <c r="C45" s="69" t="s">
        <v>117</v>
      </c>
      <c r="D45" s="70">
        <v>4500146154</v>
      </c>
      <c r="E45" s="71" t="s">
        <v>6270</v>
      </c>
      <c r="F45" s="70" t="s">
        <v>6271</v>
      </c>
      <c r="G45" s="72" t="s">
        <v>73</v>
      </c>
      <c r="H45" s="73" t="s">
        <v>74</v>
      </c>
      <c r="I45" s="104">
        <v>5760</v>
      </c>
      <c r="J45" s="105">
        <v>0</v>
      </c>
      <c r="K45" s="72">
        <v>24</v>
      </c>
      <c r="L45" s="104">
        <f t="shared" si="0"/>
        <v>240</v>
      </c>
      <c r="M45" s="101">
        <v>45609</v>
      </c>
      <c r="N45" s="101" t="s">
        <v>6221</v>
      </c>
      <c r="O45" s="106" t="s">
        <v>6262</v>
      </c>
      <c r="P45" s="106"/>
      <c r="Q45" s="106" t="s">
        <v>6263</v>
      </c>
      <c r="R45" s="106">
        <v>45561</v>
      </c>
      <c r="S45" s="106" t="s">
        <v>123</v>
      </c>
      <c r="T45" s="129" t="s">
        <v>6264</v>
      </c>
      <c r="U45" s="71" t="s">
        <v>6265</v>
      </c>
      <c r="V45" s="71" t="s">
        <v>6266</v>
      </c>
      <c r="W45" s="130">
        <v>1.3406</v>
      </c>
      <c r="X45" s="131">
        <f t="shared" si="23"/>
        <v>7721.856</v>
      </c>
      <c r="Y45" s="104"/>
      <c r="Z45" s="166" t="s">
        <v>188</v>
      </c>
      <c r="AA45" s="167" t="s">
        <v>128</v>
      </c>
      <c r="AB45" s="165"/>
      <c r="AC45" s="165"/>
      <c r="AD45" s="165"/>
      <c r="AE45" s="106"/>
      <c r="AF45" s="165">
        <f t="shared" si="22"/>
        <v>5760</v>
      </c>
      <c r="AG45" s="165"/>
      <c r="AH45" s="165"/>
      <c r="AI45" s="165"/>
      <c r="AJ45" s="104"/>
      <c r="AK45" s="104">
        <f t="shared" si="30"/>
        <v>5760</v>
      </c>
      <c r="AL45" s="179"/>
      <c r="AM45" s="179"/>
      <c r="AN45" s="179">
        <f t="shared" si="24"/>
        <v>5760</v>
      </c>
      <c r="AO45" s="179"/>
      <c r="AP45" s="179"/>
      <c r="AQ45" s="179"/>
      <c r="AR45" s="179"/>
      <c r="AS45" s="186"/>
      <c r="AT45" s="186"/>
      <c r="AU45" s="186"/>
      <c r="AV45" s="186"/>
      <c r="AW45" s="186"/>
      <c r="AX45" s="186"/>
      <c r="AY45" s="186"/>
      <c r="AZ45" s="186"/>
      <c r="BA45" s="186"/>
      <c r="BB45" s="186"/>
      <c r="BC45" s="186"/>
      <c r="BD45" s="186"/>
      <c r="BE45" s="186"/>
      <c r="BF45" s="186"/>
      <c r="BG45" s="186"/>
      <c r="BH45" s="186"/>
      <c r="BI45" s="186"/>
      <c r="BJ45" s="186"/>
      <c r="BK45" s="84">
        <f t="shared" si="25"/>
        <v>5760</v>
      </c>
      <c r="BL45" s="2" t="e">
        <f t="shared" si="31"/>
        <v>#REF!</v>
      </c>
      <c r="BM45" s="195"/>
      <c r="BN45" s="195" t="e">
        <f>'77515 DIY厨艺大师'!$CB$2+'77515 DIY厨艺大师'!$CC$2-BL45</f>
        <v>#VALUE!</v>
      </c>
      <c r="BO45" s="2">
        <f t="shared" si="26"/>
        <v>0</v>
      </c>
      <c r="BP45" s="2" t="e">
        <f t="shared" si="32"/>
        <v>#REF!</v>
      </c>
      <c r="BQ45" s="2" t="e">
        <f>'77515 DIY厨艺大师'!$CF$2-BP45</f>
        <v>#REF!</v>
      </c>
    </row>
    <row r="46" s="5" customFormat="1" ht="36" customHeight="1" spans="1:69">
      <c r="A46" s="67">
        <v>45561</v>
      </c>
      <c r="B46" s="68" t="s">
        <v>151</v>
      </c>
      <c r="C46" s="69" t="s">
        <v>117</v>
      </c>
      <c r="D46" s="70">
        <v>4500146155</v>
      </c>
      <c r="E46" s="71" t="s">
        <v>6272</v>
      </c>
      <c r="F46" s="70" t="s">
        <v>6273</v>
      </c>
      <c r="G46" s="72" t="s">
        <v>73</v>
      </c>
      <c r="H46" s="73" t="s">
        <v>74</v>
      </c>
      <c r="I46" s="104">
        <v>7920</v>
      </c>
      <c r="J46" s="105">
        <v>0</v>
      </c>
      <c r="K46" s="72">
        <v>24</v>
      </c>
      <c r="L46" s="104">
        <f t="shared" si="0"/>
        <v>330</v>
      </c>
      <c r="M46" s="101">
        <v>45609</v>
      </c>
      <c r="N46" s="101" t="s">
        <v>6221</v>
      </c>
      <c r="O46" s="106" t="s">
        <v>6262</v>
      </c>
      <c r="P46" s="106"/>
      <c r="Q46" s="106" t="s">
        <v>6263</v>
      </c>
      <c r="R46" s="106">
        <v>45561</v>
      </c>
      <c r="S46" s="106" t="s">
        <v>123</v>
      </c>
      <c r="T46" s="129" t="s">
        <v>6264</v>
      </c>
      <c r="U46" s="71" t="s">
        <v>6265</v>
      </c>
      <c r="V46" s="71" t="s">
        <v>6266</v>
      </c>
      <c r="W46" s="130">
        <v>1.3406</v>
      </c>
      <c r="X46" s="131">
        <f t="shared" si="23"/>
        <v>10617.552</v>
      </c>
      <c r="Y46" s="104"/>
      <c r="Z46" s="166" t="s">
        <v>188</v>
      </c>
      <c r="AA46" s="167" t="s">
        <v>128</v>
      </c>
      <c r="AB46" s="165"/>
      <c r="AC46" s="165"/>
      <c r="AD46" s="165"/>
      <c r="AE46" s="106"/>
      <c r="AF46" s="165">
        <f t="shared" si="22"/>
        <v>7920</v>
      </c>
      <c r="AG46" s="165"/>
      <c r="AH46" s="165"/>
      <c r="AI46" s="165"/>
      <c r="AJ46" s="104"/>
      <c r="AK46" s="104">
        <f t="shared" si="30"/>
        <v>7920</v>
      </c>
      <c r="AL46" s="179"/>
      <c r="AM46" s="179"/>
      <c r="AN46" s="179">
        <f t="shared" si="24"/>
        <v>7920</v>
      </c>
      <c r="AO46" s="179"/>
      <c r="AP46" s="179"/>
      <c r="AQ46" s="179"/>
      <c r="AR46" s="179"/>
      <c r="AS46" s="186"/>
      <c r="AT46" s="186"/>
      <c r="AU46" s="186"/>
      <c r="AV46" s="186"/>
      <c r="AW46" s="186"/>
      <c r="AX46" s="186"/>
      <c r="AY46" s="186"/>
      <c r="AZ46" s="186"/>
      <c r="BA46" s="186"/>
      <c r="BB46" s="186"/>
      <c r="BC46" s="186"/>
      <c r="BD46" s="186"/>
      <c r="BE46" s="186"/>
      <c r="BF46" s="186"/>
      <c r="BG46" s="186"/>
      <c r="BH46" s="186"/>
      <c r="BI46" s="186"/>
      <c r="BJ46" s="186"/>
      <c r="BK46" s="84">
        <f t="shared" si="25"/>
        <v>7920</v>
      </c>
      <c r="BL46" s="2" t="e">
        <f t="shared" si="31"/>
        <v>#REF!</v>
      </c>
      <c r="BM46" s="195"/>
      <c r="BN46" s="195" t="e">
        <f>'77515 DIY厨艺大师'!$CB$2+'77515 DIY厨艺大师'!$CC$2-BL46</f>
        <v>#VALUE!</v>
      </c>
      <c r="BO46" s="2">
        <f t="shared" si="26"/>
        <v>0</v>
      </c>
      <c r="BP46" s="2" t="e">
        <f t="shared" si="32"/>
        <v>#REF!</v>
      </c>
      <c r="BQ46" s="2" t="e">
        <f>'77515 DIY厨艺大师'!$CF$2-BP46</f>
        <v>#REF!</v>
      </c>
    </row>
    <row r="47" s="5" customFormat="1" ht="36" customHeight="1" spans="1:70">
      <c r="A47" s="67">
        <v>45587</v>
      </c>
      <c r="B47" s="68" t="s">
        <v>3191</v>
      </c>
      <c r="C47" s="69" t="s">
        <v>117</v>
      </c>
      <c r="D47" s="70" t="s">
        <v>6274</v>
      </c>
      <c r="E47" s="71"/>
      <c r="F47" s="70"/>
      <c r="G47" s="72" t="s">
        <v>3195</v>
      </c>
      <c r="H47" s="73" t="s">
        <v>3308</v>
      </c>
      <c r="I47" s="104">
        <v>0</v>
      </c>
      <c r="J47" s="105">
        <v>0</v>
      </c>
      <c r="K47" s="72">
        <v>24</v>
      </c>
      <c r="L47" s="104">
        <f t="shared" si="0"/>
        <v>0</v>
      </c>
      <c r="M47" s="101">
        <v>45656</v>
      </c>
      <c r="N47" s="101">
        <v>45656</v>
      </c>
      <c r="O47" s="106" t="s">
        <v>1221</v>
      </c>
      <c r="P47" s="106" t="s">
        <v>6275</v>
      </c>
      <c r="Q47" s="106" t="s">
        <v>3196</v>
      </c>
      <c r="R47" s="106" t="s">
        <v>76</v>
      </c>
      <c r="S47" s="132" t="s">
        <v>77</v>
      </c>
      <c r="T47" s="133" t="s">
        <v>3198</v>
      </c>
      <c r="U47" s="134" t="s">
        <v>6276</v>
      </c>
      <c r="V47" s="135" t="s">
        <v>903</v>
      </c>
      <c r="W47" s="130">
        <v>1.3304</v>
      </c>
      <c r="X47" s="131">
        <f t="shared" si="23"/>
        <v>0</v>
      </c>
      <c r="Y47" s="104"/>
      <c r="Z47" s="166" t="s">
        <v>188</v>
      </c>
      <c r="AA47" s="167"/>
      <c r="AB47" s="165"/>
      <c r="AC47" s="165">
        <f t="shared" ref="AC47:AC49" si="33">AB47-I47</f>
        <v>0</v>
      </c>
      <c r="AD47" s="165"/>
      <c r="AE47" s="106"/>
      <c r="AF47" s="165">
        <f t="shared" si="22"/>
        <v>0</v>
      </c>
      <c r="AG47" s="165"/>
      <c r="AH47" s="165"/>
      <c r="AI47" s="165"/>
      <c r="AJ47" s="179"/>
      <c r="AK47" s="104">
        <f t="shared" si="30"/>
        <v>0</v>
      </c>
      <c r="AL47" s="179"/>
      <c r="AM47" s="179"/>
      <c r="AN47" s="179">
        <f t="shared" si="24"/>
        <v>0</v>
      </c>
      <c r="AO47" s="179"/>
      <c r="AQ47" s="179"/>
      <c r="AR47" s="187"/>
      <c r="AS47" s="186"/>
      <c r="AT47" s="186"/>
      <c r="AU47" s="186"/>
      <c r="AV47" s="186"/>
      <c r="AW47" s="186"/>
      <c r="AX47" s="191"/>
      <c r="AY47" s="186"/>
      <c r="AZ47" s="186"/>
      <c r="BA47" s="186"/>
      <c r="BB47" s="186"/>
      <c r="BC47" s="186"/>
      <c r="BD47" s="186"/>
      <c r="BE47" s="186"/>
      <c r="BF47" s="186"/>
      <c r="BG47" s="186"/>
      <c r="BH47" s="186"/>
      <c r="BI47" s="186"/>
      <c r="BJ47" s="186"/>
      <c r="BK47" s="186"/>
      <c r="BL47" s="104">
        <f t="shared" ref="BL47:BL49" si="34">AF47+AG47+AH47</f>
        <v>0</v>
      </c>
      <c r="BM47" s="5" t="e">
        <f>'77515 DIY厨艺大师'!#REF!+BL47</f>
        <v>#REF!</v>
      </c>
      <c r="BN47" s="202"/>
      <c r="BO47" s="202" t="e">
        <f>'77515 DIY厨艺大师'!$CB$2+'77515 DIY厨艺大师'!$CC$2-BM47</f>
        <v>#VALUE!</v>
      </c>
      <c r="BP47" s="5">
        <f t="shared" ref="BP47:BP50" si="35">AR47+AS47+AZ47+BA47</f>
        <v>0</v>
      </c>
      <c r="BQ47" s="5" t="e">
        <f>'77515 DIY厨艺大师'!#REF!+BP47</f>
        <v>#REF!</v>
      </c>
      <c r="BR47" s="5" t="e">
        <f>'77515 DIY厨艺大师'!$CF$2-BQ47</f>
        <v>#REF!</v>
      </c>
    </row>
    <row r="48" s="2" customFormat="1" ht="36" customHeight="1" spans="1:70">
      <c r="A48" s="25">
        <v>45587</v>
      </c>
      <c r="B48" s="26" t="s">
        <v>3191</v>
      </c>
      <c r="C48" s="27" t="s">
        <v>117</v>
      </c>
      <c r="D48" s="28" t="s">
        <v>6274</v>
      </c>
      <c r="E48" s="29"/>
      <c r="F48" s="28" t="s">
        <v>6277</v>
      </c>
      <c r="G48" s="16" t="s">
        <v>3195</v>
      </c>
      <c r="H48" s="17" t="s">
        <v>3308</v>
      </c>
      <c r="I48" s="92">
        <v>0</v>
      </c>
      <c r="J48" s="85">
        <v>0</v>
      </c>
      <c r="K48" s="16">
        <v>24</v>
      </c>
      <c r="L48" s="84">
        <f t="shared" si="0"/>
        <v>0</v>
      </c>
      <c r="M48" s="86">
        <v>45618</v>
      </c>
      <c r="N48" s="86">
        <v>45614</v>
      </c>
      <c r="O48" s="106" t="s">
        <v>6275</v>
      </c>
      <c r="P48" s="87" t="s">
        <v>92</v>
      </c>
      <c r="Q48" s="87" t="s">
        <v>6278</v>
      </c>
      <c r="R48" s="87" t="s">
        <v>76</v>
      </c>
      <c r="S48" s="136" t="s">
        <v>77</v>
      </c>
      <c r="T48" s="137" t="s">
        <v>3198</v>
      </c>
      <c r="U48" s="124" t="s">
        <v>6279</v>
      </c>
      <c r="V48" s="138" t="s">
        <v>903</v>
      </c>
      <c r="W48" s="111">
        <v>1.3406</v>
      </c>
      <c r="X48" s="112">
        <f t="shared" si="23"/>
        <v>0</v>
      </c>
      <c r="Y48" s="84"/>
      <c r="Z48" s="150" t="s">
        <v>188</v>
      </c>
      <c r="AA48" s="151" t="s">
        <v>128</v>
      </c>
      <c r="AB48" s="152">
        <v>6396</v>
      </c>
      <c r="AC48" s="152">
        <f t="shared" si="33"/>
        <v>6396</v>
      </c>
      <c r="AD48" s="152"/>
      <c r="AE48" s="87"/>
      <c r="AF48" s="152">
        <f t="shared" si="22"/>
        <v>0</v>
      </c>
      <c r="AG48" s="152"/>
      <c r="AH48" s="152"/>
      <c r="AI48" s="152"/>
      <c r="AJ48" s="173"/>
      <c r="AK48" s="84">
        <f t="shared" si="30"/>
        <v>0</v>
      </c>
      <c r="AL48" s="173"/>
      <c r="AM48" s="173"/>
      <c r="AN48" s="179">
        <f t="shared" si="24"/>
        <v>0</v>
      </c>
      <c r="AO48" s="173"/>
      <c r="AQ48" s="173"/>
      <c r="AR48" s="173"/>
      <c r="AS48" s="180"/>
      <c r="AT48" s="180"/>
      <c r="AU48" s="180"/>
      <c r="AV48" s="180"/>
      <c r="AW48" s="180"/>
      <c r="AX48" s="185"/>
      <c r="AY48" s="180"/>
      <c r="AZ48" s="180"/>
      <c r="BA48" s="180"/>
      <c r="BB48" s="180"/>
      <c r="BC48" s="180"/>
      <c r="BD48" s="180"/>
      <c r="BE48" s="180"/>
      <c r="BF48" s="180"/>
      <c r="BG48" s="180"/>
      <c r="BH48" s="180"/>
      <c r="BI48" s="180"/>
      <c r="BJ48" s="180"/>
      <c r="BK48" s="180"/>
      <c r="BL48" s="84">
        <f t="shared" si="34"/>
        <v>0</v>
      </c>
      <c r="BM48" s="2" t="e">
        <f>'77515 DIY厨艺大师'!#REF!+BL48</f>
        <v>#REF!</v>
      </c>
      <c r="BN48" s="195"/>
      <c r="BO48" s="195" t="e">
        <f>'77515 DIY厨艺大师'!$CB$2+'77515 DIY厨艺大师'!$CC$2-BM48</f>
        <v>#VALUE!</v>
      </c>
      <c r="BP48" s="2">
        <f t="shared" si="35"/>
        <v>0</v>
      </c>
      <c r="BQ48" s="2" t="e">
        <f>'77515 DIY厨艺大师'!#REF!+BP48</f>
        <v>#REF!</v>
      </c>
      <c r="BR48" s="2" t="e">
        <f>'77515 DIY厨艺大师'!$CF$2-BQ48</f>
        <v>#REF!</v>
      </c>
    </row>
    <row r="49" s="2" customFormat="1" ht="36" customHeight="1" spans="1:70">
      <c r="A49" s="25">
        <v>45587</v>
      </c>
      <c r="B49" s="26" t="s">
        <v>3191</v>
      </c>
      <c r="C49" s="27" t="s">
        <v>117</v>
      </c>
      <c r="D49" s="28" t="s">
        <v>6274</v>
      </c>
      <c r="E49" s="29"/>
      <c r="F49" s="28" t="s">
        <v>6277</v>
      </c>
      <c r="G49" s="16" t="s">
        <v>3195</v>
      </c>
      <c r="H49" s="17" t="s">
        <v>3308</v>
      </c>
      <c r="I49" s="92">
        <v>0</v>
      </c>
      <c r="J49" s="85">
        <v>0</v>
      </c>
      <c r="K49" s="16">
        <v>24</v>
      </c>
      <c r="L49" s="84">
        <f t="shared" si="0"/>
        <v>0</v>
      </c>
      <c r="M49" s="86">
        <v>45636</v>
      </c>
      <c r="N49" s="86">
        <v>45632</v>
      </c>
      <c r="O49" s="106" t="s">
        <v>6275</v>
      </c>
      <c r="P49" s="87" t="s">
        <v>92</v>
      </c>
      <c r="Q49" s="87"/>
      <c r="R49" s="87" t="s">
        <v>76</v>
      </c>
      <c r="S49" s="136" t="s">
        <v>77</v>
      </c>
      <c r="T49" s="137" t="s">
        <v>3198</v>
      </c>
      <c r="U49" s="124" t="s">
        <v>6279</v>
      </c>
      <c r="V49" s="138" t="s">
        <v>903</v>
      </c>
      <c r="W49" s="111">
        <v>1.3304</v>
      </c>
      <c r="X49" s="112">
        <f t="shared" si="23"/>
        <v>0</v>
      </c>
      <c r="Y49" s="84"/>
      <c r="Z49" s="150" t="s">
        <v>188</v>
      </c>
      <c r="AA49" s="151" t="s">
        <v>128</v>
      </c>
      <c r="AB49" s="152">
        <v>19188</v>
      </c>
      <c r="AC49" s="152">
        <f t="shared" si="33"/>
        <v>19188</v>
      </c>
      <c r="AD49" s="152"/>
      <c r="AE49" s="87"/>
      <c r="AF49" s="152">
        <f t="shared" si="22"/>
        <v>0</v>
      </c>
      <c r="AG49" s="152"/>
      <c r="AH49" s="152"/>
      <c r="AI49" s="152"/>
      <c r="AJ49" s="173"/>
      <c r="AK49" s="84">
        <f t="shared" si="30"/>
        <v>0</v>
      </c>
      <c r="AL49" s="173"/>
      <c r="AM49" s="173"/>
      <c r="AN49" s="179">
        <f t="shared" si="24"/>
        <v>0</v>
      </c>
      <c r="AO49" s="173"/>
      <c r="AQ49" s="173"/>
      <c r="AR49" s="173"/>
      <c r="AS49" s="180"/>
      <c r="AT49" s="180"/>
      <c r="AU49" s="180"/>
      <c r="AV49" s="180"/>
      <c r="AW49" s="180"/>
      <c r="AX49" s="185"/>
      <c r="AY49" s="180"/>
      <c r="AZ49" s="180"/>
      <c r="BA49" s="180"/>
      <c r="BB49" s="180"/>
      <c r="BC49" s="180"/>
      <c r="BD49" s="180"/>
      <c r="BE49" s="180"/>
      <c r="BF49" s="180"/>
      <c r="BG49" s="180"/>
      <c r="BH49" s="180"/>
      <c r="BI49" s="180"/>
      <c r="BJ49" s="180"/>
      <c r="BK49" s="180"/>
      <c r="BL49" s="84">
        <f t="shared" si="34"/>
        <v>0</v>
      </c>
      <c r="BM49" s="2" t="e">
        <f>'77515 DIY厨艺大师'!#REF!+BL49</f>
        <v>#REF!</v>
      </c>
      <c r="BN49" s="195"/>
      <c r="BO49" s="195" t="e">
        <f>'77515 DIY厨艺大师'!$CB$2+'77515 DIY厨艺大师'!$CC$2-BM49</f>
        <v>#VALUE!</v>
      </c>
      <c r="BP49" s="2">
        <f t="shared" si="35"/>
        <v>0</v>
      </c>
      <c r="BQ49" s="2" t="e">
        <f>'77515 DIY厨艺大师'!#REF!+BP49</f>
        <v>#REF!</v>
      </c>
      <c r="BR49" s="2" t="e">
        <f>'77515 DIY厨艺大师'!$CF$2-BQ49</f>
        <v>#REF!</v>
      </c>
    </row>
    <row r="50" s="3" customFormat="1" ht="36" customHeight="1" spans="1:70">
      <c r="A50" s="74">
        <v>45341</v>
      </c>
      <c r="B50" s="75" t="s">
        <v>587</v>
      </c>
      <c r="C50" s="76" t="s">
        <v>117</v>
      </c>
      <c r="D50" s="77" t="s">
        <v>6167</v>
      </c>
      <c r="E50" s="77"/>
      <c r="F50" s="77"/>
      <c r="G50" s="23" t="s">
        <v>525</v>
      </c>
      <c r="H50" s="24" t="s">
        <v>74</v>
      </c>
      <c r="I50" s="88">
        <v>1000</v>
      </c>
      <c r="J50" s="89">
        <v>0</v>
      </c>
      <c r="K50" s="23">
        <v>1</v>
      </c>
      <c r="L50" s="88">
        <f t="shared" si="0"/>
        <v>1000</v>
      </c>
      <c r="M50" s="86">
        <v>0</v>
      </c>
      <c r="N50" s="86" t="s">
        <v>6280</v>
      </c>
      <c r="O50" s="91"/>
      <c r="P50" s="91"/>
      <c r="Q50" s="91"/>
      <c r="R50" s="91" t="s">
        <v>77</v>
      </c>
      <c r="S50" s="91" t="s">
        <v>77</v>
      </c>
      <c r="T50" s="91" t="s">
        <v>77</v>
      </c>
      <c r="U50" s="114" t="s">
        <v>6169</v>
      </c>
      <c r="V50" s="139"/>
      <c r="W50" s="116"/>
      <c r="X50" s="117"/>
      <c r="Y50" s="88"/>
      <c r="Z50" s="153" t="s">
        <v>77</v>
      </c>
      <c r="AA50" s="154"/>
      <c r="AB50" s="155"/>
      <c r="AC50" s="155"/>
      <c r="AD50" s="155"/>
      <c r="AE50" s="91"/>
      <c r="AF50" s="155"/>
      <c r="AG50" s="155"/>
      <c r="AH50" s="155"/>
      <c r="AI50" s="155"/>
      <c r="AJ50" s="175"/>
      <c r="AK50" s="88"/>
      <c r="AL50" s="175"/>
      <c r="AM50" s="175"/>
      <c r="AN50" s="175"/>
      <c r="AO50" s="175"/>
      <c r="AP50" s="175"/>
      <c r="AQ50" s="175"/>
      <c r="AR50" s="175"/>
      <c r="AS50" s="181"/>
      <c r="AT50" s="181"/>
      <c r="AU50" s="181"/>
      <c r="AV50" s="181"/>
      <c r="AW50" s="181"/>
      <c r="AX50" s="181"/>
      <c r="AY50" s="181"/>
      <c r="AZ50" s="181"/>
      <c r="BA50" s="181"/>
      <c r="BB50" s="181"/>
      <c r="BC50" s="181"/>
      <c r="BD50" s="181"/>
      <c r="BE50" s="181">
        <v>1000</v>
      </c>
      <c r="BF50" s="181"/>
      <c r="BG50" s="181"/>
      <c r="BH50" s="181"/>
      <c r="BI50" s="181"/>
      <c r="BJ50" s="181"/>
      <c r="BK50" s="181"/>
      <c r="BL50" s="201">
        <f>AF50</f>
        <v>0</v>
      </c>
      <c r="BM50" s="199" t="e">
        <f>取消单!BL38+BL50</f>
        <v>#REF!</v>
      </c>
      <c r="BN50" s="198"/>
      <c r="BO50" s="198" t="e">
        <f>'77515 DIY厨艺大师'!$CB$2+'77515 DIY厨艺大师'!$CC$2-BM50</f>
        <v>#VALUE!</v>
      </c>
      <c r="BP50" s="199">
        <f t="shared" si="35"/>
        <v>0</v>
      </c>
      <c r="BQ50" s="199" t="e">
        <f>取消单!BP38+BP50</f>
        <v>#REF!</v>
      </c>
      <c r="BR50" s="199" t="e">
        <f>'77515 DIY厨艺大师'!$CF$2-BQ50</f>
        <v>#REF!</v>
      </c>
    </row>
    <row r="51" s="2" customFormat="1" ht="36" customHeight="1" spans="1:70">
      <c r="A51" s="78">
        <v>45659</v>
      </c>
      <c r="B51" s="26" t="s">
        <v>116</v>
      </c>
      <c r="C51" s="27" t="s">
        <v>117</v>
      </c>
      <c r="D51" s="28">
        <v>4500155146</v>
      </c>
      <c r="E51" s="29" t="s">
        <v>3380</v>
      </c>
      <c r="F51" s="28" t="s">
        <v>3381</v>
      </c>
      <c r="G51" s="16" t="s">
        <v>120</v>
      </c>
      <c r="H51" s="17" t="s">
        <v>74</v>
      </c>
      <c r="I51" s="84">
        <v>8631</v>
      </c>
      <c r="J51" s="85">
        <v>0</v>
      </c>
      <c r="K51" s="16">
        <v>21</v>
      </c>
      <c r="L51" s="84">
        <f t="shared" si="0"/>
        <v>411</v>
      </c>
      <c r="M51" s="86">
        <v>45712</v>
      </c>
      <c r="N51" s="101" t="s">
        <v>6281</v>
      </c>
      <c r="O51" s="87" t="s">
        <v>6282</v>
      </c>
      <c r="P51" s="87"/>
      <c r="Q51" s="87"/>
      <c r="R51" s="87">
        <v>45666</v>
      </c>
      <c r="S51" s="140" t="s">
        <v>123</v>
      </c>
      <c r="T51" s="141" t="s">
        <v>4398</v>
      </c>
      <c r="U51" s="142" t="s">
        <v>3382</v>
      </c>
      <c r="V51" s="138" t="s">
        <v>126</v>
      </c>
      <c r="W51" s="111">
        <v>1.4347</v>
      </c>
      <c r="X51" s="112">
        <f t="shared" ref="X51:X65" si="36">I51*W51</f>
        <v>12382.8957</v>
      </c>
      <c r="Y51" s="84"/>
      <c r="Z51" s="150" t="s">
        <v>120</v>
      </c>
      <c r="AA51" s="151" t="s">
        <v>128</v>
      </c>
      <c r="AB51" s="152"/>
      <c r="AC51" s="152" t="s">
        <v>4399</v>
      </c>
      <c r="AD51" s="152"/>
      <c r="AE51" s="87"/>
      <c r="AF51" s="87"/>
      <c r="AG51" s="152">
        <f t="shared" ref="AG51:AG57" si="37">I51</f>
        <v>8631</v>
      </c>
      <c r="AH51" s="152"/>
      <c r="AI51" s="152"/>
      <c r="AJ51" s="152"/>
      <c r="AK51" s="173">
        <f t="shared" ref="AK51:AK57" si="38">I51</f>
        <v>8631</v>
      </c>
      <c r="AL51" s="173"/>
      <c r="AM51" s="173"/>
      <c r="AN51" s="173"/>
      <c r="AO51" s="178">
        <f>I51</f>
        <v>8631</v>
      </c>
      <c r="AP51" s="173"/>
      <c r="AQ51" s="173"/>
      <c r="AR51" s="173"/>
      <c r="AS51" s="173">
        <f>I51/21</f>
        <v>411</v>
      </c>
      <c r="AT51" s="180"/>
      <c r="AU51" s="180"/>
      <c r="AV51" s="180"/>
      <c r="AW51" s="180"/>
      <c r="AX51" s="180"/>
      <c r="AY51" s="180"/>
      <c r="AZ51" s="180"/>
      <c r="BA51" s="180"/>
      <c r="BB51" s="180"/>
      <c r="BC51" s="180"/>
      <c r="BD51" s="180"/>
      <c r="BE51" s="180"/>
      <c r="BF51" s="180"/>
      <c r="BG51" s="180"/>
      <c r="BH51" s="180"/>
      <c r="BI51" s="180"/>
      <c r="BJ51" s="180"/>
      <c r="BK51" s="180"/>
      <c r="BL51" s="180"/>
      <c r="BM51" s="84">
        <f>AG51+AH51+AI51</f>
        <v>8631</v>
      </c>
      <c r="BO51" s="195"/>
      <c r="BP51" s="195"/>
      <c r="BR51" s="2" t="e">
        <f>BR50-AG51-AH51-AI51</f>
        <v>#REF!</v>
      </c>
    </row>
    <row r="52" s="2" customFormat="1" ht="36" customHeight="1" spans="1:71">
      <c r="A52" s="78">
        <v>45650</v>
      </c>
      <c r="B52" s="26" t="s">
        <v>561</v>
      </c>
      <c r="C52" s="27" t="s">
        <v>190</v>
      </c>
      <c r="D52" s="28">
        <v>4500154618</v>
      </c>
      <c r="E52" s="29">
        <v>2385657</v>
      </c>
      <c r="F52" s="28" t="s">
        <v>3377</v>
      </c>
      <c r="G52" s="16" t="s">
        <v>160</v>
      </c>
      <c r="H52" s="17" t="s">
        <v>74</v>
      </c>
      <c r="I52" s="84">
        <v>1508</v>
      </c>
      <c r="J52" s="85">
        <v>0</v>
      </c>
      <c r="K52" s="16">
        <v>13</v>
      </c>
      <c r="L52" s="84">
        <f t="shared" si="0"/>
        <v>116</v>
      </c>
      <c r="M52" s="101">
        <v>45775</v>
      </c>
      <c r="N52" s="101" t="s">
        <v>6283</v>
      </c>
      <c r="O52" s="87" t="s">
        <v>563</v>
      </c>
      <c r="P52" s="87"/>
      <c r="Q52" s="87"/>
      <c r="R52" s="87">
        <v>45650</v>
      </c>
      <c r="S52" s="140" t="s">
        <v>123</v>
      </c>
      <c r="T52" s="141" t="s">
        <v>3378</v>
      </c>
      <c r="U52" s="142" t="s">
        <v>3379</v>
      </c>
      <c r="V52" s="138" t="s">
        <v>3057</v>
      </c>
      <c r="W52" s="111">
        <v>1.3901</v>
      </c>
      <c r="X52" s="112">
        <f t="shared" si="36"/>
        <v>2096.2708</v>
      </c>
      <c r="Y52" s="84"/>
      <c r="Z52" s="150" t="s">
        <v>160</v>
      </c>
      <c r="AA52" s="151" t="s">
        <v>128</v>
      </c>
      <c r="AB52" s="152"/>
      <c r="AC52" s="152">
        <f>AB52-I52</f>
        <v>-1508</v>
      </c>
      <c r="AD52" s="152"/>
      <c r="AE52" s="87"/>
      <c r="AF52" s="87"/>
      <c r="AG52" s="152">
        <f t="shared" si="37"/>
        <v>1508</v>
      </c>
      <c r="AH52" s="152"/>
      <c r="AI52" s="152"/>
      <c r="AJ52" s="152"/>
      <c r="AK52" s="173">
        <f t="shared" si="38"/>
        <v>1508</v>
      </c>
      <c r="AL52" s="173"/>
      <c r="AM52" s="173"/>
      <c r="AN52" s="173"/>
      <c r="AO52" s="173"/>
      <c r="AP52" s="173">
        <f t="shared" ref="AP52:AP57" si="39">I52</f>
        <v>1508</v>
      </c>
      <c r="AQ52" s="173"/>
      <c r="AR52" s="173"/>
      <c r="AS52" s="173"/>
      <c r="AT52" s="173"/>
      <c r="AU52" s="180"/>
      <c r="AV52" s="180"/>
      <c r="AW52" s="180"/>
      <c r="AX52" s="180"/>
      <c r="AY52" s="180"/>
      <c r="AZ52" s="180">
        <f t="shared" ref="AZ52:AZ57" si="40">I52/13</f>
        <v>116</v>
      </c>
      <c r="BA52" s="180"/>
      <c r="BB52" s="180"/>
      <c r="BC52" s="180"/>
      <c r="BD52" s="180"/>
      <c r="BE52" s="180"/>
      <c r="BF52" s="180"/>
      <c r="BG52" s="180"/>
      <c r="BH52" s="180"/>
      <c r="BI52" s="180"/>
      <c r="BJ52" s="180"/>
      <c r="BK52" s="180"/>
      <c r="BL52" s="180"/>
      <c r="BM52" s="180"/>
      <c r="BN52" s="84">
        <f t="shared" ref="BN52:BN57" si="41">AG52+AH52+AI52</f>
        <v>1508</v>
      </c>
      <c r="BP52" s="195"/>
      <c r="BQ52" s="195"/>
      <c r="BS52" s="200" t="e">
        <f>'77515 DIY厨艺大师'!#REF!-AG52-AH52-AI52</f>
        <v>#REF!</v>
      </c>
    </row>
    <row r="53" s="2" customFormat="1" ht="36" customHeight="1" spans="1:71">
      <c r="A53" s="78">
        <v>45730</v>
      </c>
      <c r="B53" s="26" t="s">
        <v>189</v>
      </c>
      <c r="C53" s="27" t="s">
        <v>190</v>
      </c>
      <c r="D53" s="28">
        <v>4500160284</v>
      </c>
      <c r="E53" s="29"/>
      <c r="F53" s="28" t="s">
        <v>6284</v>
      </c>
      <c r="G53" s="16" t="s">
        <v>160</v>
      </c>
      <c r="H53" s="17" t="s">
        <v>74</v>
      </c>
      <c r="I53" s="84">
        <v>1339</v>
      </c>
      <c r="J53" s="85">
        <v>0</v>
      </c>
      <c r="K53" s="16">
        <v>13</v>
      </c>
      <c r="L53" s="84">
        <f t="shared" si="0"/>
        <v>103</v>
      </c>
      <c r="M53" s="86">
        <v>45771</v>
      </c>
      <c r="N53" s="86" t="s">
        <v>6285</v>
      </c>
      <c r="O53" s="87" t="s">
        <v>6286</v>
      </c>
      <c r="P53" s="87"/>
      <c r="Q53" s="87"/>
      <c r="R53" s="87">
        <v>45741</v>
      </c>
      <c r="S53" s="140" t="s">
        <v>77</v>
      </c>
      <c r="T53" s="141" t="s">
        <v>6287</v>
      </c>
      <c r="U53" s="29" t="s">
        <v>6227</v>
      </c>
      <c r="V53" s="138" t="s">
        <v>1011</v>
      </c>
      <c r="W53" s="111">
        <v>1.4432</v>
      </c>
      <c r="X53" s="112">
        <f t="shared" si="36"/>
        <v>1932.4448</v>
      </c>
      <c r="Y53" s="84"/>
      <c r="Z53" s="150" t="s">
        <v>160</v>
      </c>
      <c r="AA53" s="151"/>
      <c r="AB53" s="152"/>
      <c r="AC53" s="152"/>
      <c r="AD53" s="152"/>
      <c r="AE53" s="87"/>
      <c r="AF53" s="87"/>
      <c r="AG53" s="152">
        <f t="shared" si="37"/>
        <v>1339</v>
      </c>
      <c r="AH53" s="152"/>
      <c r="AI53" s="152"/>
      <c r="AJ53" s="152"/>
      <c r="AK53" s="173">
        <f t="shared" si="38"/>
        <v>1339</v>
      </c>
      <c r="AL53" s="173"/>
      <c r="AM53" s="173"/>
      <c r="AN53" s="173"/>
      <c r="AO53" s="173"/>
      <c r="AP53" s="173">
        <f t="shared" si="39"/>
        <v>1339</v>
      </c>
      <c r="AQ53" s="173"/>
      <c r="AR53" s="173"/>
      <c r="AS53" s="173"/>
      <c r="AT53" s="173"/>
      <c r="AU53" s="180"/>
      <c r="AV53" s="180"/>
      <c r="AW53" s="180"/>
      <c r="AX53" s="180"/>
      <c r="AY53" s="180"/>
      <c r="AZ53" s="180">
        <f t="shared" si="40"/>
        <v>103</v>
      </c>
      <c r="BA53" s="180"/>
      <c r="BB53" s="180"/>
      <c r="BC53" s="180"/>
      <c r="BD53" s="180"/>
      <c r="BE53" s="180"/>
      <c r="BF53" s="180"/>
      <c r="BG53" s="180"/>
      <c r="BH53" s="180"/>
      <c r="BI53" s="180"/>
      <c r="BJ53" s="180"/>
      <c r="BK53" s="180"/>
      <c r="BL53" s="180"/>
      <c r="BM53" s="180"/>
      <c r="BN53" s="84">
        <f t="shared" si="41"/>
        <v>1339</v>
      </c>
      <c r="BP53" s="195"/>
      <c r="BQ53" s="195"/>
      <c r="BS53" s="2" t="e">
        <f>'77515 DIY厨艺大师'!#REF!-AG53-AH53-AI53</f>
        <v>#REF!</v>
      </c>
    </row>
    <row r="54" s="2" customFormat="1" ht="36" customHeight="1" spans="1:71">
      <c r="A54" s="78">
        <v>45730</v>
      </c>
      <c r="B54" s="26" t="s">
        <v>232</v>
      </c>
      <c r="C54" s="27" t="s">
        <v>233</v>
      </c>
      <c r="D54" s="28">
        <v>4500160289</v>
      </c>
      <c r="E54" s="29"/>
      <c r="F54" s="28" t="s">
        <v>6288</v>
      </c>
      <c r="G54" s="16" t="s">
        <v>160</v>
      </c>
      <c r="H54" s="17" t="s">
        <v>74</v>
      </c>
      <c r="I54" s="84">
        <v>169</v>
      </c>
      <c r="J54" s="85">
        <v>0</v>
      </c>
      <c r="K54" s="16">
        <v>13</v>
      </c>
      <c r="L54" s="84">
        <f t="shared" si="0"/>
        <v>13</v>
      </c>
      <c r="M54" s="86">
        <v>45771</v>
      </c>
      <c r="N54" s="86" t="s">
        <v>6285</v>
      </c>
      <c r="O54" s="87" t="s">
        <v>6286</v>
      </c>
      <c r="P54" s="87"/>
      <c r="Q54" s="87"/>
      <c r="R54" s="87">
        <v>45741</v>
      </c>
      <c r="S54" s="140" t="s">
        <v>77</v>
      </c>
      <c r="T54" s="141" t="s">
        <v>6287</v>
      </c>
      <c r="U54" s="29" t="s">
        <v>2295</v>
      </c>
      <c r="V54" s="138" t="s">
        <v>1011</v>
      </c>
      <c r="W54" s="111">
        <v>1.4483</v>
      </c>
      <c r="X54" s="112">
        <f t="shared" si="36"/>
        <v>244.7627</v>
      </c>
      <c r="Y54" s="84"/>
      <c r="Z54" s="150" t="s">
        <v>160</v>
      </c>
      <c r="AA54" s="151"/>
      <c r="AB54" s="152"/>
      <c r="AC54" s="152"/>
      <c r="AD54" s="152"/>
      <c r="AE54" s="87"/>
      <c r="AF54" s="87"/>
      <c r="AG54" s="152">
        <f t="shared" si="37"/>
        <v>169</v>
      </c>
      <c r="AH54" s="152"/>
      <c r="AI54" s="152"/>
      <c r="AJ54" s="152"/>
      <c r="AK54" s="173">
        <f t="shared" si="38"/>
        <v>169</v>
      </c>
      <c r="AL54" s="173"/>
      <c r="AM54" s="173"/>
      <c r="AN54" s="173"/>
      <c r="AO54" s="173"/>
      <c r="AP54" s="173">
        <f t="shared" si="39"/>
        <v>169</v>
      </c>
      <c r="AQ54" s="173"/>
      <c r="AR54" s="173"/>
      <c r="AS54" s="173"/>
      <c r="AT54" s="173"/>
      <c r="AU54" s="180"/>
      <c r="AV54" s="180"/>
      <c r="AW54" s="180"/>
      <c r="AX54" s="180"/>
      <c r="AY54" s="180"/>
      <c r="AZ54" s="180">
        <f t="shared" si="40"/>
        <v>13</v>
      </c>
      <c r="BA54" s="180"/>
      <c r="BB54" s="180"/>
      <c r="BC54" s="180"/>
      <c r="BD54" s="180"/>
      <c r="BE54" s="180"/>
      <c r="BF54" s="180"/>
      <c r="BG54" s="180"/>
      <c r="BH54" s="180"/>
      <c r="BI54" s="180"/>
      <c r="BJ54" s="180"/>
      <c r="BK54" s="180"/>
      <c r="BL54" s="180"/>
      <c r="BM54" s="180"/>
      <c r="BN54" s="84">
        <f t="shared" si="41"/>
        <v>169</v>
      </c>
      <c r="BP54" s="195"/>
      <c r="BQ54" s="195"/>
      <c r="BS54" s="2" t="e">
        <f>BS53-AG54-AH54-AI54</f>
        <v>#REF!</v>
      </c>
    </row>
    <row r="55" s="2" customFormat="1" ht="36" customHeight="1" spans="1:69">
      <c r="A55" s="78">
        <v>45737</v>
      </c>
      <c r="B55" s="26" t="s">
        <v>232</v>
      </c>
      <c r="C55" s="27" t="s">
        <v>233</v>
      </c>
      <c r="D55" s="28">
        <v>4500161020</v>
      </c>
      <c r="E55" s="29">
        <v>20722719</v>
      </c>
      <c r="F55" s="28" t="s">
        <v>6289</v>
      </c>
      <c r="G55" s="16" t="s">
        <v>160</v>
      </c>
      <c r="H55" s="17" t="s">
        <v>74</v>
      </c>
      <c r="I55" s="84">
        <v>182</v>
      </c>
      <c r="J55" s="85">
        <v>0</v>
      </c>
      <c r="K55" s="16">
        <v>13</v>
      </c>
      <c r="L55" s="84">
        <f t="shared" si="0"/>
        <v>14</v>
      </c>
      <c r="M55" s="86">
        <v>45783</v>
      </c>
      <c r="N55" s="86" t="s">
        <v>6285</v>
      </c>
      <c r="O55" s="87"/>
      <c r="P55" s="87"/>
      <c r="Q55" s="87"/>
      <c r="R55" s="87" t="s">
        <v>3332</v>
      </c>
      <c r="S55" s="140" t="s">
        <v>77</v>
      </c>
      <c r="T55" s="141" t="s">
        <v>6287</v>
      </c>
      <c r="U55" s="29" t="s">
        <v>2784</v>
      </c>
      <c r="V55" s="138" t="s">
        <v>1011</v>
      </c>
      <c r="W55" s="111">
        <v>1.4183</v>
      </c>
      <c r="X55" s="112">
        <f t="shared" si="36"/>
        <v>258.1306</v>
      </c>
      <c r="Y55" s="84"/>
      <c r="Z55" s="150" t="s">
        <v>160</v>
      </c>
      <c r="AA55" s="151" t="s">
        <v>128</v>
      </c>
      <c r="AB55" s="152"/>
      <c r="AC55" s="152"/>
      <c r="AD55" s="152"/>
      <c r="AE55" s="87"/>
      <c r="AF55" s="87"/>
      <c r="AG55" s="152">
        <f t="shared" si="37"/>
        <v>182</v>
      </c>
      <c r="AH55" s="152"/>
      <c r="AI55" s="152"/>
      <c r="AJ55" s="152"/>
      <c r="AK55" s="173">
        <f t="shared" si="38"/>
        <v>182</v>
      </c>
      <c r="AL55" s="173"/>
      <c r="AM55" s="173"/>
      <c r="AN55" s="173"/>
      <c r="AO55" s="173"/>
      <c r="AP55" s="173">
        <f t="shared" si="39"/>
        <v>182</v>
      </c>
      <c r="AQ55" s="173"/>
      <c r="AR55" s="173"/>
      <c r="AS55" s="173"/>
      <c r="AT55" s="173"/>
      <c r="AU55" s="180"/>
      <c r="AV55" s="180"/>
      <c r="AW55" s="180"/>
      <c r="AX55" s="180"/>
      <c r="AY55" s="180"/>
      <c r="AZ55" s="180">
        <f t="shared" si="40"/>
        <v>14</v>
      </c>
      <c r="BA55" s="180"/>
      <c r="BB55" s="180"/>
      <c r="BC55" s="180"/>
      <c r="BD55" s="180"/>
      <c r="BE55" s="180"/>
      <c r="BF55" s="180"/>
      <c r="BG55" s="180"/>
      <c r="BH55" s="180"/>
      <c r="BI55" s="180"/>
      <c r="BJ55" s="180"/>
      <c r="BK55" s="180"/>
      <c r="BL55" s="180"/>
      <c r="BM55" s="180"/>
      <c r="BN55" s="84">
        <f t="shared" si="41"/>
        <v>182</v>
      </c>
      <c r="BP55" s="195"/>
      <c r="BQ55" s="195"/>
    </row>
    <row r="56" s="2" customFormat="1" ht="36" customHeight="1" spans="1:69">
      <c r="A56" s="78">
        <v>45737</v>
      </c>
      <c r="B56" s="26" t="s">
        <v>189</v>
      </c>
      <c r="C56" s="27" t="s">
        <v>190</v>
      </c>
      <c r="D56" s="28">
        <v>4500161007</v>
      </c>
      <c r="E56" s="29">
        <v>20722718</v>
      </c>
      <c r="F56" s="28" t="s">
        <v>6290</v>
      </c>
      <c r="G56" s="16" t="s">
        <v>160</v>
      </c>
      <c r="H56" s="17" t="s">
        <v>74</v>
      </c>
      <c r="I56" s="84">
        <v>1326</v>
      </c>
      <c r="J56" s="85">
        <v>0</v>
      </c>
      <c r="K56" s="16">
        <v>13</v>
      </c>
      <c r="L56" s="84">
        <f t="shared" si="0"/>
        <v>102</v>
      </c>
      <c r="M56" s="86">
        <v>45783</v>
      </c>
      <c r="N56" s="86" t="s">
        <v>6285</v>
      </c>
      <c r="O56" s="87"/>
      <c r="P56" s="87"/>
      <c r="Q56" s="87"/>
      <c r="R56" s="87" t="s">
        <v>3332</v>
      </c>
      <c r="S56" s="140" t="s">
        <v>77</v>
      </c>
      <c r="T56" s="141" t="s">
        <v>6287</v>
      </c>
      <c r="U56" s="29" t="s">
        <v>2781</v>
      </c>
      <c r="V56" s="138" t="s">
        <v>1011</v>
      </c>
      <c r="W56" s="111">
        <v>1.4133</v>
      </c>
      <c r="X56" s="112">
        <f t="shared" si="36"/>
        <v>1874.0358</v>
      </c>
      <c r="Y56" s="84"/>
      <c r="Z56" s="150" t="s">
        <v>160</v>
      </c>
      <c r="AA56" s="151" t="s">
        <v>128</v>
      </c>
      <c r="AB56" s="152"/>
      <c r="AC56" s="152"/>
      <c r="AD56" s="152"/>
      <c r="AE56" s="87"/>
      <c r="AF56" s="87"/>
      <c r="AG56" s="152">
        <f t="shared" si="37"/>
        <v>1326</v>
      </c>
      <c r="AH56" s="152"/>
      <c r="AI56" s="152"/>
      <c r="AJ56" s="152"/>
      <c r="AK56" s="173">
        <f t="shared" si="38"/>
        <v>1326</v>
      </c>
      <c r="AL56" s="173"/>
      <c r="AM56" s="173"/>
      <c r="AN56" s="173"/>
      <c r="AO56" s="173"/>
      <c r="AP56" s="173">
        <f t="shared" si="39"/>
        <v>1326</v>
      </c>
      <c r="AQ56" s="173"/>
      <c r="AR56" s="173"/>
      <c r="AS56" s="173"/>
      <c r="AT56" s="173"/>
      <c r="AU56" s="180"/>
      <c r="AV56" s="180"/>
      <c r="AW56" s="180"/>
      <c r="AX56" s="180"/>
      <c r="AY56" s="180"/>
      <c r="AZ56" s="180">
        <f t="shared" si="40"/>
        <v>102</v>
      </c>
      <c r="BA56" s="180"/>
      <c r="BB56" s="180"/>
      <c r="BC56" s="180"/>
      <c r="BD56" s="180"/>
      <c r="BE56" s="180"/>
      <c r="BF56" s="180"/>
      <c r="BG56" s="180"/>
      <c r="BH56" s="180"/>
      <c r="BI56" s="180"/>
      <c r="BJ56" s="180"/>
      <c r="BK56" s="180"/>
      <c r="BL56" s="180"/>
      <c r="BM56" s="180"/>
      <c r="BN56" s="84">
        <f t="shared" si="41"/>
        <v>1326</v>
      </c>
      <c r="BP56" s="195"/>
      <c r="BQ56" s="195"/>
    </row>
    <row r="57" s="5" customFormat="1" ht="36" customHeight="1" spans="1:71">
      <c r="A57" s="79">
        <v>45756</v>
      </c>
      <c r="B57" s="68" t="s">
        <v>189</v>
      </c>
      <c r="C57" s="69" t="s">
        <v>190</v>
      </c>
      <c r="D57" s="70">
        <v>4500162968</v>
      </c>
      <c r="E57" s="71">
        <v>20768339</v>
      </c>
      <c r="F57" s="70" t="s">
        <v>6291</v>
      </c>
      <c r="G57" s="72" t="s">
        <v>160</v>
      </c>
      <c r="H57" s="73" t="s">
        <v>74</v>
      </c>
      <c r="I57" s="104">
        <v>2171</v>
      </c>
      <c r="J57" s="105">
        <v>0</v>
      </c>
      <c r="K57" s="72">
        <v>13</v>
      </c>
      <c r="L57" s="104">
        <f t="shared" si="0"/>
        <v>167</v>
      </c>
      <c r="M57" s="101">
        <v>45803</v>
      </c>
      <c r="N57" s="101" t="s">
        <v>6292</v>
      </c>
      <c r="O57" s="106"/>
      <c r="P57" s="106"/>
      <c r="Q57" s="106"/>
      <c r="R57" s="106" t="s">
        <v>3332</v>
      </c>
      <c r="S57" s="143" t="s">
        <v>123</v>
      </c>
      <c r="T57" s="144" t="s">
        <v>6287</v>
      </c>
      <c r="U57" s="71" t="s">
        <v>6253</v>
      </c>
      <c r="V57" s="135" t="s">
        <v>1011</v>
      </c>
      <c r="W57" s="130">
        <v>1.4133</v>
      </c>
      <c r="X57" s="131">
        <f t="shared" si="36"/>
        <v>3068.2743</v>
      </c>
      <c r="Y57" s="104"/>
      <c r="Z57" s="166" t="s">
        <v>160</v>
      </c>
      <c r="AA57" s="167" t="s">
        <v>128</v>
      </c>
      <c r="AB57" s="165"/>
      <c r="AC57" s="165"/>
      <c r="AD57" s="165"/>
      <c r="AE57" s="106"/>
      <c r="AF57" s="106"/>
      <c r="AG57" s="165">
        <f t="shared" si="37"/>
        <v>2171</v>
      </c>
      <c r="AH57" s="165"/>
      <c r="AI57" s="165"/>
      <c r="AJ57" s="165"/>
      <c r="AK57" s="179">
        <f t="shared" si="38"/>
        <v>2171</v>
      </c>
      <c r="AL57" s="179"/>
      <c r="AM57" s="179"/>
      <c r="AN57" s="179"/>
      <c r="AO57" s="179"/>
      <c r="AP57" s="179">
        <f t="shared" si="39"/>
        <v>2171</v>
      </c>
      <c r="AQ57" s="179"/>
      <c r="AR57" s="179"/>
      <c r="AS57" s="179"/>
      <c r="AT57" s="179"/>
      <c r="AU57" s="186"/>
      <c r="AV57" s="186"/>
      <c r="AW57" s="186"/>
      <c r="AX57" s="186"/>
      <c r="AY57" s="186"/>
      <c r="AZ57" s="186">
        <f t="shared" si="40"/>
        <v>167</v>
      </c>
      <c r="BA57" s="186"/>
      <c r="BB57" s="186"/>
      <c r="BC57" s="186"/>
      <c r="BD57" s="186"/>
      <c r="BE57" s="186"/>
      <c r="BF57" s="186"/>
      <c r="BG57" s="186"/>
      <c r="BH57" s="186"/>
      <c r="BI57" s="186"/>
      <c r="BJ57" s="186"/>
      <c r="BK57" s="186"/>
      <c r="BL57" s="186"/>
      <c r="BM57" s="186"/>
      <c r="BN57" s="104">
        <f t="shared" si="41"/>
        <v>2171</v>
      </c>
      <c r="BP57" s="202"/>
      <c r="BQ57" s="202"/>
      <c r="BS57" s="2" t="e">
        <f>'77515 DIY厨艺大师'!#REF!-AG57-AH57-AI57</f>
        <v>#REF!</v>
      </c>
    </row>
    <row r="58" s="2" customFormat="1" ht="36" customHeight="1" spans="1:72">
      <c r="A58" s="78">
        <v>45791</v>
      </c>
      <c r="B58" s="26" t="s">
        <v>6293</v>
      </c>
      <c r="C58" s="27" t="s">
        <v>351</v>
      </c>
      <c r="D58" s="28">
        <v>4500166334</v>
      </c>
      <c r="E58" s="80" t="s">
        <v>6294</v>
      </c>
      <c r="F58" s="28" t="s">
        <v>6295</v>
      </c>
      <c r="G58" s="16" t="s">
        <v>628</v>
      </c>
      <c r="H58" s="17" t="s">
        <v>623</v>
      </c>
      <c r="I58" s="84">
        <v>24</v>
      </c>
      <c r="J58" s="85">
        <v>0</v>
      </c>
      <c r="K58" s="16">
        <v>12</v>
      </c>
      <c r="L58" s="84">
        <f t="shared" si="0"/>
        <v>2</v>
      </c>
      <c r="M58" s="86">
        <v>45821</v>
      </c>
      <c r="N58" s="86" t="s">
        <v>6296</v>
      </c>
      <c r="O58" s="87"/>
      <c r="P58" s="87" t="s">
        <v>6297</v>
      </c>
      <c r="Q58" s="87"/>
      <c r="R58" s="87">
        <v>45791</v>
      </c>
      <c r="S58" s="140" t="s">
        <v>123</v>
      </c>
      <c r="T58" s="141" t="s">
        <v>3378</v>
      </c>
      <c r="U58" s="29" t="s">
        <v>6298</v>
      </c>
      <c r="V58" s="138" t="s">
        <v>6299</v>
      </c>
      <c r="W58" s="111">
        <v>3.1142</v>
      </c>
      <c r="X58" s="112">
        <f t="shared" si="36"/>
        <v>74.7408</v>
      </c>
      <c r="Y58" s="84"/>
      <c r="Z58" s="150" t="s">
        <v>188</v>
      </c>
      <c r="AA58" s="151" t="s">
        <v>128</v>
      </c>
      <c r="AB58" s="152"/>
      <c r="AC58" s="152"/>
      <c r="AD58" s="152"/>
      <c r="AE58" s="87"/>
      <c r="AF58" s="87"/>
      <c r="AG58" s="152">
        <f t="shared" ref="AG58:AG62" si="42">I58*2</f>
        <v>48</v>
      </c>
      <c r="AH58" s="152"/>
      <c r="AI58" s="152"/>
      <c r="AJ58" s="152"/>
      <c r="AK58" s="173"/>
      <c r="AL58" s="173"/>
      <c r="AM58" s="173">
        <f t="shared" ref="AM58:AM62" si="43">I58*2</f>
        <v>48</v>
      </c>
      <c r="AN58" s="173"/>
      <c r="AO58" s="173"/>
      <c r="AP58" s="173"/>
      <c r="AQ58" s="173">
        <f t="shared" ref="AQ58:AQ62" si="44">I58*2</f>
        <v>48</v>
      </c>
      <c r="AR58" s="173"/>
      <c r="AS58" s="173"/>
      <c r="AT58" s="173"/>
      <c r="AU58" s="173"/>
      <c r="AV58" s="180"/>
      <c r="AW58" s="180"/>
      <c r="AX58" s="180"/>
      <c r="AY58" s="180"/>
      <c r="AZ58" s="180"/>
      <c r="BA58" s="180"/>
      <c r="BB58" s="180"/>
      <c r="BC58" s="180"/>
      <c r="BD58" s="180"/>
      <c r="BE58" s="180"/>
      <c r="BF58" s="180"/>
      <c r="BG58" s="180"/>
      <c r="BH58" s="180"/>
      <c r="BI58" s="180"/>
      <c r="BJ58" s="180"/>
      <c r="BK58" s="180"/>
      <c r="BL58" s="180"/>
      <c r="BM58" s="180">
        <f t="shared" ref="BM58:BM62" si="45">I58</f>
        <v>24</v>
      </c>
      <c r="BN58" s="180">
        <f t="shared" ref="BN58:BN62" si="46">I58</f>
        <v>24</v>
      </c>
      <c r="BO58" s="84">
        <f t="shared" ref="BO58:BO62" si="47">AG58+AH58+AI58</f>
        <v>48</v>
      </c>
      <c r="BQ58" s="195"/>
      <c r="BR58" s="195"/>
      <c r="BT58" s="2" t="e">
        <f>'77515 DIY厨艺大师'!#REF!-AG58-AH58-AI58</f>
        <v>#REF!</v>
      </c>
    </row>
    <row r="59" s="2" customFormat="1" ht="36" customHeight="1" spans="1:72">
      <c r="A59" s="78">
        <v>45791</v>
      </c>
      <c r="B59" s="26" t="s">
        <v>6293</v>
      </c>
      <c r="C59" s="27" t="s">
        <v>351</v>
      </c>
      <c r="D59" s="28">
        <v>4500166334</v>
      </c>
      <c r="E59" s="80" t="s">
        <v>6300</v>
      </c>
      <c r="F59" s="28" t="s">
        <v>6301</v>
      </c>
      <c r="G59" s="16" t="s">
        <v>628</v>
      </c>
      <c r="H59" s="17" t="s">
        <v>623</v>
      </c>
      <c r="I59" s="84">
        <v>24</v>
      </c>
      <c r="J59" s="85">
        <v>0</v>
      </c>
      <c r="K59" s="16">
        <v>12</v>
      </c>
      <c r="L59" s="84">
        <f t="shared" si="0"/>
        <v>2</v>
      </c>
      <c r="M59" s="86">
        <v>45821</v>
      </c>
      <c r="N59" s="86" t="s">
        <v>6296</v>
      </c>
      <c r="O59" s="87"/>
      <c r="P59" s="87" t="s">
        <v>6297</v>
      </c>
      <c r="Q59" s="87"/>
      <c r="R59" s="87">
        <v>45791</v>
      </c>
      <c r="S59" s="140" t="s">
        <v>123</v>
      </c>
      <c r="T59" s="141" t="s">
        <v>3378</v>
      </c>
      <c r="U59" s="29" t="s">
        <v>6298</v>
      </c>
      <c r="V59" s="138" t="s">
        <v>6299</v>
      </c>
      <c r="W59" s="111">
        <v>3.1142</v>
      </c>
      <c r="X59" s="112">
        <f t="shared" si="36"/>
        <v>74.7408</v>
      </c>
      <c r="Y59" s="84"/>
      <c r="Z59" s="150" t="s">
        <v>188</v>
      </c>
      <c r="AA59" s="151" t="s">
        <v>128</v>
      </c>
      <c r="AB59" s="152"/>
      <c r="AC59" s="152"/>
      <c r="AD59" s="152"/>
      <c r="AE59" s="87"/>
      <c r="AF59" s="87"/>
      <c r="AG59" s="152">
        <f t="shared" si="42"/>
        <v>48</v>
      </c>
      <c r="AH59" s="152"/>
      <c r="AI59" s="152"/>
      <c r="AJ59" s="152"/>
      <c r="AK59" s="173"/>
      <c r="AL59" s="173"/>
      <c r="AM59" s="173">
        <f t="shared" si="43"/>
        <v>48</v>
      </c>
      <c r="AN59" s="173"/>
      <c r="AO59" s="173"/>
      <c r="AP59" s="173"/>
      <c r="AQ59" s="173">
        <f t="shared" si="44"/>
        <v>48</v>
      </c>
      <c r="AR59" s="173"/>
      <c r="AS59" s="173"/>
      <c r="AT59" s="173"/>
      <c r="AU59" s="173"/>
      <c r="AV59" s="180"/>
      <c r="AW59" s="180"/>
      <c r="AX59" s="180"/>
      <c r="AY59" s="180"/>
      <c r="AZ59" s="180"/>
      <c r="BA59" s="180"/>
      <c r="BB59" s="180"/>
      <c r="BC59" s="180"/>
      <c r="BD59" s="180"/>
      <c r="BE59" s="180"/>
      <c r="BF59" s="180"/>
      <c r="BG59" s="180"/>
      <c r="BH59" s="180"/>
      <c r="BI59" s="180"/>
      <c r="BJ59" s="180"/>
      <c r="BK59" s="180"/>
      <c r="BL59" s="180"/>
      <c r="BM59" s="180">
        <f t="shared" si="45"/>
        <v>24</v>
      </c>
      <c r="BN59" s="180">
        <f t="shared" si="46"/>
        <v>24</v>
      </c>
      <c r="BO59" s="84">
        <f t="shared" si="47"/>
        <v>48</v>
      </c>
      <c r="BQ59" s="195"/>
      <c r="BR59" s="195"/>
      <c r="BT59" s="2" t="e">
        <f t="shared" ref="BT59:BT62" si="48">BT58-AG59-AH59-AI59</f>
        <v>#REF!</v>
      </c>
    </row>
    <row r="60" s="2" customFormat="1" ht="36" customHeight="1" spans="1:72">
      <c r="A60" s="78">
        <v>45791</v>
      </c>
      <c r="B60" s="26" t="s">
        <v>6293</v>
      </c>
      <c r="C60" s="27" t="s">
        <v>351</v>
      </c>
      <c r="D60" s="28">
        <v>4500166334</v>
      </c>
      <c r="E60" s="80" t="s">
        <v>6302</v>
      </c>
      <c r="F60" s="28" t="s">
        <v>6303</v>
      </c>
      <c r="G60" s="16" t="s">
        <v>628</v>
      </c>
      <c r="H60" s="17" t="s">
        <v>623</v>
      </c>
      <c r="I60" s="84">
        <v>24</v>
      </c>
      <c r="J60" s="85">
        <v>0</v>
      </c>
      <c r="K60" s="16">
        <v>12</v>
      </c>
      <c r="L60" s="84">
        <f t="shared" si="0"/>
        <v>2</v>
      </c>
      <c r="M60" s="86">
        <v>45821</v>
      </c>
      <c r="N60" s="86" t="s">
        <v>6296</v>
      </c>
      <c r="O60" s="87"/>
      <c r="P60" s="87" t="s">
        <v>6297</v>
      </c>
      <c r="Q60" s="87"/>
      <c r="R60" s="87">
        <v>45791</v>
      </c>
      <c r="S60" s="140" t="s">
        <v>123</v>
      </c>
      <c r="T60" s="141" t="s">
        <v>3378</v>
      </c>
      <c r="U60" s="29" t="s">
        <v>6298</v>
      </c>
      <c r="V60" s="138" t="s">
        <v>6299</v>
      </c>
      <c r="W60" s="111">
        <v>3.1142</v>
      </c>
      <c r="X60" s="112">
        <f t="shared" si="36"/>
        <v>74.7408</v>
      </c>
      <c r="Y60" s="84"/>
      <c r="Z60" s="150" t="s">
        <v>188</v>
      </c>
      <c r="AA60" s="151" t="s">
        <v>128</v>
      </c>
      <c r="AB60" s="152"/>
      <c r="AC60" s="152"/>
      <c r="AD60" s="152"/>
      <c r="AE60" s="87"/>
      <c r="AF60" s="87"/>
      <c r="AG60" s="152">
        <f t="shared" si="42"/>
        <v>48</v>
      </c>
      <c r="AH60" s="152"/>
      <c r="AI60" s="152"/>
      <c r="AJ60" s="152"/>
      <c r="AK60" s="173"/>
      <c r="AL60" s="173"/>
      <c r="AM60" s="173">
        <f t="shared" si="43"/>
        <v>48</v>
      </c>
      <c r="AN60" s="173"/>
      <c r="AO60" s="173"/>
      <c r="AP60" s="173"/>
      <c r="AQ60" s="173">
        <f t="shared" si="44"/>
        <v>48</v>
      </c>
      <c r="AR60" s="173"/>
      <c r="AS60" s="173"/>
      <c r="AT60" s="173"/>
      <c r="AU60" s="173"/>
      <c r="AV60" s="180"/>
      <c r="AW60" s="180"/>
      <c r="AX60" s="180"/>
      <c r="AY60" s="180"/>
      <c r="AZ60" s="180"/>
      <c r="BA60" s="180"/>
      <c r="BB60" s="180"/>
      <c r="BC60" s="180"/>
      <c r="BD60" s="180"/>
      <c r="BE60" s="180"/>
      <c r="BF60" s="180"/>
      <c r="BG60" s="180"/>
      <c r="BH60" s="180"/>
      <c r="BI60" s="180"/>
      <c r="BJ60" s="180"/>
      <c r="BK60" s="180"/>
      <c r="BL60" s="180"/>
      <c r="BM60" s="180">
        <f t="shared" si="45"/>
        <v>24</v>
      </c>
      <c r="BN60" s="180">
        <f t="shared" si="46"/>
        <v>24</v>
      </c>
      <c r="BO60" s="84">
        <f t="shared" si="47"/>
        <v>48</v>
      </c>
      <c r="BQ60" s="195"/>
      <c r="BR60" s="195"/>
      <c r="BT60" s="2" t="e">
        <f t="shared" si="48"/>
        <v>#REF!</v>
      </c>
    </row>
    <row r="61" s="2" customFormat="1" ht="36" customHeight="1" spans="1:72">
      <c r="A61" s="78">
        <v>45791</v>
      </c>
      <c r="B61" s="26" t="s">
        <v>6293</v>
      </c>
      <c r="C61" s="27" t="s">
        <v>351</v>
      </c>
      <c r="D61" s="28">
        <v>4500166334</v>
      </c>
      <c r="E61" s="80" t="s">
        <v>6304</v>
      </c>
      <c r="F61" s="28" t="s">
        <v>6305</v>
      </c>
      <c r="G61" s="16" t="s">
        <v>628</v>
      </c>
      <c r="H61" s="17" t="s">
        <v>623</v>
      </c>
      <c r="I61" s="84">
        <v>24</v>
      </c>
      <c r="J61" s="85">
        <v>0</v>
      </c>
      <c r="K61" s="16">
        <v>12</v>
      </c>
      <c r="L61" s="84">
        <f t="shared" si="0"/>
        <v>2</v>
      </c>
      <c r="M61" s="86">
        <v>45821</v>
      </c>
      <c r="N61" s="86" t="s">
        <v>6296</v>
      </c>
      <c r="O61" s="87"/>
      <c r="P61" s="87" t="s">
        <v>6297</v>
      </c>
      <c r="Q61" s="87"/>
      <c r="R61" s="87">
        <v>45791</v>
      </c>
      <c r="S61" s="140" t="s">
        <v>123</v>
      </c>
      <c r="T61" s="141" t="s">
        <v>3378</v>
      </c>
      <c r="U61" s="29" t="s">
        <v>6298</v>
      </c>
      <c r="V61" s="138" t="s">
        <v>6299</v>
      </c>
      <c r="W61" s="111">
        <v>3.1142</v>
      </c>
      <c r="X61" s="112">
        <f t="shared" si="36"/>
        <v>74.7408</v>
      </c>
      <c r="Y61" s="84"/>
      <c r="Z61" s="150" t="s">
        <v>188</v>
      </c>
      <c r="AA61" s="151" t="s">
        <v>128</v>
      </c>
      <c r="AB61" s="152"/>
      <c r="AC61" s="152"/>
      <c r="AD61" s="152"/>
      <c r="AE61" s="87"/>
      <c r="AF61" s="87"/>
      <c r="AG61" s="152">
        <f t="shared" si="42"/>
        <v>48</v>
      </c>
      <c r="AH61" s="152"/>
      <c r="AI61" s="152"/>
      <c r="AJ61" s="152"/>
      <c r="AK61" s="173"/>
      <c r="AL61" s="173"/>
      <c r="AM61" s="173">
        <f t="shared" si="43"/>
        <v>48</v>
      </c>
      <c r="AN61" s="173"/>
      <c r="AO61" s="173"/>
      <c r="AP61" s="173"/>
      <c r="AQ61" s="173">
        <f t="shared" si="44"/>
        <v>48</v>
      </c>
      <c r="AR61" s="173"/>
      <c r="AS61" s="173"/>
      <c r="AT61" s="173"/>
      <c r="AU61" s="173"/>
      <c r="AV61" s="180"/>
      <c r="AW61" s="180"/>
      <c r="AX61" s="180"/>
      <c r="AY61" s="180"/>
      <c r="AZ61" s="180"/>
      <c r="BA61" s="180"/>
      <c r="BB61" s="180"/>
      <c r="BC61" s="180"/>
      <c r="BD61" s="180"/>
      <c r="BE61" s="180"/>
      <c r="BF61" s="180"/>
      <c r="BG61" s="180"/>
      <c r="BH61" s="180"/>
      <c r="BI61" s="180"/>
      <c r="BJ61" s="180"/>
      <c r="BK61" s="180"/>
      <c r="BL61" s="180"/>
      <c r="BM61" s="180">
        <f t="shared" si="45"/>
        <v>24</v>
      </c>
      <c r="BN61" s="180">
        <f t="shared" si="46"/>
        <v>24</v>
      </c>
      <c r="BO61" s="84">
        <f t="shared" si="47"/>
        <v>48</v>
      </c>
      <c r="BQ61" s="195"/>
      <c r="BR61" s="195"/>
      <c r="BT61" s="2" t="e">
        <f t="shared" si="48"/>
        <v>#REF!</v>
      </c>
    </row>
    <row r="62" s="2" customFormat="1" ht="36" customHeight="1" spans="1:72">
      <c r="A62" s="78">
        <v>45791</v>
      </c>
      <c r="B62" s="26" t="s">
        <v>6293</v>
      </c>
      <c r="C62" s="27" t="s">
        <v>351</v>
      </c>
      <c r="D62" s="28">
        <v>4500166334</v>
      </c>
      <c r="E62" s="80" t="s">
        <v>6306</v>
      </c>
      <c r="F62" s="28" t="s">
        <v>6307</v>
      </c>
      <c r="G62" s="16" t="s">
        <v>628</v>
      </c>
      <c r="H62" s="17" t="s">
        <v>623</v>
      </c>
      <c r="I62" s="84">
        <v>24</v>
      </c>
      <c r="J62" s="85">
        <v>0</v>
      </c>
      <c r="K62" s="16">
        <v>12</v>
      </c>
      <c r="L62" s="84">
        <f t="shared" si="0"/>
        <v>2</v>
      </c>
      <c r="M62" s="86">
        <v>45821</v>
      </c>
      <c r="N62" s="86" t="s">
        <v>6296</v>
      </c>
      <c r="O62" s="87"/>
      <c r="P62" s="87" t="s">
        <v>6297</v>
      </c>
      <c r="Q62" s="87"/>
      <c r="R62" s="87">
        <v>45791</v>
      </c>
      <c r="S62" s="140" t="s">
        <v>123</v>
      </c>
      <c r="T62" s="141" t="s">
        <v>3378</v>
      </c>
      <c r="U62" s="29" t="s">
        <v>6298</v>
      </c>
      <c r="V62" s="138" t="s">
        <v>6299</v>
      </c>
      <c r="W62" s="111">
        <v>3.1142</v>
      </c>
      <c r="X62" s="112">
        <f t="shared" si="36"/>
        <v>74.7408</v>
      </c>
      <c r="Y62" s="84"/>
      <c r="Z62" s="150" t="s">
        <v>188</v>
      </c>
      <c r="AA62" s="151" t="s">
        <v>128</v>
      </c>
      <c r="AB62" s="152"/>
      <c r="AC62" s="152"/>
      <c r="AD62" s="152"/>
      <c r="AE62" s="87"/>
      <c r="AF62" s="87"/>
      <c r="AG62" s="152">
        <f t="shared" si="42"/>
        <v>48</v>
      </c>
      <c r="AH62" s="152"/>
      <c r="AI62" s="152"/>
      <c r="AJ62" s="152"/>
      <c r="AK62" s="173"/>
      <c r="AL62" s="173"/>
      <c r="AM62" s="173">
        <f t="shared" si="43"/>
        <v>48</v>
      </c>
      <c r="AN62" s="173"/>
      <c r="AO62" s="173"/>
      <c r="AP62" s="173"/>
      <c r="AQ62" s="173">
        <f t="shared" si="44"/>
        <v>48</v>
      </c>
      <c r="AR62" s="173"/>
      <c r="AS62" s="173"/>
      <c r="AT62" s="173"/>
      <c r="AU62" s="173"/>
      <c r="AV62" s="180"/>
      <c r="AW62" s="180"/>
      <c r="AX62" s="180"/>
      <c r="AY62" s="180"/>
      <c r="AZ62" s="180"/>
      <c r="BA62" s="180"/>
      <c r="BB62" s="180"/>
      <c r="BC62" s="180"/>
      <c r="BD62" s="180"/>
      <c r="BE62" s="180"/>
      <c r="BF62" s="180"/>
      <c r="BG62" s="180"/>
      <c r="BH62" s="180"/>
      <c r="BI62" s="180"/>
      <c r="BJ62" s="180"/>
      <c r="BK62" s="180"/>
      <c r="BL62" s="180"/>
      <c r="BM62" s="180">
        <f t="shared" si="45"/>
        <v>24</v>
      </c>
      <c r="BN62" s="180">
        <f t="shared" si="46"/>
        <v>24</v>
      </c>
      <c r="BO62" s="84">
        <f t="shared" si="47"/>
        <v>48</v>
      </c>
      <c r="BQ62" s="195"/>
      <c r="BR62" s="195"/>
      <c r="BT62" s="2" t="e">
        <f t="shared" si="48"/>
        <v>#REF!</v>
      </c>
    </row>
    <row r="63" s="4" customFormat="1" ht="36" customHeight="1" spans="1:71">
      <c r="A63" s="81">
        <v>45798</v>
      </c>
      <c r="B63" s="32" t="s">
        <v>1372</v>
      </c>
      <c r="C63" s="33" t="s">
        <v>351</v>
      </c>
      <c r="D63" s="38">
        <v>4500167361</v>
      </c>
      <c r="E63" s="39" t="s">
        <v>6308</v>
      </c>
      <c r="F63" s="38" t="s">
        <v>6309</v>
      </c>
      <c r="G63" s="40" t="s">
        <v>73</v>
      </c>
      <c r="H63" s="37" t="s">
        <v>74</v>
      </c>
      <c r="I63" s="92">
        <v>24</v>
      </c>
      <c r="J63" s="93">
        <v>0</v>
      </c>
      <c r="K63" s="40">
        <v>24</v>
      </c>
      <c r="L63" s="92">
        <f t="shared" si="0"/>
        <v>1</v>
      </c>
      <c r="M63" s="96">
        <v>45834</v>
      </c>
      <c r="N63" s="96" t="s">
        <v>6310</v>
      </c>
      <c r="O63" s="97"/>
      <c r="P63" s="97"/>
      <c r="Q63" s="97"/>
      <c r="R63" s="97"/>
      <c r="S63" s="145"/>
      <c r="T63" s="146"/>
      <c r="U63" s="39" t="s">
        <v>6311</v>
      </c>
      <c r="V63" s="147" t="s">
        <v>396</v>
      </c>
      <c r="W63" s="120">
        <v>1.3228</v>
      </c>
      <c r="X63" s="121">
        <f t="shared" si="36"/>
        <v>31.7472</v>
      </c>
      <c r="Y63" s="92"/>
      <c r="Z63" s="157"/>
      <c r="AA63" s="161"/>
      <c r="AB63" s="160"/>
      <c r="AC63" s="160"/>
      <c r="AD63" s="160"/>
      <c r="AE63" s="97"/>
      <c r="AF63" s="97"/>
      <c r="AG63" s="160">
        <f t="shared" ref="AG63:AG65" si="49">I63</f>
        <v>24</v>
      </c>
      <c r="AH63" s="160"/>
      <c r="AI63" s="160"/>
      <c r="AJ63" s="160"/>
      <c r="AK63" s="176"/>
      <c r="AL63" s="176">
        <f t="shared" ref="AL63:AL65" si="50">I63</f>
        <v>24</v>
      </c>
      <c r="AM63" s="176"/>
      <c r="AN63" s="176"/>
      <c r="AO63" s="176"/>
      <c r="AP63" s="176"/>
      <c r="AQ63" s="177">
        <f t="shared" ref="AQ63:AQ65" si="51">I63</f>
        <v>24</v>
      </c>
      <c r="AR63" s="177"/>
      <c r="AS63" s="176"/>
      <c r="AT63" s="176"/>
      <c r="AU63" s="176"/>
      <c r="AV63" s="176"/>
      <c r="AW63" s="182"/>
      <c r="AX63" s="182"/>
      <c r="AY63" s="182"/>
      <c r="AZ63" s="182"/>
      <c r="BA63" s="182"/>
      <c r="BB63" s="182"/>
      <c r="BC63" s="182"/>
      <c r="BD63" s="182"/>
      <c r="BE63" s="182"/>
      <c r="BF63" s="182"/>
      <c r="BG63" s="182"/>
      <c r="BH63" s="182"/>
      <c r="BI63" s="182"/>
      <c r="BJ63" s="182"/>
      <c r="BK63" s="182"/>
      <c r="BL63" s="182"/>
      <c r="BM63" s="182"/>
      <c r="BN63" s="182"/>
      <c r="BO63" s="182"/>
      <c r="BP63" s="92">
        <f t="shared" ref="BP63:BP65" si="52">AG63+AH63+AI63</f>
        <v>24</v>
      </c>
      <c r="BR63" s="197"/>
      <c r="BS63" s="197"/>
    </row>
    <row r="64" s="4" customFormat="1" ht="36" customHeight="1" spans="1:71">
      <c r="A64" s="81">
        <v>45798</v>
      </c>
      <c r="B64" s="32" t="s">
        <v>1372</v>
      </c>
      <c r="C64" s="33" t="s">
        <v>351</v>
      </c>
      <c r="D64" s="38">
        <v>4500167361</v>
      </c>
      <c r="E64" s="39" t="s">
        <v>6312</v>
      </c>
      <c r="F64" s="38" t="s">
        <v>6313</v>
      </c>
      <c r="G64" s="40" t="s">
        <v>73</v>
      </c>
      <c r="H64" s="37" t="s">
        <v>74</v>
      </c>
      <c r="I64" s="92">
        <v>24</v>
      </c>
      <c r="J64" s="93">
        <v>0</v>
      </c>
      <c r="K64" s="40">
        <v>24</v>
      </c>
      <c r="L64" s="92">
        <f t="shared" si="0"/>
        <v>1</v>
      </c>
      <c r="M64" s="96">
        <v>45834</v>
      </c>
      <c r="N64" s="96" t="s">
        <v>6310</v>
      </c>
      <c r="O64" s="97"/>
      <c r="P64" s="97"/>
      <c r="Q64" s="97"/>
      <c r="R64" s="97"/>
      <c r="S64" s="145"/>
      <c r="T64" s="146"/>
      <c r="U64" s="39" t="s">
        <v>6311</v>
      </c>
      <c r="V64" s="147" t="s">
        <v>396</v>
      </c>
      <c r="W64" s="120">
        <v>1.3228</v>
      </c>
      <c r="X64" s="121">
        <f t="shared" si="36"/>
        <v>31.7472</v>
      </c>
      <c r="Y64" s="92"/>
      <c r="Z64" s="157"/>
      <c r="AA64" s="161"/>
      <c r="AB64" s="160"/>
      <c r="AC64" s="160"/>
      <c r="AD64" s="160"/>
      <c r="AE64" s="97"/>
      <c r="AF64" s="97"/>
      <c r="AG64" s="160">
        <f t="shared" si="49"/>
        <v>24</v>
      </c>
      <c r="AH64" s="160"/>
      <c r="AI64" s="160"/>
      <c r="AJ64" s="160"/>
      <c r="AK64" s="176"/>
      <c r="AL64" s="176">
        <f t="shared" si="50"/>
        <v>24</v>
      </c>
      <c r="AM64" s="176"/>
      <c r="AN64" s="176"/>
      <c r="AO64" s="176"/>
      <c r="AP64" s="176"/>
      <c r="AQ64" s="177">
        <f t="shared" si="51"/>
        <v>24</v>
      </c>
      <c r="AR64" s="177"/>
      <c r="AS64" s="176"/>
      <c r="AT64" s="176"/>
      <c r="AU64" s="176"/>
      <c r="AV64" s="176"/>
      <c r="AW64" s="182"/>
      <c r="AX64" s="182"/>
      <c r="AY64" s="182"/>
      <c r="AZ64" s="182"/>
      <c r="BA64" s="182"/>
      <c r="BB64" s="182"/>
      <c r="BC64" s="182"/>
      <c r="BD64" s="182"/>
      <c r="BE64" s="182"/>
      <c r="BF64" s="182"/>
      <c r="BG64" s="182"/>
      <c r="BH64" s="182"/>
      <c r="BI64" s="182"/>
      <c r="BJ64" s="182"/>
      <c r="BK64" s="182"/>
      <c r="BL64" s="182"/>
      <c r="BM64" s="182"/>
      <c r="BN64" s="182"/>
      <c r="BO64" s="182"/>
      <c r="BP64" s="92">
        <f t="shared" si="52"/>
        <v>24</v>
      </c>
      <c r="BR64" s="197"/>
      <c r="BS64" s="197"/>
    </row>
    <row r="65" s="4" customFormat="1" ht="36" customHeight="1" spans="1:71">
      <c r="A65" s="81">
        <v>45798</v>
      </c>
      <c r="B65" s="32" t="s">
        <v>1372</v>
      </c>
      <c r="C65" s="33" t="s">
        <v>351</v>
      </c>
      <c r="D65" s="38">
        <v>4500167361</v>
      </c>
      <c r="E65" s="39" t="s">
        <v>6314</v>
      </c>
      <c r="F65" s="38" t="s">
        <v>6315</v>
      </c>
      <c r="G65" s="40" t="s">
        <v>73</v>
      </c>
      <c r="H65" s="37" t="s">
        <v>74</v>
      </c>
      <c r="I65" s="92">
        <v>24</v>
      </c>
      <c r="J65" s="93">
        <v>0</v>
      </c>
      <c r="K65" s="40">
        <v>24</v>
      </c>
      <c r="L65" s="92">
        <f t="shared" si="0"/>
        <v>1</v>
      </c>
      <c r="M65" s="96">
        <v>45834</v>
      </c>
      <c r="N65" s="96" t="s">
        <v>6310</v>
      </c>
      <c r="O65" s="97"/>
      <c r="P65" s="97"/>
      <c r="Q65" s="97"/>
      <c r="R65" s="97"/>
      <c r="S65" s="145"/>
      <c r="T65" s="146"/>
      <c r="U65" s="39" t="s">
        <v>6311</v>
      </c>
      <c r="V65" s="147" t="s">
        <v>396</v>
      </c>
      <c r="W65" s="120">
        <v>1.3363</v>
      </c>
      <c r="X65" s="121">
        <f t="shared" si="36"/>
        <v>32.0712</v>
      </c>
      <c r="Y65" s="92"/>
      <c r="Z65" s="157"/>
      <c r="AA65" s="161"/>
      <c r="AB65" s="160"/>
      <c r="AC65" s="160"/>
      <c r="AD65" s="160"/>
      <c r="AE65" s="97"/>
      <c r="AF65" s="97"/>
      <c r="AG65" s="160">
        <f t="shared" si="49"/>
        <v>24</v>
      </c>
      <c r="AH65" s="160"/>
      <c r="AI65" s="160"/>
      <c r="AJ65" s="160"/>
      <c r="AK65" s="176"/>
      <c r="AL65" s="176">
        <f t="shared" si="50"/>
        <v>24</v>
      </c>
      <c r="AM65" s="176"/>
      <c r="AN65" s="176"/>
      <c r="AO65" s="176"/>
      <c r="AP65" s="176"/>
      <c r="AQ65" s="177">
        <f t="shared" si="51"/>
        <v>24</v>
      </c>
      <c r="AR65" s="177"/>
      <c r="AS65" s="176"/>
      <c r="AT65" s="176"/>
      <c r="AU65" s="176"/>
      <c r="AV65" s="176"/>
      <c r="AW65" s="182"/>
      <c r="AX65" s="182"/>
      <c r="AY65" s="182"/>
      <c r="AZ65" s="182"/>
      <c r="BA65" s="182"/>
      <c r="BB65" s="182"/>
      <c r="BC65" s="182"/>
      <c r="BD65" s="182"/>
      <c r="BE65" s="182"/>
      <c r="BF65" s="182"/>
      <c r="BG65" s="182"/>
      <c r="BH65" s="182"/>
      <c r="BI65" s="182"/>
      <c r="BJ65" s="182"/>
      <c r="BK65" s="182"/>
      <c r="BL65" s="182"/>
      <c r="BM65" s="182"/>
      <c r="BN65" s="182"/>
      <c r="BO65" s="182"/>
      <c r="BP65" s="92">
        <f t="shared" si="52"/>
        <v>24</v>
      </c>
      <c r="BR65" s="197"/>
      <c r="BS65" s="197"/>
    </row>
    <row r="66" s="2" customFormat="1" ht="36" customHeight="1" spans="1:54">
      <c r="A66" s="25">
        <v>45888</v>
      </c>
      <c r="B66" s="26" t="s">
        <v>332</v>
      </c>
      <c r="C66" s="27" t="s">
        <v>117</v>
      </c>
      <c r="D66" s="28">
        <v>4500177327</v>
      </c>
      <c r="E66" s="29" t="s">
        <v>6316</v>
      </c>
      <c r="F66" s="28" t="s">
        <v>6317</v>
      </c>
      <c r="G66" s="16" t="s">
        <v>5098</v>
      </c>
      <c r="H66" s="17" t="s">
        <v>5093</v>
      </c>
      <c r="I66" s="84">
        <v>9996</v>
      </c>
      <c r="J66" s="85">
        <v>0</v>
      </c>
      <c r="K66" s="16">
        <v>12</v>
      </c>
      <c r="L66" s="210">
        <f t="shared" ref="L66:L83" si="53">I66/K66</f>
        <v>833</v>
      </c>
      <c r="M66" s="86">
        <v>45947</v>
      </c>
      <c r="N66" s="86">
        <v>45945</v>
      </c>
      <c r="O66" s="87"/>
      <c r="P66" s="87"/>
      <c r="Q66" s="87"/>
      <c r="R66" s="87">
        <v>45888</v>
      </c>
      <c r="S66" s="87" t="s">
        <v>77</v>
      </c>
      <c r="T66" s="87" t="s">
        <v>77</v>
      </c>
      <c r="U66" s="87"/>
      <c r="W66" s="87"/>
      <c r="X66" s="71" t="s">
        <v>6318</v>
      </c>
      <c r="Y66" s="138" t="s">
        <v>3759</v>
      </c>
      <c r="Z66" s="111">
        <v>1.908</v>
      </c>
      <c r="AA66" s="112">
        <f t="shared" ref="AA66:AA75" si="54">Z66*I66</f>
        <v>19072.368</v>
      </c>
      <c r="AB66" s="84"/>
      <c r="AC66" s="16" t="s">
        <v>5098</v>
      </c>
      <c r="AD66" s="224" t="s">
        <v>128</v>
      </c>
      <c r="AE66" s="16"/>
      <c r="AF66" s="16"/>
      <c r="AG66" s="16"/>
      <c r="AH66" s="150"/>
      <c r="AI66" s="152">
        <f>I66*2</f>
        <v>19992</v>
      </c>
      <c r="AJ66" s="178"/>
      <c r="AK66" s="84"/>
      <c r="AL66" s="84">
        <f>I66*2</f>
        <v>19992</v>
      </c>
      <c r="AM66" s="173">
        <f>I66*2</f>
        <v>19992</v>
      </c>
      <c r="AN66" s="180"/>
      <c r="AO66" s="180"/>
      <c r="AP66" s="180"/>
      <c r="AQ66" s="180"/>
      <c r="AR66" s="180"/>
      <c r="AS66" s="180"/>
      <c r="AT66" s="180"/>
      <c r="AU66" s="180"/>
      <c r="AV66" s="180"/>
      <c r="AW66" s="180"/>
      <c r="AX66" s="180"/>
      <c r="AY66" s="180"/>
      <c r="AZ66" s="180"/>
      <c r="BA66" s="180">
        <f>I66</f>
        <v>9996</v>
      </c>
      <c r="BB66" s="180">
        <f>I66</f>
        <v>9996</v>
      </c>
    </row>
    <row r="67" s="6" customFormat="1" ht="36" customHeight="1" spans="1:81">
      <c r="A67" s="203">
        <v>45944</v>
      </c>
      <c r="B67" s="204" t="s">
        <v>3926</v>
      </c>
      <c r="C67" s="205" t="s">
        <v>351</v>
      </c>
      <c r="D67" s="206">
        <v>4500181601</v>
      </c>
      <c r="E67" s="207" t="s">
        <v>6319</v>
      </c>
      <c r="F67" s="206" t="s">
        <v>6320</v>
      </c>
      <c r="G67" s="208" t="s">
        <v>73</v>
      </c>
      <c r="H67" s="209" t="s">
        <v>74</v>
      </c>
      <c r="I67" s="6">
        <v>24</v>
      </c>
      <c r="J67" s="211">
        <v>0</v>
      </c>
      <c r="K67" s="208">
        <v>24</v>
      </c>
      <c r="L67" s="212">
        <f t="shared" si="53"/>
        <v>1</v>
      </c>
      <c r="M67" s="213">
        <v>45981</v>
      </c>
      <c r="N67" s="213">
        <v>45978</v>
      </c>
      <c r="O67" s="214"/>
      <c r="P67" s="215" t="s">
        <v>6321</v>
      </c>
      <c r="Q67" s="214"/>
      <c r="R67" s="216">
        <v>45944</v>
      </c>
      <c r="S67" s="217" t="s">
        <v>123</v>
      </c>
      <c r="T67" s="218" t="s">
        <v>6322</v>
      </c>
      <c r="U67" s="207" t="s">
        <v>4414</v>
      </c>
      <c r="V67" s="219" t="s">
        <v>396</v>
      </c>
      <c r="W67" s="220">
        <v>1.365</v>
      </c>
      <c r="X67" s="221">
        <f t="shared" ref="X67:X69" si="55">I67*W67</f>
        <v>32.76</v>
      </c>
      <c r="Z67" s="225" t="s">
        <v>188</v>
      </c>
      <c r="AA67" s="226" t="s">
        <v>128</v>
      </c>
      <c r="AB67" s="227"/>
      <c r="AC67" s="228"/>
      <c r="AD67" s="227"/>
      <c r="AE67" s="214"/>
      <c r="AF67" s="214"/>
      <c r="AG67" s="227">
        <f t="shared" ref="AG67:AG69" si="56">I67</f>
        <v>24</v>
      </c>
      <c r="AH67" s="227"/>
      <c r="AI67" s="227"/>
      <c r="AJ67" s="227"/>
      <c r="AK67" s="227"/>
      <c r="AL67" s="227"/>
      <c r="AM67" s="230"/>
      <c r="AN67" s="231">
        <f t="shared" ref="AN67:AN73" si="57">I67</f>
        <v>24</v>
      </c>
      <c r="AO67" s="231"/>
      <c r="AP67" s="230"/>
      <c r="AQ67" s="230"/>
      <c r="AR67" s="230"/>
      <c r="AS67" s="230"/>
      <c r="AT67" s="230"/>
      <c r="AU67" s="230">
        <f t="shared" ref="AU67:AU69" si="58">I67</f>
        <v>24</v>
      </c>
      <c r="AV67" s="231"/>
      <c r="AW67" s="231"/>
      <c r="AX67" s="231"/>
      <c r="AY67" s="231"/>
      <c r="AZ67" s="231"/>
      <c r="BA67" s="235"/>
      <c r="BB67" s="235"/>
      <c r="BC67" s="235"/>
      <c r="BD67" s="235"/>
      <c r="BE67" s="235"/>
      <c r="BF67" s="235"/>
      <c r="BG67" s="235"/>
      <c r="BH67" s="235"/>
      <c r="BI67" s="235"/>
      <c r="BJ67" s="235"/>
      <c r="BK67" s="235"/>
      <c r="BL67" s="235"/>
      <c r="BM67" s="235"/>
      <c r="BN67" s="235"/>
      <c r="BO67" s="235"/>
      <c r="BP67" s="235"/>
      <c r="BQ67" s="235"/>
      <c r="BR67" s="235"/>
      <c r="BS67" s="235"/>
      <c r="BT67" s="236"/>
      <c r="BU67" s="236"/>
      <c r="BV67" s="236"/>
      <c r="BW67" s="236"/>
      <c r="BX67" s="212">
        <f t="shared" ref="BX67:BX69" si="59">AG67+AH67+AI67</f>
        <v>24</v>
      </c>
      <c r="BZ67" s="237"/>
      <c r="CA67" s="237"/>
      <c r="CC67" s="238" t="e">
        <f>'77515 DIY厨艺大师'!#REF!-AG67-AH67-AI67</f>
        <v>#REF!</v>
      </c>
    </row>
    <row r="68" s="6" customFormat="1" ht="36" customHeight="1" spans="1:81">
      <c r="A68" s="203">
        <v>45944</v>
      </c>
      <c r="B68" s="204" t="s">
        <v>3926</v>
      </c>
      <c r="C68" s="205" t="s">
        <v>351</v>
      </c>
      <c r="D68" s="206">
        <v>4500181601</v>
      </c>
      <c r="E68" s="207" t="s">
        <v>6323</v>
      </c>
      <c r="F68" s="206" t="s">
        <v>6324</v>
      </c>
      <c r="G68" s="208" t="s">
        <v>73</v>
      </c>
      <c r="H68" s="209" t="s">
        <v>74</v>
      </c>
      <c r="I68" s="6">
        <v>24</v>
      </c>
      <c r="J68" s="211">
        <v>0</v>
      </c>
      <c r="K68" s="208">
        <v>24</v>
      </c>
      <c r="L68" s="212">
        <f t="shared" si="53"/>
        <v>1</v>
      </c>
      <c r="M68" s="213">
        <v>45981</v>
      </c>
      <c r="N68" s="213">
        <v>45978</v>
      </c>
      <c r="O68" s="214"/>
      <c r="P68" s="215" t="s">
        <v>6321</v>
      </c>
      <c r="Q68" s="214"/>
      <c r="R68" s="216">
        <v>45944</v>
      </c>
      <c r="S68" s="217" t="s">
        <v>123</v>
      </c>
      <c r="T68" s="218" t="s">
        <v>6322</v>
      </c>
      <c r="U68" s="207" t="s">
        <v>4414</v>
      </c>
      <c r="V68" s="219" t="s">
        <v>396</v>
      </c>
      <c r="W68" s="220">
        <v>1.365</v>
      </c>
      <c r="X68" s="221">
        <f t="shared" si="55"/>
        <v>32.76</v>
      </c>
      <c r="Z68" s="225" t="s">
        <v>188</v>
      </c>
      <c r="AA68" s="226" t="s">
        <v>128</v>
      </c>
      <c r="AB68" s="227"/>
      <c r="AC68" s="228"/>
      <c r="AD68" s="227"/>
      <c r="AE68" s="214"/>
      <c r="AF68" s="214"/>
      <c r="AG68" s="227">
        <f t="shared" si="56"/>
        <v>24</v>
      </c>
      <c r="AH68" s="227"/>
      <c r="AI68" s="227"/>
      <c r="AJ68" s="227"/>
      <c r="AK68" s="227"/>
      <c r="AL68" s="227"/>
      <c r="AM68" s="230"/>
      <c r="AN68" s="231">
        <f t="shared" si="57"/>
        <v>24</v>
      </c>
      <c r="AO68" s="231"/>
      <c r="AP68" s="230"/>
      <c r="AQ68" s="230"/>
      <c r="AR68" s="230"/>
      <c r="AS68" s="230"/>
      <c r="AT68" s="230"/>
      <c r="AU68" s="230">
        <f t="shared" si="58"/>
        <v>24</v>
      </c>
      <c r="AV68" s="231"/>
      <c r="AW68" s="231"/>
      <c r="AX68" s="231"/>
      <c r="AY68" s="231"/>
      <c r="AZ68" s="231"/>
      <c r="BA68" s="235"/>
      <c r="BB68" s="235"/>
      <c r="BC68" s="235"/>
      <c r="BD68" s="235"/>
      <c r="BE68" s="235"/>
      <c r="BF68" s="235"/>
      <c r="BG68" s="235"/>
      <c r="BH68" s="235"/>
      <c r="BI68" s="235"/>
      <c r="BJ68" s="235"/>
      <c r="BK68" s="235"/>
      <c r="BL68" s="235"/>
      <c r="BM68" s="235"/>
      <c r="BN68" s="235"/>
      <c r="BO68" s="235"/>
      <c r="BP68" s="235"/>
      <c r="BQ68" s="235"/>
      <c r="BR68" s="235"/>
      <c r="BS68" s="235"/>
      <c r="BT68" s="236"/>
      <c r="BU68" s="236"/>
      <c r="BV68" s="236"/>
      <c r="BW68" s="236"/>
      <c r="BX68" s="212">
        <f t="shared" si="59"/>
        <v>24</v>
      </c>
      <c r="BZ68" s="237"/>
      <c r="CA68" s="237"/>
      <c r="CC68" s="238" t="e">
        <f>CC67-AG68-AH68-AI68</f>
        <v>#REF!</v>
      </c>
    </row>
    <row r="69" s="6" customFormat="1" ht="36" customHeight="1" spans="1:81">
      <c r="A69" s="203">
        <v>45944</v>
      </c>
      <c r="B69" s="204" t="s">
        <v>3926</v>
      </c>
      <c r="C69" s="205" t="s">
        <v>351</v>
      </c>
      <c r="D69" s="206">
        <v>4500181601</v>
      </c>
      <c r="E69" s="207" t="s">
        <v>6325</v>
      </c>
      <c r="F69" s="206" t="s">
        <v>6326</v>
      </c>
      <c r="G69" s="208" t="s">
        <v>73</v>
      </c>
      <c r="H69" s="209" t="s">
        <v>74</v>
      </c>
      <c r="I69" s="6">
        <v>24</v>
      </c>
      <c r="J69" s="211">
        <v>0</v>
      </c>
      <c r="K69" s="208">
        <v>24</v>
      </c>
      <c r="L69" s="212">
        <f t="shared" si="53"/>
        <v>1</v>
      </c>
      <c r="M69" s="213">
        <v>45981</v>
      </c>
      <c r="N69" s="213">
        <v>45978</v>
      </c>
      <c r="O69" s="214"/>
      <c r="P69" s="215" t="s">
        <v>6321</v>
      </c>
      <c r="Q69" s="214"/>
      <c r="R69" s="216">
        <v>45944</v>
      </c>
      <c r="S69" s="217" t="s">
        <v>123</v>
      </c>
      <c r="T69" s="218" t="s">
        <v>6322</v>
      </c>
      <c r="U69" s="207" t="s">
        <v>4414</v>
      </c>
      <c r="V69" s="219" t="s">
        <v>396</v>
      </c>
      <c r="W69" s="220">
        <v>1.365</v>
      </c>
      <c r="X69" s="221">
        <f t="shared" si="55"/>
        <v>32.76</v>
      </c>
      <c r="Z69" s="225" t="s">
        <v>188</v>
      </c>
      <c r="AA69" s="226" t="s">
        <v>128</v>
      </c>
      <c r="AB69" s="227"/>
      <c r="AC69" s="228"/>
      <c r="AD69" s="227"/>
      <c r="AE69" s="214"/>
      <c r="AF69" s="214"/>
      <c r="AG69" s="227">
        <f t="shared" si="56"/>
        <v>24</v>
      </c>
      <c r="AH69" s="227"/>
      <c r="AI69" s="227"/>
      <c r="AJ69" s="227"/>
      <c r="AK69" s="227"/>
      <c r="AL69" s="227"/>
      <c r="AM69" s="230"/>
      <c r="AN69" s="231">
        <f t="shared" si="57"/>
        <v>24</v>
      </c>
      <c r="AO69" s="231"/>
      <c r="AP69" s="230"/>
      <c r="AQ69" s="230"/>
      <c r="AR69" s="230"/>
      <c r="AS69" s="230"/>
      <c r="AT69" s="230"/>
      <c r="AU69" s="230">
        <f t="shared" si="58"/>
        <v>24</v>
      </c>
      <c r="AV69" s="231"/>
      <c r="AW69" s="231"/>
      <c r="AX69" s="231"/>
      <c r="AY69" s="231"/>
      <c r="AZ69" s="231"/>
      <c r="BA69" s="235"/>
      <c r="BB69" s="235"/>
      <c r="BC69" s="235"/>
      <c r="BD69" s="235"/>
      <c r="BE69" s="235"/>
      <c r="BF69" s="235"/>
      <c r="BG69" s="235"/>
      <c r="BH69" s="235"/>
      <c r="BI69" s="235"/>
      <c r="BJ69" s="235"/>
      <c r="BK69" s="235"/>
      <c r="BL69" s="235"/>
      <c r="BM69" s="235"/>
      <c r="BN69" s="235"/>
      <c r="BO69" s="235"/>
      <c r="BP69" s="235"/>
      <c r="BQ69" s="235"/>
      <c r="BR69" s="235"/>
      <c r="BS69" s="235"/>
      <c r="BT69" s="236"/>
      <c r="BU69" s="236"/>
      <c r="BV69" s="236"/>
      <c r="BW69" s="236"/>
      <c r="BX69" s="212">
        <f t="shared" si="59"/>
        <v>24</v>
      </c>
      <c r="BZ69" s="237"/>
      <c r="CA69" s="237"/>
      <c r="CC69" s="238" t="e">
        <f>CC68-AG69-AH69-AI69</f>
        <v>#REF!</v>
      </c>
    </row>
    <row r="70" s="2" customFormat="1" ht="36" customHeight="1" spans="1:65">
      <c r="A70" s="25">
        <v>45940</v>
      </c>
      <c r="B70" s="26" t="s">
        <v>5248</v>
      </c>
      <c r="C70" s="27" t="s">
        <v>117</v>
      </c>
      <c r="D70" s="28">
        <v>4500179669</v>
      </c>
      <c r="E70" s="29">
        <v>4559826621</v>
      </c>
      <c r="F70" s="28" t="s">
        <v>6327</v>
      </c>
      <c r="G70" s="16" t="s">
        <v>5250</v>
      </c>
      <c r="H70" s="17" t="s">
        <v>5251</v>
      </c>
      <c r="I70" s="84">
        <v>588</v>
      </c>
      <c r="J70" s="85">
        <v>0</v>
      </c>
      <c r="K70" s="16">
        <v>6</v>
      </c>
      <c r="L70" s="210">
        <f t="shared" si="53"/>
        <v>98</v>
      </c>
      <c r="M70" s="86">
        <v>45980</v>
      </c>
      <c r="N70" s="86">
        <v>45976</v>
      </c>
      <c r="O70" s="87" t="s">
        <v>5252</v>
      </c>
      <c r="P70" s="87"/>
      <c r="Q70" s="87"/>
      <c r="R70" s="216">
        <v>45925</v>
      </c>
      <c r="S70" s="222" t="s">
        <v>77</v>
      </c>
      <c r="T70" s="87" t="s">
        <v>5253</v>
      </c>
      <c r="U70" s="87"/>
      <c r="V70" s="87"/>
      <c r="W70" s="87" t="s">
        <v>5254</v>
      </c>
      <c r="X70" s="223" t="s">
        <v>6328</v>
      </c>
      <c r="Y70" s="138" t="s">
        <v>903</v>
      </c>
      <c r="Z70" s="111">
        <v>0.9</v>
      </c>
      <c r="AA70" s="112">
        <f t="shared" si="54"/>
        <v>529.2</v>
      </c>
      <c r="AB70" s="84"/>
      <c r="AC70" s="16" t="s">
        <v>5250</v>
      </c>
      <c r="AD70" s="224" t="s">
        <v>128</v>
      </c>
      <c r="AE70" s="224"/>
      <c r="AF70" s="16"/>
      <c r="AG70" s="16">
        <f t="shared" ref="AG70:AG75" si="60">AF70-I70</f>
        <v>-588</v>
      </c>
      <c r="AH70" s="16" t="s">
        <v>4335</v>
      </c>
      <c r="AI70" s="150"/>
      <c r="AJ70" s="152">
        <f t="shared" ref="AJ70:AJ75" si="61">I70</f>
        <v>588</v>
      </c>
      <c r="AK70" s="232">
        <f t="shared" ref="AK70:AK75" si="62">I70</f>
        <v>588</v>
      </c>
      <c r="AL70" s="162"/>
      <c r="AM70" s="84"/>
      <c r="AN70" s="173">
        <f t="shared" si="57"/>
        <v>588</v>
      </c>
      <c r="AO70" s="173">
        <f t="shared" ref="AO70:AO75" si="63">I70</f>
        <v>588</v>
      </c>
      <c r="AP70" s="173"/>
      <c r="AQ70" s="173"/>
      <c r="AR70" s="173"/>
      <c r="AS70" s="173"/>
      <c r="AT70" s="173"/>
      <c r="AU70" s="180"/>
      <c r="AV70" s="180"/>
      <c r="AW70" s="180"/>
      <c r="AX70" s="180"/>
      <c r="AY70" s="180"/>
      <c r="AZ70" s="180">
        <f>I70/6</f>
        <v>98</v>
      </c>
      <c r="BA70" s="180"/>
      <c r="BB70" s="180"/>
      <c r="BC70" s="180"/>
      <c r="BD70" s="180"/>
      <c r="BE70" s="180"/>
      <c r="BF70" s="180"/>
      <c r="BG70" s="180"/>
      <c r="BH70" s="180"/>
      <c r="BI70" s="180"/>
      <c r="BJ70" s="180"/>
      <c r="BM70" s="2" t="e">
        <f>AJ70+'77773二代'!#REF!</f>
        <v>#REF!</v>
      </c>
    </row>
    <row r="71" s="2" customFormat="1" ht="36" customHeight="1" spans="1:65">
      <c r="A71" s="25">
        <v>45965</v>
      </c>
      <c r="B71" s="26" t="s">
        <v>5490</v>
      </c>
      <c r="C71" s="27" t="s">
        <v>3662</v>
      </c>
      <c r="D71" s="28">
        <v>4500184399</v>
      </c>
      <c r="E71" s="29"/>
      <c r="F71" s="28" t="s">
        <v>6329</v>
      </c>
      <c r="G71" s="16" t="s">
        <v>4974</v>
      </c>
      <c r="H71" s="17" t="s">
        <v>5205</v>
      </c>
      <c r="I71" s="84">
        <v>300</v>
      </c>
      <c r="J71" s="85">
        <v>0</v>
      </c>
      <c r="K71" s="16">
        <v>50</v>
      </c>
      <c r="L71" s="210">
        <f t="shared" si="53"/>
        <v>6</v>
      </c>
      <c r="M71" s="86">
        <v>46009</v>
      </c>
      <c r="N71" s="86">
        <v>46006</v>
      </c>
      <c r="O71" s="87"/>
      <c r="P71" s="87"/>
      <c r="Q71" s="87"/>
      <c r="R71" s="216" t="s">
        <v>3332</v>
      </c>
      <c r="S71" s="222" t="s">
        <v>77</v>
      </c>
      <c r="T71" s="109" t="s">
        <v>5493</v>
      </c>
      <c r="U71" s="87"/>
      <c r="V71" s="87"/>
      <c r="W71" s="87"/>
      <c r="X71" s="29" t="s">
        <v>6330</v>
      </c>
      <c r="Y71" s="138" t="s">
        <v>290</v>
      </c>
      <c r="Z71" s="111">
        <v>1.55</v>
      </c>
      <c r="AA71" s="112">
        <f t="shared" si="54"/>
        <v>465</v>
      </c>
      <c r="AB71" s="84"/>
      <c r="AC71" s="16" t="s">
        <v>5391</v>
      </c>
      <c r="AD71" s="224" t="s">
        <v>128</v>
      </c>
      <c r="AE71" s="224"/>
      <c r="AF71" s="16"/>
      <c r="AG71" s="16">
        <f t="shared" si="60"/>
        <v>-300</v>
      </c>
      <c r="AH71" s="16"/>
      <c r="AI71" s="233"/>
      <c r="AJ71" s="152">
        <f t="shared" si="61"/>
        <v>300</v>
      </c>
      <c r="AK71" s="173"/>
      <c r="AL71" s="84">
        <f>I71</f>
        <v>300</v>
      </c>
      <c r="AM71" s="84"/>
      <c r="AN71" s="173">
        <f t="shared" si="57"/>
        <v>300</v>
      </c>
      <c r="AO71" s="84"/>
      <c r="AP71" s="173">
        <f t="shared" ref="AP71:AP73" si="64">AN71</f>
        <v>300</v>
      </c>
      <c r="AQ71" s="234" t="e">
        <f>I71*(1-'77773二代'!#REF!)/10</f>
        <v>#REF!</v>
      </c>
      <c r="AR71" s="173">
        <f>I71</f>
        <v>300</v>
      </c>
      <c r="AS71" s="173"/>
      <c r="AT71" s="173"/>
      <c r="AU71" s="180"/>
      <c r="AV71" s="180"/>
      <c r="AW71" s="180"/>
      <c r="AX71" s="180">
        <f>I71/25</f>
        <v>12</v>
      </c>
      <c r="AY71" s="180"/>
      <c r="AZ71" s="180"/>
      <c r="BA71" s="180"/>
      <c r="BB71" s="180"/>
      <c r="BC71" s="180"/>
      <c r="BD71" s="180"/>
      <c r="BE71" s="180"/>
      <c r="BF71" s="180"/>
      <c r="BG71" s="180"/>
      <c r="BH71" s="180"/>
      <c r="BI71" s="180"/>
      <c r="BJ71" s="180"/>
      <c r="BM71" s="2" t="e">
        <f>AJ71+'77773二代'!#REF!</f>
        <v>#REF!</v>
      </c>
    </row>
    <row r="72" s="2" customFormat="1" ht="36" customHeight="1" spans="1:65">
      <c r="A72" s="25">
        <v>45968</v>
      </c>
      <c r="B72" s="26" t="s">
        <v>5457</v>
      </c>
      <c r="C72" s="27" t="s">
        <v>117</v>
      </c>
      <c r="D72" s="28" t="s">
        <v>6331</v>
      </c>
      <c r="E72" s="29" t="s">
        <v>6332</v>
      </c>
      <c r="F72" s="28" t="s">
        <v>6333</v>
      </c>
      <c r="G72" s="16" t="s">
        <v>5066</v>
      </c>
      <c r="H72" s="17" t="s">
        <v>5048</v>
      </c>
      <c r="I72" s="84">
        <v>14989</v>
      </c>
      <c r="J72" s="85">
        <v>0</v>
      </c>
      <c r="K72" s="16">
        <v>13</v>
      </c>
      <c r="L72" s="210">
        <f t="shared" si="53"/>
        <v>1153</v>
      </c>
      <c r="M72" s="86">
        <v>46006</v>
      </c>
      <c r="N72" s="86">
        <v>46002</v>
      </c>
      <c r="O72" s="87" t="s">
        <v>6334</v>
      </c>
      <c r="P72" s="87"/>
      <c r="Q72" s="87"/>
      <c r="R72" s="216" t="s">
        <v>3332</v>
      </c>
      <c r="S72" s="222" t="s">
        <v>123</v>
      </c>
      <c r="T72" s="109" t="s">
        <v>6335</v>
      </c>
      <c r="U72" s="87"/>
      <c r="V72" s="87"/>
      <c r="W72" s="87"/>
      <c r="X72" s="29" t="s">
        <v>6336</v>
      </c>
      <c r="Y72" s="229" t="s">
        <v>6337</v>
      </c>
      <c r="Z72" s="111">
        <v>1.5</v>
      </c>
      <c r="AA72" s="112">
        <f t="shared" si="54"/>
        <v>22483.5</v>
      </c>
      <c r="AB72" s="84"/>
      <c r="AC72" s="150" t="s">
        <v>5066</v>
      </c>
      <c r="AD72" s="224"/>
      <c r="AE72" s="224"/>
      <c r="AF72" s="16"/>
      <c r="AG72" s="16">
        <f t="shared" si="60"/>
        <v>-14989</v>
      </c>
      <c r="AH72" s="16"/>
      <c r="AI72" s="150"/>
      <c r="AJ72" s="152">
        <f t="shared" si="61"/>
        <v>14989</v>
      </c>
      <c r="AK72" s="232">
        <f t="shared" si="62"/>
        <v>14989</v>
      </c>
      <c r="AL72" s="162"/>
      <c r="AM72" s="84"/>
      <c r="AN72" s="173">
        <f t="shared" si="57"/>
        <v>14989</v>
      </c>
      <c r="AO72" s="173"/>
      <c r="AP72" s="173">
        <f t="shared" si="64"/>
        <v>14989</v>
      </c>
      <c r="AQ72" s="234" t="e">
        <f>I72*(1-'77773二代'!#REF!)/10</f>
        <v>#REF!</v>
      </c>
      <c r="AR72" s="173"/>
      <c r="AS72" s="173"/>
      <c r="AT72" s="173"/>
      <c r="AU72" s="180">
        <f>I72/13</f>
        <v>1153</v>
      </c>
      <c r="AV72" s="180"/>
      <c r="AW72" s="180"/>
      <c r="AX72" s="180"/>
      <c r="AY72" s="180"/>
      <c r="AZ72" s="180"/>
      <c r="BA72" s="180"/>
      <c r="BB72" s="180"/>
      <c r="BC72" s="180"/>
      <c r="BD72" s="180"/>
      <c r="BE72" s="180"/>
      <c r="BF72" s="180"/>
      <c r="BG72" s="180"/>
      <c r="BH72" s="180"/>
      <c r="BI72" s="180"/>
      <c r="BJ72" s="180"/>
      <c r="BM72" s="2">
        <f>AJ72+'77773二代'!BQ11</f>
        <v>512467</v>
      </c>
    </row>
    <row r="73" s="2" customFormat="1" ht="36" customHeight="1" spans="1:65">
      <c r="A73" s="25">
        <v>45968</v>
      </c>
      <c r="B73" s="26" t="s">
        <v>5457</v>
      </c>
      <c r="C73" s="27" t="s">
        <v>117</v>
      </c>
      <c r="D73" s="28" t="s">
        <v>6331</v>
      </c>
      <c r="E73" s="29" t="s">
        <v>6332</v>
      </c>
      <c r="F73" s="28" t="s">
        <v>6338</v>
      </c>
      <c r="G73" s="16" t="s">
        <v>5066</v>
      </c>
      <c r="H73" s="17" t="s">
        <v>5048</v>
      </c>
      <c r="I73" s="84">
        <v>195</v>
      </c>
      <c r="J73" s="85">
        <v>0</v>
      </c>
      <c r="K73" s="16">
        <v>13</v>
      </c>
      <c r="L73" s="210">
        <f t="shared" si="53"/>
        <v>15</v>
      </c>
      <c r="M73" s="86">
        <v>46006</v>
      </c>
      <c r="N73" s="86">
        <v>46002</v>
      </c>
      <c r="O73" s="87" t="s">
        <v>6334</v>
      </c>
      <c r="P73" s="87"/>
      <c r="Q73" s="87"/>
      <c r="R73" s="216" t="s">
        <v>3332</v>
      </c>
      <c r="S73" s="222" t="s">
        <v>123</v>
      </c>
      <c r="T73" s="109" t="s">
        <v>6335</v>
      </c>
      <c r="U73" s="87"/>
      <c r="V73" s="87"/>
      <c r="W73" s="87"/>
      <c r="X73" s="29" t="s">
        <v>6336</v>
      </c>
      <c r="Y73" s="229" t="s">
        <v>6337</v>
      </c>
      <c r="Z73" s="111">
        <v>1.5</v>
      </c>
      <c r="AA73" s="112">
        <f t="shared" si="54"/>
        <v>292.5</v>
      </c>
      <c r="AB73" s="84"/>
      <c r="AC73" s="150" t="s">
        <v>5066</v>
      </c>
      <c r="AD73" s="224"/>
      <c r="AE73" s="224"/>
      <c r="AF73" s="16"/>
      <c r="AG73" s="16">
        <f t="shared" si="60"/>
        <v>-195</v>
      </c>
      <c r="AH73" s="16"/>
      <c r="AI73" s="150"/>
      <c r="AJ73" s="152">
        <f t="shared" si="61"/>
        <v>195</v>
      </c>
      <c r="AK73" s="232">
        <f t="shared" si="62"/>
        <v>195</v>
      </c>
      <c r="AL73" s="162"/>
      <c r="AM73" s="84"/>
      <c r="AN73" s="173">
        <f t="shared" si="57"/>
        <v>195</v>
      </c>
      <c r="AO73" s="173"/>
      <c r="AP73" s="173">
        <f t="shared" si="64"/>
        <v>195</v>
      </c>
      <c r="AQ73" s="234" t="e">
        <f>I73*(1-'77773二代'!#REF!)/10</f>
        <v>#REF!</v>
      </c>
      <c r="AR73" s="173"/>
      <c r="AS73" s="173"/>
      <c r="AT73" s="173"/>
      <c r="AU73" s="180">
        <f>I73/13</f>
        <v>15</v>
      </c>
      <c r="AV73" s="180"/>
      <c r="AW73" s="180"/>
      <c r="AX73" s="180"/>
      <c r="AY73" s="180"/>
      <c r="AZ73" s="180"/>
      <c r="BA73" s="180"/>
      <c r="BB73" s="180"/>
      <c r="BC73" s="180"/>
      <c r="BD73" s="180"/>
      <c r="BE73" s="180"/>
      <c r="BF73" s="180"/>
      <c r="BG73" s="180"/>
      <c r="BH73" s="180"/>
      <c r="BI73" s="180"/>
      <c r="BJ73" s="180"/>
      <c r="BM73" s="2">
        <f>AJ73+BM72</f>
        <v>512662</v>
      </c>
    </row>
    <row r="74" s="2" customFormat="1" ht="36" customHeight="1" spans="1:67">
      <c r="A74" s="11">
        <v>46003</v>
      </c>
      <c r="B74" s="26" t="s">
        <v>5866</v>
      </c>
      <c r="C74" s="27" t="s">
        <v>934</v>
      </c>
      <c r="D74" s="14">
        <v>4500188895</v>
      </c>
      <c r="E74" s="29">
        <v>5000002083</v>
      </c>
      <c r="F74" s="14" t="s">
        <v>6339</v>
      </c>
      <c r="G74" s="16" t="s">
        <v>5066</v>
      </c>
      <c r="H74" s="17" t="s">
        <v>5048</v>
      </c>
      <c r="I74" s="84">
        <v>13000</v>
      </c>
      <c r="J74" s="85">
        <v>0</v>
      </c>
      <c r="K74" s="16">
        <v>13</v>
      </c>
      <c r="L74" s="210">
        <f t="shared" si="53"/>
        <v>1000</v>
      </c>
      <c r="M74" s="86">
        <v>46052</v>
      </c>
      <c r="N74" s="86">
        <v>46048</v>
      </c>
      <c r="O74" s="87" t="s">
        <v>878</v>
      </c>
      <c r="P74" s="87"/>
      <c r="Q74" s="87"/>
      <c r="R74" s="216" t="s">
        <v>3332</v>
      </c>
      <c r="S74" s="222" t="s">
        <v>77</v>
      </c>
      <c r="T74" s="222" t="s">
        <v>5870</v>
      </c>
      <c r="U74" s="87"/>
      <c r="V74" s="87"/>
      <c r="W74" s="87"/>
      <c r="X74" s="29" t="s">
        <v>6340</v>
      </c>
      <c r="Y74" s="87" t="s">
        <v>5873</v>
      </c>
      <c r="Z74" s="111">
        <v>1.3851</v>
      </c>
      <c r="AA74" s="112">
        <f t="shared" si="54"/>
        <v>18006.3</v>
      </c>
      <c r="AB74" s="84"/>
      <c r="AC74" s="16" t="s">
        <v>6341</v>
      </c>
      <c r="AD74" s="224" t="s">
        <v>128</v>
      </c>
      <c r="AE74" s="224"/>
      <c r="AF74" s="16"/>
      <c r="AG74" s="16">
        <f t="shared" si="60"/>
        <v>-13000</v>
      </c>
      <c r="AH74" s="16"/>
      <c r="AI74" s="150"/>
      <c r="AJ74" s="152">
        <f t="shared" si="61"/>
        <v>13000</v>
      </c>
      <c r="AK74" s="232">
        <f t="shared" si="62"/>
        <v>13000</v>
      </c>
      <c r="AL74" s="162"/>
      <c r="AM74" s="162"/>
      <c r="AN74" s="173"/>
      <c r="AO74" s="178">
        <f t="shared" si="63"/>
        <v>13000</v>
      </c>
      <c r="AP74" s="162"/>
      <c r="AQ74" s="173"/>
      <c r="AR74" s="234"/>
      <c r="AS74" s="178"/>
      <c r="AT74" s="162"/>
      <c r="AU74" s="162"/>
      <c r="AV74" s="184"/>
      <c r="AW74" s="180"/>
      <c r="AX74" s="180">
        <f>I74/13</f>
        <v>1000</v>
      </c>
      <c r="AY74" s="180"/>
      <c r="AZ74" s="180"/>
      <c r="BA74" s="180"/>
      <c r="BB74" s="180"/>
      <c r="BC74" s="180"/>
      <c r="BD74" s="180"/>
      <c r="BE74" s="180"/>
      <c r="BF74" s="180"/>
      <c r="BG74" s="180"/>
      <c r="BH74" s="180"/>
      <c r="BI74" s="180"/>
      <c r="BJ74" s="180"/>
      <c r="BK74" s="180"/>
      <c r="BL74" s="180"/>
      <c r="BO74" s="2">
        <f>AJ74+BO73</f>
        <v>13000</v>
      </c>
    </row>
    <row r="75" s="2" customFormat="1" ht="36" customHeight="1" spans="1:67">
      <c r="A75" s="11">
        <v>46003</v>
      </c>
      <c r="B75" s="26" t="s">
        <v>5866</v>
      </c>
      <c r="C75" s="27" t="s">
        <v>934</v>
      </c>
      <c r="D75" s="14">
        <v>4500188895</v>
      </c>
      <c r="E75" s="29">
        <v>5000002083</v>
      </c>
      <c r="F75" s="14" t="s">
        <v>6342</v>
      </c>
      <c r="G75" s="16" t="s">
        <v>5066</v>
      </c>
      <c r="H75" s="17" t="s">
        <v>5048</v>
      </c>
      <c r="I75" s="84">
        <v>4004</v>
      </c>
      <c r="J75" s="85">
        <v>0</v>
      </c>
      <c r="K75" s="16">
        <v>13</v>
      </c>
      <c r="L75" s="210">
        <f t="shared" si="53"/>
        <v>308</v>
      </c>
      <c r="M75" s="86">
        <v>46052</v>
      </c>
      <c r="N75" s="86">
        <v>46048</v>
      </c>
      <c r="O75" s="87" t="s">
        <v>878</v>
      </c>
      <c r="P75" s="87"/>
      <c r="Q75" s="87"/>
      <c r="R75" s="216" t="s">
        <v>3332</v>
      </c>
      <c r="S75" s="222" t="s">
        <v>77</v>
      </c>
      <c r="T75" s="222" t="s">
        <v>5870</v>
      </c>
      <c r="U75" s="87"/>
      <c r="V75" s="87"/>
      <c r="W75" s="87"/>
      <c r="X75" s="29" t="s">
        <v>6340</v>
      </c>
      <c r="Y75" s="87" t="s">
        <v>5873</v>
      </c>
      <c r="Z75" s="111">
        <v>1.3851</v>
      </c>
      <c r="AA75" s="112">
        <f t="shared" si="54"/>
        <v>5545.9404</v>
      </c>
      <c r="AB75" s="84"/>
      <c r="AC75" s="16" t="s">
        <v>6341</v>
      </c>
      <c r="AD75" s="224" t="s">
        <v>128</v>
      </c>
      <c r="AE75" s="224"/>
      <c r="AF75" s="16"/>
      <c r="AG75" s="16">
        <f t="shared" si="60"/>
        <v>-4004</v>
      </c>
      <c r="AH75" s="16"/>
      <c r="AI75" s="150"/>
      <c r="AJ75" s="152">
        <f t="shared" si="61"/>
        <v>4004</v>
      </c>
      <c r="AK75" s="232">
        <f t="shared" si="62"/>
        <v>4004</v>
      </c>
      <c r="AL75" s="162"/>
      <c r="AM75" s="162"/>
      <c r="AN75" s="173"/>
      <c r="AO75" s="178">
        <f t="shared" si="63"/>
        <v>4004</v>
      </c>
      <c r="AP75" s="162"/>
      <c r="AQ75" s="173"/>
      <c r="AR75" s="234"/>
      <c r="AS75" s="178"/>
      <c r="AT75" s="162"/>
      <c r="AU75" s="162"/>
      <c r="AV75" s="184"/>
      <c r="AW75" s="180"/>
      <c r="AX75" s="180">
        <f>I75/13</f>
        <v>308</v>
      </c>
      <c r="AY75" s="180"/>
      <c r="AZ75" s="180"/>
      <c r="BA75" s="180"/>
      <c r="BB75" s="180"/>
      <c r="BC75" s="180"/>
      <c r="BD75" s="180"/>
      <c r="BE75" s="180"/>
      <c r="BF75" s="180"/>
      <c r="BG75" s="180"/>
      <c r="BH75" s="180"/>
      <c r="BI75" s="180"/>
      <c r="BJ75" s="180"/>
      <c r="BK75" s="180"/>
      <c r="BL75" s="180"/>
      <c r="BO75" s="2">
        <f>AJ75+BO74</f>
        <v>17004</v>
      </c>
    </row>
    <row r="76" s="2" customFormat="1" ht="36" customHeight="1" spans="1:83">
      <c r="A76" s="11">
        <v>45982</v>
      </c>
      <c r="B76" s="26" t="s">
        <v>3991</v>
      </c>
      <c r="C76" s="27" t="s">
        <v>117</v>
      </c>
      <c r="D76" s="14">
        <v>4500186575</v>
      </c>
      <c r="E76" s="29" t="s">
        <v>4484</v>
      </c>
      <c r="F76" s="14" t="s">
        <v>4485</v>
      </c>
      <c r="G76" s="16" t="s">
        <v>628</v>
      </c>
      <c r="H76" s="17" t="s">
        <v>623</v>
      </c>
      <c r="I76" s="84">
        <v>648</v>
      </c>
      <c r="J76" s="85">
        <v>0</v>
      </c>
      <c r="K76" s="16">
        <v>12</v>
      </c>
      <c r="L76" s="210">
        <f t="shared" si="53"/>
        <v>54</v>
      </c>
      <c r="M76" s="86">
        <v>46037</v>
      </c>
      <c r="N76" s="86">
        <v>46034</v>
      </c>
      <c r="O76" s="87"/>
      <c r="P76" s="87"/>
      <c r="Q76" s="87"/>
      <c r="R76" s="216">
        <v>45982</v>
      </c>
      <c r="S76" s="222" t="s">
        <v>77</v>
      </c>
      <c r="T76" s="222" t="s">
        <v>4473</v>
      </c>
      <c r="U76" s="87" t="s">
        <v>6343</v>
      </c>
      <c r="V76" s="87" t="s">
        <v>3759</v>
      </c>
      <c r="W76" s="87">
        <v>1.8004</v>
      </c>
      <c r="X76" s="29">
        <f t="shared" ref="X76:X83" si="65">W76*I76</f>
        <v>1166.6592</v>
      </c>
      <c r="Y76" s="87" t="s">
        <v>3582</v>
      </c>
      <c r="Z76" s="111" t="s">
        <v>628</v>
      </c>
      <c r="AA76" s="112" t="s">
        <v>128</v>
      </c>
      <c r="AB76" s="84"/>
      <c r="AC76" s="16"/>
      <c r="AD76" s="224"/>
      <c r="AE76" s="224"/>
      <c r="AF76" s="16"/>
      <c r="AG76" s="16"/>
      <c r="AH76" s="16">
        <f t="shared" ref="AH76:AH83" si="66">I76*2</f>
        <v>1296</v>
      </c>
      <c r="AI76" s="150"/>
      <c r="AJ76" s="152"/>
      <c r="AK76" s="232">
        <f t="shared" ref="AK76:AK83" si="67">I76*2</f>
        <v>1296</v>
      </c>
      <c r="AL76" s="162"/>
      <c r="AM76" s="162"/>
      <c r="AN76" s="173"/>
      <c r="AO76" s="178"/>
      <c r="AP76" s="162"/>
      <c r="AQ76" s="173"/>
      <c r="AR76" s="234"/>
      <c r="AS76" s="178"/>
      <c r="AT76" s="162"/>
      <c r="AU76" s="162">
        <f t="shared" ref="AU76:AU83" si="68">I76*2</f>
        <v>1296</v>
      </c>
      <c r="AV76" s="184"/>
      <c r="AW76" s="180"/>
      <c r="AX76" s="180"/>
      <c r="AY76" s="180"/>
      <c r="AZ76" s="180"/>
      <c r="BA76" s="180"/>
      <c r="BB76" s="180"/>
      <c r="BC76" s="180"/>
      <c r="BD76" s="180"/>
      <c r="BE76" s="180"/>
      <c r="BF76" s="180"/>
      <c r="BG76" s="180"/>
      <c r="BH76" s="180"/>
      <c r="BI76" s="180"/>
      <c r="BJ76" s="180"/>
      <c r="BK76" s="180"/>
      <c r="BL76" s="180"/>
      <c r="BW76" s="2">
        <f t="shared" ref="BW76:BW83" si="69">I76</f>
        <v>648</v>
      </c>
      <c r="BY76" s="2">
        <f t="shared" ref="BY76:BY83" si="70">BW76</f>
        <v>648</v>
      </c>
      <c r="BZ76" s="2">
        <f t="shared" ref="BZ76:BZ83" si="71">AH76+AI76+AJ76</f>
        <v>1296</v>
      </c>
      <c r="CE76" s="2">
        <f>CE75-AH76-AI76-AJ76</f>
        <v>-1296</v>
      </c>
    </row>
    <row r="77" s="2" customFormat="1" ht="36" customHeight="1" spans="1:64">
      <c r="A77" s="11">
        <v>46026</v>
      </c>
      <c r="B77" s="26" t="s">
        <v>116</v>
      </c>
      <c r="C77" s="27" t="s">
        <v>117</v>
      </c>
      <c r="D77" s="14">
        <v>4500190566</v>
      </c>
      <c r="E77" s="29" t="s">
        <v>6036</v>
      </c>
      <c r="F77" s="14" t="s">
        <v>6037</v>
      </c>
      <c r="G77" s="16" t="s">
        <v>4988</v>
      </c>
      <c r="H77" s="17" t="s">
        <v>4989</v>
      </c>
      <c r="I77" s="84">
        <v>18075</v>
      </c>
      <c r="J77" s="85">
        <v>0</v>
      </c>
      <c r="K77" s="16">
        <v>25</v>
      </c>
      <c r="L77" s="210">
        <f t="shared" si="53"/>
        <v>723</v>
      </c>
      <c r="M77" s="86">
        <v>46087</v>
      </c>
      <c r="N77" s="86">
        <v>46083</v>
      </c>
      <c r="O77" s="87"/>
      <c r="P77" s="87"/>
      <c r="Q77" s="87"/>
      <c r="R77" s="216"/>
      <c r="S77" s="222"/>
      <c r="T77" s="222"/>
      <c r="U77" s="87"/>
      <c r="V77" s="87"/>
      <c r="W77" s="87"/>
      <c r="X77" s="29" t="s">
        <v>6014</v>
      </c>
      <c r="Y77" s="87" t="s">
        <v>126</v>
      </c>
      <c r="Z77" s="111">
        <v>0.8549</v>
      </c>
      <c r="AA77" s="112">
        <f>Z77*I77</f>
        <v>15452.3175</v>
      </c>
      <c r="AB77" s="84"/>
      <c r="AC77" s="16"/>
      <c r="AD77" s="224"/>
      <c r="AE77" s="224"/>
      <c r="AF77" s="16"/>
      <c r="AG77" s="16">
        <f>AF77-I77</f>
        <v>-18075</v>
      </c>
      <c r="AH77" s="16"/>
      <c r="AI77" s="150"/>
      <c r="AJ77" s="152">
        <f>I77</f>
        <v>18075</v>
      </c>
      <c r="AK77" s="232"/>
      <c r="AL77" s="162"/>
      <c r="AM77" s="162"/>
      <c r="AN77" s="173"/>
      <c r="AO77" s="178"/>
      <c r="AP77" s="162"/>
      <c r="AQ77" s="173"/>
      <c r="AR77" s="234"/>
      <c r="AS77" s="178"/>
      <c r="AT77" s="162"/>
      <c r="AU77" s="162"/>
      <c r="AV77" s="184"/>
      <c r="AW77" s="180"/>
      <c r="AX77" s="180"/>
      <c r="AY77" s="180"/>
      <c r="AZ77" s="180"/>
      <c r="BA77" s="180"/>
      <c r="BB77" s="180"/>
      <c r="BC77" s="180"/>
      <c r="BD77" s="180"/>
      <c r="BE77" s="180"/>
      <c r="BF77" s="180"/>
      <c r="BG77" s="180"/>
      <c r="BH77" s="180"/>
      <c r="BI77" s="180"/>
      <c r="BJ77" s="180"/>
      <c r="BK77" s="180"/>
      <c r="BL77" s="180"/>
    </row>
    <row r="78" s="2" customFormat="1" ht="36" customHeight="1" spans="1:64">
      <c r="A78" s="11">
        <v>46026</v>
      </c>
      <c r="B78" s="26" t="s">
        <v>116</v>
      </c>
      <c r="C78" s="27" t="s">
        <v>117</v>
      </c>
      <c r="D78" s="14">
        <v>4500190568</v>
      </c>
      <c r="E78" s="29" t="s">
        <v>6040</v>
      </c>
      <c r="F78" s="14" t="s">
        <v>6041</v>
      </c>
      <c r="G78" s="16" t="s">
        <v>4988</v>
      </c>
      <c r="H78" s="17" t="s">
        <v>4989</v>
      </c>
      <c r="I78" s="84">
        <v>24925</v>
      </c>
      <c r="J78" s="85">
        <v>0</v>
      </c>
      <c r="K78" s="16">
        <v>25</v>
      </c>
      <c r="L78" s="210">
        <f t="shared" si="53"/>
        <v>997</v>
      </c>
      <c r="M78" s="86">
        <v>46100</v>
      </c>
      <c r="N78" s="86">
        <v>46097</v>
      </c>
      <c r="O78" s="87"/>
      <c r="P78" s="87"/>
      <c r="Q78" s="87"/>
      <c r="R78" s="216"/>
      <c r="S78" s="222"/>
      <c r="T78" s="222"/>
      <c r="U78" s="87"/>
      <c r="V78" s="87"/>
      <c r="W78" s="87"/>
      <c r="X78" s="29" t="s">
        <v>6014</v>
      </c>
      <c r="Y78" s="87" t="s">
        <v>126</v>
      </c>
      <c r="Z78" s="111">
        <v>0.8501</v>
      </c>
      <c r="AA78" s="112">
        <f>Z78*I78</f>
        <v>21188.7425</v>
      </c>
      <c r="AB78" s="84"/>
      <c r="AC78" s="16"/>
      <c r="AD78" s="224"/>
      <c r="AE78" s="224"/>
      <c r="AF78" s="16"/>
      <c r="AG78" s="16">
        <f>AF78-I78</f>
        <v>-24925</v>
      </c>
      <c r="AH78" s="16"/>
      <c r="AI78" s="150"/>
      <c r="AJ78" s="152">
        <f>I78</f>
        <v>24925</v>
      </c>
      <c r="AK78" s="232"/>
      <c r="AL78" s="162"/>
      <c r="AM78" s="162"/>
      <c r="AN78" s="173"/>
      <c r="AO78" s="178"/>
      <c r="AP78" s="162"/>
      <c r="AQ78" s="173"/>
      <c r="AR78" s="234"/>
      <c r="AS78" s="178"/>
      <c r="AT78" s="162"/>
      <c r="AU78" s="162"/>
      <c r="AV78" s="184"/>
      <c r="AW78" s="180"/>
      <c r="AX78" s="180"/>
      <c r="AY78" s="180"/>
      <c r="AZ78" s="180"/>
      <c r="BA78" s="180"/>
      <c r="BB78" s="180"/>
      <c r="BC78" s="180"/>
      <c r="BD78" s="180"/>
      <c r="BE78" s="180"/>
      <c r="BF78" s="180"/>
      <c r="BG78" s="180"/>
      <c r="BH78" s="180"/>
      <c r="BI78" s="180"/>
      <c r="BJ78" s="180"/>
      <c r="BK78" s="180"/>
      <c r="BL78" s="180"/>
    </row>
    <row r="79" s="2" customFormat="1" ht="36" customHeight="1" spans="1:83">
      <c r="A79" s="11">
        <v>45971</v>
      </c>
      <c r="B79" s="26" t="s">
        <v>3991</v>
      </c>
      <c r="C79" s="27" t="s">
        <v>117</v>
      </c>
      <c r="D79" s="14">
        <v>4500184640</v>
      </c>
      <c r="E79" s="29" t="s">
        <v>4470</v>
      </c>
      <c r="F79" s="14" t="s">
        <v>4471</v>
      </c>
      <c r="G79" s="16" t="s">
        <v>628</v>
      </c>
      <c r="H79" s="17" t="s">
        <v>623</v>
      </c>
      <c r="I79" s="84">
        <v>216</v>
      </c>
      <c r="J79" s="85">
        <v>0</v>
      </c>
      <c r="K79" s="16">
        <v>12</v>
      </c>
      <c r="L79" s="210">
        <f t="shared" si="53"/>
        <v>18</v>
      </c>
      <c r="M79" s="86">
        <v>46026</v>
      </c>
      <c r="N79" s="86">
        <v>46027</v>
      </c>
      <c r="O79" s="87"/>
      <c r="P79" s="87"/>
      <c r="Q79" s="87"/>
      <c r="R79" s="216">
        <v>45971</v>
      </c>
      <c r="S79" s="222" t="s">
        <v>123</v>
      </c>
      <c r="T79" s="222" t="s">
        <v>4473</v>
      </c>
      <c r="U79" s="87" t="s">
        <v>4474</v>
      </c>
      <c r="V79" s="87" t="s">
        <v>3759</v>
      </c>
      <c r="W79" s="87">
        <v>1.8222</v>
      </c>
      <c r="X79" s="29">
        <f t="shared" si="65"/>
        <v>393.5952</v>
      </c>
      <c r="Y79" s="87" t="s">
        <v>3582</v>
      </c>
      <c r="Z79" s="111" t="s">
        <v>628</v>
      </c>
      <c r="AA79" s="112" t="s">
        <v>128</v>
      </c>
      <c r="AB79" s="84"/>
      <c r="AC79" s="16"/>
      <c r="AD79" s="224"/>
      <c r="AE79" s="224"/>
      <c r="AF79" s="16"/>
      <c r="AG79" s="16"/>
      <c r="AH79" s="16">
        <f t="shared" si="66"/>
        <v>432</v>
      </c>
      <c r="AI79" s="150"/>
      <c r="AJ79" s="152"/>
      <c r="AK79" s="232">
        <f t="shared" si="67"/>
        <v>432</v>
      </c>
      <c r="AL79" s="162"/>
      <c r="AM79" s="162"/>
      <c r="AN79" s="173"/>
      <c r="AO79" s="178"/>
      <c r="AP79" s="162"/>
      <c r="AQ79" s="173"/>
      <c r="AR79" s="234"/>
      <c r="AS79" s="178"/>
      <c r="AT79" s="162"/>
      <c r="AU79" s="162">
        <f t="shared" si="68"/>
        <v>432</v>
      </c>
      <c r="AV79" s="184"/>
      <c r="AW79" s="180"/>
      <c r="AX79" s="180"/>
      <c r="AY79" s="180"/>
      <c r="AZ79" s="180"/>
      <c r="BA79" s="180"/>
      <c r="BB79" s="180"/>
      <c r="BC79" s="180"/>
      <c r="BD79" s="180"/>
      <c r="BE79" s="180"/>
      <c r="BF79" s="180"/>
      <c r="BG79" s="180"/>
      <c r="BH79" s="180"/>
      <c r="BI79" s="180"/>
      <c r="BJ79" s="180"/>
      <c r="BK79" s="180"/>
      <c r="BL79" s="180"/>
      <c r="BW79" s="2">
        <f t="shared" si="69"/>
        <v>216</v>
      </c>
      <c r="BY79" s="2">
        <f t="shared" si="70"/>
        <v>216</v>
      </c>
      <c r="BZ79" s="2">
        <f t="shared" si="71"/>
        <v>432</v>
      </c>
      <c r="CE79" s="2">
        <f>CE76-AH79-AI79-AJ79</f>
        <v>-1728</v>
      </c>
    </row>
    <row r="80" s="2" customFormat="1" ht="36" customHeight="1" spans="1:83">
      <c r="A80" s="11">
        <v>45982</v>
      </c>
      <c r="B80" s="26" t="s">
        <v>3991</v>
      </c>
      <c r="C80" s="27" t="s">
        <v>117</v>
      </c>
      <c r="D80" s="14">
        <v>4500186570</v>
      </c>
      <c r="E80" s="29" t="s">
        <v>4475</v>
      </c>
      <c r="F80" s="14" t="s">
        <v>4476</v>
      </c>
      <c r="G80" s="16" t="s">
        <v>628</v>
      </c>
      <c r="H80" s="17" t="s">
        <v>623</v>
      </c>
      <c r="I80" s="84">
        <v>48</v>
      </c>
      <c r="J80" s="85">
        <v>0</v>
      </c>
      <c r="K80" s="16">
        <v>12</v>
      </c>
      <c r="L80" s="210">
        <f t="shared" si="53"/>
        <v>4</v>
      </c>
      <c r="M80" s="86">
        <v>46037</v>
      </c>
      <c r="N80" s="86">
        <v>46034</v>
      </c>
      <c r="O80" s="87"/>
      <c r="P80" s="87"/>
      <c r="Q80" s="87"/>
      <c r="R80" s="216">
        <v>45982</v>
      </c>
      <c r="S80" s="222" t="s">
        <v>77</v>
      </c>
      <c r="T80" s="222" t="s">
        <v>4473</v>
      </c>
      <c r="U80" s="87" t="s">
        <v>6344</v>
      </c>
      <c r="V80" s="87" t="s">
        <v>3759</v>
      </c>
      <c r="W80" s="87">
        <v>1.8004</v>
      </c>
      <c r="X80" s="29">
        <f t="shared" si="65"/>
        <v>86.4192</v>
      </c>
      <c r="Y80" s="87" t="s">
        <v>3582</v>
      </c>
      <c r="Z80" s="111" t="s">
        <v>628</v>
      </c>
      <c r="AA80" s="112" t="s">
        <v>128</v>
      </c>
      <c r="AB80" s="84"/>
      <c r="AC80" s="16"/>
      <c r="AD80" s="224"/>
      <c r="AE80" s="224"/>
      <c r="AF80" s="16"/>
      <c r="AG80" s="16"/>
      <c r="AH80" s="16">
        <f t="shared" si="66"/>
        <v>96</v>
      </c>
      <c r="AI80" s="150"/>
      <c r="AJ80" s="152"/>
      <c r="AK80" s="232">
        <f t="shared" si="67"/>
        <v>96</v>
      </c>
      <c r="AL80" s="162"/>
      <c r="AM80" s="162"/>
      <c r="AN80" s="173"/>
      <c r="AO80" s="178"/>
      <c r="AP80" s="162"/>
      <c r="AQ80" s="173"/>
      <c r="AR80" s="234"/>
      <c r="AS80" s="178"/>
      <c r="AT80" s="162"/>
      <c r="AU80" s="162">
        <f t="shared" si="68"/>
        <v>96</v>
      </c>
      <c r="AV80" s="184"/>
      <c r="AW80" s="180"/>
      <c r="AX80" s="180"/>
      <c r="AY80" s="180"/>
      <c r="AZ80" s="180"/>
      <c r="BA80" s="180"/>
      <c r="BB80" s="180"/>
      <c r="BC80" s="180"/>
      <c r="BD80" s="180"/>
      <c r="BE80" s="180"/>
      <c r="BF80" s="180"/>
      <c r="BG80" s="180"/>
      <c r="BH80" s="180"/>
      <c r="BI80" s="180"/>
      <c r="BJ80" s="180"/>
      <c r="BK80" s="180"/>
      <c r="BL80" s="180"/>
      <c r="BW80" s="2">
        <f t="shared" si="69"/>
        <v>48</v>
      </c>
      <c r="BY80" s="2">
        <f t="shared" si="70"/>
        <v>48</v>
      </c>
      <c r="BZ80" s="2">
        <f t="shared" si="71"/>
        <v>96</v>
      </c>
      <c r="CE80" s="2">
        <f>CE79-AH80-AI80-AJ80</f>
        <v>-1824</v>
      </c>
    </row>
    <row r="81" s="2" customFormat="1" ht="36" customHeight="1" spans="1:83">
      <c r="A81" s="11">
        <v>45982</v>
      </c>
      <c r="B81" s="26" t="s">
        <v>3991</v>
      </c>
      <c r="C81" s="27" t="s">
        <v>117</v>
      </c>
      <c r="D81" s="14">
        <v>4500186572</v>
      </c>
      <c r="E81" s="29" t="s">
        <v>4477</v>
      </c>
      <c r="F81" s="14" t="s">
        <v>4478</v>
      </c>
      <c r="G81" s="16" t="s">
        <v>628</v>
      </c>
      <c r="H81" s="17" t="s">
        <v>623</v>
      </c>
      <c r="I81" s="84">
        <v>312</v>
      </c>
      <c r="J81" s="85">
        <v>0</v>
      </c>
      <c r="K81" s="16">
        <v>12</v>
      </c>
      <c r="L81" s="210">
        <f t="shared" si="53"/>
        <v>26</v>
      </c>
      <c r="M81" s="86">
        <v>46037</v>
      </c>
      <c r="N81" s="86">
        <v>46034</v>
      </c>
      <c r="O81" s="87"/>
      <c r="P81" s="87"/>
      <c r="Q81" s="87"/>
      <c r="R81" s="216">
        <v>45982</v>
      </c>
      <c r="S81" s="222" t="s">
        <v>77</v>
      </c>
      <c r="T81" s="222" t="s">
        <v>4473</v>
      </c>
      <c r="U81" s="87" t="s">
        <v>6345</v>
      </c>
      <c r="V81" s="87" t="s">
        <v>3759</v>
      </c>
      <c r="W81" s="87">
        <v>1.8004</v>
      </c>
      <c r="X81" s="29">
        <f t="shared" si="65"/>
        <v>561.7248</v>
      </c>
      <c r="Y81" s="87" t="s">
        <v>3582</v>
      </c>
      <c r="Z81" s="111" t="s">
        <v>628</v>
      </c>
      <c r="AA81" s="112" t="s">
        <v>128</v>
      </c>
      <c r="AB81" s="84"/>
      <c r="AC81" s="16"/>
      <c r="AD81" s="224"/>
      <c r="AE81" s="224"/>
      <c r="AF81" s="16"/>
      <c r="AG81" s="16"/>
      <c r="AH81" s="16">
        <f t="shared" si="66"/>
        <v>624</v>
      </c>
      <c r="AI81" s="150"/>
      <c r="AJ81" s="152"/>
      <c r="AK81" s="232">
        <f t="shared" si="67"/>
        <v>624</v>
      </c>
      <c r="AL81" s="162"/>
      <c r="AM81" s="162"/>
      <c r="AN81" s="173"/>
      <c r="AO81" s="178"/>
      <c r="AP81" s="162"/>
      <c r="AQ81" s="173"/>
      <c r="AR81" s="234"/>
      <c r="AS81" s="178"/>
      <c r="AT81" s="162"/>
      <c r="AU81" s="162">
        <f t="shared" si="68"/>
        <v>624</v>
      </c>
      <c r="AV81" s="184"/>
      <c r="AW81" s="180"/>
      <c r="AX81" s="180"/>
      <c r="AY81" s="180"/>
      <c r="AZ81" s="180"/>
      <c r="BA81" s="180"/>
      <c r="BB81" s="180"/>
      <c r="BC81" s="180"/>
      <c r="BD81" s="180"/>
      <c r="BE81" s="180"/>
      <c r="BF81" s="180"/>
      <c r="BG81" s="180"/>
      <c r="BH81" s="180"/>
      <c r="BI81" s="180"/>
      <c r="BJ81" s="180"/>
      <c r="BK81" s="180"/>
      <c r="BL81" s="180"/>
      <c r="BW81" s="2">
        <f t="shared" si="69"/>
        <v>312</v>
      </c>
      <c r="BY81" s="2">
        <f t="shared" si="70"/>
        <v>312</v>
      </c>
      <c r="BZ81" s="2">
        <f t="shared" si="71"/>
        <v>624</v>
      </c>
      <c r="CE81" s="2" t="e">
        <f>#REF!-AH81-AI81-AJ81</f>
        <v>#REF!</v>
      </c>
    </row>
    <row r="82" s="2" customFormat="1" ht="36" customHeight="1" spans="1:83">
      <c r="A82" s="11">
        <v>45982</v>
      </c>
      <c r="B82" s="26" t="s">
        <v>3991</v>
      </c>
      <c r="C82" s="27" t="s">
        <v>117</v>
      </c>
      <c r="D82" s="14">
        <v>4500186574</v>
      </c>
      <c r="E82" s="29" t="s">
        <v>4480</v>
      </c>
      <c r="F82" s="14" t="s">
        <v>4481</v>
      </c>
      <c r="G82" s="16" t="s">
        <v>628</v>
      </c>
      <c r="H82" s="17" t="s">
        <v>623</v>
      </c>
      <c r="I82" s="84">
        <v>1128</v>
      </c>
      <c r="J82" s="85">
        <v>0</v>
      </c>
      <c r="K82" s="16">
        <v>12</v>
      </c>
      <c r="L82" s="210">
        <f t="shared" si="53"/>
        <v>94</v>
      </c>
      <c r="M82" s="86">
        <v>46037</v>
      </c>
      <c r="N82" s="86">
        <v>46034</v>
      </c>
      <c r="O82" s="87"/>
      <c r="P82" s="87"/>
      <c r="Q82" s="87"/>
      <c r="R82" s="216">
        <v>45982</v>
      </c>
      <c r="S82" s="222" t="s">
        <v>77</v>
      </c>
      <c r="T82" s="222" t="s">
        <v>4473</v>
      </c>
      <c r="U82" s="87" t="s">
        <v>6344</v>
      </c>
      <c r="V82" s="87" t="s">
        <v>3759</v>
      </c>
      <c r="W82" s="87">
        <v>1.8004</v>
      </c>
      <c r="X82" s="29">
        <f t="shared" si="65"/>
        <v>2030.8512</v>
      </c>
      <c r="Y82" s="87" t="s">
        <v>3582</v>
      </c>
      <c r="Z82" s="111" t="s">
        <v>628</v>
      </c>
      <c r="AA82" s="112" t="s">
        <v>128</v>
      </c>
      <c r="AB82" s="84"/>
      <c r="AC82" s="16"/>
      <c r="AD82" s="224"/>
      <c r="AE82" s="224"/>
      <c r="AF82" s="16"/>
      <c r="AG82" s="16"/>
      <c r="AH82" s="16">
        <f t="shared" si="66"/>
        <v>2256</v>
      </c>
      <c r="AI82" s="150"/>
      <c r="AJ82" s="152"/>
      <c r="AK82" s="232">
        <f t="shared" si="67"/>
        <v>2256</v>
      </c>
      <c r="AL82" s="162"/>
      <c r="AM82" s="162"/>
      <c r="AN82" s="173"/>
      <c r="AO82" s="178"/>
      <c r="AP82" s="162"/>
      <c r="AQ82" s="173"/>
      <c r="AR82" s="234"/>
      <c r="AS82" s="178"/>
      <c r="AT82" s="162"/>
      <c r="AU82" s="162">
        <f t="shared" si="68"/>
        <v>2256</v>
      </c>
      <c r="AV82" s="184"/>
      <c r="AW82" s="180"/>
      <c r="AX82" s="180"/>
      <c r="AY82" s="180"/>
      <c r="AZ82" s="180"/>
      <c r="BA82" s="180"/>
      <c r="BB82" s="180"/>
      <c r="BC82" s="180"/>
      <c r="BD82" s="180"/>
      <c r="BE82" s="180"/>
      <c r="BF82" s="180"/>
      <c r="BG82" s="180"/>
      <c r="BH82" s="180"/>
      <c r="BI82" s="180"/>
      <c r="BJ82" s="180"/>
      <c r="BK82" s="180"/>
      <c r="BL82" s="180"/>
      <c r="BW82" s="2">
        <f t="shared" si="69"/>
        <v>1128</v>
      </c>
      <c r="BY82" s="2">
        <f t="shared" si="70"/>
        <v>1128</v>
      </c>
      <c r="BZ82" s="2">
        <f t="shared" si="71"/>
        <v>2256</v>
      </c>
      <c r="CE82" s="2" t="e">
        <f>#REF!-AH82-AI82-AJ82</f>
        <v>#REF!</v>
      </c>
    </row>
    <row r="83" s="2" customFormat="1" ht="36" customHeight="1" spans="1:83">
      <c r="A83" s="11">
        <v>45982</v>
      </c>
      <c r="B83" s="26" t="s">
        <v>3991</v>
      </c>
      <c r="C83" s="27" t="s">
        <v>117</v>
      </c>
      <c r="D83" s="14">
        <v>4500186574</v>
      </c>
      <c r="E83" s="29" t="s">
        <v>4482</v>
      </c>
      <c r="F83" s="14" t="s">
        <v>4483</v>
      </c>
      <c r="G83" s="16" t="s">
        <v>628</v>
      </c>
      <c r="H83" s="17" t="s">
        <v>623</v>
      </c>
      <c r="I83" s="84">
        <v>240</v>
      </c>
      <c r="J83" s="85">
        <v>0</v>
      </c>
      <c r="K83" s="16">
        <v>12</v>
      </c>
      <c r="L83" s="210">
        <f t="shared" si="53"/>
        <v>20</v>
      </c>
      <c r="M83" s="86">
        <v>46037</v>
      </c>
      <c r="N83" s="86">
        <v>46034</v>
      </c>
      <c r="O83" s="87"/>
      <c r="P83" s="87"/>
      <c r="Q83" s="87"/>
      <c r="R83" s="216">
        <v>45982</v>
      </c>
      <c r="S83" s="222" t="s">
        <v>77</v>
      </c>
      <c r="T83" s="222" t="s">
        <v>4473</v>
      </c>
      <c r="U83" s="87" t="s">
        <v>6344</v>
      </c>
      <c r="V83" s="87" t="s">
        <v>3759</v>
      </c>
      <c r="W83" s="87">
        <v>1.8004</v>
      </c>
      <c r="X83" s="29">
        <f t="shared" si="65"/>
        <v>432.096</v>
      </c>
      <c r="Y83" s="87" t="s">
        <v>3582</v>
      </c>
      <c r="Z83" s="111" t="s">
        <v>628</v>
      </c>
      <c r="AA83" s="112" t="s">
        <v>128</v>
      </c>
      <c r="AB83" s="84"/>
      <c r="AC83" s="16"/>
      <c r="AD83" s="224"/>
      <c r="AE83" s="224"/>
      <c r="AF83" s="16"/>
      <c r="AG83" s="16"/>
      <c r="AH83" s="16">
        <f t="shared" si="66"/>
        <v>480</v>
      </c>
      <c r="AI83" s="150"/>
      <c r="AJ83" s="152"/>
      <c r="AK83" s="232">
        <f t="shared" si="67"/>
        <v>480</v>
      </c>
      <c r="AL83" s="162"/>
      <c r="AM83" s="162"/>
      <c r="AN83" s="173"/>
      <c r="AO83" s="178"/>
      <c r="AP83" s="162"/>
      <c r="AQ83" s="173"/>
      <c r="AR83" s="234"/>
      <c r="AS83" s="178"/>
      <c r="AT83" s="162"/>
      <c r="AU83" s="162">
        <f t="shared" si="68"/>
        <v>480</v>
      </c>
      <c r="AV83" s="184"/>
      <c r="AW83" s="180"/>
      <c r="AX83" s="180"/>
      <c r="AY83" s="180"/>
      <c r="AZ83" s="180"/>
      <c r="BA83" s="180"/>
      <c r="BB83" s="180"/>
      <c r="BC83" s="180"/>
      <c r="BD83" s="180"/>
      <c r="BE83" s="180"/>
      <c r="BF83" s="180"/>
      <c r="BG83" s="180"/>
      <c r="BH83" s="180"/>
      <c r="BI83" s="180"/>
      <c r="BJ83" s="180"/>
      <c r="BK83" s="180"/>
      <c r="BL83" s="180"/>
      <c r="BW83" s="2">
        <f t="shared" si="69"/>
        <v>240</v>
      </c>
      <c r="BY83" s="2">
        <f t="shared" si="70"/>
        <v>240</v>
      </c>
      <c r="BZ83" s="2">
        <f t="shared" si="71"/>
        <v>480</v>
      </c>
      <c r="CE83" s="2" t="e">
        <f>CE82-AH83-AI83-AJ83</f>
        <v>#REF!</v>
      </c>
    </row>
  </sheetData>
  <autoFilter xmlns:etc="http://www.wps.cn/officeDocument/2017/etCustomData" ref="A1:BQ83" etc:filterBottomFollowUsedRange="0">
    <extLst/>
  </autoFilter>
  <conditionalFormatting sqref="R1:T1">
    <cfRule type="cellIs" dxfId="0" priority="309" operator="equal">
      <formula>"欠"</formula>
    </cfRule>
  </conditionalFormatting>
  <conditionalFormatting sqref="R7:T7">
    <cfRule type="cellIs" dxfId="0" priority="306" operator="equal">
      <formula>"欠"</formula>
    </cfRule>
  </conditionalFormatting>
  <conditionalFormatting sqref="R9:T9">
    <cfRule type="cellIs" dxfId="0" priority="305" operator="equal">
      <formula>"欠"</formula>
    </cfRule>
  </conditionalFormatting>
  <conditionalFormatting sqref="R10:T10">
    <cfRule type="cellIs" dxfId="0" priority="304" operator="equal">
      <formula>"欠"</formula>
    </cfRule>
  </conditionalFormatting>
  <conditionalFormatting sqref="R26">
    <cfRule type="containsText" dxfId="1" priority="292" operator="between" text="欠">
      <formula>NOT(ISERROR(SEARCH("欠",R26)))</formula>
    </cfRule>
    <cfRule type="cellIs" dxfId="0" priority="291" operator="equal">
      <formula>"欠"</formula>
    </cfRule>
  </conditionalFormatting>
  <conditionalFormatting sqref="S26:T26">
    <cfRule type="containsText" dxfId="1" priority="294" operator="between" text="欠">
      <formula>NOT(ISERROR(SEARCH("欠",S26)))</formula>
    </cfRule>
  </conditionalFormatting>
  <conditionalFormatting sqref="S26">
    <cfRule type="cellIs" dxfId="0" priority="293" operator="equal">
      <formula>"欠"</formula>
    </cfRule>
  </conditionalFormatting>
  <conditionalFormatting sqref="T26">
    <cfRule type="cellIs" dxfId="0" priority="295" operator="equal">
      <formula>"欠"</formula>
    </cfRule>
  </conditionalFormatting>
  <conditionalFormatting sqref="R27">
    <cfRule type="containsText" dxfId="1" priority="287" operator="between" text="欠">
      <formula>NOT(ISERROR(SEARCH("欠",R27)))</formula>
    </cfRule>
    <cfRule type="cellIs" dxfId="0" priority="286" operator="equal">
      <formula>"欠"</formula>
    </cfRule>
  </conditionalFormatting>
  <conditionalFormatting sqref="S27:T27">
    <cfRule type="containsText" dxfId="1" priority="289" operator="between" text="欠">
      <formula>NOT(ISERROR(SEARCH("欠",S27)))</formula>
    </cfRule>
  </conditionalFormatting>
  <conditionalFormatting sqref="S27">
    <cfRule type="cellIs" dxfId="0" priority="288" operator="equal">
      <formula>"欠"</formula>
    </cfRule>
  </conditionalFormatting>
  <conditionalFormatting sqref="T27">
    <cfRule type="cellIs" dxfId="0" priority="290" operator="equal">
      <formula>"欠"</formula>
    </cfRule>
  </conditionalFormatting>
  <conditionalFormatting sqref="R28">
    <cfRule type="cellIs" dxfId="0" priority="285" operator="equal">
      <formula>"欠"</formula>
    </cfRule>
    <cfRule type="containsText" dxfId="1" priority="284" operator="between" text="欠">
      <formula>NOT(ISERROR(SEARCH("欠",R28)))</formula>
    </cfRule>
  </conditionalFormatting>
  <conditionalFormatting sqref="S28">
    <cfRule type="cellIs" dxfId="0" priority="283" operator="equal">
      <formula>"欠"</formula>
    </cfRule>
    <cfRule type="containsText" dxfId="1" priority="282" operator="between" text="欠">
      <formula>NOT(ISERROR(SEARCH("欠",S28)))</formula>
    </cfRule>
  </conditionalFormatting>
  <conditionalFormatting sqref="T28">
    <cfRule type="cellIs" dxfId="0" priority="281" operator="equal">
      <formula>"欠"</formula>
    </cfRule>
    <cfRule type="containsText" dxfId="1" priority="280" operator="between" text="欠">
      <formula>NOT(ISERROR(SEARCH("欠",T28)))</formula>
    </cfRule>
  </conditionalFormatting>
  <conditionalFormatting sqref="R29">
    <cfRule type="cellIs" dxfId="0" priority="279" operator="equal">
      <formula>"欠"</formula>
    </cfRule>
  </conditionalFormatting>
  <conditionalFormatting sqref="S29">
    <cfRule type="cellIs" dxfId="0" priority="277" operator="equal">
      <formula>"欠"</formula>
    </cfRule>
  </conditionalFormatting>
  <conditionalFormatting sqref="T29">
    <cfRule type="containsText" dxfId="1" priority="278" operator="between" text="欠">
      <formula>NOT(ISERROR(SEARCH("欠",T29)))</formula>
    </cfRule>
  </conditionalFormatting>
  <conditionalFormatting sqref="R30">
    <cfRule type="containsText" dxfId="1" priority="273" operator="between" text="欠">
      <formula>NOT(ISERROR(SEARCH("欠",R30)))</formula>
    </cfRule>
    <cfRule type="cellIs" dxfId="0" priority="272" operator="equal">
      <formula>"欠"</formula>
    </cfRule>
  </conditionalFormatting>
  <conditionalFormatting sqref="S30:T30">
    <cfRule type="containsText" dxfId="1" priority="275" operator="between" text="欠">
      <formula>NOT(ISERROR(SEARCH("欠",S30)))</formula>
    </cfRule>
  </conditionalFormatting>
  <conditionalFormatting sqref="S30">
    <cfRule type="cellIs" dxfId="0" priority="274" operator="equal">
      <formula>"欠"</formula>
    </cfRule>
  </conditionalFormatting>
  <conditionalFormatting sqref="T30">
    <cfRule type="cellIs" dxfId="0" priority="276" operator="equal">
      <formula>"欠"</formula>
    </cfRule>
  </conditionalFormatting>
  <conditionalFormatting sqref="R31">
    <cfRule type="containsText" dxfId="1" priority="268" operator="between" text="欠">
      <formula>NOT(ISERROR(SEARCH("欠",R31)))</formula>
    </cfRule>
    <cfRule type="cellIs" dxfId="0" priority="267" operator="equal">
      <formula>"欠"</formula>
    </cfRule>
  </conditionalFormatting>
  <conditionalFormatting sqref="S31:T31">
    <cfRule type="containsText" dxfId="1" priority="270" operator="between" text="欠">
      <formula>NOT(ISERROR(SEARCH("欠",S31)))</formula>
    </cfRule>
  </conditionalFormatting>
  <conditionalFormatting sqref="S31">
    <cfRule type="cellIs" dxfId="0" priority="269" operator="equal">
      <formula>"欠"</formula>
    </cfRule>
  </conditionalFormatting>
  <conditionalFormatting sqref="T31">
    <cfRule type="cellIs" dxfId="0" priority="271" operator="equal">
      <formula>"欠"</formula>
    </cfRule>
  </conditionalFormatting>
  <conditionalFormatting sqref="R32">
    <cfRule type="cellIs" dxfId="0" priority="263" operator="equal">
      <formula>"欠"</formula>
    </cfRule>
  </conditionalFormatting>
  <conditionalFormatting sqref="S32">
    <cfRule type="cellIs" dxfId="0" priority="264" operator="equal">
      <formula>"欠"</formula>
    </cfRule>
  </conditionalFormatting>
  <conditionalFormatting sqref="T32:U32">
    <cfRule type="cellIs" dxfId="0" priority="266" operator="equal">
      <formula>"欠"</formula>
    </cfRule>
    <cfRule type="containsText" dxfId="1" priority="265" operator="between" text="欠">
      <formula>NOT(ISERROR(SEARCH("欠",T32)))</formula>
    </cfRule>
  </conditionalFormatting>
  <conditionalFormatting sqref="R33">
    <cfRule type="cellIs" dxfId="0" priority="262" operator="equal">
      <formula>"欠"</formula>
    </cfRule>
  </conditionalFormatting>
  <conditionalFormatting sqref="S33">
    <cfRule type="cellIs" dxfId="0" priority="261" operator="equal">
      <formula>"欠"</formula>
    </cfRule>
  </conditionalFormatting>
  <conditionalFormatting sqref="T33:U33">
    <cfRule type="containsText" dxfId="1" priority="260" operator="between" text="欠">
      <formula>NOT(ISERROR(SEARCH("欠",T33)))</formula>
    </cfRule>
  </conditionalFormatting>
  <conditionalFormatting sqref="R34:U34">
    <cfRule type="cellIs" dxfId="0" priority="259" operator="equal">
      <formula>"欠"</formula>
    </cfRule>
  </conditionalFormatting>
  <conditionalFormatting sqref="R35">
    <cfRule type="cellIs" dxfId="0" priority="258" operator="equal">
      <formula>"欠"</formula>
    </cfRule>
  </conditionalFormatting>
  <conditionalFormatting sqref="S35">
    <cfRule type="cellIs" dxfId="0" priority="256" operator="equal">
      <formula>"欠"</formula>
    </cfRule>
  </conditionalFormatting>
  <conditionalFormatting sqref="T35:U35">
    <cfRule type="containsText" dxfId="1" priority="257" operator="between" text="欠">
      <formula>NOT(ISERROR(SEARCH("欠",T35)))</formula>
    </cfRule>
  </conditionalFormatting>
  <conditionalFormatting sqref="R36:T36">
    <cfRule type="cellIs" dxfId="0" priority="255" operator="equal">
      <formula>"欠"</formula>
    </cfRule>
  </conditionalFormatting>
  <conditionalFormatting sqref="R47">
    <cfRule type="cellIs" dxfId="0" priority="235" operator="equal">
      <formula>"欠"</formula>
    </cfRule>
    <cfRule type="containsText" dxfId="1" priority="234" operator="between" text="欠">
      <formula>NOT(ISERROR(SEARCH("欠",R47)))</formula>
    </cfRule>
  </conditionalFormatting>
  <conditionalFormatting sqref="S47">
    <cfRule type="containsText" dxfId="1" priority="233" operator="between" text="欠">
      <formula>NOT(ISERROR(SEARCH("欠",S47)))</formula>
    </cfRule>
  </conditionalFormatting>
  <conditionalFormatting sqref="T47">
    <cfRule type="containsText" dxfId="1" priority="231" operator="between" text="欠">
      <formula>NOT(ISERROR(SEARCH("欠",T47)))</formula>
    </cfRule>
  </conditionalFormatting>
  <conditionalFormatting sqref="R48">
    <cfRule type="cellIs" dxfId="0" priority="229" operator="equal">
      <formula>"欠"</formula>
    </cfRule>
    <cfRule type="containsText" dxfId="1" priority="228" operator="between" text="欠">
      <formula>NOT(ISERROR(SEARCH("欠",R48)))</formula>
    </cfRule>
  </conditionalFormatting>
  <conditionalFormatting sqref="S48">
    <cfRule type="containsText" dxfId="1" priority="227" operator="between" text="欠">
      <formula>NOT(ISERROR(SEARCH("欠",S48)))</formula>
    </cfRule>
  </conditionalFormatting>
  <conditionalFormatting sqref="T48">
    <cfRule type="containsText" dxfId="1" priority="225" operator="between" text="欠">
      <formula>NOT(ISERROR(SEARCH("欠",T48)))</formula>
    </cfRule>
  </conditionalFormatting>
  <conditionalFormatting sqref="R49">
    <cfRule type="cellIs" dxfId="0" priority="223" operator="equal">
      <formula>"欠"</formula>
    </cfRule>
    <cfRule type="containsText" dxfId="1" priority="222" operator="between" text="欠">
      <formula>NOT(ISERROR(SEARCH("欠",R49)))</formula>
    </cfRule>
  </conditionalFormatting>
  <conditionalFormatting sqref="S49">
    <cfRule type="containsText" dxfId="1" priority="221" operator="between" text="欠">
      <formula>NOT(ISERROR(SEARCH("欠",S49)))</formula>
    </cfRule>
  </conditionalFormatting>
  <conditionalFormatting sqref="T49">
    <cfRule type="containsText" dxfId="1" priority="219" operator="between" text="欠">
      <formula>NOT(ISERROR(SEARCH("欠",T49)))</formula>
    </cfRule>
  </conditionalFormatting>
  <conditionalFormatting sqref="R50:T50">
    <cfRule type="cellIs" dxfId="0" priority="217" operator="equal">
      <formula>"欠"</formula>
    </cfRule>
  </conditionalFormatting>
  <conditionalFormatting sqref="R51">
    <cfRule type="containsText" dxfId="1" priority="212" operator="between" text="欠">
      <formula>NOT(ISERROR(SEARCH("欠",R51)))</formula>
    </cfRule>
    <cfRule type="cellIs" dxfId="0" priority="213" operator="equal">
      <formula>"欠"</formula>
    </cfRule>
  </conditionalFormatting>
  <conditionalFormatting sqref="S51:T51">
    <cfRule type="containsText" dxfId="1" priority="216" operator="between" text="欠">
      <formula>NOT(ISERROR(SEARCH("欠",S51)))</formula>
    </cfRule>
  </conditionalFormatting>
  <conditionalFormatting sqref="S51">
    <cfRule type="cellIs" dxfId="0" priority="215" operator="equal">
      <formula>"欠"</formula>
    </cfRule>
  </conditionalFormatting>
  <conditionalFormatting sqref="T51">
    <cfRule type="cellIs" dxfId="0" priority="214" operator="equal">
      <formula>"欠"</formula>
    </cfRule>
  </conditionalFormatting>
  <conditionalFormatting sqref="R52">
    <cfRule type="containsText" dxfId="1" priority="207" operator="between" text="欠">
      <formula>NOT(ISERROR(SEARCH("欠",R52)))</formula>
    </cfRule>
    <cfRule type="cellIs" dxfId="0" priority="208" operator="equal">
      <formula>"欠"</formula>
    </cfRule>
  </conditionalFormatting>
  <conditionalFormatting sqref="S52:T52">
    <cfRule type="containsText" dxfId="1" priority="211" operator="between" text="欠">
      <formula>NOT(ISERROR(SEARCH("欠",S52)))</formula>
    </cfRule>
  </conditionalFormatting>
  <conditionalFormatting sqref="S52">
    <cfRule type="cellIs" dxfId="0" priority="210" operator="equal">
      <formula>"欠"</formula>
    </cfRule>
  </conditionalFormatting>
  <conditionalFormatting sqref="T52">
    <cfRule type="cellIs" dxfId="0" priority="209" operator="equal">
      <formula>"欠"</formula>
    </cfRule>
  </conditionalFormatting>
  <conditionalFormatting sqref="R57">
    <cfRule type="cellIs" dxfId="0" priority="185" operator="equal">
      <formula>"欠"</formula>
    </cfRule>
  </conditionalFormatting>
  <conditionalFormatting sqref="S57">
    <cfRule type="cellIs" dxfId="0" priority="188" operator="equal">
      <formula>"欠"</formula>
    </cfRule>
    <cfRule type="containsText" dxfId="1" priority="189" operator="between" text="欠">
      <formula>NOT(ISERROR(SEARCH("欠",S57)))</formula>
    </cfRule>
  </conditionalFormatting>
  <conditionalFormatting sqref="T57">
    <cfRule type="cellIs" dxfId="0" priority="186" operator="equal">
      <formula>"欠"</formula>
    </cfRule>
    <cfRule type="containsText" dxfId="1" priority="187" operator="between" text="欠">
      <formula>NOT(ISERROR(SEARCH("欠",T57)))</formula>
    </cfRule>
  </conditionalFormatting>
  <conditionalFormatting sqref="BS57">
    <cfRule type="cellIs" dxfId="0" priority="184" operator="lessThan">
      <formula>0</formula>
    </cfRule>
  </conditionalFormatting>
  <conditionalFormatting sqref="R66">
    <cfRule type="cellIs" dxfId="0" priority="169" operator="equal">
      <formula>"欠"</formula>
    </cfRule>
  </conditionalFormatting>
  <conditionalFormatting sqref="R66:T66">
    <cfRule type="containsText" dxfId="1" priority="168" operator="between" text="欠">
      <formula>NOT(ISERROR(SEARCH("欠",R66)))</formula>
    </cfRule>
  </conditionalFormatting>
  <conditionalFormatting sqref="S66">
    <cfRule type="cellIs" dxfId="0" priority="167" operator="equal">
      <formula>"欠"</formula>
    </cfRule>
  </conditionalFormatting>
  <conditionalFormatting sqref="T66">
    <cfRule type="cellIs" dxfId="0" priority="166" operator="equal">
      <formula>"欠"</formula>
    </cfRule>
  </conditionalFormatting>
  <conditionalFormatting sqref="R70">
    <cfRule type="cellIs" dxfId="0" priority="153" operator="equal">
      <formula>"欠"</formula>
    </cfRule>
    <cfRule type="containsText" dxfId="1" priority="152" operator="between" text="欠">
      <formula>NOT(ISERROR(SEARCH("欠",R70)))</formula>
    </cfRule>
  </conditionalFormatting>
  <conditionalFormatting sqref="S70">
    <cfRule type="containsText" dxfId="1" priority="155" operator="between" text="欠">
      <formula>NOT(ISERROR(SEARCH("欠",S70)))</formula>
    </cfRule>
    <cfRule type="cellIs" dxfId="0" priority="154" operator="equal">
      <formula>"欠"</formula>
    </cfRule>
  </conditionalFormatting>
  <conditionalFormatting sqref="T70">
    <cfRule type="cellIs" dxfId="0" priority="157" operator="equal">
      <formula>"欠"</formula>
    </cfRule>
    <cfRule type="containsText" dxfId="1" priority="156" operator="between" text="欠">
      <formula>NOT(ISERROR(SEARCH("欠",T70)))</formula>
    </cfRule>
  </conditionalFormatting>
  <conditionalFormatting sqref="U70">
    <cfRule type="cellIs" dxfId="0" priority="158" operator="equal">
      <formula>"欠"</formula>
    </cfRule>
  </conditionalFormatting>
  <conditionalFormatting sqref="V70">
    <cfRule type="cellIs" dxfId="0" priority="159" operator="equal">
      <formula>"欠"</formula>
    </cfRule>
  </conditionalFormatting>
  <conditionalFormatting sqref="W70">
    <cfRule type="cellIs" dxfId="0" priority="151" operator="equal">
      <formula>"欠"</formula>
    </cfRule>
  </conditionalFormatting>
  <conditionalFormatting sqref="R71">
    <cfRule type="cellIs" dxfId="0" priority="144" operator="equal">
      <formula>"欠"</formula>
    </cfRule>
    <cfRule type="containsText" dxfId="1" priority="143" operator="between" text="欠">
      <formula>NOT(ISERROR(SEARCH("欠",R71)))</formula>
    </cfRule>
  </conditionalFormatting>
  <conditionalFormatting sqref="S71">
    <cfRule type="containsText" dxfId="1" priority="150" operator="between" text="欠">
      <formula>NOT(ISERROR(SEARCH("欠",S71)))</formula>
    </cfRule>
    <cfRule type="cellIs" dxfId="0" priority="149" operator="equal">
      <formula>"欠"</formula>
    </cfRule>
  </conditionalFormatting>
  <conditionalFormatting sqref="T71">
    <cfRule type="cellIs" dxfId="0" priority="146" operator="equal">
      <formula>"欠"</formula>
    </cfRule>
    <cfRule type="containsText" dxfId="1" priority="145" operator="between" text="欠">
      <formula>NOT(ISERROR(SEARCH("欠",T71)))</formula>
    </cfRule>
  </conditionalFormatting>
  <conditionalFormatting sqref="U71">
    <cfRule type="cellIs" dxfId="0" priority="147" operator="equal">
      <formula>"欠"</formula>
    </cfRule>
  </conditionalFormatting>
  <conditionalFormatting sqref="V71:W71">
    <cfRule type="cellIs" dxfId="0" priority="148" operator="equal">
      <formula>"欠"</formula>
    </cfRule>
  </conditionalFormatting>
  <conditionalFormatting sqref="R74">
    <cfRule type="cellIs" dxfId="0" priority="129" operator="equal">
      <formula>"欠"</formula>
    </cfRule>
    <cfRule type="containsText" dxfId="1" priority="128" operator="between" text="欠">
      <formula>NOT(ISERROR(SEARCH("欠",R74)))</formula>
    </cfRule>
  </conditionalFormatting>
  <conditionalFormatting sqref="R75">
    <cfRule type="containsText" dxfId="1" priority="126" operator="between" text="欠">
      <formula>NOT(ISERROR(SEARCH("欠",R75)))</formula>
    </cfRule>
    <cfRule type="cellIs" dxfId="0" priority="127" operator="equal">
      <formula>"欠"</formula>
    </cfRule>
  </conditionalFormatting>
  <conditionalFormatting sqref="R76">
    <cfRule type="containsText" dxfId="1" priority="110" operator="between" text="欠">
      <formula>NOT(ISERROR(SEARCH("欠",R76)))</formula>
    </cfRule>
    <cfRule type="cellIs" dxfId="0" priority="111" operator="equal">
      <formula>"欠"</formula>
    </cfRule>
  </conditionalFormatting>
  <conditionalFormatting sqref="S76">
    <cfRule type="cellIs" dxfId="0" priority="108" operator="equal">
      <formula>"欠"</formula>
    </cfRule>
    <cfRule type="containsText" dxfId="1" priority="109" operator="between" text="欠">
      <formula>NOT(ISERROR(SEARCH("欠",S76)))</formula>
    </cfRule>
  </conditionalFormatting>
  <conditionalFormatting sqref="T76">
    <cfRule type="cellIs" dxfId="0" priority="114" operator="equal">
      <formula>"欠"</formula>
    </cfRule>
    <cfRule type="containsText" dxfId="1" priority="115" operator="between" text="欠">
      <formula>NOT(ISERROR(SEARCH("欠",T76)))</formula>
    </cfRule>
  </conditionalFormatting>
  <conditionalFormatting sqref="U76">
    <cfRule type="cellIs" dxfId="0" priority="116" operator="equal">
      <formula>"欠"</formula>
    </cfRule>
  </conditionalFormatting>
  <conditionalFormatting sqref="V76">
    <cfRule type="cellIs" dxfId="0" priority="112" operator="equal">
      <formula>"欠"</formula>
    </cfRule>
  </conditionalFormatting>
  <conditionalFormatting sqref="W76">
    <cfRule type="cellIs" dxfId="0" priority="113" operator="equal">
      <formula>"欠"</formula>
    </cfRule>
  </conditionalFormatting>
  <conditionalFormatting sqref="R77">
    <cfRule type="containsText" dxfId="1" priority="93" operator="between" text="欠">
      <formula>NOT(ISERROR(SEARCH("欠",R77)))</formula>
    </cfRule>
    <cfRule type="cellIs" dxfId="0" priority="94" operator="equal">
      <formula>"欠"</formula>
    </cfRule>
  </conditionalFormatting>
  <conditionalFormatting sqref="S77">
    <cfRule type="cellIs" dxfId="0" priority="91" operator="equal">
      <formula>"欠"</formula>
    </cfRule>
    <cfRule type="containsText" dxfId="1" priority="92" operator="between" text="欠">
      <formula>NOT(ISERROR(SEARCH("欠",S77)))</formula>
    </cfRule>
  </conditionalFormatting>
  <conditionalFormatting sqref="T77">
    <cfRule type="cellIs" dxfId="0" priority="97" operator="equal">
      <formula>"欠"</formula>
    </cfRule>
    <cfRule type="containsText" dxfId="1" priority="98" operator="between" text="欠">
      <formula>NOT(ISERROR(SEARCH("欠",T77)))</formula>
    </cfRule>
  </conditionalFormatting>
  <conditionalFormatting sqref="U77">
    <cfRule type="cellIs" dxfId="0" priority="99" operator="equal">
      <formula>"欠"</formula>
    </cfRule>
  </conditionalFormatting>
  <conditionalFormatting sqref="V77">
    <cfRule type="cellIs" dxfId="0" priority="95" operator="equal">
      <formula>"欠"</formula>
    </cfRule>
  </conditionalFormatting>
  <conditionalFormatting sqref="W77">
    <cfRule type="cellIs" dxfId="0" priority="96" operator="equal">
      <formula>"欠"</formula>
    </cfRule>
  </conditionalFormatting>
  <conditionalFormatting sqref="R78">
    <cfRule type="containsText" dxfId="1" priority="76" operator="between" text="欠">
      <formula>NOT(ISERROR(SEARCH("欠",R78)))</formula>
    </cfRule>
    <cfRule type="cellIs" dxfId="0" priority="77" operator="equal">
      <formula>"欠"</formula>
    </cfRule>
  </conditionalFormatting>
  <conditionalFormatting sqref="S78">
    <cfRule type="cellIs" dxfId="0" priority="74" operator="equal">
      <formula>"欠"</formula>
    </cfRule>
    <cfRule type="containsText" dxfId="1" priority="75" operator="between" text="欠">
      <formula>NOT(ISERROR(SEARCH("欠",S78)))</formula>
    </cfRule>
  </conditionalFormatting>
  <conditionalFormatting sqref="T78">
    <cfRule type="cellIs" dxfId="0" priority="80" operator="equal">
      <formula>"欠"</formula>
    </cfRule>
    <cfRule type="containsText" dxfId="1" priority="81" operator="between" text="欠">
      <formula>NOT(ISERROR(SEARCH("欠",T78)))</formula>
    </cfRule>
  </conditionalFormatting>
  <conditionalFormatting sqref="U78">
    <cfRule type="cellIs" dxfId="0" priority="82" operator="equal">
      <formula>"欠"</formula>
    </cfRule>
  </conditionalFormatting>
  <conditionalFormatting sqref="V78">
    <cfRule type="cellIs" dxfId="0" priority="78" operator="equal">
      <formula>"欠"</formula>
    </cfRule>
  </conditionalFormatting>
  <conditionalFormatting sqref="W78">
    <cfRule type="cellIs" dxfId="0" priority="79" operator="equal">
      <formula>"欠"</formula>
    </cfRule>
  </conditionalFormatting>
  <conditionalFormatting sqref="R79">
    <cfRule type="containsText" dxfId="1" priority="60" operator="between" text="欠">
      <formula>NOT(ISERROR(SEARCH("欠",R79)))</formula>
    </cfRule>
    <cfRule type="cellIs" dxfId="0" priority="61" operator="equal">
      <formula>"欠"</formula>
    </cfRule>
  </conditionalFormatting>
  <conditionalFormatting sqref="S79">
    <cfRule type="cellIs" dxfId="0" priority="58" operator="equal">
      <formula>"欠"</formula>
    </cfRule>
    <cfRule type="containsText" dxfId="1" priority="59" operator="between" text="欠">
      <formula>NOT(ISERROR(SEARCH("欠",S79)))</formula>
    </cfRule>
  </conditionalFormatting>
  <conditionalFormatting sqref="T79">
    <cfRule type="cellIs" dxfId="0" priority="64" operator="equal">
      <formula>"欠"</formula>
    </cfRule>
    <cfRule type="containsText" dxfId="1" priority="65" operator="between" text="欠">
      <formula>NOT(ISERROR(SEARCH("欠",T79)))</formula>
    </cfRule>
  </conditionalFormatting>
  <conditionalFormatting sqref="U79">
    <cfRule type="cellIs" dxfId="0" priority="66" operator="equal">
      <formula>"欠"</formula>
    </cfRule>
  </conditionalFormatting>
  <conditionalFormatting sqref="V79">
    <cfRule type="cellIs" dxfId="0" priority="62" operator="equal">
      <formula>"欠"</formula>
    </cfRule>
  </conditionalFormatting>
  <conditionalFormatting sqref="W79">
    <cfRule type="cellIs" dxfId="0" priority="63" operator="equal">
      <formula>"欠"</formula>
    </cfRule>
  </conditionalFormatting>
  <conditionalFormatting sqref="R80">
    <cfRule type="containsText" dxfId="1" priority="44" operator="between" text="欠">
      <formula>NOT(ISERROR(SEARCH("欠",R80)))</formula>
    </cfRule>
    <cfRule type="cellIs" dxfId="0" priority="45" operator="equal">
      <formula>"欠"</formula>
    </cfRule>
  </conditionalFormatting>
  <conditionalFormatting sqref="S80">
    <cfRule type="cellIs" dxfId="0" priority="42" operator="equal">
      <formula>"欠"</formula>
    </cfRule>
    <cfRule type="containsText" dxfId="1" priority="43" operator="between" text="欠">
      <formula>NOT(ISERROR(SEARCH("欠",S80)))</formula>
    </cfRule>
  </conditionalFormatting>
  <conditionalFormatting sqref="T80">
    <cfRule type="cellIs" dxfId="0" priority="48" operator="equal">
      <formula>"欠"</formula>
    </cfRule>
    <cfRule type="containsText" dxfId="1" priority="49" operator="between" text="欠">
      <formula>NOT(ISERROR(SEARCH("欠",T80)))</formula>
    </cfRule>
  </conditionalFormatting>
  <conditionalFormatting sqref="U80">
    <cfRule type="cellIs" dxfId="0" priority="50" operator="equal">
      <formula>"欠"</formula>
    </cfRule>
  </conditionalFormatting>
  <conditionalFormatting sqref="V80">
    <cfRule type="cellIs" dxfId="0" priority="46" operator="equal">
      <formula>"欠"</formula>
    </cfRule>
  </conditionalFormatting>
  <conditionalFormatting sqref="W80">
    <cfRule type="cellIs" dxfId="0" priority="47" operator="equal">
      <formula>"欠"</formula>
    </cfRule>
  </conditionalFormatting>
  <conditionalFormatting sqref="R81">
    <cfRule type="containsText" dxfId="1" priority="28" operator="between" text="欠">
      <formula>NOT(ISERROR(SEARCH("欠",R81)))</formula>
    </cfRule>
    <cfRule type="cellIs" dxfId="0" priority="29" operator="equal">
      <formula>"欠"</formula>
    </cfRule>
  </conditionalFormatting>
  <conditionalFormatting sqref="S81">
    <cfRule type="cellIs" dxfId="0" priority="26" operator="equal">
      <formula>"欠"</formula>
    </cfRule>
    <cfRule type="containsText" dxfId="1" priority="27" operator="between" text="欠">
      <formula>NOT(ISERROR(SEARCH("欠",S81)))</formula>
    </cfRule>
  </conditionalFormatting>
  <conditionalFormatting sqref="T81">
    <cfRule type="cellIs" dxfId="0" priority="32" operator="equal">
      <formula>"欠"</formula>
    </cfRule>
    <cfRule type="containsText" dxfId="1" priority="33" operator="between" text="欠">
      <formula>NOT(ISERROR(SEARCH("欠",T81)))</formula>
    </cfRule>
  </conditionalFormatting>
  <conditionalFormatting sqref="U81">
    <cfRule type="cellIs" dxfId="0" priority="34" operator="equal">
      <formula>"欠"</formula>
    </cfRule>
  </conditionalFormatting>
  <conditionalFormatting sqref="V81">
    <cfRule type="cellIs" dxfId="0" priority="30" operator="equal">
      <formula>"欠"</formula>
    </cfRule>
  </conditionalFormatting>
  <conditionalFormatting sqref="W81">
    <cfRule type="cellIs" dxfId="0" priority="31" operator="equal">
      <formula>"欠"</formula>
    </cfRule>
  </conditionalFormatting>
  <conditionalFormatting sqref="R82">
    <cfRule type="cellIs" dxfId="0" priority="8" operator="equal">
      <formula>"欠"</formula>
    </cfRule>
    <cfRule type="containsText" dxfId="1" priority="6" operator="between" text="欠">
      <formula>NOT(ISERROR(SEARCH("欠",R82)))</formula>
    </cfRule>
  </conditionalFormatting>
  <conditionalFormatting sqref="S82">
    <cfRule type="containsText" dxfId="1" priority="4" operator="between" text="欠">
      <formula>NOT(ISERROR(SEARCH("欠",S82)))</formula>
    </cfRule>
    <cfRule type="cellIs" dxfId="0" priority="2" operator="equal">
      <formula>"欠"</formula>
    </cfRule>
  </conditionalFormatting>
  <conditionalFormatting sqref="T82">
    <cfRule type="containsText" dxfId="1" priority="16" operator="between" text="欠">
      <formula>NOT(ISERROR(SEARCH("欠",T82)))</formula>
    </cfRule>
    <cfRule type="cellIs" dxfId="0" priority="14" operator="equal">
      <formula>"欠"</formula>
    </cfRule>
  </conditionalFormatting>
  <conditionalFormatting sqref="U82">
    <cfRule type="cellIs" dxfId="0" priority="18" operator="equal">
      <formula>"欠"</formula>
    </cfRule>
  </conditionalFormatting>
  <conditionalFormatting sqref="V82">
    <cfRule type="cellIs" dxfId="0" priority="10" operator="equal">
      <formula>"欠"</formula>
    </cfRule>
  </conditionalFormatting>
  <conditionalFormatting sqref="W82">
    <cfRule type="cellIs" dxfId="0" priority="12" operator="equal">
      <formula>"欠"</formula>
    </cfRule>
  </conditionalFormatting>
  <conditionalFormatting sqref="R83">
    <cfRule type="cellIs" dxfId="0" priority="7" operator="equal">
      <formula>"欠"</formula>
    </cfRule>
    <cfRule type="containsText" dxfId="1" priority="5" operator="between" text="欠">
      <formula>NOT(ISERROR(SEARCH("欠",R83)))</formula>
    </cfRule>
  </conditionalFormatting>
  <conditionalFormatting sqref="S83">
    <cfRule type="containsText" dxfId="1" priority="3" operator="between" text="欠">
      <formula>NOT(ISERROR(SEARCH("欠",S83)))</formula>
    </cfRule>
    <cfRule type="cellIs" dxfId="0" priority="1" operator="equal">
      <formula>"欠"</formula>
    </cfRule>
  </conditionalFormatting>
  <conditionalFormatting sqref="T83">
    <cfRule type="containsText" dxfId="1" priority="15" operator="between" text="欠">
      <formula>NOT(ISERROR(SEARCH("欠",T83)))</formula>
    </cfRule>
    <cfRule type="cellIs" dxfId="0" priority="13" operator="equal">
      <formula>"欠"</formula>
    </cfRule>
  </conditionalFormatting>
  <conditionalFormatting sqref="U83">
    <cfRule type="cellIs" dxfId="0" priority="17" operator="equal">
      <formula>"欠"</formula>
    </cfRule>
  </conditionalFormatting>
  <conditionalFormatting sqref="V83">
    <cfRule type="cellIs" dxfId="0" priority="9" operator="equal">
      <formula>"欠"</formula>
    </cfRule>
  </conditionalFormatting>
  <conditionalFormatting sqref="W83">
    <cfRule type="cellIs" dxfId="0" priority="11" operator="equal">
      <formula>"欠"</formula>
    </cfRule>
  </conditionalFormatting>
  <conditionalFormatting sqref="R11:R12">
    <cfRule type="containsText" dxfId="1" priority="302" operator="between" text="欠">
      <formula>NOT(ISERROR(SEARCH("欠",R11)))</formula>
    </cfRule>
  </conditionalFormatting>
  <conditionalFormatting sqref="R24:R25">
    <cfRule type="containsText" dxfId="1" priority="297" operator="between" text="欠">
      <formula>NOT(ISERROR(SEARCH("欠",R24)))</formula>
    </cfRule>
  </conditionalFormatting>
  <conditionalFormatting sqref="R37:R38">
    <cfRule type="cellIs" dxfId="0" priority="253" operator="equal">
      <formula>"欠"</formula>
    </cfRule>
  </conditionalFormatting>
  <conditionalFormatting sqref="R39:R40">
    <cfRule type="cellIs" dxfId="0" priority="245" operator="equal">
      <formula>"欠"</formula>
    </cfRule>
    <cfRule type="containsText" dxfId="1" priority="244" operator="between" text="欠">
      <formula>NOT(ISERROR(SEARCH("欠",R39)))</formula>
    </cfRule>
  </conditionalFormatting>
  <conditionalFormatting sqref="R41:R42">
    <cfRule type="cellIs" dxfId="0" priority="243" operator="equal">
      <formula>"欠"</formula>
    </cfRule>
    <cfRule type="containsText" dxfId="1" priority="242" operator="between" text="欠">
      <formula>NOT(ISERROR(SEARCH("欠",R41)))</formula>
    </cfRule>
  </conditionalFormatting>
  <conditionalFormatting sqref="R43:R46">
    <cfRule type="cellIs" dxfId="0" priority="241" operator="equal">
      <formula>"欠"</formula>
    </cfRule>
    <cfRule type="containsText" dxfId="1" priority="240" operator="between" text="欠">
      <formula>NOT(ISERROR(SEARCH("欠",R43)))</formula>
    </cfRule>
  </conditionalFormatting>
  <conditionalFormatting sqref="R53:R54">
    <cfRule type="cellIs" dxfId="0" priority="200" operator="equal">
      <formula>"欠"</formula>
    </cfRule>
  </conditionalFormatting>
  <conditionalFormatting sqref="R55:R56">
    <cfRule type="containsText" dxfId="1" priority="192" operator="between" text="欠">
      <formula>NOT(ISERROR(SEARCH("欠",R55)))</formula>
    </cfRule>
    <cfRule type="cellIs" dxfId="0" priority="193" operator="equal">
      <formula>"欠"</formula>
    </cfRule>
  </conditionalFormatting>
  <conditionalFormatting sqref="R58:R62">
    <cfRule type="containsText" dxfId="1" priority="179" operator="between" text="欠">
      <formula>NOT(ISERROR(SEARCH("欠",R58)))</formula>
    </cfRule>
    <cfRule type="cellIs" dxfId="0" priority="180" operator="equal">
      <formula>"欠"</formula>
    </cfRule>
  </conditionalFormatting>
  <conditionalFormatting sqref="R63:R65">
    <cfRule type="cellIs" dxfId="0" priority="176" operator="equal">
      <formula>"欠"</formula>
    </cfRule>
  </conditionalFormatting>
  <conditionalFormatting sqref="R67:R69">
    <cfRule type="cellIs" dxfId="0" priority="164" operator="equal">
      <formula>"欠"</formula>
    </cfRule>
  </conditionalFormatting>
  <conditionalFormatting sqref="R72:R73">
    <cfRule type="cellIs" dxfId="0" priority="142" operator="equal">
      <formula>"欠"</formula>
    </cfRule>
    <cfRule type="containsText" dxfId="1" priority="141" operator="between" text="欠">
      <formula>NOT(ISERROR(SEARCH("欠",R72)))</formula>
    </cfRule>
  </conditionalFormatting>
  <conditionalFormatting sqref="S24:S25">
    <cfRule type="cellIs" dxfId="0" priority="298" operator="equal">
      <formula>"欠"</formula>
    </cfRule>
  </conditionalFormatting>
  <conditionalFormatting sqref="S37:S38">
    <cfRule type="cellIs" dxfId="0" priority="252" operator="equal">
      <formula>"欠"</formula>
    </cfRule>
  </conditionalFormatting>
  <conditionalFormatting sqref="S39:S42">
    <cfRule type="containsText" dxfId="1" priority="249" operator="between" text="欠">
      <formula>NOT(ISERROR(SEARCH("欠",S39)))</formula>
    </cfRule>
    <cfRule type="cellIs" dxfId="0" priority="248" operator="equal">
      <formula>"欠"</formula>
    </cfRule>
  </conditionalFormatting>
  <conditionalFormatting sqref="S43:S46">
    <cfRule type="cellIs" dxfId="0" priority="237" operator="equal">
      <formula>"欠"</formula>
    </cfRule>
    <cfRule type="containsText" dxfId="1" priority="236" operator="between" text="欠">
      <formula>NOT(ISERROR(SEARCH("欠",S43)))</formula>
    </cfRule>
  </conditionalFormatting>
  <conditionalFormatting sqref="S53:S54">
    <cfRule type="cellIs" dxfId="0" priority="196" operator="equal">
      <formula>"欠"</formula>
    </cfRule>
    <cfRule type="containsText" dxfId="1" priority="197" operator="between" text="欠">
      <formula>NOT(ISERROR(SEARCH("欠",S53)))</formula>
    </cfRule>
  </conditionalFormatting>
  <conditionalFormatting sqref="S55:S56">
    <cfRule type="cellIs" dxfId="0" priority="194" operator="equal">
      <formula>"欠"</formula>
    </cfRule>
    <cfRule type="containsText" dxfId="1" priority="195" operator="between" text="欠">
      <formula>NOT(ISERROR(SEARCH("欠",S55)))</formula>
    </cfRule>
  </conditionalFormatting>
  <conditionalFormatting sqref="S58:S62">
    <cfRule type="cellIs" dxfId="0" priority="181" operator="equal">
      <formula>"欠"</formula>
    </cfRule>
    <cfRule type="containsText" dxfId="1" priority="182" operator="between" text="欠">
      <formula>NOT(ISERROR(SEARCH("欠",S58)))</formula>
    </cfRule>
  </conditionalFormatting>
  <conditionalFormatting sqref="S63:S65">
    <cfRule type="cellIs" dxfId="0" priority="174" operator="equal">
      <formula>"欠"</formula>
    </cfRule>
    <cfRule type="containsText" dxfId="1" priority="175" operator="between" text="欠">
      <formula>NOT(ISERROR(SEARCH("欠",S63)))</formula>
    </cfRule>
  </conditionalFormatting>
  <conditionalFormatting sqref="S67:S69">
    <cfRule type="cellIs" dxfId="0" priority="163" operator="equal">
      <formula>"欠"</formula>
    </cfRule>
    <cfRule type="containsText" dxfId="1" priority="162" operator="between" text="欠">
      <formula>NOT(ISERROR(SEARCH("欠",S67)))</formula>
    </cfRule>
  </conditionalFormatting>
  <conditionalFormatting sqref="S72:S73">
    <cfRule type="containsText" dxfId="1" priority="140" operator="between" text="欠">
      <formula>NOT(ISERROR(SEARCH("欠",S72)))</formula>
    </cfRule>
    <cfRule type="cellIs" dxfId="0" priority="139" operator="equal">
      <formula>"欠"</formula>
    </cfRule>
  </conditionalFormatting>
  <conditionalFormatting sqref="S74:S75">
    <cfRule type="cellIs" dxfId="0" priority="124" operator="equal">
      <formula>"欠"</formula>
    </cfRule>
    <cfRule type="containsText" dxfId="1" priority="125" operator="between" text="欠">
      <formula>NOT(ISERROR(SEARCH("欠",S74)))</formula>
    </cfRule>
  </conditionalFormatting>
  <conditionalFormatting sqref="T11:T12">
    <cfRule type="containsText" dxfId="1" priority="301" operator="between" text="欠">
      <formula>NOT(ISERROR(SEARCH("欠",T11)))</formula>
    </cfRule>
  </conditionalFormatting>
  <conditionalFormatting sqref="T17:T18">
    <cfRule type="containsText" dxfId="1" priority="299" operator="between" text="欠">
      <formula>NOT(ISERROR(SEARCH("欠",T17)))</formula>
    </cfRule>
  </conditionalFormatting>
  <conditionalFormatting sqref="T24:T25">
    <cfRule type="containsText" dxfId="1" priority="296" operator="between" text="欠">
      <formula>NOT(ISERROR(SEARCH("欠",T24)))</formula>
    </cfRule>
  </conditionalFormatting>
  <conditionalFormatting sqref="T37:T38">
    <cfRule type="containsText" dxfId="1" priority="251" operator="between" text="欠">
      <formula>NOT(ISERROR(SEARCH("欠",T37)))</formula>
    </cfRule>
  </conditionalFormatting>
  <conditionalFormatting sqref="T39:T42">
    <cfRule type="cellIs" dxfId="0" priority="247" operator="equal">
      <formula>"欠"</formula>
    </cfRule>
    <cfRule type="containsText" dxfId="1" priority="246" operator="between" text="欠">
      <formula>NOT(ISERROR(SEARCH("欠",T39)))</formula>
    </cfRule>
  </conditionalFormatting>
  <conditionalFormatting sqref="T43:T46">
    <cfRule type="containsText" dxfId="1" priority="239" operator="between" text="欠">
      <formula>NOT(ISERROR(SEARCH("欠",T43)))</formula>
    </cfRule>
  </conditionalFormatting>
  <conditionalFormatting sqref="T53:T54">
    <cfRule type="cellIs" dxfId="0" priority="198" operator="equal">
      <formula>"欠"</formula>
    </cfRule>
    <cfRule type="containsText" dxfId="1" priority="199" operator="between" text="欠">
      <formula>NOT(ISERROR(SEARCH("欠",T53)))</formula>
    </cfRule>
  </conditionalFormatting>
  <conditionalFormatting sqref="T55:T56">
    <cfRule type="cellIs" dxfId="0" priority="190" operator="equal">
      <formula>"欠"</formula>
    </cfRule>
    <cfRule type="containsText" dxfId="1" priority="191" operator="between" text="欠">
      <formula>NOT(ISERROR(SEARCH("欠",T55)))</formula>
    </cfRule>
  </conditionalFormatting>
  <conditionalFormatting sqref="T58:T62">
    <cfRule type="cellIs" dxfId="0" priority="177" operator="equal">
      <formula>"欠"</formula>
    </cfRule>
    <cfRule type="containsText" dxfId="1" priority="178" operator="between" text="欠">
      <formula>NOT(ISERROR(SEARCH("欠",T58)))</formula>
    </cfRule>
  </conditionalFormatting>
  <conditionalFormatting sqref="T63:T65">
    <cfRule type="cellIs" dxfId="0" priority="172" operator="equal">
      <formula>"欠"</formula>
    </cfRule>
    <cfRule type="containsText" dxfId="1" priority="173" operator="between" text="欠">
      <formula>NOT(ISERROR(SEARCH("欠",T63)))</formula>
    </cfRule>
  </conditionalFormatting>
  <conditionalFormatting sqref="T67:T69">
    <cfRule type="containsText" dxfId="1" priority="161" operator="between" text="欠">
      <formula>NOT(ISERROR(SEARCH("欠",T67)))</formula>
    </cfRule>
    <cfRule type="cellIs" dxfId="0" priority="160" operator="equal">
      <formula>"欠"</formula>
    </cfRule>
  </conditionalFormatting>
  <conditionalFormatting sqref="T72:T73">
    <cfRule type="cellIs" dxfId="0" priority="136" operator="equal">
      <formula>"欠"</formula>
    </cfRule>
    <cfRule type="containsText" dxfId="1" priority="135" operator="between" text="欠">
      <formula>NOT(ISERROR(SEARCH("欠",T72)))</formula>
    </cfRule>
  </conditionalFormatting>
  <conditionalFormatting sqref="T74:T75">
    <cfRule type="cellIs" dxfId="0" priority="132" operator="equal">
      <formula>"欠"</formula>
    </cfRule>
    <cfRule type="containsText" dxfId="1" priority="133" operator="between" text="欠">
      <formula>NOT(ISERROR(SEARCH("欠",T74)))</formula>
    </cfRule>
  </conditionalFormatting>
  <conditionalFormatting sqref="U72:U73">
    <cfRule type="cellIs" dxfId="0" priority="137" operator="equal">
      <formula>"欠"</formula>
    </cfRule>
  </conditionalFormatting>
  <conditionalFormatting sqref="U74:U75">
    <cfRule type="cellIs" dxfId="0" priority="134" operator="equal">
      <formula>"欠"</formula>
    </cfRule>
  </conditionalFormatting>
  <conditionalFormatting sqref="V74:V75">
    <cfRule type="cellIs" dxfId="0" priority="130" operator="equal">
      <formula>"欠"</formula>
    </cfRule>
  </conditionalFormatting>
  <conditionalFormatting sqref="W74:W75">
    <cfRule type="cellIs" dxfId="0" priority="131" operator="equal">
      <formula>"欠"</formula>
    </cfRule>
  </conditionalFormatting>
  <conditionalFormatting sqref="BT58:BT62">
    <cfRule type="cellIs" dxfId="0" priority="183" operator="lessThan">
      <formula>0</formula>
    </cfRule>
  </conditionalFormatting>
  <conditionalFormatting sqref="BU63:BU65">
    <cfRule type="cellIs" dxfId="0" priority="171" operator="lessThan">
      <formula>0</formula>
    </cfRule>
  </conditionalFormatting>
  <conditionalFormatting sqref="CC67:CC69">
    <cfRule type="cellIs" dxfId="0" priority="165" operator="lessThan">
      <formula>0</formula>
    </cfRule>
  </conditionalFormatting>
  <conditionalFormatting sqref="R2:T3">
    <cfRule type="cellIs" dxfId="0" priority="307" operator="equal">
      <formula>"欠"</formula>
    </cfRule>
  </conditionalFormatting>
  <conditionalFormatting sqref="R4:T6 R8:T8">
    <cfRule type="cellIs" dxfId="0" priority="308" operator="equal">
      <formula>"欠"</formula>
    </cfRule>
  </conditionalFormatting>
  <conditionalFormatting sqref="R19:T23 S11:S12 R13:T16">
    <cfRule type="cellIs" dxfId="0" priority="303" operator="equal">
      <formula>"欠"</formula>
    </cfRule>
  </conditionalFormatting>
  <conditionalFormatting sqref="R17:S18">
    <cfRule type="cellIs" dxfId="0" priority="300" operator="equal">
      <formula>"欠"</formula>
    </cfRule>
  </conditionalFormatting>
  <conditionalFormatting sqref="W66 U66">
    <cfRule type="cellIs" dxfId="0" priority="170" operator="equal">
      <formula>"欠"</formula>
    </cfRule>
  </conditionalFormatting>
  <conditionalFormatting sqref="V72:W73">
    <cfRule type="cellIs" dxfId="0" priority="138" operator="equal">
      <formula>"欠"</formula>
    </cfRule>
  </conditionalFormatting>
  <dataValidations count="1">
    <dataValidation type="list" allowBlank="1" showInputMessage="1" showErrorMessage="1" sqref="S48 S76 S53:S56 S58:S62 S79:S83">
      <formula1>"有,无"</formula1>
    </dataValidation>
  </dataValidations>
  <hyperlinks>
    <hyperlink ref="Y72" r:id="rId3" display="jessi@zuru.com"/>
    <hyperlink ref="Y73" r:id="rId3" display="jessi@zuru.com"/>
  </hyperlink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13</vt:i4>
      </vt:variant>
    </vt:vector>
  </HeadingPairs>
  <TitlesOfParts>
    <vt:vector size="13" baseType="lpstr">
      <vt:lpstr>77515 旧排期</vt:lpstr>
      <vt:lpstr>77515 DIY厨艺大师 旧排期</vt:lpstr>
      <vt:lpstr>77515 DIY厨艺大师</vt:lpstr>
      <vt:lpstr>生产MA Summary</vt:lpstr>
      <vt:lpstr>5S包装MA</vt:lpstr>
      <vt:lpstr>配件数量</vt:lpstr>
      <vt:lpstr>Ratio</vt:lpstr>
      <vt:lpstr>77773二代旧排期</vt:lpstr>
      <vt:lpstr>77773二代</vt:lpstr>
      <vt:lpstr>77773的生产MA</vt:lpstr>
      <vt:lpstr>77773的包装MA</vt:lpstr>
      <vt:lpstr>77773配比</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2020-08-29T02:35:00Z</dcterms:created>
  <dcterms:modified xsi:type="dcterms:W3CDTF">2026-02-26T06:09:33Z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A45D547A041A4EC1A65CCBBF3EB0CB7E_13</vt:lpwstr>
  </property>
</Properties>
</file>