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630" windowWidth="19815" windowHeight="9405"/>
  </bookViews>
  <sheets>
    <sheet name="1. Emission sources" sheetId="1" r:id="rId1"/>
    <sheet name="Charts" sheetId="6" r:id="rId2"/>
    <sheet name="2. Abatement matrix" sheetId="3" r:id="rId3"/>
    <sheet name="3. Research findings &amp;citations" sheetId="4" r:id="rId4"/>
    <sheet name="Pivot1" sheetId="2" r:id="rId5"/>
    <sheet name="Pivot2" sheetId="5" r:id="rId6"/>
  </sheets>
  <definedNames>
    <definedName name="_xlnm._FilterDatabase" localSheetId="0" hidden="1">'1. Emission sources'!$A$5:$AD$30</definedName>
    <definedName name="_xlnm._FilterDatabase" localSheetId="2" hidden="1">'2. Abatement matrix'!$A$2:$J$10</definedName>
  </definedNames>
  <calcPr calcId="145621"/>
  <pivotCaches>
    <pivotCache cacheId="0" r:id="rId7"/>
    <pivotCache cacheId="1" r:id="rId8"/>
  </pivotCaches>
  <extLst>
    <ext uri="GoogleSheetsCustomDataVersion1">
      <go:sheetsCustomData xmlns:go="http://customooxmlschemas.google.com/" r:id="rId9" roundtripDataSignature="AMtx7mg/LcoVxHettcGE/EtWMHkXY+Z6IA=="/>
    </ext>
  </extLst>
</workbook>
</file>

<file path=xl/calcChain.xml><?xml version="1.0" encoding="utf-8"?>
<calcChain xmlns="http://schemas.openxmlformats.org/spreadsheetml/2006/main">
  <c r="Y26" i="1" l="1"/>
  <c r="Z26" i="1" s="1"/>
  <c r="X26" i="1"/>
  <c r="W26" i="1"/>
  <c r="V26" i="1"/>
  <c r="U26" i="1"/>
  <c r="T26" i="1"/>
  <c r="S26" i="1"/>
  <c r="R26" i="1"/>
  <c r="Q26" i="1"/>
  <c r="Y25" i="1"/>
  <c r="Z25" i="1" s="1"/>
  <c r="X25" i="1"/>
  <c r="W25" i="1"/>
  <c r="V25" i="1"/>
  <c r="U25" i="1"/>
  <c r="T25" i="1"/>
  <c r="S25" i="1"/>
  <c r="R25" i="1"/>
  <c r="Q25" i="1"/>
  <c r="Y24" i="1"/>
  <c r="Z24" i="1" s="1"/>
  <c r="X24" i="1"/>
  <c r="W24" i="1"/>
  <c r="V24" i="1"/>
  <c r="U24" i="1"/>
  <c r="T24" i="1"/>
  <c r="S24" i="1"/>
  <c r="R24" i="1"/>
  <c r="Q24" i="1"/>
  <c r="Y23" i="1"/>
  <c r="Z23" i="1" s="1"/>
  <c r="X23" i="1"/>
  <c r="W23" i="1"/>
  <c r="V23" i="1"/>
  <c r="U23" i="1"/>
  <c r="T23" i="1"/>
  <c r="S23" i="1"/>
  <c r="R23" i="1"/>
  <c r="Q23" i="1"/>
  <c r="Y21" i="1"/>
  <c r="Z21" i="1" s="1"/>
  <c r="X21" i="1"/>
  <c r="W21" i="1"/>
  <c r="V21" i="1"/>
  <c r="U21" i="1"/>
  <c r="T21" i="1"/>
  <c r="S21" i="1"/>
  <c r="R21" i="1"/>
  <c r="Q21" i="1"/>
  <c r="Y20" i="1"/>
  <c r="Z20" i="1" s="1"/>
  <c r="X20" i="1"/>
  <c r="W20" i="1"/>
  <c r="V20" i="1"/>
  <c r="U20" i="1"/>
  <c r="T20" i="1"/>
  <c r="S20" i="1"/>
  <c r="R20" i="1"/>
  <c r="Q20" i="1"/>
  <c r="Y14" i="1"/>
  <c r="Z14" i="1" s="1"/>
  <c r="X14" i="1"/>
  <c r="W14" i="1"/>
  <c r="V14" i="1"/>
  <c r="U14" i="1"/>
  <c r="T14" i="1"/>
  <c r="S14" i="1"/>
  <c r="R14" i="1"/>
  <c r="Q14" i="1"/>
  <c r="Y13" i="1"/>
  <c r="Z13" i="1" s="1"/>
  <c r="X13" i="1"/>
  <c r="W13" i="1"/>
  <c r="V13" i="1"/>
  <c r="U13" i="1"/>
  <c r="T13" i="1"/>
  <c r="S13" i="1"/>
  <c r="R13" i="1"/>
  <c r="Q13" i="1"/>
  <c r="Y12" i="1"/>
  <c r="Z12" i="1" s="1"/>
  <c r="X12" i="1"/>
  <c r="W12" i="1"/>
  <c r="V12" i="1"/>
  <c r="U12" i="1"/>
  <c r="T12" i="1"/>
  <c r="S12" i="1"/>
  <c r="R12" i="1"/>
  <c r="Q12" i="1"/>
  <c r="Y10" i="1"/>
  <c r="Z10" i="1" s="1"/>
  <c r="X10" i="1"/>
  <c r="W10" i="1"/>
  <c r="V10" i="1"/>
  <c r="U10" i="1"/>
  <c r="T10" i="1"/>
  <c r="S10" i="1"/>
  <c r="R10" i="1"/>
  <c r="Q10" i="1"/>
  <c r="Y9" i="1"/>
  <c r="Z9" i="1" s="1"/>
  <c r="X9" i="1"/>
  <c r="W9" i="1"/>
  <c r="V9" i="1"/>
  <c r="U9" i="1"/>
  <c r="T9" i="1"/>
  <c r="S9" i="1"/>
  <c r="R9" i="1"/>
  <c r="Q9" i="1"/>
  <c r="Y8" i="1"/>
  <c r="X8" i="1"/>
  <c r="W8" i="1"/>
  <c r="V8" i="1"/>
  <c r="U8" i="1"/>
  <c r="T8" i="1"/>
  <c r="S8" i="1"/>
  <c r="R8" i="1"/>
  <c r="Q8" i="1"/>
  <c r="Y7" i="1"/>
  <c r="X7" i="1"/>
  <c r="W7" i="1"/>
  <c r="V7" i="1"/>
  <c r="U7" i="1"/>
  <c r="T7" i="1"/>
  <c r="S7" i="1"/>
  <c r="R7" i="1"/>
  <c r="Q7" i="1"/>
  <c r="Y6" i="1"/>
  <c r="X6" i="1"/>
  <c r="W6" i="1"/>
  <c r="V6" i="1"/>
  <c r="U6" i="1"/>
  <c r="T6" i="1"/>
  <c r="S6" i="1"/>
  <c r="R6" i="1"/>
  <c r="Q6" i="1"/>
  <c r="Y16" i="1"/>
  <c r="Z16" i="1" s="1"/>
  <c r="X16" i="1"/>
  <c r="W16" i="1"/>
  <c r="V16" i="1"/>
  <c r="U16" i="1"/>
  <c r="T16" i="1"/>
  <c r="S16" i="1"/>
  <c r="R16" i="1"/>
  <c r="Q16" i="1"/>
  <c r="Z7" i="1" l="1"/>
  <c r="Z8" i="1"/>
  <c r="Z6" i="1"/>
  <c r="Z2" i="1" s="1"/>
  <c r="D16" i="6"/>
  <c r="D17" i="6"/>
  <c r="D18" i="6"/>
  <c r="D19" i="6"/>
  <c r="D20" i="6"/>
  <c r="D21" i="6"/>
  <c r="D22" i="6"/>
  <c r="D15" i="6"/>
  <c r="B20" i="6"/>
  <c r="B21" i="6"/>
  <c r="B19" i="6"/>
  <c r="B16" i="6"/>
  <c r="B17" i="6"/>
  <c r="B18" i="6"/>
  <c r="B15" i="6"/>
  <c r="W11" i="1" l="1"/>
  <c r="U11" i="1"/>
  <c r="J2" i="1" l="1"/>
  <c r="K2" i="1"/>
  <c r="L2" i="1"/>
  <c r="M2" i="1"/>
  <c r="N2" i="1"/>
  <c r="O2" i="1"/>
  <c r="P2" i="1"/>
  <c r="I2" i="1"/>
  <c r="R28" i="1" l="1"/>
  <c r="S28" i="1"/>
  <c r="T28" i="1"/>
  <c r="U28" i="1"/>
  <c r="V28" i="1"/>
  <c r="W28" i="1"/>
  <c r="X28" i="1"/>
  <c r="Q28" i="1"/>
  <c r="J3" i="1"/>
  <c r="L3" i="1"/>
  <c r="I3" i="1"/>
  <c r="M3" i="1"/>
  <c r="O3" i="1"/>
  <c r="P3" i="1"/>
  <c r="N3" i="1"/>
  <c r="K3" i="1"/>
  <c r="J4" i="1"/>
  <c r="L4" i="1"/>
  <c r="I4" i="1"/>
  <c r="M4" i="1"/>
  <c r="O4" i="1"/>
  <c r="P4" i="1"/>
  <c r="N4" i="1"/>
  <c r="K4" i="1"/>
  <c r="J1" i="1"/>
  <c r="L1" i="1"/>
  <c r="I1" i="1"/>
  <c r="M1" i="1"/>
  <c r="O1" i="1"/>
  <c r="P1" i="1"/>
  <c r="N1" i="1"/>
  <c r="K1" i="1"/>
  <c r="C28" i="1"/>
  <c r="C27" i="1"/>
  <c r="D7" i="1" s="1"/>
  <c r="F18" i="1" l="1"/>
  <c r="F22" i="1"/>
  <c r="Y22" i="1"/>
  <c r="S22" i="1"/>
  <c r="Q19" i="1"/>
  <c r="Q22" i="1"/>
  <c r="X19" i="1"/>
  <c r="X22" i="1"/>
  <c r="T18" i="1"/>
  <c r="T22" i="1"/>
  <c r="U18" i="1"/>
  <c r="U22" i="1"/>
  <c r="V19" i="1"/>
  <c r="V22" i="1"/>
  <c r="W19" i="1"/>
  <c r="W22" i="1"/>
  <c r="R19" i="1"/>
  <c r="R22" i="1"/>
  <c r="D11" i="1"/>
  <c r="W15" i="1"/>
  <c r="W18" i="1"/>
  <c r="X15" i="1"/>
  <c r="X18" i="1"/>
  <c r="W17" i="1"/>
  <c r="X11" i="1"/>
  <c r="X17" i="1"/>
  <c r="U19" i="1"/>
  <c r="T19" i="1"/>
  <c r="V15" i="1"/>
  <c r="U15" i="1"/>
  <c r="T15" i="1"/>
  <c r="V17" i="1"/>
  <c r="U17" i="1"/>
  <c r="T17" i="1"/>
  <c r="V18" i="1"/>
  <c r="T11" i="1"/>
  <c r="V11" i="1"/>
  <c r="Y19" i="1"/>
  <c r="Z19" i="1" s="1"/>
  <c r="S15" i="1"/>
  <c r="Y15" i="1"/>
  <c r="Z15" i="1" s="1"/>
  <c r="R15" i="1"/>
  <c r="S17" i="1"/>
  <c r="Y17" i="1"/>
  <c r="Z17" i="1" s="1"/>
  <c r="R17" i="1"/>
  <c r="S18" i="1"/>
  <c r="Y18" i="1"/>
  <c r="Z18" i="1" s="1"/>
  <c r="R18" i="1"/>
  <c r="S11" i="1"/>
  <c r="S19" i="1"/>
  <c r="R11" i="1"/>
  <c r="Q15" i="1"/>
  <c r="Q17" i="1"/>
  <c r="Q18" i="1"/>
  <c r="Q11" i="1"/>
  <c r="Y11" i="1"/>
  <c r="F17" i="1"/>
  <c r="F11" i="1"/>
  <c r="F19" i="1"/>
  <c r="F15" i="1"/>
  <c r="D13" i="1"/>
  <c r="D25" i="1"/>
  <c r="D17" i="1"/>
  <c r="D6" i="1"/>
  <c r="D21" i="1"/>
  <c r="D23" i="1"/>
  <c r="D19" i="1"/>
  <c r="D15" i="1"/>
  <c r="D26" i="1"/>
  <c r="D22" i="1"/>
  <c r="D18" i="1"/>
  <c r="D14" i="1"/>
  <c r="D10" i="1"/>
  <c r="D9" i="1"/>
  <c r="D24" i="1"/>
  <c r="D20" i="1"/>
  <c r="D16" i="1"/>
  <c r="D12" i="1"/>
  <c r="D8" i="1"/>
  <c r="Q27" i="1" l="1"/>
  <c r="Q30" i="1" s="1"/>
  <c r="AB15" i="1"/>
  <c r="B4" i="6"/>
  <c r="C4" i="6" s="1"/>
  <c r="AB17" i="1"/>
  <c r="B5" i="6"/>
  <c r="C5" i="6" s="1"/>
  <c r="AB18" i="1"/>
  <c r="B6" i="6"/>
  <c r="C6" i="6" s="1"/>
  <c r="AB19" i="1"/>
  <c r="B7" i="6"/>
  <c r="C7" i="6" s="1"/>
  <c r="Z22" i="1"/>
  <c r="AA22" i="1"/>
  <c r="S27" i="1"/>
  <c r="T27" i="1"/>
  <c r="T30" i="1" s="1"/>
  <c r="X27" i="1"/>
  <c r="X30" i="1" s="1"/>
  <c r="R27" i="1"/>
  <c r="R30" i="1" s="1"/>
  <c r="U27" i="1"/>
  <c r="U30" i="1" s="1"/>
  <c r="W27" i="1"/>
  <c r="W30" i="1" s="1"/>
  <c r="V27" i="1"/>
  <c r="V30" i="1" s="1"/>
  <c r="AA15" i="1"/>
  <c r="AA19" i="1"/>
  <c r="AA11" i="1"/>
  <c r="Z11" i="1"/>
  <c r="S1" i="1" s="1"/>
  <c r="AA18" i="1"/>
  <c r="AA17" i="1"/>
  <c r="I4" i="3"/>
  <c r="I6" i="3"/>
  <c r="I3" i="3"/>
  <c r="I7" i="3"/>
  <c r="I9" i="3"/>
  <c r="I10" i="3"/>
  <c r="I8" i="3"/>
  <c r="I5" i="3"/>
  <c r="C12" i="2"/>
  <c r="C13" i="2"/>
  <c r="C11" i="2"/>
  <c r="J4" i="6" l="1"/>
  <c r="H4" i="6"/>
  <c r="G4" i="6"/>
  <c r="D4" i="6"/>
  <c r="G5" i="6"/>
  <c r="J5" i="6"/>
  <c r="H6" i="6"/>
  <c r="F5" i="6"/>
  <c r="E4" i="6"/>
  <c r="I5" i="6"/>
  <c r="F6" i="6"/>
  <c r="I6" i="6"/>
  <c r="E6" i="6"/>
  <c r="E5" i="6"/>
  <c r="G6" i="6"/>
  <c r="H5" i="6"/>
  <c r="D7" i="6"/>
  <c r="I4" i="6"/>
  <c r="AB22" i="1"/>
  <c r="B8" i="6"/>
  <c r="J6" i="6"/>
  <c r="F7" i="6"/>
  <c r="D5" i="6"/>
  <c r="E7" i="6"/>
  <c r="H7" i="6"/>
  <c r="I7" i="6"/>
  <c r="J7" i="6"/>
  <c r="F4" i="6"/>
  <c r="G7" i="6"/>
  <c r="D6" i="6"/>
  <c r="Z27" i="1"/>
  <c r="AB27" i="1" s="1"/>
  <c r="B3" i="6"/>
  <c r="S30" i="1"/>
  <c r="R31" i="1" s="1"/>
  <c r="AA27" i="1"/>
  <c r="AA28" i="1" s="1"/>
  <c r="T29" i="1"/>
  <c r="S29" i="1"/>
  <c r="W29" i="1"/>
  <c r="U29" i="1"/>
  <c r="X29" i="1"/>
  <c r="Q29" i="1"/>
  <c r="V29" i="1"/>
  <c r="AB11" i="1"/>
  <c r="R29" i="1"/>
  <c r="C8" i="6" l="1"/>
  <c r="J8" i="6"/>
  <c r="H8" i="6"/>
  <c r="E8" i="6"/>
  <c r="F8" i="6"/>
  <c r="I8" i="6"/>
  <c r="G8" i="6"/>
  <c r="D8" i="6"/>
  <c r="AB28" i="1"/>
  <c r="J3" i="6"/>
  <c r="C3" i="6"/>
  <c r="D3" i="6"/>
  <c r="E3" i="6"/>
  <c r="G3" i="6"/>
  <c r="H3" i="6"/>
  <c r="I3" i="6"/>
  <c r="F3" i="6"/>
  <c r="V31" i="1"/>
  <c r="U31" i="1"/>
  <c r="W31" i="1"/>
  <c r="Q31" i="1"/>
  <c r="T31" i="1"/>
  <c r="S31" i="1"/>
  <c r="X31" i="1"/>
  <c r="AB29" i="1"/>
  <c r="AB30" i="1" s="1"/>
</calcChain>
</file>

<file path=xl/comments1.xml><?xml version="1.0" encoding="utf-8"?>
<comments xmlns="http://schemas.openxmlformats.org/spreadsheetml/2006/main">
  <authors>
    <author>Windows User</author>
  </authors>
  <commentList>
    <comment ref="AB28" authorId="0">
      <text>
        <r>
          <rPr>
            <b/>
            <sz val="9"/>
            <color indexed="81"/>
            <rFont val="Tahoma"/>
            <family val="2"/>
          </rPr>
          <t>Hanish:</t>
        </r>
        <r>
          <rPr>
            <sz val="9"/>
            <color indexed="81"/>
            <rFont val="Tahoma"/>
            <family val="2"/>
          </rPr>
          <t xml:space="preserve">
Contribution of Short term, low-cost levers : Scope 1 &amp; 2 emissions abatement </t>
        </r>
      </text>
    </comment>
    <comment ref="AB29" authorId="0">
      <text>
        <r>
          <rPr>
            <b/>
            <sz val="9"/>
            <color indexed="81"/>
            <rFont val="Tahoma"/>
            <family val="2"/>
          </rPr>
          <t>Hanish:</t>
        </r>
        <r>
          <rPr>
            <sz val="9"/>
            <color indexed="81"/>
            <rFont val="Tahoma"/>
            <family val="2"/>
          </rPr>
          <t xml:space="preserve">
Short to medium term abatement target for Scope 1 &amp; 2 emissions
</t>
        </r>
      </text>
    </comment>
    <comment ref="AB30" authorId="0">
      <text>
        <r>
          <rPr>
            <b/>
            <sz val="9"/>
            <color indexed="81"/>
            <rFont val="Tahoma"/>
            <family val="2"/>
          </rPr>
          <t>Hanish:</t>
        </r>
        <r>
          <rPr>
            <sz val="9"/>
            <color indexed="81"/>
            <rFont val="Tahoma"/>
            <family val="2"/>
          </rPr>
          <t xml:space="preserve">
Long term abatement target for scope 1 &amp; 2 emissions
 </t>
        </r>
      </text>
    </comment>
  </commentList>
</comments>
</file>

<file path=xl/comments2.xml><?xml version="1.0" encoding="utf-8"?>
<comments xmlns="http://schemas.openxmlformats.org/spreadsheetml/2006/main">
  <authors>
    <author>Windows User</author>
  </authors>
  <commentList>
    <comment ref="J2" authorId="0">
      <text>
        <r>
          <rPr>
            <b/>
            <sz val="9"/>
            <color indexed="81"/>
            <rFont val="Tahoma"/>
            <family val="2"/>
          </rPr>
          <t xml:space="preserve">Hanish P:
Source: 
</t>
        </r>
        <r>
          <rPr>
            <sz val="9"/>
            <color indexed="81"/>
            <rFont val="Tahoma"/>
            <family val="2"/>
          </rPr>
          <t>Appendix: Details per
supply chain Net-Zero Challenge:
The supply chain opportunity</t>
        </r>
        <r>
          <rPr>
            <b/>
            <sz val="9"/>
            <color indexed="81"/>
            <rFont val="Tahoma"/>
            <family val="2"/>
          </rPr>
          <t xml:space="preserve">
</t>
        </r>
      </text>
    </comment>
  </commentList>
</comments>
</file>

<file path=xl/sharedStrings.xml><?xml version="1.0" encoding="utf-8"?>
<sst xmlns="http://schemas.openxmlformats.org/spreadsheetml/2006/main" count="252" uniqueCount="126">
  <si>
    <t>Emission Source</t>
  </si>
  <si>
    <t>Unit</t>
  </si>
  <si>
    <t>Data Year</t>
  </si>
  <si>
    <t>Purchased goods and services</t>
  </si>
  <si>
    <t>tCO2</t>
  </si>
  <si>
    <t>Investments</t>
  </si>
  <si>
    <t>HVAC electricity for Fast Cars Offices</t>
  </si>
  <si>
    <t>Emissions of company vehicles</t>
  </si>
  <si>
    <t>Fuel and Energy Related Activities</t>
  </si>
  <si>
    <t>Upstream Transportation and Distribution</t>
  </si>
  <si>
    <t>Fast Cars Manufacturing Onsite Gas Boilers</t>
  </si>
  <si>
    <t>Business Travel</t>
  </si>
  <si>
    <t>Upstream Leased Assets</t>
  </si>
  <si>
    <t>Downstream Transportation and Distribution</t>
  </si>
  <si>
    <t>Processing of Sold Products</t>
  </si>
  <si>
    <t>Electricity for Fast Cars Manufacturing</t>
  </si>
  <si>
    <t>Use of Sold Products</t>
  </si>
  <si>
    <t>End-of-Life Treatment of Sold Products</t>
  </si>
  <si>
    <t>Downstream Leased Assets</t>
  </si>
  <si>
    <t>Franchises</t>
  </si>
  <si>
    <t>Electricity for Fast Cars Offices</t>
  </si>
  <si>
    <t>Employee Commuting</t>
  </si>
  <si>
    <t>Capital Goods</t>
  </si>
  <si>
    <t>Waste Generated in Operations</t>
  </si>
  <si>
    <t>Fugitive emissions at Fast Cars Locations</t>
  </si>
  <si>
    <t>Scope</t>
  </si>
  <si>
    <t>Row Labels</t>
  </si>
  <si>
    <t>Grand Total</t>
  </si>
  <si>
    <t>Sum of Emissions</t>
  </si>
  <si>
    <t>Cost per unit CO2 reduction</t>
  </si>
  <si>
    <t>Linkage</t>
  </si>
  <si>
    <t>Onsite</t>
  </si>
  <si>
    <t>External</t>
  </si>
  <si>
    <t>Downstream</t>
  </si>
  <si>
    <t>Upstream</t>
  </si>
  <si>
    <t>Upstream &amp; Downstream</t>
  </si>
  <si>
    <t>Count of Emission Source</t>
  </si>
  <si>
    <t>40%  emissions in suppy chains abatabl with affordable levrs (circualrity, fficiency, renewabl power), marginal impact on procuction cots, maximum increse in nd-customer costs by 1-4%</t>
  </si>
  <si>
    <t>Abatement lever</t>
  </si>
  <si>
    <t>Material and process efficiency</t>
  </si>
  <si>
    <t>Renewable power</t>
  </si>
  <si>
    <t>Renewable heat</t>
  </si>
  <si>
    <t>New processes</t>
  </si>
  <si>
    <t>Nature-based solutions</t>
  </si>
  <si>
    <t>Fuel switch</t>
  </si>
  <si>
    <t>Carbon capture, utilization and storage (CCUS)</t>
  </si>
  <si>
    <t>&lt; €10/t CO 2 e</t>
  </si>
  <si>
    <t>&lt; €10/t CO2 e</t>
  </si>
  <si>
    <t>€10–100/t CO2 e</t>
  </si>
  <si>
    <t>&gt; €100/t CO2 e</t>
  </si>
  <si>
    <t>Cost of decarbonization</t>
  </si>
  <si>
    <t>Remarks</t>
  </si>
  <si>
    <t>Less virgin
material production</t>
  </si>
  <si>
    <t xml:space="preserve">Less material usage and
energy consumption </t>
  </si>
  <si>
    <t xml:space="preserve">Power from renewable sources
(e.g. solar, wind) </t>
  </si>
  <si>
    <t>Heat from renewable sources
(e.g. biomass, power)</t>
  </si>
  <si>
    <t>New production processes
(e.g. H2
-DRI for steel)</t>
  </si>
  <si>
    <t xml:space="preserve">Avoiding deforestation,
more sustainable agriculture </t>
  </si>
  <si>
    <t>Transport: switch to green
fuels, batteries, hydrogen</t>
  </si>
  <si>
    <t>Capture carbon and recycle
or store it underground</t>
  </si>
  <si>
    <t>Automotive Emission mix:
[Steel, Al, Battery, Plastics ] &gt;&gt; [Manufacturing] &gt;&gt; [Freight]</t>
  </si>
  <si>
    <t>Maturity (availability)</t>
  </si>
  <si>
    <t>Final Rank</t>
  </si>
  <si>
    <t>Cost to decarbonize ranking</t>
  </si>
  <si>
    <t>% of emission abated by the lever</t>
  </si>
  <si>
    <t>Freight decarbonization over the next decade possible, costly to transition immediately due to scaling problem</t>
  </si>
  <si>
    <t>Circularity/ recycling</t>
  </si>
  <si>
    <t>Total</t>
  </si>
  <si>
    <t>Scope 1&amp; 2 total</t>
  </si>
  <si>
    <t>Scope 1 &amp; 2 emission contribution</t>
  </si>
  <si>
    <t>Emissions (tCO2)</t>
  </si>
  <si>
    <t>The lack of transparency upstream feeds into a lack of trustworthy certifications or standards by which to assess  and communicate sustainability efforts to customers. This makes peer comparisons harder and leaves consumers confused instead of helping them make (more) sustainable product choices</t>
  </si>
  <si>
    <t>mainly Al, glass, battery production</t>
  </si>
  <si>
    <t>switch to green heat in battery cell mfg</t>
  </si>
  <si>
    <t>eg, switching from BF to electric arc furnace in steel</t>
  </si>
  <si>
    <t>trucks switch</t>
  </si>
  <si>
    <t>Residual emissions from furnaces</t>
  </si>
  <si>
    <t>Low_1</t>
  </si>
  <si>
    <t>Low_2</t>
  </si>
  <si>
    <t>Low_3</t>
  </si>
  <si>
    <t>Med_1</t>
  </si>
  <si>
    <t>Med_2</t>
  </si>
  <si>
    <t>High_1</t>
  </si>
  <si>
    <t>High_2</t>
  </si>
  <si>
    <t>original</t>
  </si>
  <si>
    <t>cost to decarbonize: ranking --&gt;</t>
  </si>
  <si>
    <t>% emissions abated 
at the source --&gt;</t>
  </si>
  <si>
    <t>Med_3</t>
  </si>
  <si>
    <t>Emissions Abated at Source level</t>
  </si>
  <si>
    <t>% abated by all levers</t>
  </si>
  <si>
    <t>Emissions abated by lever (t CO2)</t>
  </si>
  <si>
    <t>Lever abatement  potential ranking</t>
  </si>
  <si>
    <t>Reference doc</t>
  </si>
  <si>
    <t>location</t>
  </si>
  <si>
    <t>Contribution overall emissions</t>
  </si>
  <si>
    <t>Emissions abated at actuals (t CO2)</t>
  </si>
  <si>
    <t>Estimated abatement cost per t CO2 e</t>
  </si>
  <si>
    <t>Scope 1</t>
  </si>
  <si>
    <t>Scope 2</t>
  </si>
  <si>
    <t>Scope 3</t>
  </si>
  <si>
    <t>Categories</t>
  </si>
  <si>
    <t>Emission mix</t>
  </si>
  <si>
    <t>Upstream Emissions</t>
  </si>
  <si>
    <t>kt CO2 </t>
  </si>
  <si>
    <t>Downstream Emissions</t>
  </si>
  <si>
    <t>-</t>
  </si>
  <si>
    <t>Company</t>
  </si>
  <si>
    <t>Scope 3 Emissions Reduction Target and actions</t>
  </si>
  <si>
    <t>BMW AG</t>
  </si>
  <si>
    <t>Toyota Motor Corporation</t>
  </si>
  <si>
    <t>General Motors Company</t>
  </si>
  <si>
    <t>Ford Motor Company</t>
  </si>
  <si>
    <t>Mahindra &amp; Mahindra</t>
  </si>
  <si>
    <t>1. Passenger light duty vehicles and light commercial vehicles: 33.3% per vehicle km by 2030 from a 2019 base year. 
2. Use of sold products: Medium and heavy freight trucks 11.6% abatement per vehicle km by 2030 from a 2019 base year*</t>
  </si>
  <si>
    <t>Use of sold products: Light duty vehicles 51% per vehicle kilometer by 2035 from a 2018 base year.
 Target boundary includes biogenic emissions and removals from bioenergy feedstocks.</t>
  </si>
  <si>
    <t>30% per sold product unit by 2033 from a 2018 base year.</t>
  </si>
  <si>
    <t xml:space="preserve">Use of sold products: 41% per vehicle kilometer by 2030 from a 2010 base-year. </t>
  </si>
  <si>
    <t>Use of sold products: 50% per vehicle kilometer by 2035 from a 2019 base year</t>
  </si>
  <si>
    <t>Renault</t>
  </si>
  <si>
    <t>PACCAR</t>
  </si>
  <si>
    <t>1. 200 million tonnes of CO2 by 2030
2. Purchased goods &amp; services; upstream transportation &amp; distribution services: 22% per vehicle sold by 2030 from a 2019 base year.
3. Use of sold products 40% per vehicle kilometer by 2030 from a 2019 base year</t>
  </si>
  <si>
    <t>Nissan Motor
Co., Ltd.</t>
  </si>
  <si>
    <t>Volvo Car Group</t>
  </si>
  <si>
    <t>Use of sold products: 25% per vkm by 2030 from a 2018 base year.</t>
  </si>
  <si>
    <t>Use of sold products: 32.5% per vehicle kilometer by 2030 from a 2018 base year.</t>
  </si>
  <si>
    <t>Use of sold products: 52% per vehicle kilometer by 2030 from a 2019 base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</si>
</sst>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
    <numFmt numFmtId="165" formatCode="_-* #,##0.00_-;\-* #,##0.00_-;_-* &quot;-&quot;??_-;_-@"/>
    <numFmt numFmtId="166" formatCode="0.0%"/>
    <numFmt numFmtId="167" formatCode="[$€-2]\ #,##0.00"/>
  </numFmts>
  <fonts count="20" x14ac:knownFonts="1">
    <font>
      <sz val="11"/>
      <color theme="1"/>
      <name val="Arial"/>
    </font>
    <font>
      <b/>
      <sz val="11"/>
      <color theme="1"/>
      <name val="Arial"/>
      <family val="2"/>
    </font>
    <font>
      <sz val="10"/>
      <color theme="1" tint="0.249977111117893"/>
      <name val="Arial"/>
      <family val="2"/>
    </font>
    <font>
      <sz val="11"/>
      <color theme="1"/>
      <name val="Arial"/>
      <family val="2"/>
    </font>
    <font>
      <b/>
      <sz val="10"/>
      <color theme="1"/>
      <name val="Arial"/>
      <family val="2"/>
    </font>
    <font>
      <sz val="10"/>
      <color theme="1"/>
      <name val="Arial"/>
      <family val="2"/>
    </font>
    <font>
      <b/>
      <sz val="9"/>
      <color indexed="81"/>
      <name val="Tahoma"/>
      <family val="2"/>
    </font>
    <font>
      <sz val="8"/>
      <color theme="1"/>
      <name val="Arial"/>
      <family val="2"/>
    </font>
    <font>
      <b/>
      <sz val="8"/>
      <color theme="1"/>
      <name val="Arial"/>
      <family val="2"/>
    </font>
    <font>
      <sz val="8"/>
      <color theme="1"/>
      <name val="Calibri"/>
      <family val="2"/>
    </font>
    <font>
      <sz val="8"/>
      <color theme="1" tint="0.249977111117893"/>
      <name val="Arial"/>
      <family val="2"/>
    </font>
    <font>
      <b/>
      <sz val="8"/>
      <color theme="1"/>
      <name val="Calibri"/>
      <family val="2"/>
    </font>
    <font>
      <sz val="9"/>
      <color indexed="81"/>
      <name val="Tahoma"/>
      <family val="2"/>
    </font>
    <font>
      <b/>
      <sz val="8"/>
      <color theme="1" tint="0.249977111117893"/>
      <name val="Arial"/>
      <family val="2"/>
    </font>
    <font>
      <sz val="8"/>
      <color rgb="FFFF0000"/>
      <name val="Arial"/>
      <family val="2"/>
    </font>
    <font>
      <b/>
      <sz val="10"/>
      <color rgb="FF000000"/>
      <name val="Trebuchet MS"/>
      <family val="2"/>
    </font>
    <font>
      <sz val="10"/>
      <name val="Arial"/>
      <family val="2"/>
    </font>
    <font>
      <sz val="10"/>
      <color theme="2" tint="-0.749992370372631"/>
      <name val="Arial"/>
      <family val="2"/>
    </font>
    <font>
      <sz val="8"/>
      <name val="Arial"/>
      <family val="2"/>
    </font>
    <font>
      <b/>
      <sz val="8"/>
      <color rgb="FF000000"/>
      <name val="Trebuchet MS"/>
      <family val="2"/>
    </font>
  </fonts>
  <fills count="16">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D1F5E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08">
    <xf numFmtId="0" fontId="0" fillId="0" borderId="0" xfId="0" applyFont="1" applyAlignment="1"/>
    <xf numFmtId="0" fontId="2" fillId="0" borderId="1" xfId="0" applyFont="1" applyBorder="1" applyAlignment="1">
      <alignment horizontal="center" vertical="center"/>
    </xf>
    <xf numFmtId="0" fontId="0" fillId="0" borderId="0" xfId="0" pivotButton="1" applyFont="1" applyAlignment="1"/>
    <xf numFmtId="0" fontId="0" fillId="0" borderId="0" xfId="0" applyFont="1" applyAlignment="1">
      <alignment horizontal="left"/>
    </xf>
    <xf numFmtId="0" fontId="1" fillId="4" borderId="3" xfId="0" applyFont="1" applyFill="1" applyBorder="1" applyAlignment="1">
      <alignment horizontal="left"/>
    </xf>
    <xf numFmtId="0" fontId="0" fillId="0" borderId="0" xfId="0" applyNumberFormat="1" applyFont="1" applyAlignment="1"/>
    <xf numFmtId="0" fontId="1" fillId="4" borderId="2" xfId="0" applyFont="1" applyFill="1" applyBorder="1"/>
    <xf numFmtId="0" fontId="1" fillId="4" borderId="3" xfId="0" applyNumberFormat="1" applyFont="1" applyFill="1" applyBorder="1" applyAlignment="1"/>
    <xf numFmtId="10" fontId="0" fillId="0" borderId="0" xfId="1" applyNumberFormat="1" applyFont="1" applyAlignment="1"/>
    <xf numFmtId="0" fontId="1" fillId="4" borderId="2" xfId="0" applyFont="1" applyFill="1" applyBorder="1" applyAlignment="1"/>
    <xf numFmtId="0" fontId="0" fillId="0" borderId="0" xfId="0" applyFont="1" applyAlignment="1">
      <alignment horizontal="left" indent="1"/>
    </xf>
    <xf numFmtId="0" fontId="0" fillId="0" borderId="0" xfId="0" applyFont="1" applyAlignment="1">
      <alignment horizontal="left" indent="2"/>
    </xf>
    <xf numFmtId="0" fontId="0" fillId="5" borderId="0" xfId="0" applyNumberFormat="1" applyFont="1" applyFill="1" applyAlignment="1"/>
    <xf numFmtId="0" fontId="2"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0" fillId="0" borderId="0" xfId="0" applyFont="1" applyAlignment="1">
      <alignment wrapText="1"/>
    </xf>
    <xf numFmtId="0" fontId="0" fillId="0" borderId="0" xfId="0" applyFont="1" applyAlignment="1">
      <alignment horizontal="center"/>
    </xf>
    <xf numFmtId="0" fontId="4" fillId="2" borderId="1" xfId="0" applyFont="1" applyFill="1" applyBorder="1" applyAlignment="1">
      <alignment horizontal="center" vertical="center" wrapText="1"/>
    </xf>
    <xf numFmtId="0" fontId="5" fillId="0" borderId="0" xfId="0" applyFont="1" applyAlignment="1">
      <alignment wrapText="1"/>
    </xf>
    <xf numFmtId="0" fontId="4" fillId="5"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9" fontId="4" fillId="3" borderId="4" xfId="1" applyFont="1" applyFill="1" applyBorder="1" applyAlignment="1">
      <alignment horizontal="center" vertical="center" wrapText="1"/>
    </xf>
    <xf numFmtId="9" fontId="0" fillId="0" borderId="0" xfId="1" applyFont="1" applyAlignment="1">
      <alignment horizontal="center" vertical="center"/>
    </xf>
    <xf numFmtId="10" fontId="2" fillId="0" borderId="1" xfId="1" applyNumberFormat="1" applyFont="1" applyBorder="1" applyAlignment="1">
      <alignment horizontal="center" vertical="center"/>
    </xf>
    <xf numFmtId="0" fontId="4" fillId="5" borderId="1" xfId="0" applyFont="1" applyFill="1" applyBorder="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righ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2" borderId="1" xfId="0" applyFont="1" applyFill="1" applyBorder="1" applyAlignment="1">
      <alignment horizontal="center" vertical="center" wrapText="1"/>
    </xf>
    <xf numFmtId="0" fontId="7" fillId="0" borderId="1" xfId="0" applyFont="1" applyBorder="1" applyAlignment="1">
      <alignment vertical="center" wrapText="1"/>
    </xf>
    <xf numFmtId="3" fontId="9"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1" fontId="9" fillId="0" borderId="0" xfId="0" applyNumberFormat="1" applyFont="1" applyAlignment="1">
      <alignment horizontal="center" vertical="center" wrapText="1"/>
    </xf>
    <xf numFmtId="0" fontId="10" fillId="0" borderId="1" xfId="0" applyFont="1" applyBorder="1" applyAlignment="1">
      <alignment horizontal="center" vertical="center" wrapText="1"/>
    </xf>
    <xf numFmtId="9" fontId="10" fillId="0" borderId="1" xfId="1" applyFont="1" applyBorder="1" applyAlignment="1">
      <alignment horizontal="center" vertical="center" wrapText="1"/>
    </xf>
    <xf numFmtId="0" fontId="10" fillId="0" borderId="1" xfId="0" applyFont="1" applyBorder="1" applyAlignment="1">
      <alignment horizontal="left" vertical="center" wrapText="1"/>
    </xf>
    <xf numFmtId="0" fontId="7" fillId="7" borderId="1" xfId="0" applyFont="1" applyFill="1" applyBorder="1" applyAlignment="1">
      <alignment horizontal="left" vertical="center" wrapText="1"/>
    </xf>
    <xf numFmtId="3" fontId="10" fillId="0" borderId="1" xfId="0" applyNumberFormat="1" applyFont="1" applyBorder="1" applyAlignment="1">
      <alignment horizontal="right" vertical="center" wrapText="1"/>
    </xf>
    <xf numFmtId="0" fontId="10" fillId="0" borderId="1" xfId="0" applyFont="1" applyBorder="1" applyAlignment="1">
      <alignment horizontal="right" vertical="center" wrapText="1"/>
    </xf>
    <xf numFmtId="3" fontId="10" fillId="3" borderId="1" xfId="0" applyNumberFormat="1" applyFont="1" applyFill="1" applyBorder="1" applyAlignment="1">
      <alignment horizontal="right" vertical="center" wrapText="1"/>
    </xf>
    <xf numFmtId="0" fontId="7" fillId="7" borderId="1" xfId="0" applyFont="1" applyFill="1" applyBorder="1" applyAlignment="1">
      <alignment horizontal="right" vertical="center" wrapText="1"/>
    </xf>
    <xf numFmtId="10" fontId="8" fillId="2" borderId="1" xfId="1"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3" fillId="0" borderId="0" xfId="0" applyFont="1" applyAlignment="1"/>
    <xf numFmtId="2" fontId="7" fillId="0" borderId="1" xfId="0" applyNumberFormat="1" applyFont="1" applyBorder="1" applyAlignment="1">
      <alignment vertical="center" wrapText="1"/>
    </xf>
    <xf numFmtId="0" fontId="11" fillId="9" borderId="1" xfId="0" applyFont="1" applyFill="1" applyBorder="1" applyAlignment="1">
      <alignment horizontal="center" vertical="center" wrapText="1"/>
    </xf>
    <xf numFmtId="0" fontId="0" fillId="0" borderId="1" xfId="0" applyFont="1" applyBorder="1" applyAlignment="1"/>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0" xfId="0" applyFont="1" applyAlignment="1">
      <alignment wrapText="1"/>
    </xf>
    <xf numFmtId="0" fontId="7" fillId="14" borderId="1"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2" borderId="1" xfId="0" applyFont="1" applyFill="1" applyBorder="1" applyAlignment="1">
      <alignment horizontal="center" vertical="center" wrapText="1"/>
    </xf>
    <xf numFmtId="9" fontId="7" fillId="12" borderId="1" xfId="1" applyFont="1" applyFill="1" applyBorder="1" applyAlignment="1">
      <alignment horizontal="center" vertical="center" wrapText="1"/>
    </xf>
    <xf numFmtId="0" fontId="7" fillId="9" borderId="1" xfId="0" applyFont="1" applyFill="1" applyBorder="1" applyAlignment="1">
      <alignment horizontal="centerContinuous" vertical="center" wrapText="1"/>
    </xf>
    <xf numFmtId="3" fontId="7" fillId="0" borderId="1" xfId="0" applyNumberFormat="1" applyFont="1" applyFill="1" applyBorder="1" applyAlignment="1">
      <alignment horizontal="right" vertical="center" wrapText="1"/>
    </xf>
    <xf numFmtId="0" fontId="3" fillId="0" borderId="1" xfId="0" applyFont="1" applyBorder="1" applyAlignment="1">
      <alignment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166" fontId="7" fillId="0" borderId="1" xfId="1" applyNumberFormat="1" applyFont="1" applyBorder="1" applyAlignment="1">
      <alignment horizontal="center" vertical="center" wrapText="1"/>
    </xf>
    <xf numFmtId="167" fontId="7" fillId="9" borderId="0" xfId="0" applyNumberFormat="1" applyFont="1" applyFill="1" applyAlignment="1">
      <alignment vertical="center" wrapText="1"/>
    </xf>
    <xf numFmtId="167" fontId="7" fillId="0" borderId="1" xfId="0" applyNumberFormat="1" applyFont="1" applyBorder="1" applyAlignment="1">
      <alignment horizontal="center" vertical="center" wrapText="1"/>
    </xf>
    <xf numFmtId="166" fontId="7" fillId="0" borderId="1" xfId="1" applyNumberFormat="1" applyFont="1" applyBorder="1" applyAlignment="1"/>
    <xf numFmtId="166" fontId="7" fillId="9" borderId="0" xfId="1" applyNumberFormat="1" applyFont="1" applyFill="1" applyAlignment="1">
      <alignment horizontal="center" vertical="center" wrapText="1"/>
    </xf>
    <xf numFmtId="10" fontId="7" fillId="0" borderId="0" xfId="1" applyNumberFormat="1" applyFont="1" applyAlignment="1">
      <alignment horizontal="center" vertical="center" wrapText="1"/>
    </xf>
    <xf numFmtId="0" fontId="13" fillId="3" borderId="1" xfId="0" applyFont="1" applyFill="1" applyBorder="1" applyAlignment="1">
      <alignment horizontal="centerContinuous" vertical="center" wrapText="1"/>
    </xf>
    <xf numFmtId="0" fontId="13" fillId="9" borderId="1" xfId="0" applyFont="1" applyFill="1" applyBorder="1" applyAlignment="1">
      <alignment horizontal="centerContinuous" vertical="center" wrapText="1"/>
    </xf>
    <xf numFmtId="0" fontId="11" fillId="0" borderId="1" xfId="0" applyFont="1" applyBorder="1" applyAlignment="1">
      <alignment horizontal="center" vertical="center" wrapText="1"/>
    </xf>
    <xf numFmtId="10" fontId="10" fillId="0" borderId="1" xfId="1" applyNumberFormat="1" applyFont="1" applyBorder="1" applyAlignment="1">
      <alignment horizontal="right" vertical="center" wrapText="1"/>
    </xf>
    <xf numFmtId="10" fontId="10" fillId="0" borderId="1" xfId="1" applyNumberFormat="1" applyFont="1" applyBorder="1" applyAlignment="1">
      <alignment horizontal="center" vertical="center" wrapText="1"/>
    </xf>
    <xf numFmtId="9" fontId="7" fillId="0" borderId="1" xfId="1" applyFont="1" applyBorder="1" applyAlignment="1">
      <alignment horizontal="center" vertical="center" wrapText="1"/>
    </xf>
    <xf numFmtId="164" fontId="9" fillId="0" borderId="0" xfId="0" applyNumberFormat="1" applyFont="1" applyAlignment="1">
      <alignment vertical="center" wrapText="1"/>
    </xf>
    <xf numFmtId="3" fontId="9" fillId="0" borderId="0" xfId="0" applyNumberFormat="1" applyFont="1" applyAlignment="1">
      <alignment vertical="center" wrapText="1"/>
    </xf>
    <xf numFmtId="165" fontId="9" fillId="0" borderId="0" xfId="0" applyNumberFormat="1" applyFont="1" applyAlignment="1">
      <alignment vertical="center" wrapText="1"/>
    </xf>
    <xf numFmtId="2" fontId="7" fillId="0" borderId="0" xfId="0" applyNumberFormat="1" applyFont="1" applyAlignment="1">
      <alignment vertical="center" wrapText="1"/>
    </xf>
    <xf numFmtId="10" fontId="7" fillId="10" borderId="6" xfId="1" applyNumberFormat="1" applyFont="1" applyFill="1" applyBorder="1" applyAlignment="1">
      <alignment horizontal="center" vertical="center" wrapText="1"/>
    </xf>
    <xf numFmtId="10" fontId="7" fillId="0" borderId="0" xfId="1" applyNumberFormat="1" applyFont="1" applyAlignment="1">
      <alignment vertical="center" wrapText="1"/>
    </xf>
    <xf numFmtId="9" fontId="7" fillId="10" borderId="7" xfId="1" applyFont="1" applyFill="1" applyBorder="1" applyAlignment="1">
      <alignment horizontal="center" vertical="center" wrapText="1"/>
    </xf>
    <xf numFmtId="10" fontId="14" fillId="10" borderId="7" xfId="1" applyNumberFormat="1" applyFont="1" applyFill="1" applyBorder="1" applyAlignment="1">
      <alignment horizontal="center" vertical="center" wrapText="1"/>
    </xf>
    <xf numFmtId="10" fontId="14" fillId="10" borderId="8" xfId="0" applyNumberFormat="1" applyFont="1" applyFill="1" applyBorder="1" applyAlignment="1">
      <alignment horizontal="center" vertical="center" wrapText="1"/>
    </xf>
    <xf numFmtId="9" fontId="7" fillId="0" borderId="0" xfId="1" applyFont="1" applyAlignment="1">
      <alignment horizontal="center" vertical="center" wrapText="1"/>
    </xf>
    <xf numFmtId="3" fontId="10" fillId="10" borderId="1" xfId="0" applyNumberFormat="1" applyFont="1" applyFill="1" applyBorder="1" applyAlignment="1">
      <alignment horizontal="right" vertical="center" wrapText="1"/>
    </xf>
    <xf numFmtId="0" fontId="15" fillId="15" borderId="9" xfId="0" applyFont="1" applyFill="1" applyBorder="1" applyAlignment="1">
      <alignment horizontal="center" vertical="top" wrapText="1" readingOrder="1"/>
    </xf>
    <xf numFmtId="0" fontId="15" fillId="15" borderId="10" xfId="0" applyFont="1" applyFill="1" applyBorder="1" applyAlignment="1">
      <alignment horizontal="center" vertical="top" wrapText="1" readingOrder="1"/>
    </xf>
    <xf numFmtId="0" fontId="15" fillId="15" borderId="11" xfId="0" applyFont="1" applyFill="1" applyBorder="1" applyAlignment="1">
      <alignment horizontal="center" vertical="top" wrapText="1" readingOrder="1"/>
    </xf>
    <xf numFmtId="0" fontId="2" fillId="0" borderId="12" xfId="0" applyFont="1" applyBorder="1" applyAlignment="1">
      <alignment horizontal="left" vertical="center" wrapText="1"/>
    </xf>
    <xf numFmtId="3" fontId="2" fillId="0" borderId="13" xfId="0" applyNumberFormat="1" applyFont="1" applyBorder="1" applyAlignment="1">
      <alignment horizontal="right" vertical="center" wrapText="1"/>
    </xf>
    <xf numFmtId="3" fontId="2" fillId="10" borderId="13" xfId="0" applyNumberFormat="1" applyFont="1" applyFill="1" applyBorder="1" applyAlignment="1">
      <alignment horizontal="right" vertical="center" wrapText="1"/>
    </xf>
    <xf numFmtId="0" fontId="16" fillId="0" borderId="14" xfId="0" applyFont="1" applyBorder="1" applyAlignment="1">
      <alignment horizontal="center" vertical="center" wrapText="1"/>
    </xf>
    <xf numFmtId="0" fontId="2" fillId="0" borderId="15" xfId="0" applyFont="1" applyBorder="1" applyAlignment="1">
      <alignment horizontal="left" vertical="center" wrapText="1"/>
    </xf>
    <xf numFmtId="3" fontId="2" fillId="10" borderId="16" xfId="0" applyNumberFormat="1" applyFont="1" applyFill="1" applyBorder="1" applyAlignment="1">
      <alignment horizontal="right" vertical="center" wrapText="1"/>
    </xf>
    <xf numFmtId="0" fontId="19" fillId="15" borderId="10" xfId="0" applyFont="1" applyFill="1" applyBorder="1" applyAlignment="1">
      <alignment horizontal="center" vertical="top" wrapText="1" readingOrder="1"/>
    </xf>
    <xf numFmtId="0" fontId="18" fillId="0" borderId="15" xfId="0" applyFont="1" applyBorder="1" applyAlignment="1">
      <alignment horizontal="center" vertical="center" wrapText="1"/>
    </xf>
    <xf numFmtId="2" fontId="7" fillId="6" borderId="1" xfId="0" applyNumberFormat="1" applyFont="1" applyFill="1" applyBorder="1" applyAlignment="1">
      <alignment vertical="center" wrapText="1"/>
    </xf>
    <xf numFmtId="0" fontId="15" fillId="15" borderId="9" xfId="0" applyFont="1" applyFill="1" applyBorder="1" applyAlignment="1">
      <alignment vertical="center" wrapText="1" readingOrder="1"/>
    </xf>
    <xf numFmtId="0" fontId="15" fillId="15" borderId="11" xfId="0" applyFont="1" applyFill="1" applyBorder="1" applyAlignment="1">
      <alignment vertical="center" wrapText="1" readingOrder="1"/>
    </xf>
    <xf numFmtId="0" fontId="17" fillId="0" borderId="12" xfId="0" applyFont="1" applyBorder="1" applyAlignment="1">
      <alignment horizontal="right" vertical="center" readingOrder="1"/>
    </xf>
    <xf numFmtId="0" fontId="18" fillId="0" borderId="13" xfId="0" applyFont="1" applyBorder="1" applyAlignment="1">
      <alignment vertical="center" wrapText="1" readingOrder="1"/>
    </xf>
    <xf numFmtId="0" fontId="7" fillId="0" borderId="13" xfId="0" applyFont="1" applyBorder="1" applyAlignment="1">
      <alignment vertical="center" wrapText="1" readingOrder="1"/>
    </xf>
    <xf numFmtId="0" fontId="7" fillId="0" borderId="13" xfId="0" applyFont="1" applyBorder="1" applyAlignment="1">
      <alignment wrapText="1"/>
    </xf>
    <xf numFmtId="0" fontId="17" fillId="0" borderId="14" xfId="0" applyFont="1" applyFill="1" applyBorder="1" applyAlignment="1">
      <alignment horizontal="right" vertical="center" readingOrder="1"/>
    </xf>
    <xf numFmtId="0" fontId="7" fillId="0" borderId="16" xfId="0" applyFont="1" applyBorder="1" applyAlignment="1">
      <alignment wrapText="1"/>
    </xf>
  </cellXfs>
  <cellStyles count="2">
    <cellStyle name="Normal" xfId="0" builtinId="0"/>
    <cellStyle name="Percent" xfId="1" builtinId="5"/>
  </cellStyles>
  <dxfs count="7">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59999389629810485"/>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8"/>
    </mc:Choice>
    <mc:Fallback>
      <c:style val="28"/>
    </mc:Fallback>
  </mc:AlternateContent>
  <c:chart>
    <c:title>
      <c:overlay val="0"/>
    </c:title>
    <c:autoTitleDeleted val="0"/>
    <c:plotArea>
      <c:layout/>
      <c:doughnutChart>
        <c:varyColors val="1"/>
        <c:ser>
          <c:idx val="0"/>
          <c:order val="0"/>
          <c:tx>
            <c:strRef>
              <c:f>Pivot1!$B$10</c:f>
              <c:strCache>
                <c:ptCount val="1"/>
                <c:pt idx="0">
                  <c:v>Emission mix</c:v>
                </c:pt>
              </c:strCache>
            </c:strRef>
          </c:tx>
          <c:explosion val="9"/>
          <c:dPt>
            <c:idx val="2"/>
            <c:bubble3D val="0"/>
            <c:spPr>
              <a:solidFill>
                <a:schemeClr val="accent2">
                  <a:lumMod val="50000"/>
                </a:schemeClr>
              </a:solidFill>
            </c:spPr>
          </c:dPt>
          <c:dLbls>
            <c:dLbl>
              <c:idx val="2"/>
              <c:layout>
                <c:manualLayout>
                  <c:x val="0.15473661536988728"/>
                  <c:y val="-7.8704068241469902E-2"/>
                </c:manualLayout>
              </c:layout>
              <c:spPr/>
              <c:txPr>
                <a:bodyPr/>
                <a:lstStyle/>
                <a:p>
                  <a:pPr>
                    <a:defRPr b="1">
                      <a:solidFill>
                        <a:schemeClr val="bg1"/>
                      </a:solidFill>
                    </a:defRPr>
                  </a:pPr>
                  <a:endParaRPr lang="en-US"/>
                </a:p>
              </c:txPr>
              <c:showLegendKey val="0"/>
              <c:showVal val="1"/>
              <c:showCatName val="0"/>
              <c:showSerName val="0"/>
              <c:showPercent val="0"/>
              <c:showBubbleSize val="0"/>
            </c:dLbl>
            <c:txPr>
              <a:bodyPr/>
              <a:lstStyle/>
              <a:p>
                <a:pPr>
                  <a:defRPr b="1"/>
                </a:pPr>
                <a:endParaRPr lang="en-US"/>
              </a:p>
            </c:txPr>
            <c:showLegendKey val="0"/>
            <c:showVal val="0"/>
            <c:showCatName val="0"/>
            <c:showSerName val="0"/>
            <c:showPercent val="0"/>
            <c:showBubbleSize val="0"/>
          </c:dLbls>
          <c:cat>
            <c:strRef>
              <c:f>Pivot1!$A$11:$A$13</c:f>
              <c:strCache>
                <c:ptCount val="3"/>
                <c:pt idx="0">
                  <c:v>Scope 1</c:v>
                </c:pt>
                <c:pt idx="1">
                  <c:v>Scope 2</c:v>
                </c:pt>
                <c:pt idx="2">
                  <c:v>Scope 3</c:v>
                </c:pt>
              </c:strCache>
            </c:strRef>
          </c:cat>
          <c:val>
            <c:numRef>
              <c:f>Pivot1!$C$11:$C$13</c:f>
              <c:numCache>
                <c:formatCode>0.00%</c:formatCode>
                <c:ptCount val="3"/>
                <c:pt idx="0">
                  <c:v>2.4938315477336429E-3</c:v>
                </c:pt>
                <c:pt idx="1">
                  <c:v>5.9115016708499116E-3</c:v>
                </c:pt>
                <c:pt idx="2">
                  <c:v>0.9915946667814165</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485775</xdr:colOff>
      <xdr:row>9</xdr:row>
      <xdr:rowOff>190499</xdr:rowOff>
    </xdr:from>
    <xdr:to>
      <xdr:col>7</xdr:col>
      <xdr:colOff>552450</xdr:colOff>
      <xdr:row>21</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05.94581921296" createdVersion="4" refreshedVersion="4" minRefreshableVersion="3" recordCount="21">
  <cacheSource type="worksheet">
    <worksheetSource ref="A5:G26" sheet="1. Emission sources"/>
  </cacheSource>
  <cacheFields count="5">
    <cacheField name="Emission Source" numFmtId="0">
      <sharedItems/>
    </cacheField>
    <cacheField name="Unit" numFmtId="0">
      <sharedItems/>
    </cacheField>
    <cacheField name="Emissions" numFmtId="0">
      <sharedItems containsSemiMixedTypes="0" containsString="0" containsNumber="1" containsInteger="1" minValue="0" maxValue="80675000"/>
    </cacheField>
    <cacheField name="Data Year" numFmtId="0">
      <sharedItems containsSemiMixedTypes="0" containsString="0" containsNumber="1" containsInteger="1" minValue="2018" maxValue="2020"/>
    </cacheField>
    <cacheField name="Scope" numFmtId="0">
      <sharedItems containsSemiMixedTypes="0" containsString="0" containsNumber="1" containsInteger="1" minValue="1" maxValue="3" count="3">
        <n v="3"/>
        <n v="2"/>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06.214902893516" createdVersion="4" refreshedVersion="4" minRefreshableVersion="3" recordCount="21">
  <cacheSource type="worksheet">
    <worksheetSource ref="A5:H26" sheet="1. Emission sources"/>
  </cacheSource>
  <cacheFields count="6">
    <cacheField name="Emission Source" numFmtId="0">
      <sharedItems count="21">
        <s v="Use of Sold Products"/>
        <s v="Purchased goods and services"/>
        <s v="Capital Goods"/>
        <s v="Downstream Transportation and Distribution"/>
        <s v="Upstream Transportation and Distribution"/>
        <s v="Electricity for Fast Cars Manufacturing"/>
        <s v="Employee Commuting"/>
        <s v="Fuel and Energy Related Activities"/>
        <s v="End-of-Life Treatment of Sold Products"/>
        <s v="Fast Cars Manufacturing Onsite Gas Boilers"/>
        <s v="Business Travel"/>
        <s v="Electricity for Fast Cars Offices"/>
        <s v="HVAC electricity for Fast Cars Offices"/>
        <s v="Emissions of company vehicles"/>
        <s v="Waste Generated in Operations"/>
        <s v="Processing of Sold Products"/>
        <s v="Fugitive emissions at Fast Cars Locations"/>
        <s v="Investments"/>
        <s v="Upstream Leased Assets"/>
        <s v="Downstream Leased Assets"/>
        <s v="Franchises"/>
      </sharedItems>
    </cacheField>
    <cacheField name="Unit" numFmtId="0">
      <sharedItems/>
    </cacheField>
    <cacheField name="Emissions" numFmtId="0">
      <sharedItems containsSemiMixedTypes="0" containsString="0" containsNumber="1" containsInteger="1" minValue="0" maxValue="80675000" count="18">
        <n v="80675000"/>
        <n v="10000000"/>
        <n v="1030000"/>
        <n v="706000"/>
        <n v="624000"/>
        <n v="362089"/>
        <n v="209233"/>
        <n v="208000"/>
        <n v="167000"/>
        <n v="150989"/>
        <n v="121464"/>
        <n v="108544"/>
        <n v="88767"/>
        <n v="85000"/>
        <n v="78000"/>
        <n v="10000"/>
        <n v="5000"/>
        <n v="0"/>
      </sharedItems>
    </cacheField>
    <cacheField name="Data Year" numFmtId="0">
      <sharedItems containsSemiMixedTypes="0" containsString="0" containsNumber="1" containsInteger="1" minValue="2018" maxValue="2020"/>
    </cacheField>
    <cacheField name="Scope" numFmtId="0">
      <sharedItems containsSemiMixedTypes="0" containsString="0" containsNumber="1" containsInteger="1" minValue="1" maxValue="3" count="3">
        <n v="3"/>
        <n v="2"/>
        <n v="1"/>
      </sharedItems>
    </cacheField>
    <cacheField name="Linkage" numFmtId="0">
      <sharedItems count="5">
        <s v="Downstream"/>
        <s v="Upstream"/>
        <s v="External"/>
        <s v="Onsite"/>
        <s v="Upstream &amp; Downstrea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s v="Use of Sold Products"/>
    <s v="tCO2"/>
    <n v="80675000"/>
    <n v="2018"/>
    <x v="0"/>
  </r>
  <r>
    <s v="Purchased goods and services"/>
    <s v="tCO2"/>
    <n v="10000000"/>
    <n v="2019"/>
    <x v="0"/>
  </r>
  <r>
    <s v="Capital Goods"/>
    <s v="tCO2"/>
    <n v="1030000"/>
    <n v="2018"/>
    <x v="0"/>
  </r>
  <r>
    <s v="Downstream Transportation and Distribution"/>
    <s v="tCO2"/>
    <n v="706000"/>
    <n v="2020"/>
    <x v="0"/>
  </r>
  <r>
    <s v="Upstream Transportation and Distribution"/>
    <s v="tCO2"/>
    <n v="624000"/>
    <n v="2019"/>
    <x v="0"/>
  </r>
  <r>
    <s v="Electricity for Fast Cars Manufacturing"/>
    <s v="tCO2"/>
    <n v="362089"/>
    <n v="2019"/>
    <x v="1"/>
  </r>
  <r>
    <s v="Employee Commuting"/>
    <s v="tCO2"/>
    <n v="209233"/>
    <n v="2018"/>
    <x v="0"/>
  </r>
  <r>
    <s v="Fuel and Energy Related Activities"/>
    <s v="tCO2"/>
    <n v="208000"/>
    <n v="2020"/>
    <x v="0"/>
  </r>
  <r>
    <s v="End-of-Life Treatment of Sold Products"/>
    <s v="tCO2"/>
    <n v="167000"/>
    <n v="2019"/>
    <x v="0"/>
  </r>
  <r>
    <s v="Fast Cars Manufacturing Onsite Gas Boilers"/>
    <s v="tCO2"/>
    <n v="150989"/>
    <n v="2020"/>
    <x v="2"/>
  </r>
  <r>
    <s v="Business Travel"/>
    <s v="tCO2"/>
    <n v="121464"/>
    <n v="2018"/>
    <x v="0"/>
  </r>
  <r>
    <s v="Electricity for Fast Cars Offices"/>
    <s v="tCO2"/>
    <n v="108544"/>
    <n v="2018"/>
    <x v="1"/>
  </r>
  <r>
    <s v="HVAC electricity for Fast Cars Offices"/>
    <s v="tCO2"/>
    <n v="88767"/>
    <n v="2019"/>
    <x v="1"/>
  </r>
  <r>
    <s v="Emissions of company vehicles"/>
    <s v="tCO2"/>
    <n v="85000"/>
    <n v="2019"/>
    <x v="2"/>
  </r>
  <r>
    <s v="Waste Generated in Operations"/>
    <s v="tCO2"/>
    <n v="78000"/>
    <n v="2018"/>
    <x v="0"/>
  </r>
  <r>
    <s v="Processing of Sold Products"/>
    <s v="tCO2"/>
    <n v="10000"/>
    <n v="2018"/>
    <x v="0"/>
  </r>
  <r>
    <s v="Fugitive emissions at Fast Cars Locations"/>
    <s v="tCO2"/>
    <n v="5000"/>
    <n v="2020"/>
    <x v="0"/>
  </r>
  <r>
    <s v="Investments"/>
    <s v="tCO2"/>
    <n v="0"/>
    <n v="2020"/>
    <x v="0"/>
  </r>
  <r>
    <s v="Upstream Leased Assets"/>
    <s v="tCO2"/>
    <n v="0"/>
    <n v="2019"/>
    <x v="0"/>
  </r>
  <r>
    <s v="Downstream Leased Assets"/>
    <s v="tCO2"/>
    <n v="0"/>
    <n v="2018"/>
    <x v="0"/>
  </r>
  <r>
    <s v="Franchises"/>
    <s v="tCO2"/>
    <n v="0"/>
    <n v="2019"/>
    <x v="0"/>
  </r>
</pivotCacheRecords>
</file>

<file path=xl/pivotCache/pivotCacheRecords2.xml><?xml version="1.0" encoding="utf-8"?>
<pivotCacheRecords xmlns="http://schemas.openxmlformats.org/spreadsheetml/2006/main" xmlns:r="http://schemas.openxmlformats.org/officeDocument/2006/relationships" count="21">
  <r>
    <x v="0"/>
    <s v="tCO2"/>
    <x v="0"/>
    <n v="2018"/>
    <x v="0"/>
    <x v="0"/>
  </r>
  <r>
    <x v="1"/>
    <s v="tCO2"/>
    <x v="1"/>
    <n v="2019"/>
    <x v="0"/>
    <x v="0"/>
  </r>
  <r>
    <x v="2"/>
    <s v="tCO2"/>
    <x v="2"/>
    <n v="2018"/>
    <x v="0"/>
    <x v="1"/>
  </r>
  <r>
    <x v="3"/>
    <s v="tCO2"/>
    <x v="3"/>
    <n v="2020"/>
    <x v="0"/>
    <x v="0"/>
  </r>
  <r>
    <x v="4"/>
    <s v="tCO2"/>
    <x v="4"/>
    <n v="2019"/>
    <x v="0"/>
    <x v="1"/>
  </r>
  <r>
    <x v="5"/>
    <s v="tCO2"/>
    <x v="5"/>
    <n v="2019"/>
    <x v="1"/>
    <x v="2"/>
  </r>
  <r>
    <x v="6"/>
    <s v="tCO2"/>
    <x v="6"/>
    <n v="2018"/>
    <x v="0"/>
    <x v="1"/>
  </r>
  <r>
    <x v="7"/>
    <s v="tCO2"/>
    <x v="7"/>
    <n v="2020"/>
    <x v="0"/>
    <x v="1"/>
  </r>
  <r>
    <x v="8"/>
    <s v="tCO2"/>
    <x v="8"/>
    <n v="2019"/>
    <x v="0"/>
    <x v="0"/>
  </r>
  <r>
    <x v="9"/>
    <s v="tCO2"/>
    <x v="9"/>
    <n v="2020"/>
    <x v="2"/>
    <x v="3"/>
  </r>
  <r>
    <x v="10"/>
    <s v="tCO2"/>
    <x v="10"/>
    <n v="2018"/>
    <x v="0"/>
    <x v="4"/>
  </r>
  <r>
    <x v="11"/>
    <s v="tCO2"/>
    <x v="11"/>
    <n v="2018"/>
    <x v="1"/>
    <x v="2"/>
  </r>
  <r>
    <x v="12"/>
    <s v="tCO2"/>
    <x v="12"/>
    <n v="2019"/>
    <x v="1"/>
    <x v="2"/>
  </r>
  <r>
    <x v="13"/>
    <s v="tCO2"/>
    <x v="13"/>
    <n v="2019"/>
    <x v="2"/>
    <x v="3"/>
  </r>
  <r>
    <x v="14"/>
    <s v="tCO2"/>
    <x v="14"/>
    <n v="2018"/>
    <x v="0"/>
    <x v="0"/>
  </r>
  <r>
    <x v="15"/>
    <s v="tCO2"/>
    <x v="15"/>
    <n v="2018"/>
    <x v="0"/>
    <x v="0"/>
  </r>
  <r>
    <x v="16"/>
    <s v="tCO2"/>
    <x v="16"/>
    <n v="2020"/>
    <x v="0"/>
    <x v="0"/>
  </r>
  <r>
    <x v="17"/>
    <s v="tCO2"/>
    <x v="17"/>
    <n v="2020"/>
    <x v="0"/>
    <x v="1"/>
  </r>
  <r>
    <x v="18"/>
    <s v="tCO2"/>
    <x v="17"/>
    <n v="2019"/>
    <x v="0"/>
    <x v="1"/>
  </r>
  <r>
    <x v="19"/>
    <s v="tCO2"/>
    <x v="17"/>
    <n v="2018"/>
    <x v="0"/>
    <x v="0"/>
  </r>
  <r>
    <x v="20"/>
    <s v="tCO2"/>
    <x v="17"/>
    <n v="201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5">
    <pivotField showAll="0"/>
    <pivotField showAll="0"/>
    <pivotField dataField="1" showAll="0"/>
    <pivotField showAll="0"/>
    <pivotField axis="axisRow" showAll="0">
      <items count="4">
        <item x="2"/>
        <item x="1"/>
        <item x="0"/>
        <item t="default"/>
      </items>
    </pivotField>
  </pivotFields>
  <rowFields count="1">
    <field x="4"/>
  </rowFields>
  <rowItems count="4">
    <i>
      <x/>
    </i>
    <i>
      <x v="1"/>
    </i>
    <i>
      <x v="2"/>
    </i>
    <i t="grand">
      <x/>
    </i>
  </rowItems>
  <colItems count="1">
    <i/>
  </colItems>
  <dataFields count="1">
    <dataField name="Sum of Emiss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31" firstHeaderRow="0" firstDataRow="1" firstDataCol="1"/>
  <pivotFields count="6">
    <pivotField axis="axisRow" dataField="1" showAll="0">
      <items count="22">
        <item x="10"/>
        <item x="2"/>
        <item x="19"/>
        <item x="3"/>
        <item x="5"/>
        <item x="11"/>
        <item x="13"/>
        <item x="6"/>
        <item x="8"/>
        <item x="9"/>
        <item x="20"/>
        <item x="7"/>
        <item x="16"/>
        <item x="12"/>
        <item x="17"/>
        <item x="15"/>
        <item x="1"/>
        <item x="18"/>
        <item x="4"/>
        <item x="0"/>
        <item x="14"/>
        <item t="default"/>
      </items>
    </pivotField>
    <pivotField showAll="0"/>
    <pivotField dataField="1" showAll="0">
      <items count="19">
        <item x="17"/>
        <item x="16"/>
        <item x="15"/>
        <item x="14"/>
        <item x="13"/>
        <item x="12"/>
        <item x="11"/>
        <item x="10"/>
        <item x="9"/>
        <item x="8"/>
        <item x="7"/>
        <item x="6"/>
        <item x="5"/>
        <item x="4"/>
        <item x="3"/>
        <item x="2"/>
        <item x="1"/>
        <item x="0"/>
        <item t="default"/>
      </items>
    </pivotField>
    <pivotField showAll="0"/>
    <pivotField axis="axisRow" showAll="0">
      <items count="4">
        <item x="2"/>
        <item x="1"/>
        <item x="0"/>
        <item t="default"/>
      </items>
    </pivotField>
    <pivotField axis="axisRow" showAll="0">
      <items count="6">
        <item x="0"/>
        <item x="2"/>
        <item sd="0" x="3"/>
        <item x="1"/>
        <item x="4"/>
        <item t="default"/>
      </items>
    </pivotField>
  </pivotFields>
  <rowFields count="3">
    <field x="4"/>
    <field x="5"/>
    <field x="0"/>
  </rowFields>
  <rowItems count="28">
    <i>
      <x/>
    </i>
    <i r="1">
      <x v="2"/>
    </i>
    <i>
      <x v="1"/>
    </i>
    <i r="1">
      <x v="1"/>
    </i>
    <i r="2">
      <x v="4"/>
    </i>
    <i r="2">
      <x v="5"/>
    </i>
    <i r="2">
      <x v="13"/>
    </i>
    <i>
      <x v="2"/>
    </i>
    <i r="1">
      <x/>
    </i>
    <i r="2">
      <x v="2"/>
    </i>
    <i r="2">
      <x v="3"/>
    </i>
    <i r="2">
      <x v="8"/>
    </i>
    <i r="2">
      <x v="10"/>
    </i>
    <i r="2">
      <x v="12"/>
    </i>
    <i r="2">
      <x v="15"/>
    </i>
    <i r="2">
      <x v="16"/>
    </i>
    <i r="2">
      <x v="19"/>
    </i>
    <i r="2">
      <x v="20"/>
    </i>
    <i r="1">
      <x v="3"/>
    </i>
    <i r="2">
      <x v="1"/>
    </i>
    <i r="2">
      <x v="7"/>
    </i>
    <i r="2">
      <x v="11"/>
    </i>
    <i r="2">
      <x v="14"/>
    </i>
    <i r="2">
      <x v="17"/>
    </i>
    <i r="2">
      <x v="18"/>
    </i>
    <i r="1">
      <x v="4"/>
    </i>
    <i r="2">
      <x/>
    </i>
    <i t="grand">
      <x/>
    </i>
  </rowItems>
  <colFields count="1">
    <field x="-2"/>
  </colFields>
  <colItems count="2">
    <i>
      <x/>
    </i>
    <i i="1">
      <x v="1"/>
    </i>
  </colItems>
  <dataFields count="2">
    <dataField name="Sum of Emissions" fld="2" baseField="0" baseItem="0"/>
    <dataField name="Count of Emission Source" fld="0" subtotal="count" baseField="0" baseItem="0"/>
  </dataFields>
  <formats count="7">
    <format dxfId="6">
      <pivotArea collapsedLevelsAreSubtotals="1" fieldPosition="0">
        <references count="4">
          <reference field="4294967294" count="1" selected="0">
            <x v="0"/>
          </reference>
          <reference field="0" count="1">
            <x v="6"/>
          </reference>
          <reference field="4" count="1" selected="0">
            <x v="0"/>
          </reference>
          <reference field="5" count="1" selected="0">
            <x v="2"/>
          </reference>
        </references>
      </pivotArea>
    </format>
    <format dxfId="5">
      <pivotArea collapsedLevelsAreSubtotals="1" fieldPosition="0">
        <references count="4">
          <reference field="4294967294" count="1" selected="0">
            <x v="0"/>
          </reference>
          <reference field="0" count="1">
            <x v="6"/>
          </reference>
          <reference field="4" count="1" selected="0">
            <x v="0"/>
          </reference>
          <reference field="5" count="1" selected="0">
            <x v="2"/>
          </reference>
        </references>
      </pivotArea>
    </format>
    <format dxfId="4">
      <pivotArea collapsedLevelsAreSubtotals="1" fieldPosition="0">
        <references count="4">
          <reference field="4294967294" count="1" selected="0">
            <x v="0"/>
          </reference>
          <reference field="0" count="1">
            <x v="4"/>
          </reference>
          <reference field="4" count="1" selected="0">
            <x v="1"/>
          </reference>
          <reference field="5" count="1" selected="0">
            <x v="1"/>
          </reference>
        </references>
      </pivotArea>
    </format>
    <format dxfId="3">
      <pivotArea collapsedLevelsAreSubtotals="1" fieldPosition="0">
        <references count="4">
          <reference field="4294967294" count="1" selected="0">
            <x v="0"/>
          </reference>
          <reference field="0" count="1">
            <x v="5"/>
          </reference>
          <reference field="4" count="1" selected="0">
            <x v="1"/>
          </reference>
          <reference field="5" count="1" selected="0">
            <x v="1"/>
          </reference>
        </references>
      </pivotArea>
    </format>
    <format dxfId="2">
      <pivotArea collapsedLevelsAreSubtotals="1" fieldPosition="0">
        <references count="4">
          <reference field="4294967294" count="1" selected="0">
            <x v="0"/>
          </reference>
          <reference field="0" count="1">
            <x v="13"/>
          </reference>
          <reference field="4" count="1" selected="0">
            <x v="1"/>
          </reference>
          <reference field="5" count="1" selected="0">
            <x v="1"/>
          </reference>
        </references>
      </pivotArea>
    </format>
    <format dxfId="1">
      <pivotArea collapsedLevelsAreSubtotals="1" fieldPosition="0">
        <references count="2">
          <reference field="4294967294" count="1" selected="0">
            <x v="0"/>
          </reference>
          <reference field="4" count="1">
            <x v="1"/>
          </reference>
        </references>
      </pivotArea>
    </format>
    <format dxfId="0">
      <pivotArea collapsedLevelsAreSubtotals="1" fieldPosition="0">
        <references count="2">
          <reference field="4294967294" count="1" selected="0">
            <x v="0"/>
          </reference>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tint="0.39997558519241921"/>
  </sheetPr>
  <dimension ref="A1:AD33"/>
  <sheetViews>
    <sheetView tabSelected="1" workbookViewId="0">
      <selection activeCell="Q7" sqref="Q7:S7"/>
    </sheetView>
  </sheetViews>
  <sheetFormatPr defaultColWidth="24.375" defaultRowHeight="11.25" x14ac:dyDescent="0.2"/>
  <cols>
    <col min="1" max="1" width="27.5" style="25" customWidth="1"/>
    <col min="2" max="2" width="8.5" style="27" hidden="1" customWidth="1"/>
    <col min="3" max="3" width="9.75" style="26" customWidth="1"/>
    <col min="4" max="4" width="9.25" style="70" customWidth="1"/>
    <col min="5" max="5" width="0.125" style="27" customWidth="1"/>
    <col min="6" max="6" width="7.75" style="27" customWidth="1"/>
    <col min="7" max="7" width="5.75" style="27" customWidth="1"/>
    <col min="8" max="8" width="10.625" style="27" customWidth="1"/>
    <col min="9" max="9" width="7.5" style="27" hidden="1" customWidth="1"/>
    <col min="10" max="10" width="9.125" style="27" hidden="1" customWidth="1"/>
    <col min="11" max="11" width="8.5" style="27" hidden="1" customWidth="1"/>
    <col min="12" max="12" width="7.375" style="27" hidden="1" customWidth="1"/>
    <col min="13" max="13" width="8.25" style="27" hidden="1" customWidth="1"/>
    <col min="14" max="14" width="7.625" style="27" hidden="1" customWidth="1"/>
    <col min="15" max="15" width="6.625" style="27" hidden="1" customWidth="1"/>
    <col min="16" max="16" width="9.625" style="27" hidden="1" customWidth="1"/>
    <col min="17" max="18" width="9.375" style="27" customWidth="1"/>
    <col min="19" max="19" width="11.625" style="27" customWidth="1"/>
    <col min="20" max="20" width="9.875" style="27" customWidth="1"/>
    <col min="21" max="21" width="11.5" style="27" customWidth="1"/>
    <col min="22" max="22" width="6.625" style="27" customWidth="1"/>
    <col min="23" max="23" width="10.5" style="27" customWidth="1"/>
    <col min="24" max="24" width="13.5" style="27" customWidth="1"/>
    <col min="25" max="25" width="7.875" style="28" customWidth="1"/>
    <col min="26" max="26" width="10.375" style="28" customWidth="1"/>
    <col min="27" max="27" width="9.375" style="28" customWidth="1"/>
    <col min="28" max="28" width="8.375" style="27" customWidth="1"/>
    <col min="29" max="16384" width="24.375" style="28"/>
  </cols>
  <sheetData>
    <row r="1" spans="1:28" ht="78.75" x14ac:dyDescent="0.2">
      <c r="I1" s="27" t="str">
        <f>VLOOKUP(I5,'2. Abatement matrix'!$A:$B,2,0)</f>
        <v>Less virgin
material production</v>
      </c>
      <c r="J1" s="27" t="str">
        <f>VLOOKUP(J5,'2. Abatement matrix'!$A:$B,2,0)</f>
        <v xml:space="preserve">Less material usage and
energy consumption </v>
      </c>
      <c r="K1" s="27" t="str">
        <f>VLOOKUP(K5,'2. Abatement matrix'!$A:$B,2,0)</f>
        <v xml:space="preserve">Power from renewable sources
(e.g. solar, wind) </v>
      </c>
      <c r="L1" s="27" t="str">
        <f>VLOOKUP(L5,'2. Abatement matrix'!$A:$B,2,0)</f>
        <v>Heat from renewable sources
(e.g. biomass, power)</v>
      </c>
      <c r="M1" s="27" t="str">
        <f>VLOOKUP(M5,'2. Abatement matrix'!$A:$B,2,0)</f>
        <v>New production processes
(e.g. H2
-DRI for steel)</v>
      </c>
      <c r="N1" s="27" t="str">
        <f>VLOOKUP(N5,'2. Abatement matrix'!$A:$B,2,0)</f>
        <v xml:space="preserve">Avoiding deforestation,
more sustainable agriculture </v>
      </c>
      <c r="O1" s="27" t="str">
        <f>VLOOKUP(O5,'2. Abatement matrix'!$A:$B,2,0)</f>
        <v>Transport: switch to green
fuels, batteries, hydrogen</v>
      </c>
      <c r="P1" s="27" t="str">
        <f>VLOOKUP(P5,'2. Abatement matrix'!$A:$B,2,0)</f>
        <v>Capture carbon and recycle
or store it underground</v>
      </c>
      <c r="S1" s="27">
        <f>(R11+S11)/Z11</f>
        <v>0.68749999999999989</v>
      </c>
    </row>
    <row r="2" spans="1:28" ht="21.75" customHeight="1" x14ac:dyDescent="0.2">
      <c r="H2" s="58" t="s">
        <v>86</v>
      </c>
      <c r="I2" s="59">
        <f>VLOOKUP(I5,'2. Abatement matrix'!$A:$J,10,0)</f>
        <v>0.05</v>
      </c>
      <c r="J2" s="59">
        <f>VLOOKUP(J5,'2. Abatement matrix'!$A:$J,10,0)</f>
        <v>0.15</v>
      </c>
      <c r="K2" s="59">
        <f>VLOOKUP(K5,'2. Abatement matrix'!$A:$J,10,0)</f>
        <v>0.4</v>
      </c>
      <c r="L2" s="59">
        <f>VLOOKUP(L5,'2. Abatement matrix'!$A:$J,10,0)</f>
        <v>0.2</v>
      </c>
      <c r="M2" s="59">
        <f>VLOOKUP(M5,'2. Abatement matrix'!$A:$J,10,0)</f>
        <v>0.1</v>
      </c>
      <c r="N2" s="59">
        <f>VLOOKUP(N5,'2. Abatement matrix'!$A:$J,10,0)</f>
        <v>0</v>
      </c>
      <c r="O2" s="59">
        <f>VLOOKUP(O5,'2. Abatement matrix'!$A:$J,10,0)</f>
        <v>0.05</v>
      </c>
      <c r="P2" s="59">
        <f>VLOOKUP(P5,'2. Abatement matrix'!$A:$J,10,0)</f>
        <v>0.05</v>
      </c>
      <c r="Z2" s="28">
        <f>(Z6+Z7+Z9+Z14+Z16+Z20+Z21)/(C6+C7+C9+C14+C16+C20+C21)</f>
        <v>0.61121613823154486</v>
      </c>
    </row>
    <row r="3" spans="1:28" ht="19.5" customHeight="1" x14ac:dyDescent="0.2">
      <c r="H3" s="45" t="s">
        <v>85</v>
      </c>
      <c r="I3" s="45" t="str">
        <f>VLOOKUP(I5,'2. Abatement matrix'!$A:$F,5,0)</f>
        <v>Low_1</v>
      </c>
      <c r="J3" s="45" t="str">
        <f>VLOOKUP(J5,'2. Abatement matrix'!$A:$F,5,0)</f>
        <v>Low_2</v>
      </c>
      <c r="K3" s="45" t="str">
        <f>VLOOKUP(K5,'2. Abatement matrix'!$A:$F,5,0)</f>
        <v>Low_3</v>
      </c>
      <c r="L3" s="45" t="str">
        <f>VLOOKUP(L5,'2. Abatement matrix'!$A:$F,5,0)</f>
        <v>Med_1</v>
      </c>
      <c r="M3" s="45" t="str">
        <f>VLOOKUP(M5,'2. Abatement matrix'!$A:$F,5,0)</f>
        <v>Med_2</v>
      </c>
      <c r="N3" s="45" t="str">
        <f>VLOOKUP(N5,'2. Abatement matrix'!$A:$F,5,0)</f>
        <v>Med_3</v>
      </c>
      <c r="O3" s="45" t="str">
        <f>VLOOKUP(O5,'2. Abatement matrix'!$A:$F,5,0)</f>
        <v>High_1</v>
      </c>
      <c r="P3" s="45" t="str">
        <f>VLOOKUP(P5,'2. Abatement matrix'!$A:$F,5,0)</f>
        <v>High_2</v>
      </c>
    </row>
    <row r="4" spans="1:28" ht="26.25" customHeight="1" x14ac:dyDescent="0.2">
      <c r="I4" s="55" t="str">
        <f>VLOOKUP(I5,'2. Abatement matrix'!$A:$E,4,0)</f>
        <v>&lt; €10/t CO 2 e</v>
      </c>
      <c r="J4" s="55" t="str">
        <f>VLOOKUP(J5,'2. Abatement matrix'!$A:$E,4,0)</f>
        <v>&lt; €10/t CO2 e</v>
      </c>
      <c r="K4" s="55" t="str">
        <f>VLOOKUP(K5,'2. Abatement matrix'!$A:$E,4,0)</f>
        <v>&lt; €10/t CO2 e</v>
      </c>
      <c r="L4" s="56" t="str">
        <f>VLOOKUP(L5,'2. Abatement matrix'!$A:$E,4,0)</f>
        <v>€10–100/t CO2 e</v>
      </c>
      <c r="M4" s="56" t="str">
        <f>VLOOKUP(M5,'2. Abatement matrix'!$A:$E,4,0)</f>
        <v>€10–100/t CO2 e</v>
      </c>
      <c r="N4" s="56" t="str">
        <f>VLOOKUP(N5,'2. Abatement matrix'!$A:$E,4,0)</f>
        <v>€10–100/t CO2 e</v>
      </c>
      <c r="O4" s="57" t="str">
        <f>VLOOKUP(O5,'2. Abatement matrix'!$A:$E,4,0)</f>
        <v>&gt; €100/t CO2 e</v>
      </c>
      <c r="P4" s="57" t="str">
        <f>VLOOKUP(P5,'2. Abatement matrix'!$A:$E,4,0)</f>
        <v>&gt; €100/t CO2 e</v>
      </c>
      <c r="Q4" s="71" t="s">
        <v>90</v>
      </c>
      <c r="R4" s="71"/>
      <c r="S4" s="71"/>
      <c r="T4" s="71"/>
      <c r="U4" s="71"/>
      <c r="V4" s="71"/>
      <c r="W4" s="71"/>
      <c r="X4" s="71"/>
      <c r="Y4" s="72" t="s">
        <v>88</v>
      </c>
      <c r="Z4" s="60"/>
    </row>
    <row r="5" spans="1:28" s="27" customFormat="1" ht="52.5" customHeight="1" x14ac:dyDescent="0.2">
      <c r="A5" s="29" t="s">
        <v>0</v>
      </c>
      <c r="B5" s="29" t="s">
        <v>1</v>
      </c>
      <c r="C5" s="29" t="s">
        <v>70</v>
      </c>
      <c r="D5" s="42" t="s">
        <v>94</v>
      </c>
      <c r="E5" s="29" t="s">
        <v>2</v>
      </c>
      <c r="F5" s="29" t="s">
        <v>69</v>
      </c>
      <c r="G5" s="29" t="s">
        <v>25</v>
      </c>
      <c r="H5" s="29" t="s">
        <v>30</v>
      </c>
      <c r="I5" s="43" t="s">
        <v>66</v>
      </c>
      <c r="J5" s="43" t="s">
        <v>39</v>
      </c>
      <c r="K5" s="43" t="s">
        <v>40</v>
      </c>
      <c r="L5" s="44" t="s">
        <v>41</v>
      </c>
      <c r="M5" s="44" t="s">
        <v>42</v>
      </c>
      <c r="N5" s="44" t="s">
        <v>43</v>
      </c>
      <c r="O5" s="46" t="s">
        <v>44</v>
      </c>
      <c r="P5" s="46" t="s">
        <v>45</v>
      </c>
      <c r="Q5" s="43" t="s">
        <v>66</v>
      </c>
      <c r="R5" s="43" t="s">
        <v>39</v>
      </c>
      <c r="S5" s="43" t="s">
        <v>40</v>
      </c>
      <c r="T5" s="44" t="s">
        <v>41</v>
      </c>
      <c r="U5" s="44" t="s">
        <v>42</v>
      </c>
      <c r="V5" s="44" t="s">
        <v>43</v>
      </c>
      <c r="W5" s="46" t="s">
        <v>44</v>
      </c>
      <c r="X5" s="46" t="s">
        <v>45</v>
      </c>
      <c r="Y5" s="49" t="s">
        <v>89</v>
      </c>
      <c r="Z5" s="49" t="s">
        <v>95</v>
      </c>
      <c r="AA5" s="73"/>
      <c r="AB5" s="32"/>
    </row>
    <row r="6" spans="1:28" x14ac:dyDescent="0.2">
      <c r="A6" s="36" t="s">
        <v>16</v>
      </c>
      <c r="B6" s="34" t="s">
        <v>4</v>
      </c>
      <c r="C6" s="38">
        <v>80675000</v>
      </c>
      <c r="D6" s="74">
        <f>C6/$C$27</f>
        <v>0.85253914425423072</v>
      </c>
      <c r="E6" s="34">
        <v>2018</v>
      </c>
      <c r="F6" s="34"/>
      <c r="G6" s="34">
        <v>3</v>
      </c>
      <c r="H6" s="32" t="s">
        <v>33</v>
      </c>
      <c r="I6" s="32">
        <v>0</v>
      </c>
      <c r="J6" s="32">
        <v>1</v>
      </c>
      <c r="K6" s="32">
        <v>1</v>
      </c>
      <c r="L6" s="32">
        <v>0</v>
      </c>
      <c r="M6" s="32">
        <v>0</v>
      </c>
      <c r="N6" s="32">
        <v>0</v>
      </c>
      <c r="O6" s="32">
        <v>1</v>
      </c>
      <c r="P6" s="32">
        <v>0</v>
      </c>
      <c r="Q6" s="32">
        <f t="shared" ref="Q6:Q10" si="0">($I6*$I$2)*C6</f>
        <v>0</v>
      </c>
      <c r="R6" s="32">
        <f t="shared" ref="R6:R10" si="1">($J6*$J$2)*$C6</f>
        <v>12101250</v>
      </c>
      <c r="S6" s="32">
        <f t="shared" ref="S6:S10" si="2">($K6*$K$2)*C6</f>
        <v>32270000</v>
      </c>
      <c r="T6" s="32">
        <f t="shared" ref="T6:T10" si="3">($L6*$L$2)*$C6</f>
        <v>0</v>
      </c>
      <c r="U6" s="32">
        <f t="shared" ref="U6:U10" si="4">($M6*$M$2)*C6</f>
        <v>0</v>
      </c>
      <c r="V6" s="32">
        <f t="shared" ref="V6:V10" si="5">($N6*$N$2)*C6</f>
        <v>0</v>
      </c>
      <c r="W6" s="32">
        <f t="shared" ref="W6:W10" si="6">($O6*$O$2)*$C6</f>
        <v>4033750</v>
      </c>
      <c r="X6" s="32">
        <f t="shared" ref="X6:X10" si="7">($P6*$P$2)*C6</f>
        <v>0</v>
      </c>
      <c r="Y6" s="48">
        <f t="shared" ref="Y6:Y10" si="8">$K6*$K$2+$J6*$J$2+$L6*$L$2+$I6*$I$2+$M6*$M$2+$O6*$O$2+$P6*$P$2+$N6*$N$2</f>
        <v>0.60000000000000009</v>
      </c>
      <c r="Z6" s="48">
        <f t="shared" ref="Z6:Z10" si="9">Y6*C6</f>
        <v>48405000.000000007</v>
      </c>
      <c r="AA6" s="48"/>
      <c r="AB6" s="76"/>
    </row>
    <row r="7" spans="1:28" x14ac:dyDescent="0.2">
      <c r="A7" s="36" t="s">
        <v>3</v>
      </c>
      <c r="B7" s="34" t="s">
        <v>4</v>
      </c>
      <c r="C7" s="38">
        <v>10000000</v>
      </c>
      <c r="D7" s="74">
        <f t="shared" ref="D7:D26" si="10">C7/$C$27</f>
        <v>0.10567575385859693</v>
      </c>
      <c r="E7" s="34">
        <v>2019</v>
      </c>
      <c r="F7" s="34"/>
      <c r="G7" s="34">
        <v>3</v>
      </c>
      <c r="H7" s="32" t="s">
        <v>33</v>
      </c>
      <c r="I7" s="32">
        <v>1</v>
      </c>
      <c r="J7" s="32">
        <v>1</v>
      </c>
      <c r="K7" s="32">
        <v>1</v>
      </c>
      <c r="L7" s="32">
        <v>0</v>
      </c>
      <c r="M7" s="32">
        <v>0</v>
      </c>
      <c r="N7" s="32">
        <v>1</v>
      </c>
      <c r="O7" s="32">
        <v>1</v>
      </c>
      <c r="P7" s="32">
        <v>1</v>
      </c>
      <c r="Q7" s="32">
        <f t="shared" si="0"/>
        <v>500000</v>
      </c>
      <c r="R7" s="32">
        <f t="shared" si="1"/>
        <v>1500000</v>
      </c>
      <c r="S7" s="32">
        <f t="shared" si="2"/>
        <v>4000000</v>
      </c>
      <c r="T7" s="32">
        <f t="shared" si="3"/>
        <v>0</v>
      </c>
      <c r="U7" s="32">
        <f t="shared" si="4"/>
        <v>0</v>
      </c>
      <c r="V7" s="32">
        <f t="shared" si="5"/>
        <v>0</v>
      </c>
      <c r="W7" s="32">
        <f t="shared" si="6"/>
        <v>500000</v>
      </c>
      <c r="X7" s="32">
        <f t="shared" si="7"/>
        <v>500000</v>
      </c>
      <c r="Y7" s="48">
        <f t="shared" si="8"/>
        <v>0.70000000000000018</v>
      </c>
      <c r="Z7" s="48">
        <f t="shared" si="9"/>
        <v>7000000.0000000019</v>
      </c>
      <c r="AA7" s="48"/>
      <c r="AB7" s="76"/>
    </row>
    <row r="8" spans="1:28" x14ac:dyDescent="0.2">
      <c r="A8" s="36" t="s">
        <v>22</v>
      </c>
      <c r="B8" s="34" t="s">
        <v>4</v>
      </c>
      <c r="C8" s="38">
        <v>1030000</v>
      </c>
      <c r="D8" s="74">
        <f t="shared" si="10"/>
        <v>1.0884602647435484E-2</v>
      </c>
      <c r="E8" s="34">
        <v>2018</v>
      </c>
      <c r="F8" s="34"/>
      <c r="G8" s="34">
        <v>3</v>
      </c>
      <c r="H8" s="32" t="s">
        <v>34</v>
      </c>
      <c r="I8" s="32">
        <v>1</v>
      </c>
      <c r="J8" s="32">
        <v>1</v>
      </c>
      <c r="K8" s="32">
        <v>1</v>
      </c>
      <c r="L8" s="32">
        <v>1</v>
      </c>
      <c r="M8" s="32">
        <v>0</v>
      </c>
      <c r="N8" s="32">
        <v>0</v>
      </c>
      <c r="O8" s="32">
        <v>0</v>
      </c>
      <c r="P8" s="32">
        <v>1</v>
      </c>
      <c r="Q8" s="32">
        <f t="shared" si="0"/>
        <v>51500</v>
      </c>
      <c r="R8" s="32">
        <f t="shared" si="1"/>
        <v>154500</v>
      </c>
      <c r="S8" s="32">
        <f t="shared" si="2"/>
        <v>412000</v>
      </c>
      <c r="T8" s="32">
        <f t="shared" si="3"/>
        <v>206000</v>
      </c>
      <c r="U8" s="32">
        <f t="shared" si="4"/>
        <v>0</v>
      </c>
      <c r="V8" s="32">
        <f t="shared" si="5"/>
        <v>0</v>
      </c>
      <c r="W8" s="32">
        <f t="shared" si="6"/>
        <v>0</v>
      </c>
      <c r="X8" s="32">
        <f t="shared" si="7"/>
        <v>51500</v>
      </c>
      <c r="Y8" s="48">
        <f t="shared" si="8"/>
        <v>0.85000000000000009</v>
      </c>
      <c r="Z8" s="48">
        <f t="shared" si="9"/>
        <v>875500.00000000012</v>
      </c>
      <c r="AA8" s="48"/>
      <c r="AB8" s="76"/>
    </row>
    <row r="9" spans="1:28" ht="22.5" x14ac:dyDescent="0.2">
      <c r="A9" s="36" t="s">
        <v>13</v>
      </c>
      <c r="B9" s="34" t="s">
        <v>4</v>
      </c>
      <c r="C9" s="38">
        <v>706000</v>
      </c>
      <c r="D9" s="74">
        <f t="shared" si="10"/>
        <v>7.4607082224169424E-3</v>
      </c>
      <c r="E9" s="34">
        <v>2020</v>
      </c>
      <c r="F9" s="34"/>
      <c r="G9" s="34">
        <v>3</v>
      </c>
      <c r="H9" s="32" t="s">
        <v>33</v>
      </c>
      <c r="I9" s="32">
        <v>1</v>
      </c>
      <c r="J9" s="32">
        <v>1</v>
      </c>
      <c r="K9" s="32">
        <v>1</v>
      </c>
      <c r="L9" s="32">
        <v>0</v>
      </c>
      <c r="M9" s="32">
        <v>0</v>
      </c>
      <c r="N9" s="32">
        <v>0</v>
      </c>
      <c r="O9" s="32">
        <v>1</v>
      </c>
      <c r="P9" s="32">
        <v>0</v>
      </c>
      <c r="Q9" s="32">
        <f t="shared" si="0"/>
        <v>35300</v>
      </c>
      <c r="R9" s="32">
        <f t="shared" si="1"/>
        <v>105900</v>
      </c>
      <c r="S9" s="32">
        <f t="shared" si="2"/>
        <v>282400</v>
      </c>
      <c r="T9" s="32">
        <f t="shared" si="3"/>
        <v>0</v>
      </c>
      <c r="U9" s="32">
        <f t="shared" si="4"/>
        <v>0</v>
      </c>
      <c r="V9" s="32">
        <f t="shared" si="5"/>
        <v>0</v>
      </c>
      <c r="W9" s="32">
        <f t="shared" si="6"/>
        <v>35300</v>
      </c>
      <c r="X9" s="32">
        <f t="shared" si="7"/>
        <v>0</v>
      </c>
      <c r="Y9" s="48">
        <f t="shared" si="8"/>
        <v>0.65000000000000013</v>
      </c>
      <c r="Z9" s="48">
        <f t="shared" si="9"/>
        <v>458900.00000000012</v>
      </c>
      <c r="AA9" s="48"/>
      <c r="AB9" s="76"/>
    </row>
    <row r="10" spans="1:28" x14ac:dyDescent="0.2">
      <c r="A10" s="36" t="s">
        <v>9</v>
      </c>
      <c r="B10" s="34" t="s">
        <v>4</v>
      </c>
      <c r="C10" s="38">
        <v>624000</v>
      </c>
      <c r="D10" s="74">
        <f t="shared" si="10"/>
        <v>6.5941670407764479E-3</v>
      </c>
      <c r="E10" s="34">
        <v>2019</v>
      </c>
      <c r="F10" s="34"/>
      <c r="G10" s="34">
        <v>3</v>
      </c>
      <c r="H10" s="32" t="s">
        <v>34</v>
      </c>
      <c r="I10" s="32">
        <v>1</v>
      </c>
      <c r="J10" s="32">
        <v>1</v>
      </c>
      <c r="K10" s="32">
        <v>1</v>
      </c>
      <c r="L10" s="32">
        <v>0</v>
      </c>
      <c r="M10" s="32">
        <v>0</v>
      </c>
      <c r="N10" s="32">
        <v>0</v>
      </c>
      <c r="O10" s="32">
        <v>1</v>
      </c>
      <c r="P10" s="32">
        <v>0</v>
      </c>
      <c r="Q10" s="32">
        <f t="shared" si="0"/>
        <v>31200</v>
      </c>
      <c r="R10" s="32">
        <f t="shared" si="1"/>
        <v>93600</v>
      </c>
      <c r="S10" s="32">
        <f t="shared" si="2"/>
        <v>249600</v>
      </c>
      <c r="T10" s="32">
        <f t="shared" si="3"/>
        <v>0</v>
      </c>
      <c r="U10" s="32">
        <f t="shared" si="4"/>
        <v>0</v>
      </c>
      <c r="V10" s="32">
        <f t="shared" si="5"/>
        <v>0</v>
      </c>
      <c r="W10" s="32">
        <f t="shared" si="6"/>
        <v>31200</v>
      </c>
      <c r="X10" s="32">
        <f t="shared" si="7"/>
        <v>0</v>
      </c>
      <c r="Y10" s="48">
        <f t="shared" si="8"/>
        <v>0.65000000000000013</v>
      </c>
      <c r="Z10" s="48">
        <f t="shared" si="9"/>
        <v>405600.00000000006</v>
      </c>
      <c r="AA10" s="48"/>
      <c r="AB10" s="76"/>
    </row>
    <row r="11" spans="1:28" hidden="1" x14ac:dyDescent="0.2">
      <c r="A11" s="36" t="s">
        <v>15</v>
      </c>
      <c r="B11" s="34" t="s">
        <v>4</v>
      </c>
      <c r="C11" s="38">
        <v>362089</v>
      </c>
      <c r="D11" s="75">
        <f>C11/$C$27</f>
        <v>3.8264028038905501E-3</v>
      </c>
      <c r="E11" s="34">
        <v>2019</v>
      </c>
      <c r="F11" s="35">
        <f>C11/$C$28</f>
        <v>0.45239127474265639</v>
      </c>
      <c r="G11" s="34">
        <v>2</v>
      </c>
      <c r="H11" s="31" t="s">
        <v>32</v>
      </c>
      <c r="I11" s="32">
        <v>1</v>
      </c>
      <c r="J11" s="32">
        <v>1</v>
      </c>
      <c r="K11" s="32">
        <v>1</v>
      </c>
      <c r="L11" s="32">
        <v>0</v>
      </c>
      <c r="M11" s="32">
        <v>1</v>
      </c>
      <c r="N11" s="32">
        <v>0</v>
      </c>
      <c r="O11" s="32">
        <v>1</v>
      </c>
      <c r="P11" s="32">
        <v>1</v>
      </c>
      <c r="Q11" s="32">
        <f>($I11*$I$2)*C11</f>
        <v>18104.45</v>
      </c>
      <c r="R11" s="32">
        <f>($J11*$J$2)*$C11</f>
        <v>54313.35</v>
      </c>
      <c r="S11" s="32">
        <f>($K11*$K$2)*C11</f>
        <v>144835.6</v>
      </c>
      <c r="T11" s="32">
        <f>($L11*$L$2)*$C11</f>
        <v>0</v>
      </c>
      <c r="U11" s="32">
        <f>($M11*$M$2)*C11</f>
        <v>36208.9</v>
      </c>
      <c r="V11" s="32">
        <f>($N11*$N$2)*C11</f>
        <v>0</v>
      </c>
      <c r="W11" s="32">
        <f>($O11*$O$2)*$C11</f>
        <v>18104.45</v>
      </c>
      <c r="X11" s="32">
        <f>($P11*$P$2)*C11</f>
        <v>18104.45</v>
      </c>
      <c r="Y11" s="48">
        <f>$K11*$K$2+$J11*$J$2+$L11*$L$2+$I11*$I$2+$M11*$M$2+$O11*$O$2+$P11*$P$2+$N11*$N$2</f>
        <v>0.80000000000000016</v>
      </c>
      <c r="Z11" s="48">
        <f>Y11*C11</f>
        <v>289671.20000000007</v>
      </c>
      <c r="AA11" s="48">
        <f>(1-Y11)*C11</f>
        <v>72417.799999999945</v>
      </c>
      <c r="AB11" s="76">
        <f>Z11/$C$28</f>
        <v>0.36191301979412521</v>
      </c>
    </row>
    <row r="12" spans="1:28" x14ac:dyDescent="0.2">
      <c r="A12" s="36" t="s">
        <v>21</v>
      </c>
      <c r="B12" s="34" t="s">
        <v>4</v>
      </c>
      <c r="C12" s="38">
        <v>209233</v>
      </c>
      <c r="D12" s="74">
        <f t="shared" si="10"/>
        <v>2.2110855007095808E-3</v>
      </c>
      <c r="E12" s="34">
        <v>2018</v>
      </c>
      <c r="F12" s="34"/>
      <c r="G12" s="34">
        <v>3</v>
      </c>
      <c r="H12" s="32" t="s">
        <v>34</v>
      </c>
      <c r="I12" s="32">
        <v>0</v>
      </c>
      <c r="J12" s="32">
        <v>1</v>
      </c>
      <c r="K12" s="32">
        <v>0</v>
      </c>
      <c r="L12" s="32">
        <v>0</v>
      </c>
      <c r="M12" s="32">
        <v>0</v>
      </c>
      <c r="N12" s="32">
        <v>1</v>
      </c>
      <c r="O12" s="32">
        <v>1</v>
      </c>
      <c r="P12" s="32">
        <v>0</v>
      </c>
      <c r="Q12" s="32">
        <f t="shared" ref="Q12:Q14" si="11">($I12*$I$2)*C12</f>
        <v>0</v>
      </c>
      <c r="R12" s="32">
        <f t="shared" ref="R12:R14" si="12">($J12*$J$2)*$C12</f>
        <v>31384.949999999997</v>
      </c>
      <c r="S12" s="32">
        <f t="shared" ref="S12:S14" si="13">($K12*$K$2)*C12</f>
        <v>0</v>
      </c>
      <c r="T12" s="32">
        <f t="shared" ref="T12:T14" si="14">($L12*$L$2)*$C12</f>
        <v>0</v>
      </c>
      <c r="U12" s="32">
        <f t="shared" ref="U12:U14" si="15">($M12*$M$2)*C12</f>
        <v>0</v>
      </c>
      <c r="V12" s="32">
        <f t="shared" ref="V12:V14" si="16">($N12*$N$2)*C12</f>
        <v>0</v>
      </c>
      <c r="W12" s="32">
        <f t="shared" ref="W12:W14" si="17">($O12*$O$2)*$C12</f>
        <v>10461.650000000001</v>
      </c>
      <c r="X12" s="32">
        <f t="shared" ref="X12:X14" si="18">($P12*$P$2)*C12</f>
        <v>0</v>
      </c>
      <c r="Y12" s="48">
        <f t="shared" ref="Y12:Y14" si="19">$K12*$K$2+$J12*$J$2+$L12*$L$2+$I12*$I$2+$M12*$M$2+$O12*$O$2+$P12*$P$2+$N12*$N$2</f>
        <v>0.2</v>
      </c>
      <c r="Z12" s="48">
        <f t="shared" ref="Z12:Z14" si="20">Y12*C12</f>
        <v>41846.600000000006</v>
      </c>
      <c r="AA12" s="48"/>
      <c r="AB12" s="76"/>
    </row>
    <row r="13" spans="1:28" x14ac:dyDescent="0.2">
      <c r="A13" s="36" t="s">
        <v>8</v>
      </c>
      <c r="B13" s="34" t="s">
        <v>4</v>
      </c>
      <c r="C13" s="38">
        <v>208000</v>
      </c>
      <c r="D13" s="74">
        <f t="shared" si="10"/>
        <v>2.1980556802588158E-3</v>
      </c>
      <c r="E13" s="34">
        <v>2020</v>
      </c>
      <c r="F13" s="34"/>
      <c r="G13" s="34">
        <v>3</v>
      </c>
      <c r="H13" s="32" t="s">
        <v>34</v>
      </c>
      <c r="I13" s="32">
        <v>0</v>
      </c>
      <c r="J13" s="32">
        <v>1</v>
      </c>
      <c r="K13" s="32">
        <v>1</v>
      </c>
      <c r="L13" s="32">
        <v>1</v>
      </c>
      <c r="M13" s="32">
        <v>1</v>
      </c>
      <c r="N13" s="32">
        <v>0</v>
      </c>
      <c r="O13" s="32">
        <v>1</v>
      </c>
      <c r="P13" s="32">
        <v>1</v>
      </c>
      <c r="Q13" s="32">
        <f t="shared" si="11"/>
        <v>0</v>
      </c>
      <c r="R13" s="32">
        <f t="shared" si="12"/>
        <v>31200</v>
      </c>
      <c r="S13" s="32">
        <f t="shared" si="13"/>
        <v>83200</v>
      </c>
      <c r="T13" s="32">
        <f t="shared" si="14"/>
        <v>41600</v>
      </c>
      <c r="U13" s="32">
        <f t="shared" si="15"/>
        <v>20800</v>
      </c>
      <c r="V13" s="32">
        <f t="shared" si="16"/>
        <v>0</v>
      </c>
      <c r="W13" s="32">
        <f t="shared" si="17"/>
        <v>10400</v>
      </c>
      <c r="X13" s="32">
        <f t="shared" si="18"/>
        <v>10400</v>
      </c>
      <c r="Y13" s="48">
        <f t="shared" si="19"/>
        <v>0.95000000000000007</v>
      </c>
      <c r="Z13" s="48">
        <f t="shared" si="20"/>
        <v>197600</v>
      </c>
      <c r="AA13" s="48"/>
      <c r="AB13" s="76"/>
    </row>
    <row r="14" spans="1:28" x14ac:dyDescent="0.2">
      <c r="A14" s="36" t="s">
        <v>17</v>
      </c>
      <c r="B14" s="34" t="s">
        <v>4</v>
      </c>
      <c r="C14" s="38">
        <v>167000</v>
      </c>
      <c r="D14" s="74">
        <f t="shared" si="10"/>
        <v>1.7647850894385686E-3</v>
      </c>
      <c r="E14" s="34">
        <v>2019</v>
      </c>
      <c r="F14" s="34"/>
      <c r="G14" s="34">
        <v>3</v>
      </c>
      <c r="H14" s="32" t="s">
        <v>33</v>
      </c>
      <c r="I14" s="32">
        <v>1</v>
      </c>
      <c r="J14" s="32">
        <v>1</v>
      </c>
      <c r="K14" s="32">
        <v>1</v>
      </c>
      <c r="L14" s="32">
        <v>1</v>
      </c>
      <c r="M14" s="32">
        <v>1</v>
      </c>
      <c r="N14" s="32">
        <v>1</v>
      </c>
      <c r="O14" s="32"/>
      <c r="P14" s="32">
        <v>1</v>
      </c>
      <c r="Q14" s="32">
        <f t="shared" si="11"/>
        <v>8350</v>
      </c>
      <c r="R14" s="32">
        <f t="shared" si="12"/>
        <v>25050</v>
      </c>
      <c r="S14" s="32">
        <f t="shared" si="13"/>
        <v>66800</v>
      </c>
      <c r="T14" s="32">
        <f t="shared" si="14"/>
        <v>33400</v>
      </c>
      <c r="U14" s="32">
        <f t="shared" si="15"/>
        <v>16700</v>
      </c>
      <c r="V14" s="32">
        <f t="shared" si="16"/>
        <v>0</v>
      </c>
      <c r="W14" s="32">
        <f t="shared" si="17"/>
        <v>0</v>
      </c>
      <c r="X14" s="32">
        <f t="shared" si="18"/>
        <v>8350</v>
      </c>
      <c r="Y14" s="48">
        <f t="shared" si="19"/>
        <v>0.95000000000000007</v>
      </c>
      <c r="Z14" s="48">
        <f t="shared" si="20"/>
        <v>158650</v>
      </c>
      <c r="AA14" s="48"/>
      <c r="AB14" s="76"/>
    </row>
    <row r="15" spans="1:28" ht="12.75" hidden="1" customHeight="1" x14ac:dyDescent="0.2">
      <c r="A15" s="36" t="s">
        <v>10</v>
      </c>
      <c r="B15" s="34" t="s">
        <v>4</v>
      </c>
      <c r="C15" s="39">
        <v>150989</v>
      </c>
      <c r="D15" s="75">
        <f t="shared" si="10"/>
        <v>1.595587639935569E-3</v>
      </c>
      <c r="E15" s="34">
        <v>2020</v>
      </c>
      <c r="F15" s="35">
        <f>C15/$C$28</f>
        <v>0.18864452160137132</v>
      </c>
      <c r="G15" s="34">
        <v>1</v>
      </c>
      <c r="H15" s="32" t="s">
        <v>31</v>
      </c>
      <c r="I15" s="32">
        <v>0</v>
      </c>
      <c r="J15" s="32">
        <v>1</v>
      </c>
      <c r="K15" s="32">
        <v>1</v>
      </c>
      <c r="L15" s="32">
        <v>1</v>
      </c>
      <c r="M15" s="32">
        <v>0</v>
      </c>
      <c r="N15" s="32">
        <v>0</v>
      </c>
      <c r="O15" s="32">
        <v>1</v>
      </c>
      <c r="P15" s="32">
        <v>0</v>
      </c>
      <c r="Q15" s="32">
        <f>($I15*$I$2)*C15</f>
        <v>0</v>
      </c>
      <c r="R15" s="32">
        <f>($J15*$J$2)*$C15</f>
        <v>22648.35</v>
      </c>
      <c r="S15" s="32">
        <f>($K15*$K$2)*C15</f>
        <v>60395.600000000006</v>
      </c>
      <c r="T15" s="32">
        <f>($L15*$L$2)*$C15</f>
        <v>30197.800000000003</v>
      </c>
      <c r="U15" s="32">
        <f>($M15*$M$2)*C15</f>
        <v>0</v>
      </c>
      <c r="V15" s="32">
        <f>($N15*$N$2)*C15</f>
        <v>0</v>
      </c>
      <c r="W15" s="32">
        <f>($O15*$O$2)*$C15</f>
        <v>7549.4500000000007</v>
      </c>
      <c r="X15" s="32">
        <f>($P15*$P$2)*C15</f>
        <v>0</v>
      </c>
      <c r="Y15" s="48">
        <f>$K15*$K$2+$J15*$J$2+$L15*$L$2+$I15*$I$2+$M15*$M$2+$O15*$O$2+$P15*$P$2+$N15*$N$2</f>
        <v>0.8</v>
      </c>
      <c r="Z15" s="48">
        <f>Y15*C15</f>
        <v>120791.20000000001</v>
      </c>
      <c r="AA15" s="48">
        <f>(1-Y15)*C15</f>
        <v>30197.799999999992</v>
      </c>
      <c r="AB15" s="76">
        <f>Z15/$C$28</f>
        <v>0.15091561728109709</v>
      </c>
    </row>
    <row r="16" spans="1:28" ht="22.5" x14ac:dyDescent="0.2">
      <c r="A16" s="36" t="s">
        <v>11</v>
      </c>
      <c r="B16" s="34" t="s">
        <v>4</v>
      </c>
      <c r="C16" s="38">
        <v>121464</v>
      </c>
      <c r="D16" s="74">
        <f t="shared" si="10"/>
        <v>1.2835799766680617E-3</v>
      </c>
      <c r="E16" s="34">
        <v>2018</v>
      </c>
      <c r="F16" s="34"/>
      <c r="G16" s="34">
        <v>3</v>
      </c>
      <c r="H16" s="32" t="s">
        <v>35</v>
      </c>
      <c r="I16" s="32">
        <v>0</v>
      </c>
      <c r="J16" s="32">
        <v>1</v>
      </c>
      <c r="K16" s="32">
        <v>0</v>
      </c>
      <c r="L16" s="32">
        <v>0</v>
      </c>
      <c r="M16" s="32">
        <v>0</v>
      </c>
      <c r="N16" s="32">
        <v>1</v>
      </c>
      <c r="O16" s="32">
        <v>1</v>
      </c>
      <c r="P16" s="32">
        <v>0</v>
      </c>
      <c r="Q16" s="32">
        <f>($I16*$I$2)*C16</f>
        <v>0</v>
      </c>
      <c r="R16" s="32">
        <f>($J16*$J$2)*$C16</f>
        <v>18219.599999999999</v>
      </c>
      <c r="S16" s="32">
        <f>($K16*$K$2)*C16</f>
        <v>0</v>
      </c>
      <c r="T16" s="32">
        <f>($L16*$L$2)*$C16</f>
        <v>0</v>
      </c>
      <c r="U16" s="32">
        <f>($M16*$M$2)*C16</f>
        <v>0</v>
      </c>
      <c r="V16" s="32">
        <f>($N16*$N$2)*C16</f>
        <v>0</v>
      </c>
      <c r="W16" s="32">
        <f>($O16*$O$2)*$C16</f>
        <v>6073.2000000000007</v>
      </c>
      <c r="X16" s="32">
        <f>($P16*$P$2)*C16</f>
        <v>0</v>
      </c>
      <c r="Y16" s="48">
        <f>$K16*$K$2+$J16*$J$2+$L16*$L$2+$I16*$I$2+$M16*$M$2+$O16*$O$2+$P16*$P$2+$N16*$N$2</f>
        <v>0.2</v>
      </c>
      <c r="Z16" s="48">
        <f>Y16*C16</f>
        <v>24292.800000000003</v>
      </c>
      <c r="AA16" s="48"/>
      <c r="AB16" s="76"/>
    </row>
    <row r="17" spans="1:30" hidden="1" x14ac:dyDescent="0.2">
      <c r="A17" s="36" t="s">
        <v>20</v>
      </c>
      <c r="B17" s="34" t="s">
        <v>4</v>
      </c>
      <c r="C17" s="38">
        <v>108544</v>
      </c>
      <c r="D17" s="75">
        <f t="shared" si="10"/>
        <v>1.1470469026827544E-3</v>
      </c>
      <c r="E17" s="34">
        <v>2018</v>
      </c>
      <c r="F17" s="35">
        <f t="shared" ref="F17:F19" si="21">C17/$C$28</f>
        <v>0.13561405766446066</v>
      </c>
      <c r="G17" s="34">
        <v>2</v>
      </c>
      <c r="H17" s="31" t="s">
        <v>32</v>
      </c>
      <c r="I17" s="32">
        <v>0</v>
      </c>
      <c r="J17" s="32">
        <v>1</v>
      </c>
      <c r="K17" s="32">
        <v>1</v>
      </c>
      <c r="L17" s="32">
        <v>0</v>
      </c>
      <c r="M17" s="32">
        <v>0</v>
      </c>
      <c r="N17" s="32">
        <v>0</v>
      </c>
      <c r="O17" s="32">
        <v>1</v>
      </c>
      <c r="P17" s="32">
        <v>1</v>
      </c>
      <c r="Q17" s="32">
        <f>($I17*$I$2)*C17</f>
        <v>0</v>
      </c>
      <c r="R17" s="32">
        <f t="shared" ref="R17:R21" si="22">($J17*$J$2)*$C17</f>
        <v>16281.599999999999</v>
      </c>
      <c r="S17" s="32">
        <f>($K17*$K$2)*C17</f>
        <v>43417.600000000006</v>
      </c>
      <c r="T17" s="32">
        <f t="shared" ref="T17:T21" si="23">($L17*$L$2)*$C17</f>
        <v>0</v>
      </c>
      <c r="U17" s="32">
        <f>($M17*$M$2)*C17</f>
        <v>0</v>
      </c>
      <c r="V17" s="32">
        <f>($N17*$N$2)*C17</f>
        <v>0</v>
      </c>
      <c r="W17" s="32">
        <f t="shared" ref="W17:W21" si="24">($O17*$O$2)*$C17</f>
        <v>5427.2000000000007</v>
      </c>
      <c r="X17" s="32">
        <f>($P17*$P$2)*C17</f>
        <v>5427.2000000000007</v>
      </c>
      <c r="Y17" s="48">
        <f t="shared" ref="Y17:Y21" si="25">$K17*$K$2+$J17*$J$2+$L17*$L$2+$I17*$I$2+$M17*$M$2+$O17*$O$2+$P17*$P$2+$N17*$N$2</f>
        <v>0.65000000000000013</v>
      </c>
      <c r="Z17" s="48">
        <f>Y17*C17</f>
        <v>70553.60000000002</v>
      </c>
      <c r="AA17" s="48">
        <f>(1-Y17)*C17</f>
        <v>37990.399999999987</v>
      </c>
      <c r="AB17" s="76">
        <f t="shared" ref="AB17:AB19" si="26">Z17/$C$28</f>
        <v>8.8149137481899453E-2</v>
      </c>
    </row>
    <row r="18" spans="1:30" hidden="1" x14ac:dyDescent="0.2">
      <c r="A18" s="36" t="s">
        <v>6</v>
      </c>
      <c r="B18" s="34" t="s">
        <v>4</v>
      </c>
      <c r="C18" s="38">
        <v>88767</v>
      </c>
      <c r="D18" s="75">
        <f t="shared" si="10"/>
        <v>9.3805196427660731E-4</v>
      </c>
      <c r="E18" s="34">
        <v>2019</v>
      </c>
      <c r="F18" s="35">
        <f t="shared" si="21"/>
        <v>0.11090482253004477</v>
      </c>
      <c r="G18" s="34">
        <v>2</v>
      </c>
      <c r="H18" s="31" t="s">
        <v>32</v>
      </c>
      <c r="I18" s="32">
        <v>1</v>
      </c>
      <c r="J18" s="32">
        <v>1</v>
      </c>
      <c r="K18" s="32">
        <v>1</v>
      </c>
      <c r="L18" s="32">
        <v>1</v>
      </c>
      <c r="M18" s="32">
        <v>0</v>
      </c>
      <c r="N18" s="32">
        <v>0</v>
      </c>
      <c r="O18" s="32">
        <v>1</v>
      </c>
      <c r="P18" s="32">
        <v>1</v>
      </c>
      <c r="Q18" s="32">
        <f>($I18*$I$2)*C18</f>
        <v>4438.3500000000004</v>
      </c>
      <c r="R18" s="32">
        <f t="shared" si="22"/>
        <v>13315.05</v>
      </c>
      <c r="S18" s="32">
        <f>($K18*$K$2)*C18</f>
        <v>35506.800000000003</v>
      </c>
      <c r="T18" s="32">
        <f t="shared" si="23"/>
        <v>17753.400000000001</v>
      </c>
      <c r="U18" s="32">
        <f>($M18*$M$2)*C18</f>
        <v>0</v>
      </c>
      <c r="V18" s="32">
        <f>($N18*$N$2)*C18</f>
        <v>0</v>
      </c>
      <c r="W18" s="32">
        <f t="shared" si="24"/>
        <v>4438.3500000000004</v>
      </c>
      <c r="X18" s="32">
        <f>($P18*$P$2)*C18</f>
        <v>4438.3500000000004</v>
      </c>
      <c r="Y18" s="48">
        <f t="shared" si="25"/>
        <v>0.90000000000000013</v>
      </c>
      <c r="Z18" s="48">
        <f>Y18*C18</f>
        <v>79890.300000000017</v>
      </c>
      <c r="AA18" s="48">
        <f>(1-Y18)*C18</f>
        <v>8876.699999999988</v>
      </c>
      <c r="AB18" s="76">
        <f t="shared" si="26"/>
        <v>9.9814340277040309E-2</v>
      </c>
      <c r="AC18" s="77"/>
      <c r="AD18" s="78"/>
    </row>
    <row r="19" spans="1:30" hidden="1" x14ac:dyDescent="0.2">
      <c r="A19" s="36" t="s">
        <v>7</v>
      </c>
      <c r="B19" s="34" t="s">
        <v>4</v>
      </c>
      <c r="C19" s="38">
        <v>85000</v>
      </c>
      <c r="D19" s="75">
        <f t="shared" si="10"/>
        <v>8.9824390779807387E-4</v>
      </c>
      <c r="E19" s="34">
        <v>2019</v>
      </c>
      <c r="F19" s="35">
        <f t="shared" si="21"/>
        <v>0.10619836104694093</v>
      </c>
      <c r="G19" s="34">
        <v>1</v>
      </c>
      <c r="H19" s="32" t="s">
        <v>31</v>
      </c>
      <c r="I19" s="32">
        <v>0</v>
      </c>
      <c r="J19" s="32">
        <v>1</v>
      </c>
      <c r="K19" s="32">
        <v>0</v>
      </c>
      <c r="L19" s="32">
        <v>0</v>
      </c>
      <c r="M19" s="32">
        <v>0</v>
      </c>
      <c r="N19" s="32">
        <v>0</v>
      </c>
      <c r="O19" s="32">
        <v>1</v>
      </c>
      <c r="P19" s="32">
        <v>0</v>
      </c>
      <c r="Q19" s="32">
        <f>($I19*$I$2)*C19</f>
        <v>0</v>
      </c>
      <c r="R19" s="32">
        <f t="shared" si="22"/>
        <v>12750</v>
      </c>
      <c r="S19" s="32">
        <f>($K19*$K$2)*C19</f>
        <v>0</v>
      </c>
      <c r="T19" s="32">
        <f t="shared" si="23"/>
        <v>0</v>
      </c>
      <c r="U19" s="32">
        <f>($M19*$M$2)*C19</f>
        <v>0</v>
      </c>
      <c r="V19" s="32">
        <f>($N19*$N$2)*C19</f>
        <v>0</v>
      </c>
      <c r="W19" s="32">
        <f t="shared" si="24"/>
        <v>4250</v>
      </c>
      <c r="X19" s="32">
        <f>($P19*$P$2)*C19</f>
        <v>0</v>
      </c>
      <c r="Y19" s="48">
        <f t="shared" si="25"/>
        <v>0.2</v>
      </c>
      <c r="Z19" s="48">
        <f>Y19*C19</f>
        <v>17000</v>
      </c>
      <c r="AA19" s="48">
        <f>(1-Y19)*C19</f>
        <v>68000</v>
      </c>
      <c r="AB19" s="76">
        <f t="shared" si="26"/>
        <v>2.1239672209388185E-2</v>
      </c>
      <c r="AC19" s="77"/>
      <c r="AD19" s="78"/>
    </row>
    <row r="20" spans="1:30" x14ac:dyDescent="0.2">
      <c r="A20" s="36" t="s">
        <v>23</v>
      </c>
      <c r="B20" s="34" t="s">
        <v>4</v>
      </c>
      <c r="C20" s="38">
        <v>78000</v>
      </c>
      <c r="D20" s="74">
        <f t="shared" si="10"/>
        <v>8.2427088009705599E-4</v>
      </c>
      <c r="E20" s="34">
        <v>2018</v>
      </c>
      <c r="F20" s="34"/>
      <c r="G20" s="34">
        <v>3</v>
      </c>
      <c r="H20" s="32" t="s">
        <v>33</v>
      </c>
      <c r="I20" s="32">
        <v>1</v>
      </c>
      <c r="J20" s="32">
        <v>1</v>
      </c>
      <c r="K20" s="32">
        <v>0</v>
      </c>
      <c r="L20" s="32">
        <v>0</v>
      </c>
      <c r="M20" s="32">
        <v>1</v>
      </c>
      <c r="N20" s="32">
        <v>1</v>
      </c>
      <c r="O20" s="32">
        <v>0</v>
      </c>
      <c r="P20" s="32">
        <v>1</v>
      </c>
      <c r="Q20" s="32">
        <f t="shared" ref="Q20:Q21" si="27">($I20*$I$2)*C20</f>
        <v>3900</v>
      </c>
      <c r="R20" s="32">
        <f t="shared" si="22"/>
        <v>11700</v>
      </c>
      <c r="S20" s="32">
        <f t="shared" ref="S20:S21" si="28">($K20*$K$2)*C20</f>
        <v>0</v>
      </c>
      <c r="T20" s="32">
        <f t="shared" si="23"/>
        <v>0</v>
      </c>
      <c r="U20" s="32">
        <f t="shared" ref="U20:U21" si="29">($M20*$M$2)*C20</f>
        <v>7800</v>
      </c>
      <c r="V20" s="32">
        <f t="shared" ref="V20:V21" si="30">($N20*$N$2)*C20</f>
        <v>0</v>
      </c>
      <c r="W20" s="32">
        <f t="shared" si="24"/>
        <v>0</v>
      </c>
      <c r="X20" s="32">
        <f t="shared" ref="X20:X21" si="31">($P20*$P$2)*C20</f>
        <v>3900</v>
      </c>
      <c r="Y20" s="48">
        <f t="shared" si="25"/>
        <v>0.35000000000000003</v>
      </c>
      <c r="Z20" s="48">
        <f t="shared" ref="Z20:Z21" si="32">Y20*C20</f>
        <v>27300.000000000004</v>
      </c>
      <c r="AA20" s="30"/>
      <c r="AB20" s="76"/>
      <c r="AC20" s="77"/>
      <c r="AD20" s="78"/>
    </row>
    <row r="21" spans="1:30" ht="12" thickBot="1" x14ac:dyDescent="0.25">
      <c r="A21" s="36" t="s">
        <v>14</v>
      </c>
      <c r="B21" s="34" t="s">
        <v>4</v>
      </c>
      <c r="C21" s="38">
        <v>10000</v>
      </c>
      <c r="D21" s="74">
        <f t="shared" si="10"/>
        <v>1.0567575385859692E-4</v>
      </c>
      <c r="E21" s="34">
        <v>2018</v>
      </c>
      <c r="F21" s="34"/>
      <c r="G21" s="34">
        <v>3</v>
      </c>
      <c r="H21" s="32" t="s">
        <v>33</v>
      </c>
      <c r="I21" s="32">
        <v>1</v>
      </c>
      <c r="J21" s="32">
        <v>1</v>
      </c>
      <c r="K21" s="32">
        <v>1</v>
      </c>
      <c r="L21" s="32">
        <v>1</v>
      </c>
      <c r="M21" s="32">
        <v>1</v>
      </c>
      <c r="N21" s="32">
        <v>0</v>
      </c>
      <c r="O21" s="32">
        <v>1</v>
      </c>
      <c r="P21" s="32">
        <v>0</v>
      </c>
      <c r="Q21" s="32">
        <f t="shared" si="27"/>
        <v>500</v>
      </c>
      <c r="R21" s="32">
        <f t="shared" si="22"/>
        <v>1500</v>
      </c>
      <c r="S21" s="32">
        <f t="shared" si="28"/>
        <v>4000</v>
      </c>
      <c r="T21" s="32">
        <f t="shared" si="23"/>
        <v>2000</v>
      </c>
      <c r="U21" s="32">
        <f t="shared" si="29"/>
        <v>1000</v>
      </c>
      <c r="V21" s="32">
        <f t="shared" si="30"/>
        <v>0</v>
      </c>
      <c r="W21" s="32">
        <f t="shared" si="24"/>
        <v>500</v>
      </c>
      <c r="X21" s="32">
        <f t="shared" si="31"/>
        <v>0</v>
      </c>
      <c r="Y21" s="48">
        <f t="shared" si="25"/>
        <v>0.95000000000000007</v>
      </c>
      <c r="Z21" s="48">
        <f t="shared" si="32"/>
        <v>9500</v>
      </c>
      <c r="AA21" s="30"/>
      <c r="AB21" s="76"/>
      <c r="AC21" s="77"/>
      <c r="AD21" s="79"/>
    </row>
    <row r="22" spans="1:30" ht="12" hidden="1" thickBot="1" x14ac:dyDescent="0.25">
      <c r="A22" s="36" t="s">
        <v>24</v>
      </c>
      <c r="B22" s="34" t="s">
        <v>4</v>
      </c>
      <c r="C22" s="38">
        <v>5000</v>
      </c>
      <c r="D22" s="75">
        <f t="shared" si="10"/>
        <v>5.283787692929846E-5</v>
      </c>
      <c r="E22" s="34">
        <v>2020</v>
      </c>
      <c r="F22" s="35">
        <f t="shared" ref="F22" si="33">C22/$C$28</f>
        <v>6.246962414525937E-3</v>
      </c>
      <c r="G22" s="34">
        <v>1</v>
      </c>
      <c r="H22" s="32" t="s">
        <v>31</v>
      </c>
      <c r="I22" s="32">
        <v>0</v>
      </c>
      <c r="J22" s="32">
        <v>0</v>
      </c>
      <c r="K22" s="32">
        <v>0</v>
      </c>
      <c r="L22" s="32">
        <v>0</v>
      </c>
      <c r="M22" s="32">
        <v>0</v>
      </c>
      <c r="N22" s="32">
        <v>0</v>
      </c>
      <c r="O22" s="32">
        <v>1</v>
      </c>
      <c r="P22" s="32">
        <v>1</v>
      </c>
      <c r="Q22" s="32">
        <f>($I22*$I$2)*C22</f>
        <v>0</v>
      </c>
      <c r="R22" s="32">
        <f t="shared" ref="R22:R26" si="34">($J22*$J$2)*$C22</f>
        <v>0</v>
      </c>
      <c r="S22" s="32">
        <f>($K22*$K$2)*C22</f>
        <v>0</v>
      </c>
      <c r="T22" s="32">
        <f t="shared" ref="T22:T26" si="35">($L22*$L$2)*$C22</f>
        <v>0</v>
      </c>
      <c r="U22" s="32">
        <f>($M22*$M$2)*C22</f>
        <v>0</v>
      </c>
      <c r="V22" s="32">
        <f>($N22*$N$2)*C22</f>
        <v>0</v>
      </c>
      <c r="W22" s="32">
        <f t="shared" ref="W22:W26" si="36">($O22*$O$2)*$C22</f>
        <v>250</v>
      </c>
      <c r="X22" s="32">
        <f>($P22*$P$2)*C22</f>
        <v>250</v>
      </c>
      <c r="Y22" s="48">
        <f t="shared" ref="Y22:Y26" si="37">$K22*$K$2+$J22*$J$2+$L22*$L$2+$I22*$I$2+$M22*$M$2+$O22*$O$2+$P22*$P$2+$N22*$N$2</f>
        <v>0.1</v>
      </c>
      <c r="Z22" s="48">
        <f>Y22*C22</f>
        <v>500</v>
      </c>
      <c r="AA22" s="48">
        <f>(1-Y22)*C22</f>
        <v>4500</v>
      </c>
      <c r="AB22" s="76">
        <f t="shared" ref="AB22" si="38">Z22/$C$28</f>
        <v>6.246962414525937E-4</v>
      </c>
      <c r="AC22" s="77"/>
    </row>
    <row r="23" spans="1:30" ht="12" hidden="1" thickBot="1" x14ac:dyDescent="0.25">
      <c r="A23" s="36" t="s">
        <v>5</v>
      </c>
      <c r="B23" s="34" t="s">
        <v>4</v>
      </c>
      <c r="C23" s="40">
        <v>0</v>
      </c>
      <c r="D23" s="74">
        <f t="shared" si="10"/>
        <v>0</v>
      </c>
      <c r="E23" s="34">
        <v>2020</v>
      </c>
      <c r="F23" s="34"/>
      <c r="G23" s="34">
        <v>3</v>
      </c>
      <c r="H23" s="32" t="s">
        <v>34</v>
      </c>
      <c r="I23" s="32">
        <v>0</v>
      </c>
      <c r="J23" s="32">
        <v>0</v>
      </c>
      <c r="K23" s="32">
        <v>0</v>
      </c>
      <c r="L23" s="32">
        <v>0</v>
      </c>
      <c r="M23" s="32">
        <v>0</v>
      </c>
      <c r="N23" s="32">
        <v>0</v>
      </c>
      <c r="O23" s="32">
        <v>0</v>
      </c>
      <c r="P23" s="32">
        <v>0</v>
      </c>
      <c r="Q23" s="32">
        <f t="shared" ref="Q23:Q26" si="39">($I23*$I$2)*C23</f>
        <v>0</v>
      </c>
      <c r="R23" s="32">
        <f t="shared" si="34"/>
        <v>0</v>
      </c>
      <c r="S23" s="32">
        <f t="shared" ref="S23:S26" si="40">($K23*$K$2)*C23</f>
        <v>0</v>
      </c>
      <c r="T23" s="32">
        <f t="shared" si="35"/>
        <v>0</v>
      </c>
      <c r="U23" s="32">
        <f t="shared" ref="U23:U26" si="41">($M23*$M$2)*C23</f>
        <v>0</v>
      </c>
      <c r="V23" s="32">
        <f t="shared" ref="V23:V26" si="42">($N23*$N$2)*C23</f>
        <v>0</v>
      </c>
      <c r="W23" s="32">
        <f t="shared" si="36"/>
        <v>0</v>
      </c>
      <c r="X23" s="32">
        <f t="shared" ref="X23:X26" si="43">($P23*$P$2)*C23</f>
        <v>0</v>
      </c>
      <c r="Y23" s="48">
        <f t="shared" si="37"/>
        <v>0</v>
      </c>
      <c r="Z23" s="48">
        <f t="shared" ref="Z23:Z26" si="44">Y23*C23</f>
        <v>0</v>
      </c>
      <c r="AA23" s="30"/>
      <c r="AB23" s="28"/>
    </row>
    <row r="24" spans="1:30" ht="12" hidden="1" thickBot="1" x14ac:dyDescent="0.25">
      <c r="A24" s="36" t="s">
        <v>12</v>
      </c>
      <c r="B24" s="34" t="s">
        <v>4</v>
      </c>
      <c r="C24" s="40">
        <v>0</v>
      </c>
      <c r="D24" s="74">
        <f t="shared" si="10"/>
        <v>0</v>
      </c>
      <c r="E24" s="34">
        <v>2019</v>
      </c>
      <c r="F24" s="34"/>
      <c r="G24" s="34">
        <v>3</v>
      </c>
      <c r="H24" s="32" t="s">
        <v>34</v>
      </c>
      <c r="I24" s="32">
        <v>0</v>
      </c>
      <c r="J24" s="32">
        <v>0</v>
      </c>
      <c r="K24" s="32">
        <v>0</v>
      </c>
      <c r="L24" s="32">
        <v>0</v>
      </c>
      <c r="M24" s="32">
        <v>0</v>
      </c>
      <c r="N24" s="32">
        <v>0</v>
      </c>
      <c r="O24" s="32">
        <v>0</v>
      </c>
      <c r="P24" s="32">
        <v>0</v>
      </c>
      <c r="Q24" s="32">
        <f t="shared" si="39"/>
        <v>0</v>
      </c>
      <c r="R24" s="32">
        <f t="shared" si="34"/>
        <v>0</v>
      </c>
      <c r="S24" s="32">
        <f t="shared" si="40"/>
        <v>0</v>
      </c>
      <c r="T24" s="32">
        <f t="shared" si="35"/>
        <v>0</v>
      </c>
      <c r="U24" s="32">
        <f t="shared" si="41"/>
        <v>0</v>
      </c>
      <c r="V24" s="32">
        <f t="shared" si="42"/>
        <v>0</v>
      </c>
      <c r="W24" s="32">
        <f t="shared" si="36"/>
        <v>0</v>
      </c>
      <c r="X24" s="32">
        <f t="shared" si="43"/>
        <v>0</v>
      </c>
      <c r="Y24" s="48">
        <f t="shared" si="37"/>
        <v>0</v>
      </c>
      <c r="Z24" s="48">
        <f t="shared" si="44"/>
        <v>0</v>
      </c>
      <c r="AA24" s="30"/>
      <c r="AB24" s="28"/>
    </row>
    <row r="25" spans="1:30" ht="12" hidden="1" thickBot="1" x14ac:dyDescent="0.25">
      <c r="A25" s="36" t="s">
        <v>18</v>
      </c>
      <c r="B25" s="34" t="s">
        <v>4</v>
      </c>
      <c r="C25" s="40">
        <v>0</v>
      </c>
      <c r="D25" s="74">
        <f t="shared" si="10"/>
        <v>0</v>
      </c>
      <c r="E25" s="34">
        <v>2018</v>
      </c>
      <c r="F25" s="34"/>
      <c r="G25" s="34">
        <v>3</v>
      </c>
      <c r="H25" s="32" t="s">
        <v>33</v>
      </c>
      <c r="I25" s="32">
        <v>0</v>
      </c>
      <c r="J25" s="32">
        <v>0</v>
      </c>
      <c r="K25" s="32">
        <v>0</v>
      </c>
      <c r="L25" s="32">
        <v>0</v>
      </c>
      <c r="M25" s="32">
        <v>0</v>
      </c>
      <c r="N25" s="32">
        <v>0</v>
      </c>
      <c r="O25" s="32">
        <v>0</v>
      </c>
      <c r="P25" s="32">
        <v>0</v>
      </c>
      <c r="Q25" s="32">
        <f t="shared" si="39"/>
        <v>0</v>
      </c>
      <c r="R25" s="32">
        <f t="shared" si="34"/>
        <v>0</v>
      </c>
      <c r="S25" s="32">
        <f t="shared" si="40"/>
        <v>0</v>
      </c>
      <c r="T25" s="32">
        <f t="shared" si="35"/>
        <v>0</v>
      </c>
      <c r="U25" s="32">
        <f t="shared" si="41"/>
        <v>0</v>
      </c>
      <c r="V25" s="32">
        <f t="shared" si="42"/>
        <v>0</v>
      </c>
      <c r="W25" s="32">
        <f t="shared" si="36"/>
        <v>0</v>
      </c>
      <c r="X25" s="32">
        <f t="shared" si="43"/>
        <v>0</v>
      </c>
      <c r="Y25" s="48">
        <f t="shared" si="37"/>
        <v>0</v>
      </c>
      <c r="Z25" s="48">
        <f t="shared" si="44"/>
        <v>0</v>
      </c>
      <c r="AA25" s="30"/>
      <c r="AB25" s="28"/>
    </row>
    <row r="26" spans="1:30" ht="12" hidden="1" thickBot="1" x14ac:dyDescent="0.25">
      <c r="A26" s="36" t="s">
        <v>19</v>
      </c>
      <c r="B26" s="34" t="s">
        <v>4</v>
      </c>
      <c r="C26" s="40">
        <v>0</v>
      </c>
      <c r="D26" s="74">
        <f t="shared" si="10"/>
        <v>0</v>
      </c>
      <c r="E26" s="34">
        <v>2019</v>
      </c>
      <c r="F26" s="34"/>
      <c r="G26" s="34">
        <v>3</v>
      </c>
      <c r="H26" s="32" t="s">
        <v>33</v>
      </c>
      <c r="I26" s="32">
        <v>0</v>
      </c>
      <c r="J26" s="32">
        <v>0</v>
      </c>
      <c r="K26" s="32">
        <v>0</v>
      </c>
      <c r="L26" s="32">
        <v>0</v>
      </c>
      <c r="M26" s="32">
        <v>0</v>
      </c>
      <c r="N26" s="32">
        <v>0</v>
      </c>
      <c r="O26" s="32">
        <v>0</v>
      </c>
      <c r="P26" s="32">
        <v>0</v>
      </c>
      <c r="Q26" s="32">
        <f t="shared" si="39"/>
        <v>0</v>
      </c>
      <c r="R26" s="32">
        <f t="shared" si="34"/>
        <v>0</v>
      </c>
      <c r="S26" s="32">
        <f t="shared" si="40"/>
        <v>0</v>
      </c>
      <c r="T26" s="32">
        <f t="shared" si="35"/>
        <v>0</v>
      </c>
      <c r="U26" s="32">
        <f t="shared" si="41"/>
        <v>0</v>
      </c>
      <c r="V26" s="32">
        <f t="shared" si="42"/>
        <v>0</v>
      </c>
      <c r="W26" s="32">
        <f t="shared" si="36"/>
        <v>0</v>
      </c>
      <c r="X26" s="32">
        <f t="shared" si="43"/>
        <v>0</v>
      </c>
      <c r="Y26" s="48">
        <f t="shared" si="37"/>
        <v>0</v>
      </c>
      <c r="Z26" s="48">
        <f t="shared" si="44"/>
        <v>0</v>
      </c>
      <c r="AA26" s="30"/>
      <c r="AB26" s="28"/>
    </row>
    <row r="27" spans="1:30" x14ac:dyDescent="0.2">
      <c r="A27" s="52" t="s">
        <v>67</v>
      </c>
      <c r="B27" s="63"/>
      <c r="C27" s="61">
        <f>SUM(C6:C26)</f>
        <v>94629086</v>
      </c>
      <c r="I27" s="28"/>
      <c r="J27" s="28"/>
      <c r="K27" s="28"/>
      <c r="L27" s="28"/>
      <c r="M27" s="28"/>
      <c r="N27" s="28"/>
      <c r="O27" s="28"/>
      <c r="P27" s="28"/>
      <c r="Q27" s="64">
        <f>SUM(Q11:Q22)</f>
        <v>35292.800000000003</v>
      </c>
      <c r="R27" s="64">
        <f>SUM(R11:R22)</f>
        <v>238362.9</v>
      </c>
      <c r="S27" s="64">
        <f>SUM(S11:S22)</f>
        <v>438155.59999999992</v>
      </c>
      <c r="T27" s="64">
        <f t="shared" ref="T27:X27" si="45">SUM(T11:T22)</f>
        <v>124951.20000000001</v>
      </c>
      <c r="U27" s="64">
        <f t="shared" si="45"/>
        <v>82508.899999999994</v>
      </c>
      <c r="V27" s="64">
        <f t="shared" si="45"/>
        <v>0</v>
      </c>
      <c r="W27" s="64">
        <f t="shared" si="45"/>
        <v>67454.299999999988</v>
      </c>
      <c r="X27" s="64">
        <f t="shared" si="45"/>
        <v>50869.999999999993</v>
      </c>
      <c r="Z27" s="99">
        <f>SUM(Z11:Z22)</f>
        <v>1037595.7000000001</v>
      </c>
      <c r="AA27" s="80">
        <f>SUM(AA11:AA22)</f>
        <v>221982.6999999999</v>
      </c>
      <c r="AB27" s="81">
        <f>Z27/$C28</f>
        <v>1.296364267874746</v>
      </c>
    </row>
    <row r="28" spans="1:30" x14ac:dyDescent="0.2">
      <c r="A28" s="37" t="s">
        <v>68</v>
      </c>
      <c r="B28" s="63"/>
      <c r="C28" s="41">
        <f>SUMIFS(C5:C26,G5:G26,1)+SUMIFS(C5:C26,G5:G26,2)</f>
        <v>800389</v>
      </c>
      <c r="I28" s="28"/>
      <c r="J28" s="28"/>
      <c r="K28" s="28"/>
      <c r="L28" s="28"/>
      <c r="M28" s="28"/>
      <c r="N28" s="28"/>
      <c r="O28" s="28"/>
      <c r="P28" s="28"/>
      <c r="Q28" s="32">
        <f>VLOOKUP(Q5,'2. Abatement matrix'!$A:$H,7,0)</f>
        <v>7</v>
      </c>
      <c r="R28" s="32">
        <f>VLOOKUP(R5,'2. Abatement matrix'!$A:$H,7,0)</f>
        <v>3</v>
      </c>
      <c r="S28" s="32">
        <f>VLOOKUP(S5,'2. Abatement matrix'!$A:$H,7,0)</f>
        <v>1</v>
      </c>
      <c r="T28" s="32">
        <f>VLOOKUP(T5,'2. Abatement matrix'!$A:$H,7,0)</f>
        <v>2</v>
      </c>
      <c r="U28" s="32">
        <f>VLOOKUP(U5,'2. Abatement matrix'!$A:$H,7,0)</f>
        <v>4</v>
      </c>
      <c r="V28" s="32">
        <f>VLOOKUP(V5,'2. Abatement matrix'!$A:$H,7,0)</f>
        <v>8</v>
      </c>
      <c r="W28" s="32">
        <f>VLOOKUP(W5,'2. Abatement matrix'!$A:$H,7,0)</f>
        <v>6</v>
      </c>
      <c r="X28" s="32">
        <f>VLOOKUP(X5,'2. Abatement matrix'!$A:$H,7,0)</f>
        <v>5</v>
      </c>
      <c r="AA28" s="82">
        <f>AA27/$C28</f>
        <v>0.27734351671499718</v>
      </c>
      <c r="AB28" s="83">
        <f>SUM(Q27:T27)/Z27</f>
        <v>0.80644368514634357</v>
      </c>
    </row>
    <row r="29" spans="1:30" x14ac:dyDescent="0.2">
      <c r="I29" s="28"/>
      <c r="J29" s="28"/>
      <c r="K29" s="28"/>
      <c r="L29" s="28"/>
      <c r="M29" s="28"/>
      <c r="N29" s="28"/>
      <c r="O29" s="28"/>
      <c r="P29" s="28"/>
      <c r="Q29" s="65">
        <f>Q$27/$C$28</f>
        <v>4.4094559020676202E-2</v>
      </c>
      <c r="R29" s="65">
        <f t="shared" ref="R29:X29" si="46">R$27/$C$28</f>
        <v>0.29780881546348087</v>
      </c>
      <c r="S29" s="65">
        <f t="shared" si="46"/>
        <v>0.54742831298281203</v>
      </c>
      <c r="T29" s="65">
        <f t="shared" si="46"/>
        <v>0.15611309000998266</v>
      </c>
      <c r="U29" s="65">
        <f t="shared" si="46"/>
        <v>0.1030859994327758</v>
      </c>
      <c r="V29" s="65">
        <f t="shared" si="46"/>
        <v>0</v>
      </c>
      <c r="W29" s="65">
        <f t="shared" si="46"/>
        <v>8.4276895359631371E-2</v>
      </c>
      <c r="X29" s="65">
        <f t="shared" si="46"/>
        <v>6.3556595605386873E-2</v>
      </c>
      <c r="AB29" s="84">
        <f>AB28*AB27</f>
        <v>1.045444777476952</v>
      </c>
    </row>
    <row r="30" spans="1:30" ht="51" customHeight="1" thickBot="1" x14ac:dyDescent="0.25">
      <c r="H30" s="33"/>
      <c r="I30" s="28"/>
      <c r="J30" s="28"/>
      <c r="K30" s="28"/>
      <c r="L30" s="28"/>
      <c r="M30" s="28"/>
      <c r="N30" s="28"/>
      <c r="O30" s="28"/>
      <c r="Q30" s="66">
        <f>Q27*VLOOKUP(Q5,'2. Abatement matrix'!$A:$C,3,0)</f>
        <v>176464</v>
      </c>
      <c r="R30" s="66">
        <f>R27*VLOOKUP(R5,'2. Abatement matrix'!$A:$C,3,0)</f>
        <v>1787721.75</v>
      </c>
      <c r="S30" s="66">
        <f>S27*VLOOKUP(S5,'2. Abatement matrix'!$A:$C,3,0)</f>
        <v>4381555.9999999991</v>
      </c>
      <c r="T30" s="66">
        <f>T27*VLOOKUP(T5,'2. Abatement matrix'!$A:$C,3,0)</f>
        <v>6247560.0000000009</v>
      </c>
      <c r="U30" s="66">
        <f>U27*VLOOKUP(U5,'2. Abatement matrix'!$A:$C,3,0)</f>
        <v>6188167.5</v>
      </c>
      <c r="V30" s="66">
        <f>V27*VLOOKUP(V5,'2. Abatement matrix'!$A:$C,3,0)</f>
        <v>0</v>
      </c>
      <c r="W30" s="66">
        <f>W27*VLOOKUP(W5,'2. Abatement matrix'!$A:$C,3,0)</f>
        <v>13490859.999999998</v>
      </c>
      <c r="X30" s="66">
        <f>X27*VLOOKUP(X5,'2. Abatement matrix'!$A:$C,3,0)</f>
        <v>25434999.999999996</v>
      </c>
      <c r="AB30" s="85">
        <f>AB27-AB29</f>
        <v>0.25091949039779404</v>
      </c>
    </row>
    <row r="31" spans="1:30" x14ac:dyDescent="0.2">
      <c r="Q31" s="69">
        <f>Q30/SUM($Q$30:$X$30)</f>
        <v>3.0579131332784735E-3</v>
      </c>
      <c r="R31" s="69">
        <f t="shared" ref="R31:X31" si="47">R30/SUM($Q$30:$X$30)</f>
        <v>3.0979110855316527E-2</v>
      </c>
      <c r="S31" s="69">
        <f t="shared" si="47"/>
        <v>7.5927201222884516E-2</v>
      </c>
      <c r="T31" s="69">
        <f t="shared" si="47"/>
        <v>0.10826285120446812</v>
      </c>
      <c r="U31" s="69">
        <f t="shared" si="47"/>
        <v>0.10723364918157255</v>
      </c>
      <c r="V31" s="69">
        <f t="shared" si="47"/>
        <v>0</v>
      </c>
      <c r="W31" s="69">
        <f t="shared" si="47"/>
        <v>0.23378070299449871</v>
      </c>
      <c r="X31" s="69">
        <f t="shared" si="47"/>
        <v>0.44075857140798103</v>
      </c>
    </row>
    <row r="33" spans="17:24" x14ac:dyDescent="0.2">
      <c r="Q33" s="86"/>
      <c r="R33" s="86"/>
      <c r="S33" s="86"/>
      <c r="T33" s="86"/>
      <c r="U33" s="86"/>
      <c r="V33" s="86"/>
      <c r="W33" s="86"/>
      <c r="X33" s="86"/>
    </row>
  </sheetData>
  <autoFilter ref="A5:AD30">
    <filterColumn colId="2">
      <filters blank="1">
        <filter val="1,00,00,000"/>
        <filter val="1,21,464"/>
        <filter val="1,67,000"/>
        <filter val="10,000"/>
        <filter val="10,30,000"/>
        <filter val="2,08,000"/>
        <filter val="2,09,233"/>
        <filter val="6,24,000"/>
        <filter val="7,06,000"/>
        <filter val="78,000"/>
        <filter val="8,06,75,000"/>
        <filter val="800389"/>
        <filter val="9,46,29,086"/>
      </filters>
    </filterColumn>
    <filterColumn colId="6">
      <filters>
        <filter val="3"/>
      </filters>
    </filterColumn>
  </autoFilter>
  <sortState ref="A2:E1001">
    <sortCondition descending="1" ref="C1"/>
  </sortState>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3" workbookViewId="0">
      <selection activeCell="B15" sqref="B15"/>
    </sheetView>
  </sheetViews>
  <sheetFormatPr defaultRowHeight="14.25" x14ac:dyDescent="0.2"/>
  <cols>
    <col min="1" max="1" width="27.875" customWidth="1"/>
    <col min="2" max="2" width="10.875" style="53" customWidth="1"/>
    <col min="3" max="3" width="11.5" customWidth="1"/>
    <col min="4" max="4" width="11.875" customWidth="1"/>
    <col min="5" max="5" width="8" customWidth="1"/>
    <col min="6" max="6" width="7.625" customWidth="1"/>
    <col min="7" max="7" width="7.375" customWidth="1"/>
    <col min="8" max="8" width="9" customWidth="1"/>
  </cols>
  <sheetData>
    <row r="1" spans="1:10" ht="67.5" x14ac:dyDescent="0.2">
      <c r="C1" s="30" t="s">
        <v>52</v>
      </c>
      <c r="D1" s="30" t="s">
        <v>53</v>
      </c>
      <c r="E1" s="30" t="s">
        <v>54</v>
      </c>
      <c r="F1" s="30" t="s">
        <v>55</v>
      </c>
      <c r="G1" s="30" t="s">
        <v>56</v>
      </c>
      <c r="H1" s="30" t="s">
        <v>57</v>
      </c>
      <c r="I1" s="30" t="s">
        <v>58</v>
      </c>
      <c r="J1" s="30" t="s">
        <v>59</v>
      </c>
    </row>
    <row r="2" spans="1:10" ht="56.25" x14ac:dyDescent="0.2">
      <c r="A2" s="29" t="s">
        <v>0</v>
      </c>
      <c r="B2" s="49" t="s">
        <v>95</v>
      </c>
      <c r="C2" s="43" t="s">
        <v>66</v>
      </c>
      <c r="D2" s="43" t="s">
        <v>39</v>
      </c>
      <c r="E2" s="43" t="s">
        <v>40</v>
      </c>
      <c r="F2" s="44" t="s">
        <v>41</v>
      </c>
      <c r="G2" s="44" t="s">
        <v>42</v>
      </c>
      <c r="H2" s="44" t="s">
        <v>43</v>
      </c>
      <c r="I2" s="46" t="s">
        <v>44</v>
      </c>
      <c r="J2" s="46" t="s">
        <v>45</v>
      </c>
    </row>
    <row r="3" spans="1:10" x14ac:dyDescent="0.2">
      <c r="A3" s="36" t="s">
        <v>15</v>
      </c>
      <c r="B3" s="36">
        <f>VLOOKUP(A3,'1. Emission sources'!A:Z,26,0)</f>
        <v>289671.20000000007</v>
      </c>
      <c r="C3" s="68">
        <f>VLOOKUP($A3,'1. Emission sources'!$A:$X,17,0)/$B3</f>
        <v>6.2499999999999986E-2</v>
      </c>
      <c r="D3" s="68">
        <f>VLOOKUP($A3,'1. Emission sources'!$A:$X,18,0)/$B3</f>
        <v>0.18749999999999994</v>
      </c>
      <c r="E3" s="68">
        <f>VLOOKUP($A3,'1. Emission sources'!$A:$X,19,0)/$B3</f>
        <v>0.49999999999999989</v>
      </c>
      <c r="F3" s="68">
        <f>VLOOKUP($A3,'1. Emission sources'!$A:$X,20,0)/$B3</f>
        <v>0</v>
      </c>
      <c r="G3" s="68">
        <f>VLOOKUP($A3,'1. Emission sources'!$A:$X,21,0)/$B3</f>
        <v>0.12499999999999997</v>
      </c>
      <c r="H3" s="68">
        <f>VLOOKUP($A3,'1. Emission sources'!$A:$X,22,0)/$B3</f>
        <v>0</v>
      </c>
      <c r="I3" s="68">
        <f>VLOOKUP($A3,'1. Emission sources'!$A:$X,23,0)/$B3</f>
        <v>6.2499999999999986E-2</v>
      </c>
      <c r="J3" s="68">
        <f>VLOOKUP($A3,'1. Emission sources'!$A:$X,24,0)/$B3</f>
        <v>6.2499999999999986E-2</v>
      </c>
    </row>
    <row r="4" spans="1:10" x14ac:dyDescent="0.2">
      <c r="A4" s="36" t="s">
        <v>10</v>
      </c>
      <c r="B4" s="36">
        <f>VLOOKUP(A4,'1. Emission sources'!A:Z,26,0)</f>
        <v>120791.20000000001</v>
      </c>
      <c r="C4" s="68">
        <f>VLOOKUP($A4,'1. Emission sources'!$A:$X,17,0)/$B4</f>
        <v>0</v>
      </c>
      <c r="D4" s="68">
        <f>VLOOKUP($A4,'1. Emission sources'!$A:$X,18,0)/$B4</f>
        <v>0.18749999999999997</v>
      </c>
      <c r="E4" s="68">
        <f>VLOOKUP($A4,'1. Emission sources'!$A:$X,19,0)/$B4</f>
        <v>0.5</v>
      </c>
      <c r="F4" s="68">
        <f>VLOOKUP($A4,'1. Emission sources'!$A:$X,20,0)/$B4</f>
        <v>0.25</v>
      </c>
      <c r="G4" s="68">
        <f>VLOOKUP($A4,'1. Emission sources'!$A:$X,21,0)/$B4</f>
        <v>0</v>
      </c>
      <c r="H4" s="68">
        <f>VLOOKUP($A4,'1. Emission sources'!$A:$X,22,0)/$B4</f>
        <v>0</v>
      </c>
      <c r="I4" s="68">
        <f>VLOOKUP($A4,'1. Emission sources'!$A:$X,23,0)/$B4</f>
        <v>6.25E-2</v>
      </c>
      <c r="J4" s="68">
        <f>VLOOKUP($A4,'1. Emission sources'!$A:$X,24,0)/$B4</f>
        <v>0</v>
      </c>
    </row>
    <row r="5" spans="1:10" x14ac:dyDescent="0.2">
      <c r="A5" s="36" t="s">
        <v>20</v>
      </c>
      <c r="B5" s="36">
        <f>VLOOKUP(A5,'1. Emission sources'!A:Z,26,0)</f>
        <v>70553.60000000002</v>
      </c>
      <c r="C5" s="68">
        <f>VLOOKUP($A5,'1. Emission sources'!$A:$X,17,0)/$B5</f>
        <v>0</v>
      </c>
      <c r="D5" s="68">
        <f>VLOOKUP($A5,'1. Emission sources'!$A:$X,18,0)/$B5</f>
        <v>0.23076923076923067</v>
      </c>
      <c r="E5" s="68">
        <f>VLOOKUP($A5,'1. Emission sources'!$A:$X,19,0)/$B5</f>
        <v>0.61538461538461531</v>
      </c>
      <c r="F5" s="68">
        <f>VLOOKUP($A5,'1. Emission sources'!$A:$X,20,0)/$B5</f>
        <v>0</v>
      </c>
      <c r="G5" s="68">
        <f>VLOOKUP($A5,'1. Emission sources'!$A:$X,21,0)/$B5</f>
        <v>0</v>
      </c>
      <c r="H5" s="68">
        <f>VLOOKUP($A5,'1. Emission sources'!$A:$X,22,0)/$B5</f>
        <v>0</v>
      </c>
      <c r="I5" s="68">
        <f>VLOOKUP($A5,'1. Emission sources'!$A:$X,23,0)/$B5</f>
        <v>7.6923076923076913E-2</v>
      </c>
      <c r="J5" s="68">
        <f>VLOOKUP($A5,'1. Emission sources'!$A:$X,24,0)/$B5</f>
        <v>7.6923076923076913E-2</v>
      </c>
    </row>
    <row r="6" spans="1:10" x14ac:dyDescent="0.2">
      <c r="A6" s="36" t="s">
        <v>6</v>
      </c>
      <c r="B6" s="36">
        <f>VLOOKUP(A6,'1. Emission sources'!A:Z,26,0)</f>
        <v>79890.300000000017</v>
      </c>
      <c r="C6" s="68">
        <f>VLOOKUP($A6,'1. Emission sources'!$A:$X,17,0)/$B6</f>
        <v>5.5555555555555546E-2</v>
      </c>
      <c r="D6" s="68">
        <f>VLOOKUP($A6,'1. Emission sources'!$A:$X,18,0)/$B6</f>
        <v>0.16666666666666663</v>
      </c>
      <c r="E6" s="68">
        <f>VLOOKUP($A6,'1. Emission sources'!$A:$X,19,0)/$B6</f>
        <v>0.44444444444444436</v>
      </c>
      <c r="F6" s="68">
        <f>VLOOKUP($A6,'1. Emission sources'!$A:$X,20,0)/$B6</f>
        <v>0.22222222222222218</v>
      </c>
      <c r="G6" s="68">
        <f>VLOOKUP($A6,'1. Emission sources'!$A:$X,21,0)/$B6</f>
        <v>0</v>
      </c>
      <c r="H6" s="68">
        <f>VLOOKUP($A6,'1. Emission sources'!$A:$X,22,0)/$B6</f>
        <v>0</v>
      </c>
      <c r="I6" s="68">
        <f>VLOOKUP($A6,'1. Emission sources'!$A:$X,23,0)/$B6</f>
        <v>5.5555555555555546E-2</v>
      </c>
      <c r="J6" s="68">
        <f>VLOOKUP($A6,'1. Emission sources'!$A:$X,24,0)/$B6</f>
        <v>5.5555555555555546E-2</v>
      </c>
    </row>
    <row r="7" spans="1:10" x14ac:dyDescent="0.2">
      <c r="A7" s="36" t="s">
        <v>7</v>
      </c>
      <c r="B7" s="36">
        <f>VLOOKUP(A7,'1. Emission sources'!A:Z,26,0)</f>
        <v>17000</v>
      </c>
      <c r="C7" s="68">
        <f>VLOOKUP($A7,'1. Emission sources'!$A:$X,17,0)/$B7</f>
        <v>0</v>
      </c>
      <c r="D7" s="68">
        <f>VLOOKUP($A7,'1. Emission sources'!$A:$X,18,0)/$B7</f>
        <v>0.75</v>
      </c>
      <c r="E7" s="68">
        <f>VLOOKUP($A7,'1. Emission sources'!$A:$X,19,0)/$B7</f>
        <v>0</v>
      </c>
      <c r="F7" s="68">
        <f>VLOOKUP($A7,'1. Emission sources'!$A:$X,20,0)/$B7</f>
        <v>0</v>
      </c>
      <c r="G7" s="68">
        <f>VLOOKUP($A7,'1. Emission sources'!$A:$X,21,0)/$B7</f>
        <v>0</v>
      </c>
      <c r="H7" s="68">
        <f>VLOOKUP($A7,'1. Emission sources'!$A:$X,22,0)/$B7</f>
        <v>0</v>
      </c>
      <c r="I7" s="68">
        <f>VLOOKUP($A7,'1. Emission sources'!$A:$X,23,0)/$B7</f>
        <v>0.25</v>
      </c>
      <c r="J7" s="68">
        <f>VLOOKUP($A7,'1. Emission sources'!$A:$X,24,0)/$B7</f>
        <v>0</v>
      </c>
    </row>
    <row r="8" spans="1:10" x14ac:dyDescent="0.2">
      <c r="A8" s="36" t="s">
        <v>24</v>
      </c>
      <c r="B8" s="36">
        <f>VLOOKUP(A8,'1. Emission sources'!A:Z,26,0)</f>
        <v>500</v>
      </c>
      <c r="C8" s="68">
        <f>VLOOKUP($A8,'1. Emission sources'!$A:$X,17,0)/$B8</f>
        <v>0</v>
      </c>
      <c r="D8" s="68">
        <f>VLOOKUP($A8,'1. Emission sources'!$A:$X,18,0)/$B8</f>
        <v>0</v>
      </c>
      <c r="E8" s="68">
        <f>VLOOKUP($A8,'1. Emission sources'!$A:$X,19,0)/$B8</f>
        <v>0</v>
      </c>
      <c r="F8" s="68">
        <f>VLOOKUP($A8,'1. Emission sources'!$A:$X,20,0)/$B8</f>
        <v>0</v>
      </c>
      <c r="G8" s="68">
        <f>VLOOKUP($A8,'1. Emission sources'!$A:$X,21,0)/$B8</f>
        <v>0</v>
      </c>
      <c r="H8" s="68">
        <f>VLOOKUP($A8,'1. Emission sources'!$A:$X,22,0)/$B8</f>
        <v>0</v>
      </c>
      <c r="I8" s="68">
        <f>VLOOKUP($A8,'1. Emission sources'!$A:$X,23,0)/$B8</f>
        <v>0.5</v>
      </c>
      <c r="J8" s="68">
        <f>VLOOKUP($A8,'1. Emission sources'!$A:$X,24,0)/$B8</f>
        <v>0.5</v>
      </c>
    </row>
    <row r="13" spans="1:10" ht="15" thickBot="1" x14ac:dyDescent="0.25"/>
    <row r="14" spans="1:10" ht="30" x14ac:dyDescent="0.2">
      <c r="A14" s="88" t="s">
        <v>102</v>
      </c>
      <c r="B14" s="97" t="s">
        <v>103</v>
      </c>
      <c r="C14" s="89" t="s">
        <v>104</v>
      </c>
      <c r="D14" s="90" t="s">
        <v>103</v>
      </c>
    </row>
    <row r="15" spans="1:10" ht="25.5" x14ac:dyDescent="0.2">
      <c r="A15" s="91" t="s">
        <v>22</v>
      </c>
      <c r="B15" s="38">
        <f>VLOOKUP(A15,'1. Emission sources'!A:C,3,0)/1000</f>
        <v>1030</v>
      </c>
      <c r="C15" s="13" t="s">
        <v>16</v>
      </c>
      <c r="D15" s="92">
        <f>VLOOKUP(C15,'1. Emission sources'!A:C,3,0)/1000</f>
        <v>80675</v>
      </c>
    </row>
    <row r="16" spans="1:10" ht="38.25" x14ac:dyDescent="0.2">
      <c r="A16" s="91" t="s">
        <v>9</v>
      </c>
      <c r="B16" s="38">
        <f>VLOOKUP(A16,'1. Emission sources'!A:C,3,0)/1000</f>
        <v>624</v>
      </c>
      <c r="C16" s="13" t="s">
        <v>3</v>
      </c>
      <c r="D16" s="92">
        <f>VLOOKUP(C16,'1. Emission sources'!A:C,3,0)/1000</f>
        <v>10000</v>
      </c>
    </row>
    <row r="17" spans="1:4" ht="51" x14ac:dyDescent="0.2">
      <c r="A17" s="91" t="s">
        <v>21</v>
      </c>
      <c r="B17" s="38">
        <f>VLOOKUP(A17,'1. Emission sources'!A:C,3,0)/1000</f>
        <v>209.233</v>
      </c>
      <c r="C17" s="13" t="s">
        <v>13</v>
      </c>
      <c r="D17" s="92">
        <f>VLOOKUP(C17,'1. Emission sources'!A:C,3,0)/1000</f>
        <v>706</v>
      </c>
    </row>
    <row r="18" spans="1:4" ht="38.25" x14ac:dyDescent="0.2">
      <c r="A18" s="91" t="s">
        <v>8</v>
      </c>
      <c r="B18" s="38">
        <f>VLOOKUP(A18,'1. Emission sources'!A:C,3,0)/1000</f>
        <v>208</v>
      </c>
      <c r="C18" s="13" t="s">
        <v>17</v>
      </c>
      <c r="D18" s="92">
        <f>VLOOKUP(C18,'1. Emission sources'!A:C,3,0)/1000</f>
        <v>167</v>
      </c>
    </row>
    <row r="19" spans="1:4" ht="38.25" x14ac:dyDescent="0.2">
      <c r="A19" s="91" t="s">
        <v>11</v>
      </c>
      <c r="B19" s="38">
        <f>VLOOKUP(A19,'1. Emission sources'!A:C,3,0)/1000</f>
        <v>121.464</v>
      </c>
      <c r="C19" s="13" t="s">
        <v>23</v>
      </c>
      <c r="D19" s="92">
        <f>VLOOKUP(C19,'1. Emission sources'!A:C,3,0)/1000</f>
        <v>78</v>
      </c>
    </row>
    <row r="20" spans="1:4" ht="25.5" x14ac:dyDescent="0.2">
      <c r="A20" s="91" t="s">
        <v>5</v>
      </c>
      <c r="B20" s="87">
        <f>VLOOKUP(A20,'1. Emission sources'!A:C,3,0)/1000</f>
        <v>0</v>
      </c>
      <c r="C20" s="13" t="s">
        <v>14</v>
      </c>
      <c r="D20" s="92">
        <f>VLOOKUP(C20,'1. Emission sources'!A:C,3,0)/1000</f>
        <v>10</v>
      </c>
    </row>
    <row r="21" spans="1:4" ht="38.25" x14ac:dyDescent="0.2">
      <c r="A21" s="91" t="s">
        <v>12</v>
      </c>
      <c r="B21" s="87">
        <f>VLOOKUP(A21,'1. Emission sources'!A:C,3,0)/1000</f>
        <v>0</v>
      </c>
      <c r="C21" s="13" t="s">
        <v>18</v>
      </c>
      <c r="D21" s="93">
        <f>VLOOKUP(C21,'1. Emission sources'!A:C,3,0)/1000</f>
        <v>0</v>
      </c>
    </row>
    <row r="22" spans="1:4" ht="15" thickBot="1" x14ac:dyDescent="0.25">
      <c r="A22" s="94" t="s">
        <v>105</v>
      </c>
      <c r="B22" s="98" t="s">
        <v>105</v>
      </c>
      <c r="C22" s="95" t="s">
        <v>19</v>
      </c>
      <c r="D22" s="96">
        <f>VLOOKUP(C22,'1. Emission sources'!A:C,3,0)/1000</f>
        <v>0</v>
      </c>
    </row>
    <row r="26" spans="1:4" ht="15" thickBot="1" x14ac:dyDescent="0.25"/>
    <row r="27" spans="1:4" ht="15" x14ac:dyDescent="0.2">
      <c r="A27" s="100" t="s">
        <v>106</v>
      </c>
      <c r="B27" s="101" t="s">
        <v>107</v>
      </c>
    </row>
    <row r="28" spans="1:4" ht="45" x14ac:dyDescent="0.2">
      <c r="A28" s="102" t="s">
        <v>108</v>
      </c>
      <c r="B28" s="103" t="s">
        <v>120</v>
      </c>
    </row>
    <row r="29" spans="1:4" ht="45" x14ac:dyDescent="0.2">
      <c r="A29" s="102" t="s">
        <v>109</v>
      </c>
      <c r="B29" s="103" t="s">
        <v>113</v>
      </c>
    </row>
    <row r="30" spans="1:4" ht="22.5" x14ac:dyDescent="0.2">
      <c r="A30" s="102" t="s">
        <v>110</v>
      </c>
      <c r="B30" s="103" t="s">
        <v>114</v>
      </c>
    </row>
    <row r="31" spans="1:4" x14ac:dyDescent="0.2">
      <c r="A31" s="102" t="s">
        <v>111</v>
      </c>
      <c r="B31" s="103" t="s">
        <v>117</v>
      </c>
    </row>
    <row r="32" spans="1:4" x14ac:dyDescent="0.2">
      <c r="A32" s="102" t="s">
        <v>112</v>
      </c>
      <c r="B32" s="103" t="s">
        <v>115</v>
      </c>
    </row>
    <row r="33" spans="1:2" x14ac:dyDescent="0.2">
      <c r="A33" s="102" t="s">
        <v>118</v>
      </c>
      <c r="B33" s="104" t="s">
        <v>116</v>
      </c>
    </row>
    <row r="34" spans="1:2" x14ac:dyDescent="0.2">
      <c r="A34" s="102" t="s">
        <v>119</v>
      </c>
      <c r="B34" s="104" t="s">
        <v>123</v>
      </c>
    </row>
    <row r="35" spans="1:2" x14ac:dyDescent="0.2">
      <c r="A35" s="102" t="s">
        <v>121</v>
      </c>
      <c r="B35" s="105" t="s">
        <v>124</v>
      </c>
    </row>
    <row r="36" spans="1:2" ht="15" thickBot="1" x14ac:dyDescent="0.25">
      <c r="A36" s="106" t="s">
        <v>122</v>
      </c>
      <c r="B36" s="107" t="s">
        <v>125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K10"/>
  <sheetViews>
    <sheetView workbookViewId="0">
      <selection activeCell="C5" sqref="C5"/>
    </sheetView>
  </sheetViews>
  <sheetFormatPr defaultRowHeight="14.25" x14ac:dyDescent="0.2"/>
  <cols>
    <col min="1" max="1" width="26.875" style="15" customWidth="1"/>
    <col min="2" max="2" width="28.375" customWidth="1"/>
    <col min="3" max="3" width="11.125" customWidth="1"/>
    <col min="4" max="4" width="16.125" style="16" hidden="1" customWidth="1"/>
    <col min="5" max="5" width="12.875" style="16" bestFit="1" customWidth="1"/>
    <col min="6" max="6" width="12.125" customWidth="1"/>
    <col min="7" max="7" width="11.75" style="16" customWidth="1"/>
    <col min="8" max="8" width="12.75" style="16" bestFit="1" customWidth="1"/>
    <col min="10" max="10" width="10.75" style="22" customWidth="1"/>
    <col min="11" max="11" width="23.125" style="53" customWidth="1"/>
  </cols>
  <sheetData>
    <row r="1" spans="1:11" x14ac:dyDescent="0.2">
      <c r="F1" s="47" t="s">
        <v>84</v>
      </c>
    </row>
    <row r="2" spans="1:11" s="18" customFormat="1" ht="51" customHeight="1" x14ac:dyDescent="0.2">
      <c r="A2" s="14" t="s">
        <v>38</v>
      </c>
      <c r="B2" s="14" t="s">
        <v>51</v>
      </c>
      <c r="C2" s="17" t="s">
        <v>96</v>
      </c>
      <c r="D2" s="17" t="s">
        <v>29</v>
      </c>
      <c r="E2" s="17" t="s">
        <v>50</v>
      </c>
      <c r="F2" s="24" t="s">
        <v>63</v>
      </c>
      <c r="G2" s="19" t="s">
        <v>91</v>
      </c>
      <c r="H2" s="19" t="s">
        <v>61</v>
      </c>
      <c r="I2" s="20" t="s">
        <v>62</v>
      </c>
      <c r="J2" s="21" t="s">
        <v>64</v>
      </c>
      <c r="K2" s="54" t="s">
        <v>51</v>
      </c>
    </row>
    <row r="3" spans="1:11" ht="25.5" x14ac:dyDescent="0.2">
      <c r="A3" s="13" t="s">
        <v>66</v>
      </c>
      <c r="B3" s="13" t="s">
        <v>52</v>
      </c>
      <c r="C3" s="67">
        <v>5</v>
      </c>
      <c r="D3" s="1" t="s">
        <v>46</v>
      </c>
      <c r="E3" s="1" t="s">
        <v>77</v>
      </c>
      <c r="F3" s="1">
        <v>1</v>
      </c>
      <c r="G3" s="1">
        <v>7</v>
      </c>
      <c r="H3" s="1">
        <v>1</v>
      </c>
      <c r="I3" s="1">
        <f t="shared" ref="I3:I10" si="0">(F3*0.3+G3*0.7)+H3*0.6</f>
        <v>5.7999999999999989</v>
      </c>
      <c r="J3" s="23">
        <v>0.05</v>
      </c>
      <c r="K3" s="51"/>
    </row>
    <row r="4" spans="1:11" ht="25.5" x14ac:dyDescent="0.2">
      <c r="A4" s="13" t="s">
        <v>39</v>
      </c>
      <c r="B4" s="13" t="s">
        <v>53</v>
      </c>
      <c r="C4" s="67">
        <v>7.5</v>
      </c>
      <c r="D4" s="1" t="s">
        <v>47</v>
      </c>
      <c r="E4" s="1" t="s">
        <v>78</v>
      </c>
      <c r="F4" s="1">
        <v>2</v>
      </c>
      <c r="G4" s="1">
        <v>3</v>
      </c>
      <c r="H4" s="1">
        <v>1</v>
      </c>
      <c r="I4" s="1">
        <f t="shared" si="0"/>
        <v>3.3</v>
      </c>
      <c r="J4" s="23">
        <v>0.15</v>
      </c>
      <c r="K4" s="51"/>
    </row>
    <row r="5" spans="1:11" ht="25.5" x14ac:dyDescent="0.2">
      <c r="A5" s="13" t="s">
        <v>40</v>
      </c>
      <c r="B5" s="13" t="s">
        <v>54</v>
      </c>
      <c r="C5" s="67">
        <v>10</v>
      </c>
      <c r="D5" s="1" t="s">
        <v>47</v>
      </c>
      <c r="E5" s="1" t="s">
        <v>79</v>
      </c>
      <c r="F5" s="1">
        <v>3</v>
      </c>
      <c r="G5" s="1">
        <v>1</v>
      </c>
      <c r="H5" s="1">
        <v>2</v>
      </c>
      <c r="I5" s="1">
        <f t="shared" si="0"/>
        <v>2.8</v>
      </c>
      <c r="J5" s="23">
        <v>0.4</v>
      </c>
      <c r="K5" s="51" t="s">
        <v>72</v>
      </c>
    </row>
    <row r="6" spans="1:11" ht="25.5" x14ac:dyDescent="0.2">
      <c r="A6" s="13" t="s">
        <v>41</v>
      </c>
      <c r="B6" s="13" t="s">
        <v>55</v>
      </c>
      <c r="C6" s="67">
        <v>50</v>
      </c>
      <c r="D6" s="1" t="s">
        <v>48</v>
      </c>
      <c r="E6" s="1" t="s">
        <v>80</v>
      </c>
      <c r="F6" s="1">
        <v>4</v>
      </c>
      <c r="G6" s="1">
        <v>2</v>
      </c>
      <c r="H6" s="1">
        <v>3</v>
      </c>
      <c r="I6" s="1">
        <f t="shared" si="0"/>
        <v>4.3999999999999995</v>
      </c>
      <c r="J6" s="23">
        <v>0.2</v>
      </c>
      <c r="K6" s="51" t="s">
        <v>73</v>
      </c>
    </row>
    <row r="7" spans="1:11" ht="21.75" customHeight="1" x14ac:dyDescent="0.2">
      <c r="A7" s="13" t="s">
        <v>42</v>
      </c>
      <c r="B7" s="13" t="s">
        <v>56</v>
      </c>
      <c r="C7" s="67">
        <v>75</v>
      </c>
      <c r="D7" s="1" t="s">
        <v>48</v>
      </c>
      <c r="E7" s="1" t="s">
        <v>81</v>
      </c>
      <c r="F7" s="1">
        <v>5</v>
      </c>
      <c r="G7" s="1">
        <v>4</v>
      </c>
      <c r="H7" s="1">
        <v>3</v>
      </c>
      <c r="I7" s="1">
        <f t="shared" si="0"/>
        <v>6.1</v>
      </c>
      <c r="J7" s="23">
        <v>0.1</v>
      </c>
      <c r="K7" s="51" t="s">
        <v>74</v>
      </c>
    </row>
    <row r="8" spans="1:11" ht="25.5" x14ac:dyDescent="0.2">
      <c r="A8" s="13" t="s">
        <v>43</v>
      </c>
      <c r="B8" s="13" t="s">
        <v>57</v>
      </c>
      <c r="C8" s="67">
        <v>100</v>
      </c>
      <c r="D8" s="1" t="s">
        <v>48</v>
      </c>
      <c r="E8" s="1" t="s">
        <v>87</v>
      </c>
      <c r="F8" s="1">
        <v>6</v>
      </c>
      <c r="G8" s="1">
        <v>8</v>
      </c>
      <c r="H8" s="1">
        <v>3</v>
      </c>
      <c r="I8" s="1">
        <f t="shared" si="0"/>
        <v>9.1999999999999993</v>
      </c>
      <c r="J8" s="23">
        <v>0</v>
      </c>
      <c r="K8" s="51"/>
    </row>
    <row r="9" spans="1:11" ht="25.5" x14ac:dyDescent="0.2">
      <c r="A9" s="13" t="s">
        <v>44</v>
      </c>
      <c r="B9" s="13" t="s">
        <v>58</v>
      </c>
      <c r="C9" s="67">
        <v>200</v>
      </c>
      <c r="D9" s="1" t="s">
        <v>49</v>
      </c>
      <c r="E9" s="1" t="s">
        <v>82</v>
      </c>
      <c r="F9" s="1">
        <v>7</v>
      </c>
      <c r="G9" s="1">
        <v>6</v>
      </c>
      <c r="H9" s="1">
        <v>4</v>
      </c>
      <c r="I9" s="1">
        <f t="shared" si="0"/>
        <v>8.6999999999999993</v>
      </c>
      <c r="J9" s="23">
        <v>0.05</v>
      </c>
      <c r="K9" s="52" t="s">
        <v>75</v>
      </c>
    </row>
    <row r="10" spans="1:11" ht="25.5" x14ac:dyDescent="0.2">
      <c r="A10" s="13" t="s">
        <v>45</v>
      </c>
      <c r="B10" s="13" t="s">
        <v>59</v>
      </c>
      <c r="C10" s="67">
        <v>500</v>
      </c>
      <c r="D10" s="1" t="s">
        <v>49</v>
      </c>
      <c r="E10" s="1" t="s">
        <v>83</v>
      </c>
      <c r="F10" s="1">
        <v>8</v>
      </c>
      <c r="G10" s="1">
        <v>5</v>
      </c>
      <c r="H10" s="1">
        <v>5</v>
      </c>
      <c r="I10" s="1">
        <f t="shared" si="0"/>
        <v>8.9</v>
      </c>
      <c r="J10" s="23">
        <v>0.05</v>
      </c>
      <c r="K10" s="52" t="s">
        <v>76</v>
      </c>
    </row>
  </sheetData>
  <autoFilter ref="A2:J10"/>
  <sortState ref="A3:K10">
    <sortCondition ref="F1"/>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5"/>
  <sheetViews>
    <sheetView workbookViewId="0">
      <selection activeCell="C11" sqref="C11"/>
    </sheetView>
  </sheetViews>
  <sheetFormatPr defaultRowHeight="14.25" x14ac:dyDescent="0.2"/>
  <cols>
    <col min="1" max="1" width="13" bestFit="1" customWidth="1"/>
    <col min="2" max="2" width="17.5" customWidth="1"/>
    <col min="3" max="3" width="93.875" customWidth="1"/>
  </cols>
  <sheetData>
    <row r="1" spans="1:3" x14ac:dyDescent="0.2">
      <c r="A1" s="47" t="s">
        <v>92</v>
      </c>
      <c r="B1" s="47" t="s">
        <v>93</v>
      </c>
    </row>
    <row r="2" spans="1:3" ht="28.5" x14ac:dyDescent="0.2">
      <c r="C2" s="62" t="s">
        <v>37</v>
      </c>
    </row>
    <row r="3" spans="1:3" ht="28.5" x14ac:dyDescent="0.2">
      <c r="C3" s="62" t="s">
        <v>60</v>
      </c>
    </row>
    <row r="4" spans="1:3" x14ac:dyDescent="0.2">
      <c r="C4" s="50" t="s">
        <v>65</v>
      </c>
    </row>
    <row r="5" spans="1:3" ht="42.75" x14ac:dyDescent="0.2">
      <c r="C5" s="62"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B19" sqref="B19"/>
    </sheetView>
  </sheetViews>
  <sheetFormatPr defaultRowHeight="14.25" x14ac:dyDescent="0.2"/>
  <cols>
    <col min="1" max="1" width="13.125" bestFit="1" customWidth="1"/>
    <col min="2" max="2" width="16.625" bestFit="1" customWidth="1"/>
  </cols>
  <sheetData>
    <row r="3" spans="1:3" x14ac:dyDescent="0.2">
      <c r="A3" s="2" t="s">
        <v>26</v>
      </c>
      <c r="B3" t="s">
        <v>28</v>
      </c>
    </row>
    <row r="4" spans="1:3" x14ac:dyDescent="0.2">
      <c r="A4" s="3">
        <v>1</v>
      </c>
      <c r="B4" s="5">
        <v>235989</v>
      </c>
      <c r="C4" s="8"/>
    </row>
    <row r="5" spans="1:3" x14ac:dyDescent="0.2">
      <c r="A5" s="3">
        <v>2</v>
      </c>
      <c r="B5" s="5">
        <v>559400</v>
      </c>
      <c r="C5" s="8"/>
    </row>
    <row r="6" spans="1:3" x14ac:dyDescent="0.2">
      <c r="A6" s="3">
        <v>3</v>
      </c>
      <c r="B6" s="5">
        <v>93833697</v>
      </c>
      <c r="C6" s="8"/>
    </row>
    <row r="7" spans="1:3" x14ac:dyDescent="0.2">
      <c r="A7" s="3" t="s">
        <v>27</v>
      </c>
      <c r="B7" s="5">
        <v>94629086</v>
      </c>
    </row>
    <row r="10" spans="1:3" ht="15" x14ac:dyDescent="0.25">
      <c r="A10" s="9" t="s">
        <v>100</v>
      </c>
      <c r="B10" s="6" t="s">
        <v>101</v>
      </c>
    </row>
    <row r="11" spans="1:3" x14ac:dyDescent="0.2">
      <c r="A11" s="3" t="s">
        <v>97</v>
      </c>
      <c r="B11" s="5">
        <v>235989</v>
      </c>
      <c r="C11" s="8">
        <f>B11/$B$14</f>
        <v>2.4938315477336429E-3</v>
      </c>
    </row>
    <row r="12" spans="1:3" x14ac:dyDescent="0.2">
      <c r="A12" s="3" t="s">
        <v>98</v>
      </c>
      <c r="B12" s="5">
        <v>559400</v>
      </c>
      <c r="C12" s="8">
        <f t="shared" ref="C12:C13" si="0">B12/$B$14</f>
        <v>5.9115016708499116E-3</v>
      </c>
    </row>
    <row r="13" spans="1:3" x14ac:dyDescent="0.2">
      <c r="A13" s="3" t="s">
        <v>99</v>
      </c>
      <c r="B13" s="5">
        <v>93833697</v>
      </c>
      <c r="C13" s="8">
        <f t="shared" si="0"/>
        <v>0.9915946667814165</v>
      </c>
    </row>
    <row r="14" spans="1:3" ht="15" x14ac:dyDescent="0.25">
      <c r="A14" s="4" t="s">
        <v>27</v>
      </c>
      <c r="B14" s="7">
        <v>94629086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1"/>
  <sheetViews>
    <sheetView workbookViewId="0">
      <selection activeCell="C23" sqref="C23"/>
    </sheetView>
  </sheetViews>
  <sheetFormatPr defaultRowHeight="14.25" x14ac:dyDescent="0.2"/>
  <cols>
    <col min="1" max="1" width="43.625" customWidth="1"/>
    <col min="2" max="2" width="16.625" bestFit="1" customWidth="1"/>
    <col min="3" max="3" width="24.25" bestFit="1" customWidth="1"/>
  </cols>
  <sheetData>
    <row r="3" spans="1:3" x14ac:dyDescent="0.2">
      <c r="A3" s="2" t="s">
        <v>26</v>
      </c>
      <c r="B3" t="s">
        <v>28</v>
      </c>
      <c r="C3" t="s">
        <v>36</v>
      </c>
    </row>
    <row r="4" spans="1:3" x14ac:dyDescent="0.2">
      <c r="A4" s="3">
        <v>1</v>
      </c>
      <c r="B4" s="12">
        <v>235989</v>
      </c>
      <c r="C4" s="5">
        <v>2</v>
      </c>
    </row>
    <row r="5" spans="1:3" x14ac:dyDescent="0.2">
      <c r="A5" s="10" t="s">
        <v>31</v>
      </c>
      <c r="B5" s="5">
        <v>235989</v>
      </c>
      <c r="C5" s="5">
        <v>2</v>
      </c>
    </row>
    <row r="6" spans="1:3" x14ac:dyDescent="0.2">
      <c r="A6" s="3">
        <v>2</v>
      </c>
      <c r="B6" s="12">
        <v>559400</v>
      </c>
      <c r="C6" s="5">
        <v>3</v>
      </c>
    </row>
    <row r="7" spans="1:3" x14ac:dyDescent="0.2">
      <c r="A7" s="10" t="s">
        <v>32</v>
      </c>
      <c r="B7" s="5">
        <v>559400</v>
      </c>
      <c r="C7" s="5">
        <v>3</v>
      </c>
    </row>
    <row r="8" spans="1:3" x14ac:dyDescent="0.2">
      <c r="A8" s="11" t="s">
        <v>15</v>
      </c>
      <c r="B8" s="12">
        <v>362089</v>
      </c>
      <c r="C8" s="5">
        <v>1</v>
      </c>
    </row>
    <row r="9" spans="1:3" x14ac:dyDescent="0.2">
      <c r="A9" s="11" t="s">
        <v>20</v>
      </c>
      <c r="B9" s="12">
        <v>108544</v>
      </c>
      <c r="C9" s="5">
        <v>1</v>
      </c>
    </row>
    <row r="10" spans="1:3" x14ac:dyDescent="0.2">
      <c r="A10" s="11" t="s">
        <v>6</v>
      </c>
      <c r="B10" s="12">
        <v>88767</v>
      </c>
      <c r="C10" s="5">
        <v>1</v>
      </c>
    </row>
    <row r="11" spans="1:3" x14ac:dyDescent="0.2">
      <c r="A11" s="3">
        <v>3</v>
      </c>
      <c r="B11" s="5">
        <v>93833697</v>
      </c>
      <c r="C11" s="5">
        <v>16</v>
      </c>
    </row>
    <row r="12" spans="1:3" x14ac:dyDescent="0.2">
      <c r="A12" s="10" t="s">
        <v>33</v>
      </c>
      <c r="B12" s="5">
        <v>91641000</v>
      </c>
      <c r="C12" s="5">
        <v>9</v>
      </c>
    </row>
    <row r="13" spans="1:3" x14ac:dyDescent="0.2">
      <c r="A13" s="11" t="s">
        <v>18</v>
      </c>
      <c r="B13" s="5">
        <v>0</v>
      </c>
      <c r="C13" s="5">
        <v>1</v>
      </c>
    </row>
    <row r="14" spans="1:3" x14ac:dyDescent="0.2">
      <c r="A14" s="11" t="s">
        <v>13</v>
      </c>
      <c r="B14" s="5">
        <v>706000</v>
      </c>
      <c r="C14" s="5">
        <v>1</v>
      </c>
    </row>
    <row r="15" spans="1:3" x14ac:dyDescent="0.2">
      <c r="A15" s="11" t="s">
        <v>17</v>
      </c>
      <c r="B15" s="5">
        <v>167000</v>
      </c>
      <c r="C15" s="5">
        <v>1</v>
      </c>
    </row>
    <row r="16" spans="1:3" x14ac:dyDescent="0.2">
      <c r="A16" s="11" t="s">
        <v>19</v>
      </c>
      <c r="B16" s="5">
        <v>0</v>
      </c>
      <c r="C16" s="5">
        <v>1</v>
      </c>
    </row>
    <row r="17" spans="1:3" x14ac:dyDescent="0.2">
      <c r="A17" s="11" t="s">
        <v>24</v>
      </c>
      <c r="B17" s="5">
        <v>5000</v>
      </c>
      <c r="C17" s="5">
        <v>1</v>
      </c>
    </row>
    <row r="18" spans="1:3" x14ac:dyDescent="0.2">
      <c r="A18" s="11" t="s">
        <v>14</v>
      </c>
      <c r="B18" s="5">
        <v>10000</v>
      </c>
      <c r="C18" s="5">
        <v>1</v>
      </c>
    </row>
    <row r="19" spans="1:3" x14ac:dyDescent="0.2">
      <c r="A19" s="11" t="s">
        <v>3</v>
      </c>
      <c r="B19" s="5">
        <v>10000000</v>
      </c>
      <c r="C19" s="5">
        <v>1</v>
      </c>
    </row>
    <row r="20" spans="1:3" x14ac:dyDescent="0.2">
      <c r="A20" s="11" t="s">
        <v>16</v>
      </c>
      <c r="B20" s="5">
        <v>80675000</v>
      </c>
      <c r="C20" s="5">
        <v>1</v>
      </c>
    </row>
    <row r="21" spans="1:3" x14ac:dyDescent="0.2">
      <c r="A21" s="11" t="s">
        <v>23</v>
      </c>
      <c r="B21" s="5">
        <v>78000</v>
      </c>
      <c r="C21" s="5">
        <v>1</v>
      </c>
    </row>
    <row r="22" spans="1:3" x14ac:dyDescent="0.2">
      <c r="A22" s="10" t="s">
        <v>34</v>
      </c>
      <c r="B22" s="5">
        <v>2071233</v>
      </c>
      <c r="C22" s="5">
        <v>6</v>
      </c>
    </row>
    <row r="23" spans="1:3" x14ac:dyDescent="0.2">
      <c r="A23" s="11" t="s">
        <v>22</v>
      </c>
      <c r="B23" s="5">
        <v>1030000</v>
      </c>
      <c r="C23" s="5">
        <v>1</v>
      </c>
    </row>
    <row r="24" spans="1:3" x14ac:dyDescent="0.2">
      <c r="A24" s="11" t="s">
        <v>21</v>
      </c>
      <c r="B24" s="5">
        <v>209233</v>
      </c>
      <c r="C24" s="5">
        <v>1</v>
      </c>
    </row>
    <row r="25" spans="1:3" x14ac:dyDescent="0.2">
      <c r="A25" s="11" t="s">
        <v>8</v>
      </c>
      <c r="B25" s="5">
        <v>208000</v>
      </c>
      <c r="C25" s="5">
        <v>1</v>
      </c>
    </row>
    <row r="26" spans="1:3" x14ac:dyDescent="0.2">
      <c r="A26" s="11" t="s">
        <v>5</v>
      </c>
      <c r="B26" s="5">
        <v>0</v>
      </c>
      <c r="C26" s="5">
        <v>1</v>
      </c>
    </row>
    <row r="27" spans="1:3" x14ac:dyDescent="0.2">
      <c r="A27" s="11" t="s">
        <v>12</v>
      </c>
      <c r="B27" s="5">
        <v>0</v>
      </c>
      <c r="C27" s="5">
        <v>1</v>
      </c>
    </row>
    <row r="28" spans="1:3" x14ac:dyDescent="0.2">
      <c r="A28" s="11" t="s">
        <v>9</v>
      </c>
      <c r="B28" s="5">
        <v>624000</v>
      </c>
      <c r="C28" s="5">
        <v>1</v>
      </c>
    </row>
    <row r="29" spans="1:3" x14ac:dyDescent="0.2">
      <c r="A29" s="10" t="s">
        <v>35</v>
      </c>
      <c r="B29" s="5">
        <v>121464</v>
      </c>
      <c r="C29" s="5">
        <v>1</v>
      </c>
    </row>
    <row r="30" spans="1:3" x14ac:dyDescent="0.2">
      <c r="A30" s="11" t="s">
        <v>11</v>
      </c>
      <c r="B30" s="5">
        <v>121464</v>
      </c>
      <c r="C30" s="5">
        <v>1</v>
      </c>
    </row>
    <row r="31" spans="1:3" x14ac:dyDescent="0.2">
      <c r="A31" s="3" t="s">
        <v>27</v>
      </c>
      <c r="B31" s="5">
        <v>94629086</v>
      </c>
      <c r="C31" s="5">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Emission sources</vt:lpstr>
      <vt:lpstr>Charts</vt:lpstr>
      <vt:lpstr>2. Abatement matrix</vt:lpstr>
      <vt:lpstr>3. Research findings &amp;citations</vt:lpstr>
      <vt:lpstr>Pivot1</vt:lpstr>
      <vt:lpstr>Pivot2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Armitage</dc:creator>
  <cp:lastModifiedBy>Windows User</cp:lastModifiedBy>
  <dcterms:created xsi:type="dcterms:W3CDTF">2021-10-30T03:12:09Z</dcterms:created>
  <dcterms:modified xsi:type="dcterms:W3CDTF">2024-01-21T01:13:46Z</dcterms:modified>
</cp:coreProperties>
</file>