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6"/>
  <workbookPr hidePivotFieldList="1"/>
  <mc:AlternateContent xmlns:mc="http://schemas.openxmlformats.org/markup-compatibility/2006">
    <mc:Choice Requires="x15">
      <x15ac:absPath xmlns:x15ac="http://schemas.microsoft.com/office/spreadsheetml/2010/11/ac" url="https://utoronto-my.sharepoint.com/personal/n_talitha_mail_utoronto_ca/Documents/Quantify Case Competition/"/>
    </mc:Choice>
  </mc:AlternateContent>
  <xr:revisionPtr revIDLastSave="0" documentId="8_{08720957-11CA-4D38-8714-7D63421551C1}" xr6:coauthVersionLast="47" xr6:coauthVersionMax="47" xr10:uidLastSave="{00000000-0000-0000-0000-000000000000}"/>
  <bookViews>
    <workbookView xWindow="-110" yWindow="-110" windowWidth="19420" windowHeight="11500" firstSheet="7" activeTab="7" xr2:uid="{00000000-000D-0000-FFFF-FFFF00000000}"/>
  </bookViews>
  <sheets>
    <sheet name="Guide" sheetId="1" r:id="rId1"/>
    <sheet name="Glossary" sheetId="2" r:id="rId2"/>
    <sheet name="Financials" sheetId="3" r:id="rId3"/>
    <sheet name="HL" sheetId="4" r:id="rId4"/>
    <sheet name="FI" sheetId="5" r:id="rId5"/>
    <sheet name="FL" sheetId="6" r:id="rId6"/>
    <sheet name="WS" sheetId="7" r:id="rId7"/>
    <sheet name="Frequency" sheetId="8" r:id="rId8"/>
    <sheet name="Sheet1" sheetId="9" r:id="rId9"/>
    <sheet name="Sheet2" sheetId="10" r:id="rId10"/>
  </sheets>
  <calcPr calcId="191028"/>
  <pivotCaches>
    <pivotCache cacheId="190" r:id="rId11"/>
    <pivotCache cacheId="191" r:id="rId12"/>
    <pivotCache cacheId="192" r:id="rId13"/>
    <pivotCache cacheId="193" r:id="rId14"/>
    <pivotCache cacheId="194" r:id="rId1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3" l="1"/>
  <c r="D23" i="3"/>
  <c r="E23" i="3"/>
  <c r="B23" i="3"/>
  <c r="E56" i="6"/>
  <c r="D56" i="6"/>
  <c r="E49" i="6"/>
  <c r="D49" i="6"/>
  <c r="E40" i="6"/>
  <c r="D40" i="6"/>
  <c r="E33" i="6"/>
  <c r="D33" i="6"/>
  <c r="E30" i="6"/>
  <c r="D30" i="6"/>
  <c r="E3" i="6"/>
  <c r="D3" i="6"/>
  <c r="E83" i="6"/>
  <c r="E82" i="6"/>
  <c r="E80" i="6"/>
  <c r="E79" i="6"/>
  <c r="E76" i="6"/>
  <c r="D83" i="6"/>
  <c r="D82" i="6"/>
  <c r="D80" i="6"/>
  <c r="D79" i="6"/>
  <c r="D78" i="6"/>
  <c r="D76" i="6"/>
  <c r="E24" i="6"/>
  <c r="D24" i="6"/>
  <c r="E45" i="6"/>
  <c r="D45" i="6"/>
  <c r="E85" i="6"/>
  <c r="E84" i="6"/>
  <c r="E81" i="6"/>
  <c r="E77" i="6"/>
  <c r="D84" i="6"/>
  <c r="D85" i="6"/>
  <c r="D81" i="6"/>
  <c r="D77" i="6"/>
  <c r="E39" i="4"/>
  <c r="D39" i="4"/>
  <c r="E37" i="4"/>
  <c r="D37" i="4"/>
  <c r="E34" i="4"/>
  <c r="D34" i="4"/>
  <c r="E28" i="4"/>
  <c r="D28" i="4"/>
  <c r="E54" i="4"/>
  <c r="E53" i="4"/>
  <c r="E52" i="4"/>
  <c r="E51" i="4"/>
  <c r="D54" i="4"/>
  <c r="D53" i="4"/>
  <c r="D52" i="4"/>
  <c r="D51" i="4"/>
  <c r="E14" i="4"/>
  <c r="E13" i="4"/>
  <c r="D14" i="4"/>
  <c r="D13" i="4"/>
  <c r="E11" i="4"/>
  <c r="D11" i="4"/>
  <c r="E50" i="4"/>
  <c r="E49" i="4"/>
  <c r="E48" i="4"/>
  <c r="D50" i="4"/>
  <c r="D49" i="4"/>
  <c r="D48" i="4"/>
  <c r="E22" i="7"/>
  <c r="D22" i="7"/>
  <c r="E19" i="7"/>
  <c r="D19" i="7"/>
  <c r="E15" i="7"/>
  <c r="D15" i="7"/>
  <c r="E8" i="7"/>
  <c r="D8" i="7"/>
  <c r="E40" i="7"/>
  <c r="E39" i="7"/>
  <c r="E38" i="7"/>
  <c r="E37" i="7"/>
  <c r="E36" i="7"/>
  <c r="E35" i="7"/>
  <c r="E34" i="7"/>
  <c r="E33" i="7"/>
  <c r="D40" i="7"/>
  <c r="D39" i="7"/>
  <c r="D38" i="7"/>
  <c r="D37" i="7"/>
  <c r="D36" i="7"/>
  <c r="D35" i="7"/>
  <c r="D34" i="7"/>
  <c r="D33" i="7"/>
  <c r="E6" i="7"/>
  <c r="D6" i="7"/>
  <c r="E20" i="7"/>
  <c r="D20" i="7"/>
  <c r="E32" i="7"/>
  <c r="E31" i="7"/>
  <c r="D32" i="7"/>
  <c r="D31" i="7"/>
  <c r="E7" i="7"/>
  <c r="E9" i="7"/>
  <c r="D9" i="7"/>
  <c r="D7" i="7"/>
  <c r="E21" i="7"/>
  <c r="D21" i="7"/>
  <c r="E30" i="7"/>
  <c r="E29" i="7"/>
  <c r="E28" i="7"/>
  <c r="D30" i="7"/>
  <c r="D29" i="7"/>
  <c r="D28" i="7"/>
  <c r="E10" i="7"/>
  <c r="D10" i="7"/>
  <c r="E4" i="7"/>
  <c r="D4" i="7"/>
  <c r="E27" i="7"/>
  <c r="D27" i="7"/>
  <c r="E26" i="7"/>
  <c r="D26" i="7"/>
  <c r="E17" i="7"/>
  <c r="D17" i="7"/>
  <c r="E25" i="7"/>
  <c r="D25" i="7"/>
  <c r="E12" i="7"/>
  <c r="D12" i="7"/>
  <c r="E24" i="7"/>
  <c r="D24" i="7"/>
  <c r="E3" i="7"/>
  <c r="D3" i="7"/>
  <c r="E23" i="7"/>
  <c r="D23" i="7"/>
  <c r="C22" i="3"/>
  <c r="D22" i="3"/>
  <c r="E22" i="3"/>
  <c r="B22" i="3"/>
  <c r="C21" i="3"/>
  <c r="D21" i="3"/>
  <c r="E21" i="3"/>
  <c r="B21" i="3"/>
  <c r="C20" i="3"/>
  <c r="D20" i="3"/>
  <c r="E20" i="3"/>
  <c r="B20" i="3"/>
  <c r="H3" i="5"/>
  <c r="H4" i="5"/>
  <c r="H5" i="5"/>
  <c r="H6" i="5"/>
  <c r="H7" i="5"/>
  <c r="H8" i="5"/>
  <c r="H9" i="5"/>
  <c r="H10" i="5"/>
  <c r="H11" i="5"/>
  <c r="H12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2" i="4"/>
  <c r="C17" i="3"/>
  <c r="D17" i="3"/>
  <c r="E17" i="3"/>
  <c r="B17" i="3"/>
  <c r="E13" i="3"/>
  <c r="D13" i="3"/>
  <c r="C13" i="3"/>
  <c r="B13" i="3"/>
  <c r="E5" i="3"/>
  <c r="E7" i="3" s="1"/>
  <c r="D5" i="3"/>
  <c r="D7" i="3" s="1"/>
  <c r="C5" i="3"/>
  <c r="C7" i="3" s="1"/>
  <c r="B5" i="3"/>
  <c r="B7" i="3" s="1"/>
</calcChain>
</file>

<file path=xl/sharedStrings.xml><?xml version="1.0" encoding="utf-8"?>
<sst xmlns="http://schemas.openxmlformats.org/spreadsheetml/2006/main" count="865" uniqueCount="326">
  <si>
    <t>This workbook contains supporting information on Catastrophic (CAT) events for the Quantify: Risk and Insurance 2025 Case Competition</t>
  </si>
  <si>
    <t>Guide</t>
  </si>
  <si>
    <t>1)</t>
  </si>
  <si>
    <t>Data is split by perils and grouped into loss year and province(s). Additional metrics and details for different perils are also included</t>
  </si>
  <si>
    <t>2)</t>
  </si>
  <si>
    <t>The Financials tab contains some information from Quant. Co's Income Statement and Balance Sheet.</t>
  </si>
  <si>
    <t>3)</t>
  </si>
  <si>
    <t>Stronghold holds a market share of 12% across all provinces.</t>
  </si>
  <si>
    <t>Peril Definitions</t>
  </si>
  <si>
    <t>Hail Scale</t>
  </si>
  <si>
    <t>Provinces</t>
  </si>
  <si>
    <t>HL</t>
  </si>
  <si>
    <t>Hail</t>
  </si>
  <si>
    <t>0.8cm</t>
  </si>
  <si>
    <t>AB</t>
  </si>
  <si>
    <t>Alberta</t>
  </si>
  <si>
    <t>FL</t>
  </si>
  <si>
    <t>Flood</t>
  </si>
  <si>
    <t>1.3cm</t>
  </si>
  <si>
    <t>BC</t>
  </si>
  <si>
    <t>British Columbia</t>
  </si>
  <si>
    <t>FI</t>
  </si>
  <si>
    <t>Fire</t>
  </si>
  <si>
    <t>1.8cm</t>
  </si>
  <si>
    <t>ON</t>
  </si>
  <si>
    <t>Ontario</t>
  </si>
  <si>
    <t>WS</t>
  </si>
  <si>
    <t>Winterstorm</t>
  </si>
  <si>
    <t>2.1cm</t>
  </si>
  <si>
    <t>QC</t>
  </si>
  <si>
    <t>Quebec</t>
  </si>
  <si>
    <t>2.4cm</t>
  </si>
  <si>
    <t>Prairies</t>
  </si>
  <si>
    <t>Alberta, Saskatchewan, Manitoba</t>
  </si>
  <si>
    <t>2.6cm</t>
  </si>
  <si>
    <t>Maritimes</t>
  </si>
  <si>
    <t>New Brunswick, Nova Scotia, Prince Edward Island</t>
  </si>
  <si>
    <t>2.8cm</t>
  </si>
  <si>
    <t>3.2cm</t>
  </si>
  <si>
    <t>3.8cm</t>
  </si>
  <si>
    <t>4.5cm</t>
  </si>
  <si>
    <t>5.4cm</t>
  </si>
  <si>
    <t>6.4cm</t>
  </si>
  <si>
    <t>7cm</t>
  </si>
  <si>
    <t>10cm</t>
  </si>
  <si>
    <t>11.5cm</t>
  </si>
  <si>
    <t>bigger</t>
  </si>
  <si>
    <t>In thousands</t>
  </si>
  <si>
    <t>Total Revenue</t>
  </si>
  <si>
    <t>Cost of Revenue</t>
  </si>
  <si>
    <t>Gross Profit</t>
  </si>
  <si>
    <t>Operating Expense</t>
  </si>
  <si>
    <t>Operating Income</t>
  </si>
  <si>
    <t>Total Asset</t>
  </si>
  <si>
    <t>Current Assets</t>
  </si>
  <si>
    <t>Cash, Cash Equivalents</t>
  </si>
  <si>
    <t>Receivables</t>
  </si>
  <si>
    <t>Inventory</t>
  </si>
  <si>
    <t>Total Liability</t>
  </si>
  <si>
    <t>Operating Income Margin</t>
  </si>
  <si>
    <t>whether or not they have enough fund after paying their expense</t>
  </si>
  <si>
    <t>*Gross Margin: how effciently the company turns revenu into profit before operating cost</t>
  </si>
  <si>
    <t>Gross Margin</t>
  </si>
  <si>
    <t>*Debt-to-Asset: what proportion of the company is financed by debt</t>
  </si>
  <si>
    <t>Debt-to -Asset</t>
  </si>
  <si>
    <t>*Asset Turnover: how efficiently the company uses its asset to generate sales on oil&amp; gas</t>
  </si>
  <si>
    <t>Asset Turnover</t>
  </si>
  <si>
    <t>Current Ratio</t>
  </si>
  <si>
    <t>*Current Ratio: approximation current asset/total liabilities (should be current liabilities)</t>
  </si>
  <si>
    <t>*Conclusion:</t>
  </si>
  <si>
    <t>1. The total revenu with the gross profit shows a overall growing trend,indicating a mature business line</t>
  </si>
  <si>
    <t>The drop from 2022 to 2023 might needs attention to the situation of upcoming year.</t>
  </si>
  <si>
    <t xml:space="preserve">2. Both Operation Margin and Gross Margin have dropped </t>
  </si>
  <si>
    <t>3. Good Debt-to-Asset ratio (under 0.6), showing that the company is not overleveraged</t>
  </si>
  <si>
    <t>*Strength:</t>
  </si>
  <si>
    <t xml:space="preserve">1. The total revenu with the gross profit shows a overall growing trend,indicating a mature business line.  This also shows that Alberta has developped a vast network. </t>
  </si>
  <si>
    <t>2. the debt-to asset ratio is stable under 0.6 with a dropping trend, showing that this company is getting more and more flexible on its finance and not overleveraged .</t>
  </si>
  <si>
    <t>*Risk:</t>
  </si>
  <si>
    <t xml:space="preserve">the operation of oil and gas is not sustainable and harm for the environment, which encourage the company to find more long-lasting </t>
  </si>
  <si>
    <t>CAT_Event_Hail</t>
  </si>
  <si>
    <t>Event_year</t>
  </si>
  <si>
    <t>Total_exposure_in_billions</t>
  </si>
  <si>
    <t>Total_losses_in_billions</t>
  </si>
  <si>
    <t>Hail_scale</t>
  </si>
  <si>
    <t>Max_wind_km/h</t>
  </si>
  <si>
    <t xml:space="preserve">Loss Ratio </t>
  </si>
  <si>
    <t>Average of Total_losses_in_billions</t>
  </si>
  <si>
    <t>Count of Hail_scale</t>
  </si>
  <si>
    <t>Hail_1</t>
  </si>
  <si>
    <t>Grand Total</t>
  </si>
  <si>
    <t>Hail_2</t>
  </si>
  <si>
    <t>MB</t>
  </si>
  <si>
    <t>Hail_3</t>
  </si>
  <si>
    <t>Hail_4</t>
  </si>
  <si>
    <t>Hail_5</t>
  </si>
  <si>
    <t>Hail_6</t>
  </si>
  <si>
    <t>SK</t>
  </si>
  <si>
    <t>Hail_7</t>
  </si>
  <si>
    <t>Hail_8</t>
  </si>
  <si>
    <t>Hail_9</t>
  </si>
  <si>
    <t>Hail_10</t>
  </si>
  <si>
    <t>Hail_11</t>
  </si>
  <si>
    <t>We can use this scale to consider the metric triggers for hail (e.g scale 4-6 is good for the metric triggers because ...)</t>
  </si>
  <si>
    <t>Hail_12</t>
  </si>
  <si>
    <t>Hail_13</t>
  </si>
  <si>
    <t>Hail_14</t>
  </si>
  <si>
    <t>Hail_15</t>
  </si>
  <si>
    <t>Hail_16</t>
  </si>
  <si>
    <t>Hail_17</t>
  </si>
  <si>
    <t>Hail_18</t>
  </si>
  <si>
    <t>conclusion: exclude alberta, prairies, and ontario</t>
  </si>
  <si>
    <t>Hail_19</t>
  </si>
  <si>
    <t>Hail_20</t>
  </si>
  <si>
    <t>Hail_21</t>
  </si>
  <si>
    <t>Hail_22</t>
  </si>
  <si>
    <t>Hail_23</t>
  </si>
  <si>
    <t>Hail_24</t>
  </si>
  <si>
    <t>Hail_25</t>
  </si>
  <si>
    <t>Hail_26</t>
  </si>
  <si>
    <t>Hail_27</t>
  </si>
  <si>
    <t>Hail_28</t>
  </si>
  <si>
    <t>Hail_29</t>
  </si>
  <si>
    <t>Max of Total_losses_in_billions</t>
  </si>
  <si>
    <t>Hail_30</t>
  </si>
  <si>
    <t>Hail_31</t>
  </si>
  <si>
    <t>Hail_32</t>
  </si>
  <si>
    <t>Hail_33</t>
  </si>
  <si>
    <t>Hail_34</t>
  </si>
  <si>
    <t>Hail_35</t>
  </si>
  <si>
    <t>Hail_36</t>
  </si>
  <si>
    <t>Hail_37</t>
  </si>
  <si>
    <t>Hail_38</t>
  </si>
  <si>
    <t>Hail_39</t>
  </si>
  <si>
    <t>Hail_40</t>
  </si>
  <si>
    <t>Hail_41</t>
  </si>
  <si>
    <t>Hail_42</t>
  </si>
  <si>
    <t>Hail_43</t>
  </si>
  <si>
    <t>Hail_44</t>
  </si>
  <si>
    <t>Hail_45</t>
  </si>
  <si>
    <t>Hail_46</t>
  </si>
  <si>
    <t>CAT_Event_Fire</t>
  </si>
  <si>
    <t>Province</t>
  </si>
  <si>
    <t>Hectares_burned</t>
  </si>
  <si>
    <t>Structures_destroyed</t>
  </si>
  <si>
    <t>Loss Ratio</t>
  </si>
  <si>
    <t>Count of CAT_Event_Fire</t>
  </si>
  <si>
    <t>Average of Hectares_burned</t>
  </si>
  <si>
    <t>Average of Structures_destroyed</t>
  </si>
  <si>
    <t>Is the province suitable for wind or not?</t>
  </si>
  <si>
    <t>Fire_1</t>
  </si>
  <si>
    <t>Fire_2</t>
  </si>
  <si>
    <t>Fire_3</t>
  </si>
  <si>
    <t>Fire_4</t>
  </si>
  <si>
    <t>Fire_5</t>
  </si>
  <si>
    <t>Fire_6</t>
  </si>
  <si>
    <t>Fire_7</t>
  </si>
  <si>
    <t>Fire_8</t>
  </si>
  <si>
    <t>Number of CAT Event (Fire)</t>
  </si>
  <si>
    <t>Avg Total Loss</t>
  </si>
  <si>
    <t>Avg Burned (ha)</t>
  </si>
  <si>
    <t xml:space="preserve"> Avg Destroyed (ha)</t>
  </si>
  <si>
    <t>Risk Level</t>
  </si>
  <si>
    <t>Fire_9</t>
  </si>
  <si>
    <t xml:space="preserve">High </t>
  </si>
  <si>
    <t>Fire_10</t>
  </si>
  <si>
    <t>Moderate</t>
  </si>
  <si>
    <t>Fire_11</t>
  </si>
  <si>
    <t xml:space="preserve">Maritimes </t>
  </si>
  <si>
    <t>Low</t>
  </si>
  <si>
    <t xml:space="preserve">Moderate </t>
  </si>
  <si>
    <t>Severity (burned)</t>
  </si>
  <si>
    <t>total loss/hectares burned</t>
  </si>
  <si>
    <t>severity (destroyed)</t>
  </si>
  <si>
    <t xml:space="preserve">total loss/hectares destroyed </t>
  </si>
  <si>
    <t>Average of Severity (burned)</t>
  </si>
  <si>
    <t>CAT_Event_Flood</t>
  </si>
  <si>
    <t>Max_rainfall_mm</t>
  </si>
  <si>
    <t>Average of Total_exposure_in_billions</t>
  </si>
  <si>
    <t>Average of Max_rainfall_mm</t>
  </si>
  <si>
    <t>Max of Max_rainfall_mm</t>
  </si>
  <si>
    <t>Average of Max_wind_km/h</t>
  </si>
  <si>
    <t>Max of Max_wind_km/h2</t>
  </si>
  <si>
    <t>Flood_1</t>
  </si>
  <si>
    <t>Flood_2</t>
  </si>
  <si>
    <t>Flood_3</t>
  </si>
  <si>
    <t>Flood_4</t>
  </si>
  <si>
    <t>Flood_5</t>
  </si>
  <si>
    <t>Flood_6</t>
  </si>
  <si>
    <t>Flood_7</t>
  </si>
  <si>
    <t>Flood_8</t>
  </si>
  <si>
    <t>Flood_9</t>
  </si>
  <si>
    <t>AB Total</t>
  </si>
  <si>
    <t>Flood_10</t>
  </si>
  <si>
    <t>Flood_11</t>
  </si>
  <si>
    <t>Flood_12</t>
  </si>
  <si>
    <t>Flood_13</t>
  </si>
  <si>
    <t>Flood_14</t>
  </si>
  <si>
    <t>Flood_15</t>
  </si>
  <si>
    <t>BC Total</t>
  </si>
  <si>
    <t>Flood_16</t>
  </si>
  <si>
    <t>Flood_17</t>
  </si>
  <si>
    <t>Flood_18</t>
  </si>
  <si>
    <t>Flood_19</t>
  </si>
  <si>
    <t>Flood_20</t>
  </si>
  <si>
    <t>Flood_21</t>
  </si>
  <si>
    <t>Flood_22</t>
  </si>
  <si>
    <t>Flood_23</t>
  </si>
  <si>
    <t>Flood_24</t>
  </si>
  <si>
    <t>Flood_25</t>
  </si>
  <si>
    <t>Maritimes Total</t>
  </si>
  <si>
    <t>Flood_26</t>
  </si>
  <si>
    <t>Flood_27</t>
  </si>
  <si>
    <t>Flood_28</t>
  </si>
  <si>
    <t>MB Total</t>
  </si>
  <si>
    <t>Flood_29</t>
  </si>
  <si>
    <t>NS</t>
  </si>
  <si>
    <t>Flood_30</t>
  </si>
  <si>
    <t>NS Total</t>
  </si>
  <si>
    <t>Flood_31</t>
  </si>
  <si>
    <t>Flood_32</t>
  </si>
  <si>
    <t>Flood_33</t>
  </si>
  <si>
    <t>Flood_34</t>
  </si>
  <si>
    <t>Flood_35</t>
  </si>
  <si>
    <t>Flood_36</t>
  </si>
  <si>
    <t>Flood_37</t>
  </si>
  <si>
    <t>Flood_38</t>
  </si>
  <si>
    <t>Flood_39</t>
  </si>
  <si>
    <t>Flood_40</t>
  </si>
  <si>
    <t>Flood_41</t>
  </si>
  <si>
    <t>ON Total</t>
  </si>
  <si>
    <t>Flood_42</t>
  </si>
  <si>
    <t>Flood_43</t>
  </si>
  <si>
    <t>Flood_44</t>
  </si>
  <si>
    <t>Flood_45</t>
  </si>
  <si>
    <t>Flood_46</t>
  </si>
  <si>
    <t>Flood_47</t>
  </si>
  <si>
    <t>Prairies Total</t>
  </si>
  <si>
    <t>Flood_48</t>
  </si>
  <si>
    <t>Flood_49</t>
  </si>
  <si>
    <t>Flood_50</t>
  </si>
  <si>
    <t>Flood_51</t>
  </si>
  <si>
    <t>Flood_52</t>
  </si>
  <si>
    <t>Flood_53</t>
  </si>
  <si>
    <t>Flood_54</t>
  </si>
  <si>
    <t>Flood_55</t>
  </si>
  <si>
    <t>Flood_56</t>
  </si>
  <si>
    <t>Flood_57</t>
  </si>
  <si>
    <t>Flood_58</t>
  </si>
  <si>
    <t>QC Total</t>
  </si>
  <si>
    <t>Flood_59</t>
  </si>
  <si>
    <t>Flood_60</t>
  </si>
  <si>
    <t>Flood_61</t>
  </si>
  <si>
    <t>Flood_62</t>
  </si>
  <si>
    <t>Flood_63</t>
  </si>
  <si>
    <t>Flood_64</t>
  </si>
  <si>
    <t>SK Total</t>
  </si>
  <si>
    <t>Flood_65</t>
  </si>
  <si>
    <t>Flood_66</t>
  </si>
  <si>
    <t>Flood_67</t>
  </si>
  <si>
    <t>Flood_68</t>
  </si>
  <si>
    <t>Flood_69</t>
  </si>
  <si>
    <t>Flood_70</t>
  </si>
  <si>
    <t>Flood_71</t>
  </si>
  <si>
    <t>Flood_72</t>
  </si>
  <si>
    <t>Flood_73</t>
  </si>
  <si>
    <t>Flood_74</t>
  </si>
  <si>
    <t>0.06219/2</t>
  </si>
  <si>
    <t>CAT_Event_Winterstorm</t>
  </si>
  <si>
    <t>Max of Max_rainfall_mm2</t>
  </si>
  <si>
    <t>Winterstorm_1</t>
  </si>
  <si>
    <t>Winterstorm_2</t>
  </si>
  <si>
    <t>Winterstorm_3</t>
  </si>
  <si>
    <t>Winterstorm_4</t>
  </si>
  <si>
    <t>Winterstorm_5</t>
  </si>
  <si>
    <t>Winterstorm_6</t>
  </si>
  <si>
    <t>Winterstorm_7</t>
  </si>
  <si>
    <t>Winterstorm_8</t>
  </si>
  <si>
    <t>Winterstorm_9</t>
  </si>
  <si>
    <t>Winterstorm_10</t>
  </si>
  <si>
    <t>Winterstorm_11</t>
  </si>
  <si>
    <t>Winterstorm_12</t>
  </si>
  <si>
    <t>Winterstorm_13</t>
  </si>
  <si>
    <t>Winterstorm_14</t>
  </si>
  <si>
    <t>Winterstorm_15</t>
  </si>
  <si>
    <t>Winterstorm_16</t>
  </si>
  <si>
    <t>Winterstorm_17</t>
  </si>
  <si>
    <t>Winterstorm_18</t>
  </si>
  <si>
    <t>Winterstorm_19</t>
  </si>
  <si>
    <t>Winterstorm_20</t>
  </si>
  <si>
    <t>Winterstorm_21</t>
  </si>
  <si>
    <t>Category (based on SSHWS as reference)</t>
  </si>
  <si>
    <t>3 (Devastating)</t>
  </si>
  <si>
    <t>2 (Extensive)</t>
  </si>
  <si>
    <t>Max of Max_wind_km/h</t>
  </si>
  <si>
    <t>4 (Catastrophic)</t>
  </si>
  <si>
    <t>Average of Max Wind</t>
  </si>
  <si>
    <t xml:space="preserve">Max of Max Wind </t>
  </si>
  <si>
    <t>Count of CAT_Event_Hail</t>
  </si>
  <si>
    <t>Count of CAT_Event_Flood</t>
  </si>
  <si>
    <t>Count of CAT_Event_Winterstorm</t>
  </si>
  <si>
    <t>Prairies: AB, MB, SK</t>
  </si>
  <si>
    <t>IMPORTANT DETAIL</t>
  </si>
  <si>
    <t>In order to insert the PivotTable you selected, we had to organize your data in columns with a single header row.</t>
  </si>
  <si>
    <t>Field10</t>
  </si>
  <si>
    <t>Severity (destroyed)</t>
  </si>
  <si>
    <t>Solar Viability</t>
  </si>
  <si>
    <t xml:space="preserve">Wind Viability </t>
  </si>
  <si>
    <t xml:space="preserve">Key Risks </t>
  </si>
  <si>
    <t>high hail, high fire risk</t>
  </si>
  <si>
    <t>high fire risk, high windstorm risk</t>
  </si>
  <si>
    <t>hail scale 4-5 frequent, wildfires</t>
  </si>
  <si>
    <t>some fire risk, high flood</t>
  </si>
  <si>
    <t>high windstorm risk</t>
  </si>
  <si>
    <t>high rainfall, wind gusts</t>
  </si>
  <si>
    <t>lower hail/fire, coastal flood esposure</t>
  </si>
  <si>
    <t>moderate wind, parametric triggers needed</t>
  </si>
  <si>
    <t>flood-prone lowlands</t>
  </si>
  <si>
    <t>high hail, solar ban on farmland</t>
  </si>
  <si>
    <t>low windstorm risk</t>
  </si>
  <si>
    <t xml:space="preserve">flood losses, zoning limitations </t>
  </si>
  <si>
    <t xml:space="preserve">high hail </t>
  </si>
  <si>
    <t xml:space="preserve">limited wind data </t>
  </si>
  <si>
    <t>hail, weak storm data</t>
  </si>
  <si>
    <t>moderate-to-high hail, some floods</t>
  </si>
  <si>
    <t>moderate-to-high windstorm risk</t>
  </si>
  <si>
    <t xml:space="preserve">wind gusts, some flood risks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</si>
</sst>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232A31"/>
      <name val="Arial"/>
      <scheme val="minor"/>
    </font>
    <font>
      <sz val="11"/>
      <color rgb="FF232A31"/>
      <name val="Arial"/>
    </font>
    <font>
      <b/>
      <sz val="11"/>
      <color rgb="FF000000"/>
      <name val="&quot;Aptos Narrow&quot;"/>
    </font>
    <font>
      <b/>
      <sz val="11"/>
      <color rgb="FF000000"/>
      <name val="Arial"/>
    </font>
    <font>
      <sz val="11"/>
      <color rgb="FF000000"/>
      <name val="&quot;Aptos Narrow&quot;"/>
    </font>
    <font>
      <sz val="11"/>
      <color rgb="FF000000"/>
      <name val="Arial"/>
    </font>
    <font>
      <b/>
      <sz val="11"/>
      <color theme="1"/>
      <name val="Arial"/>
      <scheme val="minor"/>
    </font>
    <font>
      <sz val="11"/>
      <color theme="1"/>
      <name val="Arial"/>
      <scheme val="minor"/>
    </font>
    <font>
      <b/>
      <sz val="10"/>
      <color rgb="FF000000"/>
      <name val="Arial"/>
      <scheme val="minor"/>
    </font>
    <font>
      <sz val="10"/>
      <color rgb="FF4472C4"/>
      <name val="Arial"/>
      <scheme val="minor"/>
    </font>
    <font>
      <sz val="10"/>
      <color rgb="FF333333"/>
      <name val="Arial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0" fontId="4" fillId="2" borderId="0" xfId="0" applyFont="1" applyFill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0" fontId="9" fillId="0" borderId="0" xfId="0" applyFont="1" applyAlignment="1">
      <alignment horizontal="center"/>
    </xf>
    <xf numFmtId="0" fontId="10" fillId="0" borderId="0" xfId="0" applyFont="1"/>
    <xf numFmtId="3" fontId="10" fillId="0" borderId="0" xfId="0" applyNumberFormat="1" applyFont="1"/>
    <xf numFmtId="0" fontId="6" fillId="0" borderId="0" xfId="0" applyFont="1"/>
    <xf numFmtId="0" fontId="1" fillId="0" borderId="1" xfId="0" applyFont="1" applyBorder="1"/>
    <xf numFmtId="3" fontId="1" fillId="0" borderId="1" xfId="0" applyNumberFormat="1" applyFont="1" applyBorder="1"/>
    <xf numFmtId="0" fontId="3" fillId="0" borderId="1" xfId="0" applyFont="1" applyBorder="1"/>
    <xf numFmtId="0" fontId="0" fillId="0" borderId="0" xfId="0" pivotButton="1"/>
    <xf numFmtId="0" fontId="11" fillId="0" borderId="0" xfId="0" applyFont="1"/>
    <xf numFmtId="3" fontId="0" fillId="0" borderId="0" xfId="0" applyNumberFormat="1"/>
    <xf numFmtId="0" fontId="12" fillId="0" borderId="0" xfId="0" applyFont="1"/>
    <xf numFmtId="0" fontId="13" fillId="0" borderId="0" xfId="0" applyFont="1"/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4" borderId="4" xfId="0" applyFont="1" applyFill="1" applyBorder="1"/>
    <xf numFmtId="0" fontId="2" fillId="4" borderId="5" xfId="0" applyFont="1" applyFill="1" applyBorder="1"/>
    <xf numFmtId="0" fontId="0" fillId="0" borderId="0" xfId="0" applyAlignment="1">
      <alignment horizontal="center"/>
    </xf>
    <xf numFmtId="0" fontId="2" fillId="4" borderId="1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6" borderId="0" xfId="0" applyFill="1" applyAlignment="1">
      <alignment wrapText="1"/>
    </xf>
    <xf numFmtId="0" fontId="0" fillId="6" borderId="1" xfId="0" applyFill="1" applyBorder="1" applyAlignment="1">
      <alignment wrapText="1"/>
    </xf>
    <xf numFmtId="0" fontId="0" fillId="7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6" borderId="1" xfId="0" applyFill="1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Financials!$A$3</c:f>
              <c:strCache>
                <c:ptCount val="1"/>
                <c:pt idx="0">
                  <c:v>Total 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Financials!$B$2:$E$2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Financials!$B$3:$E$3</c:f>
              <c:numCache>
                <c:formatCode>#,##0</c:formatCode>
                <c:ptCount val="4"/>
                <c:pt idx="0">
                  <c:v>9399000</c:v>
                </c:pt>
                <c:pt idx="1">
                  <c:v>10789000</c:v>
                </c:pt>
                <c:pt idx="2">
                  <c:v>8599000</c:v>
                </c:pt>
                <c:pt idx="3">
                  <c:v>5599000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0B-4BE5-BC58-D0BECD10B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1347592"/>
        <c:axId val="1601349640"/>
      </c:lineChart>
      <c:catAx>
        <c:axId val="1601347592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49640"/>
        <c:crosses val="autoZero"/>
        <c:auto val="1"/>
        <c:lblAlgn val="ctr"/>
        <c:lblOffset val="100"/>
        <c:noMultiLvlLbl val="0"/>
      </c:catAx>
      <c:valAx>
        <c:axId val="160134964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1347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[Edit_Nasywa.xlsx]WS!PivotTable14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Average Total Losses (in billions) per Province for Windstorm Events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F92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WS!$N$44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F9299"/>
            </a:solidFill>
            <a:ln>
              <a:noFill/>
            </a:ln>
            <a:effectLst/>
          </c:spPr>
          <c:invertIfNegative val="0"/>
          <c:cat>
            <c:strRef>
              <c:f>WS!$M$45:$M$51</c:f>
              <c:strCache>
                <c:ptCount val="6"/>
                <c:pt idx="0">
                  <c:v>AB</c:v>
                </c:pt>
                <c:pt idx="1">
                  <c:v>BC</c:v>
                </c:pt>
                <c:pt idx="2">
                  <c:v>Maritimes</c:v>
                </c:pt>
                <c:pt idx="3">
                  <c:v>ON</c:v>
                </c:pt>
                <c:pt idx="4">
                  <c:v>Prairies</c:v>
                </c:pt>
                <c:pt idx="5">
                  <c:v>QC</c:v>
                </c:pt>
              </c:strCache>
            </c:strRef>
          </c:cat>
          <c:val>
            <c:numRef>
              <c:f>WS!$N$45:$N$51</c:f>
              <c:numCache>
                <c:formatCode>General</c:formatCode>
                <c:ptCount val="6"/>
                <c:pt idx="0">
                  <c:v>7.8433333333333341E-2</c:v>
                </c:pt>
                <c:pt idx="1">
                  <c:v>0.11689785714285714</c:v>
                </c:pt>
                <c:pt idx="2">
                  <c:v>4.1650555555555559E-2</c:v>
                </c:pt>
                <c:pt idx="3">
                  <c:v>4.1595625000000004E-2</c:v>
                </c:pt>
                <c:pt idx="4">
                  <c:v>4.2134999999999999E-2</c:v>
                </c:pt>
                <c:pt idx="5">
                  <c:v>4.3424444444444446E-2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E5-4FDB-AA8F-80FF76823A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0830215"/>
        <c:axId val="2140832263"/>
      </c:barChart>
      <c:catAx>
        <c:axId val="2140830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32263"/>
        <c:crosses val="autoZero"/>
        <c:auto val="1"/>
        <c:lblAlgn val="ctr"/>
        <c:lblOffset val="100"/>
        <c:noMultiLvlLbl val="0"/>
      </c:catAx>
      <c:valAx>
        <c:axId val="2140832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0830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[Edit_Nasywa.xlsx]Frequency!PivotTable6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Hail Event Frequency per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F9299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F92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F92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Frequency!$C$2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F9299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Frequency!$A$3:$B$9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Frequency!$C$3:$C$9</c:f>
              <c:numCache>
                <c:formatCode>General</c:formatCode>
                <c:ptCount val="6"/>
                <c:pt idx="0">
                  <c:v>19</c:v>
                </c:pt>
                <c:pt idx="1">
                  <c:v>2</c:v>
                </c:pt>
                <c:pt idx="2">
                  <c:v>10</c:v>
                </c:pt>
                <c:pt idx="3">
                  <c:v>12</c:v>
                </c:pt>
                <c:pt idx="4">
                  <c:v>6</c:v>
                </c:pt>
                <c:pt idx="5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4E-4BA6-B82E-4D98775E8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6757255"/>
        <c:axId val="456759303"/>
      </c:barChart>
      <c:catAx>
        <c:axId val="456757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59303"/>
        <c:crosses val="autoZero"/>
        <c:auto val="1"/>
        <c:lblAlgn val="ctr"/>
        <c:lblOffset val="100"/>
        <c:noMultiLvlLbl val="0"/>
      </c:catAx>
      <c:valAx>
        <c:axId val="456759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Book Antiqua"/>
                    <a:ea typeface="Book Antiqua"/>
                    <a:cs typeface="Book Antiqua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Book Antiqua"/>
                  <a:ea typeface="Book Antiqua"/>
                  <a:cs typeface="Book Antiqua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757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[Edit_Nasywa.xlsx]Frequency!PivotTable7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Fire Event Frequency per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F9299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F92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2F92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Frequency!$G$2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F9299"/>
            </a:solidFill>
            <a:ln>
              <a:noFill/>
            </a:ln>
            <a:effectLst/>
          </c:spPr>
          <c:invertIfNegative val="0"/>
          <c:cat>
            <c:strRef>
              <c:f>Frequency!$E$3:$F$7</c:f>
              <c:strCache>
                <c:ptCount val="4"/>
                <c:pt idx="0">
                  <c:v>AB</c:v>
                </c:pt>
                <c:pt idx="1">
                  <c:v>BC</c:v>
                </c:pt>
                <c:pt idx="2">
                  <c:v>Maritimes</c:v>
                </c:pt>
                <c:pt idx="3">
                  <c:v>Prairies</c:v>
                </c:pt>
              </c:strCache>
            </c:strRef>
          </c:cat>
          <c:val>
            <c:numRef>
              <c:f>Frequency!$G$3:$G$7</c:f>
              <c:numCache>
                <c:formatCode>General</c:formatCode>
                <c:ptCount val="4"/>
                <c:pt idx="0">
                  <c:v>2</c:v>
                </c:pt>
                <c:pt idx="1">
                  <c:v>5</c:v>
                </c:pt>
                <c:pt idx="2">
                  <c:v>2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1-4B83-A800-ABA4EBB86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6341383"/>
        <c:axId val="1666719751"/>
      </c:barChart>
      <c:catAx>
        <c:axId val="1666341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719751"/>
        <c:crosses val="autoZero"/>
        <c:auto val="1"/>
        <c:lblAlgn val="ctr"/>
        <c:lblOffset val="100"/>
        <c:noMultiLvlLbl val="0"/>
      </c:catAx>
      <c:valAx>
        <c:axId val="1666719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6341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[Edit_Nasywa.xlsx]Frequency!PivotTable8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Flood Event Frequency per Proince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Frequency!$K$2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Frequency!$I$3:$J$67</c:f>
              <c:multiLvlStrCache>
                <c:ptCount val="55"/>
                <c:lvl>
                  <c:pt idx="0">
                    <c:v>2014</c:v>
                  </c:pt>
                  <c:pt idx="1">
                    <c:v>2015</c:v>
                  </c:pt>
                  <c:pt idx="2">
                    <c:v>2016</c:v>
                  </c:pt>
                  <c:pt idx="3">
                    <c:v>2017</c:v>
                  </c:pt>
                  <c:pt idx="4">
                    <c:v>2019</c:v>
                  </c:pt>
                  <c:pt idx="5">
                    <c:v>2020</c:v>
                  </c:pt>
                  <c:pt idx="6">
                    <c:v>2021</c:v>
                  </c:pt>
                  <c:pt idx="7">
                    <c:v>2022</c:v>
                  </c:pt>
                  <c:pt idx="8">
                    <c:v>2017</c:v>
                  </c:pt>
                  <c:pt idx="9">
                    <c:v>2019</c:v>
                  </c:pt>
                  <c:pt idx="10">
                    <c:v>2020</c:v>
                  </c:pt>
                  <c:pt idx="11">
                    <c:v>2022</c:v>
                  </c:pt>
                  <c:pt idx="12">
                    <c:v>2024</c:v>
                  </c:pt>
                  <c:pt idx="13">
                    <c:v>2014</c:v>
                  </c:pt>
                  <c:pt idx="14">
                    <c:v>2015</c:v>
                  </c:pt>
                  <c:pt idx="15">
                    <c:v>2016</c:v>
                  </c:pt>
                  <c:pt idx="16">
                    <c:v>2018</c:v>
                  </c:pt>
                  <c:pt idx="17">
                    <c:v>2019</c:v>
                  </c:pt>
                  <c:pt idx="18">
                    <c:v>2020</c:v>
                  </c:pt>
                  <c:pt idx="19">
                    <c:v>2021</c:v>
                  </c:pt>
                  <c:pt idx="20">
                    <c:v>2022</c:v>
                  </c:pt>
                  <c:pt idx="21">
                    <c:v>2023</c:v>
                  </c:pt>
                  <c:pt idx="22">
                    <c:v>2021</c:v>
                  </c:pt>
                  <c:pt idx="23">
                    <c:v>2023</c:v>
                  </c:pt>
                  <c:pt idx="24">
                    <c:v>2024</c:v>
                  </c:pt>
                  <c:pt idx="25">
                    <c:v>2014</c:v>
                  </c:pt>
                  <c:pt idx="26">
                    <c:v>2015</c:v>
                  </c:pt>
                  <c:pt idx="27">
                    <c:v>2016</c:v>
                  </c:pt>
                  <c:pt idx="28">
                    <c:v>2017</c:v>
                  </c:pt>
                  <c:pt idx="29">
                    <c:v>2018</c:v>
                  </c:pt>
                  <c:pt idx="30">
                    <c:v>2019</c:v>
                  </c:pt>
                  <c:pt idx="31">
                    <c:v>2020</c:v>
                  </c:pt>
                  <c:pt idx="32">
                    <c:v>2022</c:v>
                  </c:pt>
                  <c:pt idx="33">
                    <c:v>2023</c:v>
                  </c:pt>
                  <c:pt idx="34">
                    <c:v>2024</c:v>
                  </c:pt>
                  <c:pt idx="35">
                    <c:v>2014</c:v>
                  </c:pt>
                  <c:pt idx="36">
                    <c:v>2015</c:v>
                  </c:pt>
                  <c:pt idx="37">
                    <c:v>2019</c:v>
                  </c:pt>
                  <c:pt idx="38">
                    <c:v>2020</c:v>
                  </c:pt>
                  <c:pt idx="39">
                    <c:v>2021</c:v>
                  </c:pt>
                  <c:pt idx="40">
                    <c:v>2014</c:v>
                  </c:pt>
                  <c:pt idx="41">
                    <c:v>2015</c:v>
                  </c:pt>
                  <c:pt idx="42">
                    <c:v>2016</c:v>
                  </c:pt>
                  <c:pt idx="43">
                    <c:v>2018</c:v>
                  </c:pt>
                  <c:pt idx="44">
                    <c:v>2019</c:v>
                  </c:pt>
                  <c:pt idx="45">
                    <c:v>2020</c:v>
                  </c:pt>
                  <c:pt idx="46">
                    <c:v>2021</c:v>
                  </c:pt>
                  <c:pt idx="47">
                    <c:v>2022</c:v>
                  </c:pt>
                  <c:pt idx="48">
                    <c:v>2023</c:v>
                  </c:pt>
                  <c:pt idx="49">
                    <c:v>2024</c:v>
                  </c:pt>
                  <c:pt idx="50">
                    <c:v>2014</c:v>
                  </c:pt>
                  <c:pt idx="51">
                    <c:v>2015</c:v>
                  </c:pt>
                  <c:pt idx="52">
                    <c:v>2017</c:v>
                  </c:pt>
                  <c:pt idx="53">
                    <c:v>2019</c:v>
                  </c:pt>
                  <c:pt idx="54">
                    <c:v>2021</c:v>
                  </c:pt>
                </c:lvl>
                <c:lvl>
                  <c:pt idx="0">
                    <c:v>AB</c:v>
                  </c:pt>
                  <c:pt idx="8">
                    <c:v>BC</c:v>
                  </c:pt>
                  <c:pt idx="13">
                    <c:v>Maritimes</c:v>
                  </c:pt>
                  <c:pt idx="22">
                    <c:v>MB</c:v>
                  </c:pt>
                  <c:pt idx="24">
                    <c:v>NS</c:v>
                  </c:pt>
                  <c:pt idx="25">
                    <c:v>ON</c:v>
                  </c:pt>
                  <c:pt idx="35">
                    <c:v>Prairies</c:v>
                  </c:pt>
                  <c:pt idx="40">
                    <c:v>QC</c:v>
                  </c:pt>
                  <c:pt idx="50">
                    <c:v>SK</c:v>
                  </c:pt>
                </c:lvl>
              </c:multiLvlStrCache>
            </c:multiLvlStrRef>
          </c:cat>
          <c:val>
            <c:numRef>
              <c:f>Frequency!$K$3:$K$67</c:f>
              <c:numCache>
                <c:formatCode>General</c:formatCode>
                <c:ptCount val="55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3</c:v>
                </c:pt>
                <c:pt idx="27">
                  <c:v>4</c:v>
                </c:pt>
                <c:pt idx="28">
                  <c:v>1</c:v>
                </c:pt>
                <c:pt idx="29">
                  <c:v>4</c:v>
                </c:pt>
                <c:pt idx="30">
                  <c:v>1</c:v>
                </c:pt>
                <c:pt idx="31">
                  <c:v>3</c:v>
                </c:pt>
                <c:pt idx="32">
                  <c:v>1</c:v>
                </c:pt>
                <c:pt idx="33">
                  <c:v>3</c:v>
                </c:pt>
                <c:pt idx="34">
                  <c:v>5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3</c:v>
                </c:pt>
                <c:pt idx="43">
                  <c:v>5</c:v>
                </c:pt>
                <c:pt idx="44">
                  <c:v>2</c:v>
                </c:pt>
                <c:pt idx="45">
                  <c:v>3</c:v>
                </c:pt>
                <c:pt idx="46">
                  <c:v>2</c:v>
                </c:pt>
                <c:pt idx="47">
                  <c:v>2</c:v>
                </c:pt>
                <c:pt idx="48">
                  <c:v>3</c:v>
                </c:pt>
                <c:pt idx="49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FC-48C8-A551-EE5DED0397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0424584"/>
        <c:axId val="1941514248"/>
      </c:barChart>
      <c:catAx>
        <c:axId val="191042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1514248"/>
        <c:crosses val="autoZero"/>
        <c:auto val="1"/>
        <c:lblAlgn val="ctr"/>
        <c:lblOffset val="100"/>
        <c:noMultiLvlLbl val="0"/>
      </c:catAx>
      <c:valAx>
        <c:axId val="1941514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042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Financials!$A$17</c:f>
              <c:strCache>
                <c:ptCount val="1"/>
                <c:pt idx="0">
                  <c:v>Operating Income Margin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Financials!$B$2:$E$2</c:f>
              <c:numCache>
                <c:formatCode>General</c:formatCode>
                <c:ptCount val="4"/>
                <c:pt idx="0">
                  <c:v>2023</c:v>
                </c:pt>
                <c:pt idx="1">
                  <c:v>2022</c:v>
                </c:pt>
                <c:pt idx="2">
                  <c:v>2021</c:v>
                </c:pt>
                <c:pt idx="3">
                  <c:v>2020</c:v>
                </c:pt>
              </c:numCache>
            </c:numRef>
          </c:cat>
          <c:val>
            <c:numRef>
              <c:f>Financials!$B$17:$E$17</c:f>
              <c:numCache>
                <c:formatCode>General</c:formatCode>
                <c:ptCount val="4"/>
                <c:pt idx="0">
                  <c:v>7.6125119693584417E-2</c:v>
                </c:pt>
                <c:pt idx="1">
                  <c:v>0.10566317545648346</c:v>
                </c:pt>
                <c:pt idx="2">
                  <c:v>0.24781951389696477</c:v>
                </c:pt>
                <c:pt idx="3">
                  <c:v>0.11293981068047866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8A-49F8-A808-83F359D079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6438408"/>
        <c:axId val="1046440456"/>
      </c:lineChart>
      <c:catAx>
        <c:axId val="1046438408"/>
        <c:scaling>
          <c:orientation val="maxMin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40456"/>
        <c:crosses val="autoZero"/>
        <c:auto val="1"/>
        <c:lblAlgn val="ctr"/>
        <c:lblOffset val="100"/>
        <c:noMultiLvlLbl val="0"/>
      </c:catAx>
      <c:valAx>
        <c:axId val="10464404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438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[Edit_Nasywa.xlsx]HL!PivotTable2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Hail Scale per Province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HL!$S$1:$S$2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HL!$S$3:$S$9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2-4017-8DAE-43EDCC9331C0}"/>
            </c:ext>
          </c:extLst>
        </c:ser>
        <c:ser>
          <c:idx val="1"/>
          <c:order val="1"/>
          <c:tx>
            <c:strRef>
              <c:f>HL!$T$1:$T$2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HL!$T$3:$T$9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22-4017-8DAE-43EDCC9331C0}"/>
            </c:ext>
          </c:extLst>
        </c:ser>
        <c:ser>
          <c:idx val="2"/>
          <c:order val="2"/>
          <c:tx>
            <c:strRef>
              <c:f>HL!$U$1:$U$2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HL!$U$3:$U$9</c:f>
              <c:numCache>
                <c:formatCode>General</c:formatCode>
                <c:ptCount val="6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22-4017-8DAE-43EDCC9331C0}"/>
            </c:ext>
          </c:extLst>
        </c:ser>
        <c:ser>
          <c:idx val="3"/>
          <c:order val="3"/>
          <c:tx>
            <c:strRef>
              <c:f>HL!$V$1:$V$2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HL!$V$3:$V$9</c:f>
              <c:numCache>
                <c:formatCode>General</c:formatCode>
                <c:ptCount val="6"/>
                <c:pt idx="0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722-4017-8DAE-43EDCC9331C0}"/>
            </c:ext>
          </c:extLst>
        </c:ser>
        <c:ser>
          <c:idx val="4"/>
          <c:order val="4"/>
          <c:tx>
            <c:strRef>
              <c:f>HL!$W$1:$W$2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HL!$W$3:$W$9</c:f>
              <c:numCache>
                <c:formatCode>General</c:formatCode>
                <c:ptCount val="6"/>
                <c:pt idx="0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722-4017-8DAE-43EDCC9331C0}"/>
            </c:ext>
          </c:extLst>
        </c:ser>
        <c:ser>
          <c:idx val="5"/>
          <c:order val="5"/>
          <c:tx>
            <c:strRef>
              <c:f>HL!$X$1:$X$2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HL!$X$3:$X$9</c:f>
              <c:numCache>
                <c:formatCode>General</c:formatCode>
                <c:ptCount val="6"/>
                <c:pt idx="0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722-4017-8DAE-43EDCC9331C0}"/>
            </c:ext>
          </c:extLst>
        </c:ser>
        <c:ser>
          <c:idx val="6"/>
          <c:order val="6"/>
          <c:tx>
            <c:strRef>
              <c:f>HL!$Y$1:$Y$2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HL!$Y$3:$Y$9</c:f>
              <c:numCache>
                <c:formatCode>General</c:formatCode>
                <c:ptCount val="6"/>
                <c:pt idx="0">
                  <c:v>2</c:v>
                </c:pt>
                <c:pt idx="3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6722-4017-8DAE-43EDCC9331C0}"/>
            </c:ext>
          </c:extLst>
        </c:ser>
        <c:ser>
          <c:idx val="7"/>
          <c:order val="7"/>
          <c:tx>
            <c:strRef>
              <c:f>HL!$Z$1:$Z$2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HL!$Z$3:$Z$9</c:f>
              <c:numCache>
                <c:formatCode>General</c:formatCode>
                <c:ptCount val="6"/>
                <c:pt idx="0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6722-4017-8DAE-43EDCC9331C0}"/>
            </c:ext>
          </c:extLst>
        </c:ser>
        <c:ser>
          <c:idx val="8"/>
          <c:order val="8"/>
          <c:tx>
            <c:strRef>
              <c:f>HL!$AA$1:$AA$2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HL!$AA$3:$AA$9</c:f>
              <c:numCache>
                <c:formatCode>General</c:formatCode>
                <c:ptCount val="6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6722-4017-8DAE-43EDCC9331C0}"/>
            </c:ext>
          </c:extLst>
        </c:ser>
        <c:ser>
          <c:idx val="9"/>
          <c:order val="9"/>
          <c:tx>
            <c:strRef>
              <c:f>HL!$AB$1:$AB$2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HL!$AB$3:$AB$9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6722-4017-8DAE-43EDCC9331C0}"/>
            </c:ext>
          </c:extLst>
        </c:ser>
        <c:ser>
          <c:idx val="10"/>
          <c:order val="10"/>
          <c:tx>
            <c:strRef>
              <c:f>HL!$AC$1:$AC$2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HL!$AC$3:$AC$9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6722-4017-8DAE-43EDCC9331C0}"/>
            </c:ext>
          </c:extLst>
        </c:ser>
        <c:ser>
          <c:idx val="11"/>
          <c:order val="11"/>
          <c:tx>
            <c:strRef>
              <c:f>HL!$AD$1:$AD$2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HL!$AD$3:$AD$9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6722-4017-8DAE-43EDCC9331C0}"/>
            </c:ext>
          </c:extLst>
        </c:ser>
        <c:ser>
          <c:idx val="12"/>
          <c:order val="12"/>
          <c:tx>
            <c:strRef>
              <c:f>HL!$AE$1:$AE$2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HL!$AE$3:$AE$9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6722-4017-8DAE-43EDCC9331C0}"/>
            </c:ext>
          </c:extLst>
        </c:ser>
        <c:ser>
          <c:idx val="13"/>
          <c:order val="13"/>
          <c:tx>
            <c:strRef>
              <c:f>HL!$AF$1:$AF$2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HL!$AF$3:$AF$9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6722-4017-8DAE-43EDCC9331C0}"/>
            </c:ext>
          </c:extLst>
        </c:ser>
        <c:ser>
          <c:idx val="14"/>
          <c:order val="14"/>
          <c:tx>
            <c:strRef>
              <c:f>HL!$AG$1:$AG$2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HL!$AG$3:$AG$9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6722-4017-8DAE-43EDCC933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6026503"/>
        <c:axId val="786732039"/>
      </c:barChart>
      <c:catAx>
        <c:axId val="786026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732039"/>
        <c:crosses val="autoZero"/>
        <c:auto val="1"/>
        <c:lblAlgn val="ctr"/>
        <c:lblOffset val="100"/>
        <c:noMultiLvlLbl val="0"/>
      </c:catAx>
      <c:valAx>
        <c:axId val="786732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6026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[Edit_Nasywa.xlsx]HL!PivotTable1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Average Total Losses (in billions) per Province for Hail Events</a:t>
            </a:r>
          </a:p>
        </c:rich>
      </c:tx>
      <c:overlay val="0"/>
      <c:spPr>
        <a:solidFill>
          <a:srgbClr val="FFFFFF"/>
        </a:solidFill>
        <a:ln>
          <a:solidFill>
            <a:srgbClr val="FFFFFF"/>
          </a:solidFill>
          <a:prstDash val="solid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F92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F92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HL!$L$1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F9299"/>
            </a:solidFill>
            <a:ln>
              <a:noFill/>
            </a:ln>
            <a:effectLst/>
          </c:spPr>
          <c:invertIfNegative val="0"/>
          <c:cat>
            <c:strRef>
              <c:f>HL!$J$2:$K$8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HL!$L$2:$L$8</c:f>
              <c:numCache>
                <c:formatCode>General</c:formatCode>
                <c:ptCount val="6"/>
                <c:pt idx="0">
                  <c:v>0.25349447368421046</c:v>
                </c:pt>
                <c:pt idx="1">
                  <c:v>6.2344999999999998E-2</c:v>
                </c:pt>
                <c:pt idx="2">
                  <c:v>0.1816015</c:v>
                </c:pt>
                <c:pt idx="3">
                  <c:v>8.8843333333333344E-2</c:v>
                </c:pt>
                <c:pt idx="4">
                  <c:v>0.1624825</c:v>
                </c:pt>
                <c:pt idx="5">
                  <c:v>6.3768749999999999E-2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1C-4361-96A7-53B0670C9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7347591"/>
        <c:axId val="627268616"/>
      </c:barChart>
      <c:catAx>
        <c:axId val="1897347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68616"/>
        <c:crosses val="autoZero"/>
        <c:auto val="1"/>
        <c:lblAlgn val="ctr"/>
        <c:lblOffset val="100"/>
        <c:noMultiLvlLbl val="0"/>
      </c:catAx>
      <c:valAx>
        <c:axId val="627268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347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[Edit_Nasywa.xlsx]HL!PivotTable12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Max Total Losses (in billions) per Province for Hail Events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F9299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2F92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HL!$K$30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F9299"/>
            </a:solidFill>
            <a:ln>
              <a:noFill/>
            </a:ln>
            <a:effectLst/>
          </c:spPr>
          <c:invertIfNegative val="0"/>
          <c:cat>
            <c:strRef>
              <c:f>HL!$J$31:$J$37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HL!$K$31:$K$37</c:f>
              <c:numCache>
                <c:formatCode>General</c:formatCode>
                <c:ptCount val="6"/>
                <c:pt idx="0">
                  <c:v>2.6549200000000002</c:v>
                </c:pt>
                <c:pt idx="1">
                  <c:v>9.3109999999999998E-2</c:v>
                </c:pt>
                <c:pt idx="2">
                  <c:v>0.97565999999999997</c:v>
                </c:pt>
                <c:pt idx="3">
                  <c:v>0.17923</c:v>
                </c:pt>
                <c:pt idx="4">
                  <c:v>0.73595999999999995</c:v>
                </c:pt>
                <c:pt idx="5">
                  <c:v>0.14326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74-421B-9C49-E66F41EF3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3201799"/>
        <c:axId val="1663205895"/>
      </c:barChart>
      <c:catAx>
        <c:axId val="1663201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205895"/>
        <c:crosses val="autoZero"/>
        <c:auto val="1"/>
        <c:lblAlgn val="ctr"/>
        <c:lblOffset val="100"/>
        <c:noMultiLvlLbl val="0"/>
      </c:catAx>
      <c:valAx>
        <c:axId val="1663205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201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[Edit_Nasywa.xlsx]HL!PivotTable2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Hail Scale per Province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HL!$S$1:$S$2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HL!$S$3:$S$9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F8-48CD-9AD7-2F1B9AEEF3D0}"/>
            </c:ext>
          </c:extLst>
        </c:ser>
        <c:ser>
          <c:idx val="1"/>
          <c:order val="1"/>
          <c:tx>
            <c:strRef>
              <c:f>HL!$T$1:$T$2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HL!$T$3:$T$9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F8-48CD-9AD7-2F1B9AEEF3D0}"/>
            </c:ext>
          </c:extLst>
        </c:ser>
        <c:ser>
          <c:idx val="2"/>
          <c:order val="2"/>
          <c:tx>
            <c:strRef>
              <c:f>HL!$U$1:$U$2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HL!$U$3:$U$9</c:f>
              <c:numCache>
                <c:formatCode>General</c:formatCode>
                <c:ptCount val="6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F8-48CD-9AD7-2F1B9AEEF3D0}"/>
            </c:ext>
          </c:extLst>
        </c:ser>
        <c:ser>
          <c:idx val="3"/>
          <c:order val="3"/>
          <c:tx>
            <c:strRef>
              <c:f>HL!$V$1:$V$2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HL!$V$3:$V$9</c:f>
              <c:numCache>
                <c:formatCode>General</c:formatCode>
                <c:ptCount val="6"/>
                <c:pt idx="0">
                  <c:v>3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F8-48CD-9AD7-2F1B9AEEF3D0}"/>
            </c:ext>
          </c:extLst>
        </c:ser>
        <c:ser>
          <c:idx val="4"/>
          <c:order val="4"/>
          <c:tx>
            <c:strRef>
              <c:f>HL!$W$1:$W$2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HL!$W$3:$W$9</c:f>
              <c:numCache>
                <c:formatCode>General</c:formatCode>
                <c:ptCount val="6"/>
                <c:pt idx="0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F8-48CD-9AD7-2F1B9AEEF3D0}"/>
            </c:ext>
          </c:extLst>
        </c:ser>
        <c:ser>
          <c:idx val="5"/>
          <c:order val="5"/>
          <c:tx>
            <c:strRef>
              <c:f>HL!$X$1:$X$2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HL!$X$3:$X$9</c:f>
              <c:numCache>
                <c:formatCode>General</c:formatCode>
                <c:ptCount val="6"/>
                <c:pt idx="0">
                  <c:v>2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BF8-48CD-9AD7-2F1B9AEEF3D0}"/>
            </c:ext>
          </c:extLst>
        </c:ser>
        <c:ser>
          <c:idx val="6"/>
          <c:order val="6"/>
          <c:tx>
            <c:strRef>
              <c:f>HL!$Y$1:$Y$2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HL!$Y$3:$Y$9</c:f>
              <c:numCache>
                <c:formatCode>General</c:formatCode>
                <c:ptCount val="6"/>
                <c:pt idx="0">
                  <c:v>2</c:v>
                </c:pt>
                <c:pt idx="3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BF8-48CD-9AD7-2F1B9AEEF3D0}"/>
            </c:ext>
          </c:extLst>
        </c:ser>
        <c:ser>
          <c:idx val="7"/>
          <c:order val="7"/>
          <c:tx>
            <c:strRef>
              <c:f>HL!$Z$1:$Z$2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HL!$Z$3:$Z$9</c:f>
              <c:numCache>
                <c:formatCode>General</c:formatCode>
                <c:ptCount val="6"/>
                <c:pt idx="0">
                  <c:v>1</c:v>
                </c:pt>
                <c:pt idx="2">
                  <c:v>3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F8-48CD-9AD7-2F1B9AEEF3D0}"/>
            </c:ext>
          </c:extLst>
        </c:ser>
        <c:ser>
          <c:idx val="8"/>
          <c:order val="8"/>
          <c:tx>
            <c:strRef>
              <c:f>HL!$AA$1:$AA$2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HL!$AA$3:$AA$9</c:f>
              <c:numCache>
                <c:formatCode>General</c:formatCode>
                <c:ptCount val="6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8BF8-48CD-9AD7-2F1B9AEEF3D0}"/>
            </c:ext>
          </c:extLst>
        </c:ser>
        <c:ser>
          <c:idx val="9"/>
          <c:order val="9"/>
          <c:tx>
            <c:strRef>
              <c:f>HL!$AB$1:$AB$2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HL!$AB$3:$AB$9</c:f>
              <c:numCache>
                <c:formatCode>General</c:formatCode>
                <c:ptCount val="6"/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8BF8-48CD-9AD7-2F1B9AEEF3D0}"/>
            </c:ext>
          </c:extLst>
        </c:ser>
        <c:ser>
          <c:idx val="10"/>
          <c:order val="10"/>
          <c:tx>
            <c:strRef>
              <c:f>HL!$AC$1:$AC$2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HL!$AC$3:$AC$9</c:f>
              <c:numCache>
                <c:formatCode>General</c:formatCode>
                <c:ptCount val="6"/>
                <c:pt idx="0">
                  <c:v>1</c:v>
                </c:pt>
                <c:pt idx="2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8BF8-48CD-9AD7-2F1B9AEEF3D0}"/>
            </c:ext>
          </c:extLst>
        </c:ser>
        <c:ser>
          <c:idx val="11"/>
          <c:order val="11"/>
          <c:tx>
            <c:strRef>
              <c:f>HL!$AD$1:$AD$2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HL!$AD$3:$AD$9</c:f>
              <c:numCache>
                <c:formatCode>General</c:formatCode>
                <c:ptCount val="6"/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8BF8-48CD-9AD7-2F1B9AEEF3D0}"/>
            </c:ext>
          </c:extLst>
        </c:ser>
        <c:ser>
          <c:idx val="12"/>
          <c:order val="12"/>
          <c:tx>
            <c:strRef>
              <c:f>HL!$AE$1:$AE$2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HL!$AE$3:$AE$9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8BF8-48CD-9AD7-2F1B9AEEF3D0}"/>
            </c:ext>
          </c:extLst>
        </c:ser>
        <c:ser>
          <c:idx val="13"/>
          <c:order val="13"/>
          <c:tx>
            <c:strRef>
              <c:f>HL!$AF$1:$AF$2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HL!$AF$3:$AF$9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8BF8-48CD-9AD7-2F1B9AEEF3D0}"/>
            </c:ext>
          </c:extLst>
        </c:ser>
        <c:ser>
          <c:idx val="14"/>
          <c:order val="14"/>
          <c:tx>
            <c:strRef>
              <c:f>HL!$AG$1:$AG$2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HL!$R$3:$R$9</c:f>
              <c:strCache>
                <c:ptCount val="6"/>
                <c:pt idx="0">
                  <c:v>AB</c:v>
                </c:pt>
                <c:pt idx="1">
                  <c:v>MB</c:v>
                </c:pt>
                <c:pt idx="2">
                  <c:v>ON</c:v>
                </c:pt>
                <c:pt idx="3">
                  <c:v>Prairies</c:v>
                </c:pt>
                <c:pt idx="4">
                  <c:v>QC</c:v>
                </c:pt>
                <c:pt idx="5">
                  <c:v>SK</c:v>
                </c:pt>
              </c:strCache>
            </c:strRef>
          </c:cat>
          <c:val>
            <c:numRef>
              <c:f>HL!$AG$3:$AG$9</c:f>
              <c:numCache>
                <c:formatCode>General</c:formatCode>
                <c:ptCount val="6"/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8BF8-48CD-9AD7-2F1B9AEEF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3184903"/>
        <c:axId val="1663188487"/>
      </c:barChart>
      <c:catAx>
        <c:axId val="16631849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188487"/>
        <c:crosses val="autoZero"/>
        <c:auto val="1"/>
        <c:lblAlgn val="ctr"/>
        <c:lblOffset val="100"/>
        <c:noMultiLvlLbl val="0"/>
      </c:catAx>
      <c:valAx>
        <c:axId val="16631884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1849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[Edit_Nasywa.xlsx]FL!PivotTable15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Average Total Losses (in billions) per Province for Flood Events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F92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FL!$J$70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F9299"/>
            </a:solidFill>
            <a:ln>
              <a:noFill/>
            </a:ln>
            <a:effectLst/>
          </c:spPr>
          <c:invertIfNegative val="0"/>
          <c:cat>
            <c:strRef>
              <c:f>FL!$I$71:$I$80</c:f>
              <c:strCache>
                <c:ptCount val="9"/>
                <c:pt idx="0">
                  <c:v>SK</c:v>
                </c:pt>
                <c:pt idx="1">
                  <c:v>Maritimes</c:v>
                </c:pt>
                <c:pt idx="2">
                  <c:v>AB</c:v>
                </c:pt>
                <c:pt idx="3">
                  <c:v>NS</c:v>
                </c:pt>
                <c:pt idx="4">
                  <c:v>Prairies</c:v>
                </c:pt>
                <c:pt idx="5">
                  <c:v>MB</c:v>
                </c:pt>
                <c:pt idx="6">
                  <c:v>QC</c:v>
                </c:pt>
                <c:pt idx="7">
                  <c:v>ON</c:v>
                </c:pt>
                <c:pt idx="8">
                  <c:v>BC</c:v>
                </c:pt>
              </c:strCache>
            </c:strRef>
          </c:cat>
          <c:val>
            <c:numRef>
              <c:f>FL!$J$71:$J$80</c:f>
              <c:numCache>
                <c:formatCode>General</c:formatCode>
                <c:ptCount val="9"/>
                <c:pt idx="0">
                  <c:v>7.7009999999999995E-2</c:v>
                </c:pt>
                <c:pt idx="1">
                  <c:v>9.5434166666666653E-2</c:v>
                </c:pt>
                <c:pt idx="2">
                  <c:v>0.12635230769230771</c:v>
                </c:pt>
                <c:pt idx="3">
                  <c:v>0.12885333333333335</c:v>
                </c:pt>
                <c:pt idx="4">
                  <c:v>0.13326625</c:v>
                </c:pt>
                <c:pt idx="5">
                  <c:v>0.137155</c:v>
                </c:pt>
                <c:pt idx="6">
                  <c:v>0.17823927536231884</c:v>
                </c:pt>
                <c:pt idx="7">
                  <c:v>0.20376938271604939</c:v>
                </c:pt>
                <c:pt idx="8">
                  <c:v>0.20613600000000001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3-4D4C-BB1C-9D0C349645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517703687"/>
        <c:axId val="1517705735"/>
      </c:barChart>
      <c:catAx>
        <c:axId val="151770368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705735"/>
        <c:crosses val="autoZero"/>
        <c:auto val="1"/>
        <c:lblAlgn val="ctr"/>
        <c:lblOffset val="100"/>
        <c:noMultiLvlLbl val="0"/>
      </c:catAx>
      <c:valAx>
        <c:axId val="15177057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7703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[Edit_Nasywa.xlsx]FL!PivotTable16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Average of Max Rainfall (in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F92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FL!$J$86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FL!$I$87:$I$96</c:f>
              <c:strCache>
                <c:ptCount val="9"/>
                <c:pt idx="0">
                  <c:v>SK</c:v>
                </c:pt>
                <c:pt idx="1">
                  <c:v>NS</c:v>
                </c:pt>
                <c:pt idx="2">
                  <c:v>MB</c:v>
                </c:pt>
                <c:pt idx="3">
                  <c:v>ON</c:v>
                </c:pt>
                <c:pt idx="4">
                  <c:v>AB</c:v>
                </c:pt>
                <c:pt idx="5">
                  <c:v>Maritimes</c:v>
                </c:pt>
                <c:pt idx="6">
                  <c:v>QC</c:v>
                </c:pt>
                <c:pt idx="7">
                  <c:v>Prairies</c:v>
                </c:pt>
                <c:pt idx="8">
                  <c:v>BC</c:v>
                </c:pt>
              </c:strCache>
            </c:strRef>
          </c:cat>
          <c:val>
            <c:numRef>
              <c:f>FL!$J$87:$J$96</c:f>
              <c:numCache>
                <c:formatCode>General</c:formatCode>
                <c:ptCount val="9"/>
                <c:pt idx="0">
                  <c:v>64.8</c:v>
                </c:pt>
                <c:pt idx="1">
                  <c:v>67</c:v>
                </c:pt>
                <c:pt idx="2">
                  <c:v>76.5</c:v>
                </c:pt>
                <c:pt idx="3">
                  <c:v>93.592592592592595</c:v>
                </c:pt>
                <c:pt idx="4">
                  <c:v>93.92307692307692</c:v>
                </c:pt>
                <c:pt idx="5">
                  <c:v>105.94444444444444</c:v>
                </c:pt>
                <c:pt idx="6">
                  <c:v>108.95833333333333</c:v>
                </c:pt>
                <c:pt idx="7">
                  <c:v>110.375</c:v>
                </c:pt>
                <c:pt idx="8">
                  <c:v>144.6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E9-4482-8339-3F00C1A9F4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26453255"/>
        <c:axId val="926475271"/>
      </c:barChart>
      <c:catAx>
        <c:axId val="9264532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75271"/>
        <c:crosses val="autoZero"/>
        <c:auto val="1"/>
        <c:lblAlgn val="ctr"/>
        <c:lblOffset val="100"/>
        <c:noMultiLvlLbl val="0"/>
      </c:catAx>
      <c:valAx>
        <c:axId val="926475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453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[Edit_Nasywa.xlsx]FL!PivotTable17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Book Antiqua"/>
                <a:ea typeface="Book Antiqua"/>
                <a:cs typeface="Book Antiqua"/>
              </a:defRPr>
            </a:pPr>
            <a:r>
              <a:rPr lang="en-US"/>
              <a:t>Maximum of Max Rainfall (in mm)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Book Antiqua"/>
              <a:ea typeface="Book Antiqua"/>
              <a:cs typeface="Book Antiqua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2F9299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FL!$J$99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FL!$I$100:$I$109</c:f>
              <c:strCache>
                <c:ptCount val="9"/>
                <c:pt idx="0">
                  <c:v>NS</c:v>
                </c:pt>
                <c:pt idx="1">
                  <c:v>MB</c:v>
                </c:pt>
                <c:pt idx="2">
                  <c:v>SK</c:v>
                </c:pt>
                <c:pt idx="3">
                  <c:v>ON</c:v>
                </c:pt>
                <c:pt idx="4">
                  <c:v>Prairies</c:v>
                </c:pt>
                <c:pt idx="5">
                  <c:v>Maritimes</c:v>
                </c:pt>
                <c:pt idx="6">
                  <c:v>QC</c:v>
                </c:pt>
                <c:pt idx="7">
                  <c:v>AB</c:v>
                </c:pt>
                <c:pt idx="8">
                  <c:v>BC</c:v>
                </c:pt>
              </c:strCache>
            </c:strRef>
          </c:cat>
          <c:val>
            <c:numRef>
              <c:f>FL!$J$100:$J$109</c:f>
              <c:numCache>
                <c:formatCode>General</c:formatCode>
                <c:ptCount val="9"/>
                <c:pt idx="0">
                  <c:v>67</c:v>
                </c:pt>
                <c:pt idx="1">
                  <c:v>78</c:v>
                </c:pt>
                <c:pt idx="2">
                  <c:v>104</c:v>
                </c:pt>
                <c:pt idx="3">
                  <c:v>221</c:v>
                </c:pt>
                <c:pt idx="4">
                  <c:v>233</c:v>
                </c:pt>
                <c:pt idx="5">
                  <c:v>262</c:v>
                </c:pt>
                <c:pt idx="6">
                  <c:v>264</c:v>
                </c:pt>
                <c:pt idx="7">
                  <c:v>292</c:v>
                </c:pt>
                <c:pt idx="8">
                  <c:v>304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F1-445F-9672-216F935A50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14255367"/>
        <c:axId val="914261511"/>
      </c:barChart>
      <c:catAx>
        <c:axId val="914255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61511"/>
        <c:crosses val="autoZero"/>
        <c:auto val="1"/>
        <c:lblAlgn val="ctr"/>
        <c:lblOffset val="100"/>
        <c:noMultiLvlLbl val="0"/>
      </c:catAx>
      <c:valAx>
        <c:axId val="914261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4255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142875</xdr:rowOff>
    </xdr:from>
    <xdr:to>
      <xdr:col>11</xdr:col>
      <xdr:colOff>171450</xdr:colOff>
      <xdr:row>14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8A96584-2733-25E9-E0AB-CDD2D09AA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781050</xdr:colOff>
      <xdr:row>14</xdr:row>
      <xdr:rowOff>161925</xdr:rowOff>
    </xdr:from>
    <xdr:to>
      <xdr:col>11</xdr:col>
      <xdr:colOff>180975</xdr:colOff>
      <xdr:row>28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E870470-F03F-690D-4E47-FB1C2AF274DB}"/>
            </a:ext>
            <a:ext uri="{147F2762-F138-4A5C-976F-8EAC2B608ADB}">
              <a16:predDERef xmlns:a16="http://schemas.microsoft.com/office/drawing/2014/main" pred="{A8A96584-2733-25E9-E0AB-CDD2D09AA8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13</xdr:row>
      <xdr:rowOff>0</xdr:rowOff>
    </xdr:from>
    <xdr:to>
      <xdr:col>33</xdr:col>
      <xdr:colOff>57150</xdr:colOff>
      <xdr:row>26</xdr:row>
      <xdr:rowOff>142875</xdr:rowOff>
    </xdr:to>
    <xdr:graphicFrame macro="">
      <xdr:nvGraphicFramePr>
        <xdr:cNvPr id="61" name="Chart 4">
          <a:extLst>
            <a:ext uri="{FF2B5EF4-FFF2-40B4-BE49-F238E27FC236}">
              <a16:creationId xmlns:a16="http://schemas.microsoft.com/office/drawing/2014/main" id="{DB67388D-A81B-F802-35CA-E90D37BE8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11</xdr:row>
      <xdr:rowOff>0</xdr:rowOff>
    </xdr:from>
    <xdr:to>
      <xdr:col>12</xdr:col>
      <xdr:colOff>581025</xdr:colOff>
      <xdr:row>27</xdr:row>
      <xdr:rowOff>0</xdr:rowOff>
    </xdr:to>
    <xdr:graphicFrame macro="">
      <xdr:nvGraphicFramePr>
        <xdr:cNvPr id="63" name="Chart 2">
          <a:extLst>
            <a:ext uri="{FF2B5EF4-FFF2-40B4-BE49-F238E27FC236}">
              <a16:creationId xmlns:a16="http://schemas.microsoft.com/office/drawing/2014/main" id="{634328D0-998D-8835-D0D6-5C66EA22A2A6}"/>
            </a:ext>
            <a:ext uri="{147F2762-F138-4A5C-976F-8EAC2B608ADB}">
              <a16:predDERef xmlns:a16="http://schemas.microsoft.com/office/drawing/2014/main" pred="{DB67388D-A81B-F802-35CA-E90D37BE85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838200</xdr:colOff>
      <xdr:row>37</xdr:row>
      <xdr:rowOff>142875</xdr:rowOff>
    </xdr:from>
    <xdr:to>
      <xdr:col>11</xdr:col>
      <xdr:colOff>1743075</xdr:colOff>
      <xdr:row>52</xdr:row>
      <xdr:rowOff>171450</xdr:rowOff>
    </xdr:to>
    <xdr:graphicFrame macro="">
      <xdr:nvGraphicFramePr>
        <xdr:cNvPr id="70" name="Chart 6">
          <a:extLst>
            <a:ext uri="{FF2B5EF4-FFF2-40B4-BE49-F238E27FC236}">
              <a16:creationId xmlns:a16="http://schemas.microsoft.com/office/drawing/2014/main" id="{76CC84F9-CEC2-CF00-3FC0-B50EC3FAAFB7}"/>
            </a:ext>
            <a:ext uri="{147F2762-F138-4A5C-976F-8EAC2B608ADB}">
              <a16:predDERef xmlns:a16="http://schemas.microsoft.com/office/drawing/2014/main" pred="{634328D0-998D-8835-D0D6-5C66EA22A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19050</xdr:colOff>
      <xdr:row>28</xdr:row>
      <xdr:rowOff>9525</xdr:rowOff>
    </xdr:from>
    <xdr:to>
      <xdr:col>33</xdr:col>
      <xdr:colOff>76200</xdr:colOff>
      <xdr:row>44</xdr:row>
      <xdr:rowOff>9525</xdr:rowOff>
    </xdr:to>
    <xdr:graphicFrame macro="">
      <xdr:nvGraphicFramePr>
        <xdr:cNvPr id="86" name="Chart 10">
          <a:extLst>
            <a:ext uri="{FF2B5EF4-FFF2-40B4-BE49-F238E27FC236}">
              <a16:creationId xmlns:a16="http://schemas.microsoft.com/office/drawing/2014/main" id="{5E263786-0DDB-9E18-7F74-1998EDFE153F}"/>
            </a:ext>
            <a:ext uri="{147F2762-F138-4A5C-976F-8EAC2B608ADB}">
              <a16:predDERef xmlns:a16="http://schemas.microsoft.com/office/drawing/2014/main" pred="{76CC84F9-CEC2-CF00-3FC0-B50EC3FAAF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485775</xdr:colOff>
      <xdr:row>68</xdr:row>
      <xdr:rowOff>142875</xdr:rowOff>
    </xdr:from>
    <xdr:to>
      <xdr:col>12</xdr:col>
      <xdr:colOff>428625</xdr:colOff>
      <xdr:row>83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ECDD94-518F-845E-4D60-14895BC2F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84</xdr:row>
      <xdr:rowOff>85725</xdr:rowOff>
    </xdr:from>
    <xdr:to>
      <xdr:col>12</xdr:col>
      <xdr:colOff>361950</xdr:colOff>
      <xdr:row>98</xdr:row>
      <xdr:rowOff>28575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041B32-0081-008E-A345-AE327D83987D}"/>
            </a:ext>
            <a:ext uri="{147F2762-F138-4A5C-976F-8EAC2B608ADB}">
              <a16:predDERef xmlns:a16="http://schemas.microsoft.com/office/drawing/2014/main" pred="{8CECDD94-518F-845E-4D60-14895BC2FC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390525</xdr:colOff>
      <xdr:row>99</xdr:row>
      <xdr:rowOff>0</xdr:rowOff>
    </xdr:from>
    <xdr:to>
      <xdr:col>12</xdr:col>
      <xdr:colOff>333375</xdr:colOff>
      <xdr:row>112</xdr:row>
      <xdr:rowOff>142875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DBD6FA-BDE4-2983-2006-921AF7CB20E8}"/>
            </a:ext>
            <a:ext uri="{147F2762-F138-4A5C-976F-8EAC2B608ADB}">
              <a16:predDERef xmlns:a16="http://schemas.microsoft.com/office/drawing/2014/main" pred="{AA041B32-0081-008E-A345-AE327D839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2209800</xdr:colOff>
      <xdr:row>52</xdr:row>
      <xdr:rowOff>0</xdr:rowOff>
    </xdr:from>
    <xdr:to>
      <xdr:col>16</xdr:col>
      <xdr:colOff>457200</xdr:colOff>
      <xdr:row>65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789E8C-0D32-F083-C1FE-60C046260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390525</xdr:colOff>
      <xdr:row>12</xdr:row>
      <xdr:rowOff>57150</xdr:rowOff>
    </xdr:from>
    <xdr:to>
      <xdr:col>6</xdr:col>
      <xdr:colOff>266700</xdr:colOff>
      <xdr:row>30</xdr:row>
      <xdr:rowOff>47625</xdr:rowOff>
    </xdr:to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3DA99F97-437B-F788-AFE5-0C07CEDE4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714375</xdr:colOff>
      <xdr:row>36</xdr:row>
      <xdr:rowOff>133350</xdr:rowOff>
    </xdr:from>
    <xdr:to>
      <xdr:col>6</xdr:col>
      <xdr:colOff>295275</xdr:colOff>
      <xdr:row>54</xdr:row>
      <xdr:rowOff>133350</xdr:rowOff>
    </xdr:to>
    <xdr:graphicFrame macro="">
      <xdr:nvGraphicFramePr>
        <xdr:cNvPr id="24" name="Chart 2">
          <a:extLst>
            <a:ext uri="{FF2B5EF4-FFF2-40B4-BE49-F238E27FC236}">
              <a16:creationId xmlns:a16="http://schemas.microsoft.com/office/drawing/2014/main" id="{C9B3653D-8B05-E91A-2101-D13DE2397EA9}"/>
            </a:ext>
            <a:ext uri="{147F2762-F138-4A5C-976F-8EAC2B608ADB}">
              <a16:predDERef xmlns:a16="http://schemas.microsoft.com/office/drawing/2014/main" pred="{3DA99F97-437B-F788-AFE5-0C07CEDE4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609600</xdr:colOff>
      <xdr:row>63</xdr:row>
      <xdr:rowOff>57150</xdr:rowOff>
    </xdr:from>
    <xdr:to>
      <xdr:col>6</xdr:col>
      <xdr:colOff>847725</xdr:colOff>
      <xdr:row>81</xdr:row>
      <xdr:rowOff>57150</xdr:rowOff>
    </xdr:to>
    <xdr:graphicFrame macro="">
      <xdr:nvGraphicFramePr>
        <xdr:cNvPr id="26" name="Chart 2">
          <a:extLst>
            <a:ext uri="{FF2B5EF4-FFF2-40B4-BE49-F238E27FC236}">
              <a16:creationId xmlns:a16="http://schemas.microsoft.com/office/drawing/2014/main" id="{5DD1035B-13C5-18CC-4F05-E5C0AAA051DC}"/>
            </a:ext>
            <a:ext uri="{147F2762-F138-4A5C-976F-8EAC2B608ADB}">
              <a16:predDERef xmlns:a16="http://schemas.microsoft.com/office/drawing/2014/main" pred="{C9B3653D-8B05-E91A-2101-D13DE2397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0.490939120369" createdVersion="8" refreshedVersion="8" minRefreshableVersion="3" recordCount="11" xr:uid="{B7F499E4-28DA-4D83-86FB-AC727B2970CF}">
  <cacheSource type="worksheet">
    <worksheetSource ref="A1:H12" sheet="FI"/>
  </cacheSource>
  <cacheFields count="8">
    <cacheField name="CAT_Event_Fire" numFmtId="0">
      <sharedItems/>
    </cacheField>
    <cacheField name="Province" numFmtId="0">
      <sharedItems count="4">
        <s v="BC"/>
        <s v="AB"/>
        <s v="Prairies"/>
        <s v="Maritimes"/>
      </sharedItems>
    </cacheField>
    <cacheField name="Event_year" numFmtId="0">
      <sharedItems containsSemiMixedTypes="0" containsString="0" containsNumber="1" containsInteger="1" minValue="2015" maxValue="2024" count="6">
        <n v="2015"/>
        <n v="2017"/>
        <n v="2019"/>
        <n v="2021"/>
        <n v="2023"/>
        <n v="2024"/>
      </sharedItems>
    </cacheField>
    <cacheField name="Total_exposure_in_billions" numFmtId="0">
      <sharedItems containsSemiMixedTypes="0" containsString="0" containsNumber="1" minValue="10.23981" maxValue="120.78133"/>
    </cacheField>
    <cacheField name="Total_losses_in_billions" numFmtId="0">
      <sharedItems containsSemiMixedTypes="0" containsString="0" containsNumber="1" minValue="2.3709999999999998E-2" maxValue="3.23983"/>
    </cacheField>
    <cacheField name="Hectares_burned" numFmtId="3">
      <sharedItems containsSemiMixedTypes="0" containsString="0" containsNumber="1" containsInteger="1" minValue="13022" maxValue="523772"/>
    </cacheField>
    <cacheField name="Structures_destroyed" numFmtId="3">
      <sharedItems containsSemiMixedTypes="0" containsString="0" containsNumber="1" containsInteger="1" minValue="425" maxValue="2602"/>
    </cacheField>
    <cacheField name="Loss Ratio" numFmtId="0">
      <sharedItems containsSemiMixedTypes="0" containsString="0" containsNumber="1" minValue="3.5654632531401537E-4" maxValue="6.7077808489028196E-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5.719283101855" createdVersion="8" refreshedVersion="8" minRefreshableVersion="3" recordCount="53" xr:uid="{C0C9F02A-B611-48AE-9A37-D71FFB25951B}">
  <cacheSource type="worksheet">
    <worksheetSource ref="A1:H54" sheet="HL"/>
  </cacheSource>
  <cacheFields count="8">
    <cacheField name="CAT_Event_Hail" numFmtId="0">
      <sharedItems/>
    </cacheField>
    <cacheField name="Provinces" numFmtId="0">
      <sharedItems count="6">
        <s v="AB"/>
        <s v="Prairies"/>
        <s v="ON"/>
        <s v="QC"/>
        <s v="MB"/>
        <s v="SK"/>
      </sharedItems>
    </cacheField>
    <cacheField name="Event_year" numFmtId="0">
      <sharedItems containsSemiMixedTypes="0" containsString="0" containsNumber="1" containsInteger="1" minValue="2014" maxValue="2024" count="11"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Total_exposure_in_billions" numFmtId="0">
      <sharedItems containsSemiMixedTypes="0" containsString="0" containsNumber="1" minValue="199.24845999999999" maxValue="24671.025099999999"/>
    </cacheField>
    <cacheField name="Total_losses_in_billions" numFmtId="0">
      <sharedItems containsSemiMixedTypes="0" containsString="0" containsNumber="1" minValue="9.3299999999999998E-3" maxValue="2.6549200000000002"/>
    </cacheField>
    <cacheField name="Hail_scale" numFmtId="0">
      <sharedItems containsSemiMixedTypes="0" containsString="0" containsNumber="1" containsInteger="1" minValue="0" maxValue="15" count="15">
        <n v="5"/>
        <n v="0"/>
        <n v="2"/>
        <n v="3"/>
        <n v="12"/>
        <n v="8"/>
        <n v="4"/>
        <n v="7"/>
        <n v="11"/>
        <n v="6"/>
        <n v="9"/>
        <n v="10"/>
        <n v="14"/>
        <n v="13"/>
        <n v="15"/>
      </sharedItems>
    </cacheField>
    <cacheField name="Max_wind_km/h" numFmtId="0">
      <sharedItems containsSemiMixedTypes="0" containsString="0" containsNumber="1" minValue="75" maxValue="175"/>
    </cacheField>
    <cacheField name="Loss Ratio " numFmtId="0">
      <sharedItems containsSemiMixedTypes="0" containsString="0" containsNumber="1" minValue="6.3076644887545138E-6" maxValue="3.4999949311163765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5.745286805555" createdVersion="8" refreshedVersion="8" minRefreshableVersion="3" recordCount="11" xr:uid="{36943DF8-5453-4D6D-8047-E931AAD155E1}">
  <cacheSource type="worksheet">
    <worksheetSource ref="C6:M17" sheet="Sheet1"/>
  </cacheSource>
  <cacheFields count="11">
    <cacheField name="CAT_Event_Fire" numFmtId="0">
      <sharedItems/>
    </cacheField>
    <cacheField name="Province" numFmtId="0">
      <sharedItems count="4">
        <s v="BC"/>
        <s v="AB"/>
        <s v="Prairies"/>
        <s v="Maritimes"/>
      </sharedItems>
    </cacheField>
    <cacheField name="Event_year" numFmtId="0">
      <sharedItems containsSemiMixedTypes="0" containsString="0" containsNumber="1" containsInteger="1" minValue="2015" maxValue="2024"/>
    </cacheField>
    <cacheField name="Total_exposure_in_billions" numFmtId="0">
      <sharedItems containsSemiMixedTypes="0" containsString="0" containsNumber="1" minValue="10.23981" maxValue="120.78133"/>
    </cacheField>
    <cacheField name="Total_losses_in_billions" numFmtId="0">
      <sharedItems containsSemiMixedTypes="0" containsString="0" containsNumber="1" minValue="2.3709999999999998E-2" maxValue="3.23983"/>
    </cacheField>
    <cacheField name="Hectares_burned" numFmtId="3">
      <sharedItems containsSemiMixedTypes="0" containsString="0" containsNumber="1" containsInteger="1" minValue="13022" maxValue="523772"/>
    </cacheField>
    <cacheField name="Structures_destroyed" numFmtId="3">
      <sharedItems containsSemiMixedTypes="0" containsString="0" containsNumber="1" containsInteger="1" minValue="425" maxValue="2602"/>
    </cacheField>
    <cacheField name="Loss Ratio" numFmtId="0">
      <sharedItems containsSemiMixedTypes="0" containsString="0" containsNumber="1" minValue="3.56546325314015E-4" maxValue="6.7077808489028196E-2"/>
    </cacheField>
    <cacheField name="Severity (burned)" numFmtId="0">
      <sharedItems containsSemiMixedTypes="0" containsString="0" containsNumber="1" minValue="4.2610143344814199E-7" maxValue="8.5957655673768294E-5"/>
    </cacheField>
    <cacheField name="Field10" numFmtId="0">
      <sharedItems containsNonDate="0" containsString="0" containsBlank="1"/>
    </cacheField>
    <cacheField name="Severity (destroyed)" numFmtId="0">
      <sharedItems containsSemiMixedTypes="0" containsString="0" containsNumber="1" minValue="1.50447604002106E-5" maxValue="4.1430051150895099E-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7.767213078703" createdVersion="8" refreshedVersion="8" minRefreshableVersion="3" recordCount="39" xr:uid="{4FB54820-96B2-49C9-80A5-C93B5563F727}">
  <cacheSource type="worksheet">
    <worksheetSource ref="A1:G40" sheet="WS"/>
  </cacheSource>
  <cacheFields count="7">
    <cacheField name="CAT_Event_Winterstorm" numFmtId="0">
      <sharedItems/>
    </cacheField>
    <cacheField name="Province" numFmtId="0">
      <sharedItems count="6">
        <s v="ON"/>
        <s v="QC"/>
        <s v="BC"/>
        <s v="AB"/>
        <s v="Maritimes"/>
        <s v="Prairies"/>
      </sharedItems>
    </cacheField>
    <cacheField name="Event_year" numFmtId="0">
      <sharedItems containsSemiMixedTypes="0" containsString="0" containsNumber="1" containsInteger="1" minValue="2014" maxValue="2024" count="10">
        <n v="2014"/>
        <n v="2016"/>
        <n v="2017"/>
        <n v="2018"/>
        <n v="2019"/>
        <n v="2020"/>
        <n v="2021"/>
        <n v="2022"/>
        <n v="2023"/>
        <n v="2024"/>
      </sharedItems>
    </cacheField>
    <cacheField name="Total_exposure_in_billions" numFmtId="0">
      <sharedItems containsSemiMixedTypes="0" containsString="0" containsNumber="1" minValue="0.76819000000000004" maxValue="7.8599699999999997"/>
    </cacheField>
    <cacheField name="Total_losses_in_billions" numFmtId="0">
      <sharedItems containsSemiMixedTypes="0" containsString="0" containsNumber="1" minValue="1.6533333333333333E-3" maxValue="0.24573" count="21">
        <n v="5.985E-2"/>
        <n v="5.2784999999999999E-2"/>
        <n v="2.596E-2"/>
        <n v="0.24573"/>
        <n v="3.9285E-2"/>
        <n v="4.0785000000000002E-2"/>
        <n v="2.3060000000000001E-2"/>
        <n v="0.14222499999999999"/>
        <n v="9.8015000000000005E-2"/>
        <n v="3.7659999999999999E-2"/>
        <n v="2.3195E-2"/>
        <n v="1.702E-2"/>
        <n v="2.4299999999999999E-3"/>
        <n v="1.6533333333333333E-3"/>
        <n v="0.21328"/>
        <n v="7.8414999999999999E-2"/>
        <n v="8.3750000000000005E-2"/>
        <n v="9.2099999999999994E-3"/>
        <n v="7.8619999999999995E-2"/>
        <n v="5.2290000000000003E-2"/>
        <n v="8.4596666666666667E-2"/>
      </sharedItems>
    </cacheField>
    <cacheField name="Max_rainfall_mm" numFmtId="0">
      <sharedItems containsSemiMixedTypes="0" containsString="0" containsNumber="1" containsInteger="1" minValue="33" maxValue="82"/>
    </cacheField>
    <cacheField name="Max_wind_km/h" numFmtId="0">
      <sharedItems containsSemiMixedTypes="0" containsString="0" containsNumber="1" containsInteger="1" minValue="90" maxValue="1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787.842656944442" createdVersion="8" refreshedVersion="8" minRefreshableVersion="3" recordCount="103" xr:uid="{6952F0D3-900F-4175-A80E-CB2C272F4939}">
  <cacheSource type="worksheet">
    <worksheetSource ref="A1:G104" sheet="FL"/>
  </cacheSource>
  <cacheFields count="7">
    <cacheField name="CAT_Event_Flood" numFmtId="0">
      <sharedItems/>
    </cacheField>
    <cacheField name="Provinces" numFmtId="0">
      <sharedItems count="9">
        <s v="Prairies"/>
        <s v="Maritimes"/>
        <s v="ON"/>
        <s v="AB"/>
        <s v="SK"/>
        <s v="QC"/>
        <s v="BC"/>
        <s v="MB"/>
        <s v="NS"/>
      </sharedItems>
    </cacheField>
    <cacheField name="Event_year" numFmtId="0">
      <sharedItems containsSemiMixedTypes="0" containsString="0" containsNumber="1" containsInteger="1" minValue="2014" maxValue="2024" count="11">
        <n v="2014"/>
        <n v="2015"/>
        <n v="2016"/>
        <n v="2017"/>
        <n v="2018"/>
        <n v="2019"/>
        <n v="2020"/>
        <n v="2021"/>
        <n v="2022"/>
        <n v="2023"/>
        <n v="2024"/>
      </sharedItems>
    </cacheField>
    <cacheField name="Total_exposure_in_billions" numFmtId="0">
      <sharedItems containsSemiMixedTypes="0" containsString="0" containsNumber="1" minValue="33.690348" maxValue="6304.1873500000002"/>
    </cacheField>
    <cacheField name="Total_losses_in_billions" numFmtId="0">
      <sharedItems containsMixedTypes="1" containsNumber="1" minValue="1.5173333333333332E-2" maxValue="2.3059400000000001"/>
    </cacheField>
    <cacheField name="Max_rainfall_mm" numFmtId="0">
      <sharedItems containsSemiMixedTypes="0" containsString="0" containsNumber="1" containsInteger="1" minValue="16" maxValue="304"/>
    </cacheField>
    <cacheField name="Max_wind_km/h" numFmtId="0">
      <sharedItems containsSemiMixedTypes="0" containsString="0" containsNumber="1" containsInteger="1" minValue="65" maxValue="19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Fire_1"/>
    <x v="0"/>
    <x v="0"/>
    <n v="11.34891"/>
    <n v="8.8289999999999993E-2"/>
    <n v="13061"/>
    <n v="954"/>
    <n v="7.7796017414888292E-3"/>
  </r>
  <r>
    <s v="Fire_2"/>
    <x v="1"/>
    <x v="0"/>
    <n v="50.234810000000003"/>
    <n v="3.23983"/>
    <n v="37691"/>
    <n v="782"/>
    <n v="6.4493724570671207E-2"/>
  </r>
  <r>
    <s v="Fire_3"/>
    <x v="2"/>
    <x v="1"/>
    <n v="111.02536000000001"/>
    <n v="0.10384"/>
    <n v="44885"/>
    <n v="1677"/>
    <n v="9.3528181309207191E-4"/>
  </r>
  <r>
    <s v="Fire_4"/>
    <x v="0"/>
    <x v="1"/>
    <n v="22.238959999999999"/>
    <n v="5.6169999999999998E-2"/>
    <n v="15085"/>
    <n v="1069"/>
    <n v="2.525747606902481E-3"/>
  </r>
  <r>
    <s v="Fire_5"/>
    <x v="0"/>
    <x v="1"/>
    <n v="120.78133"/>
    <n v="9.9169999999999994E-2"/>
    <n v="54008"/>
    <n v="960"/>
    <n v="8.2107060751856261E-4"/>
  </r>
  <r>
    <s v="Fire_6"/>
    <x v="3"/>
    <x v="2"/>
    <n v="21.34817"/>
    <n v="0.24781"/>
    <n v="17031"/>
    <n v="425"/>
    <n v="1.1608020734329922E-2"/>
  </r>
  <r>
    <s v="Fire_7"/>
    <x v="3"/>
    <x v="3"/>
    <n v="10.23981"/>
    <n v="2.3709999999999998E-2"/>
    <n v="13022"/>
    <n v="1037"/>
    <n v="2.3154726503714423E-3"/>
  </r>
  <r>
    <s v="Fire_8"/>
    <x v="0"/>
    <x v="4"/>
    <n v="99.234979999999993"/>
    <n v="0.52771000000000001"/>
    <n v="70857"/>
    <n v="648"/>
    <n v="5.3177820965953741E-3"/>
  </r>
  <r>
    <s v="Fire_9"/>
    <x v="2"/>
    <x v="4"/>
    <n v="80.129840000000002"/>
    <n v="2.8570000000000002E-2"/>
    <n v="48306"/>
    <n v="1899"/>
    <n v="3.5654632531401537E-4"/>
  </r>
  <r>
    <s v="Fire_10"/>
    <x v="1"/>
    <x v="4"/>
    <n v="50.39481"/>
    <n v="0.22317999999999999"/>
    <n v="523772"/>
    <n v="2602"/>
    <n v="4.4286306466876247E-3"/>
  </r>
  <r>
    <s v="Fire_11"/>
    <x v="0"/>
    <x v="5"/>
    <n v="21.483260000000001"/>
    <n v="1.4410499999999999"/>
    <n v="173928"/>
    <n v="1434"/>
    <n v="6.7077808489028196E-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s v="Hail_1"/>
    <x v="0"/>
    <x v="0"/>
    <n v="537.39535999999998"/>
    <n v="4.9639999999999997E-2"/>
    <x v="0"/>
    <n v="114.33"/>
    <n v="9.2371471164172308E-5"/>
  </r>
  <r>
    <s v="Hail_2"/>
    <x v="0"/>
    <x v="0"/>
    <n v="634.39485000000002"/>
    <n v="3.3459999999999997E-2"/>
    <x v="1"/>
    <n v="92.29"/>
    <n v="5.274317721841531E-5"/>
  </r>
  <r>
    <s v="Hail_3"/>
    <x v="0"/>
    <x v="1"/>
    <n v="625.37510999999995"/>
    <n v="0.14946999999999999"/>
    <x v="0"/>
    <n v="75"/>
    <n v="2.3900855280281302E-4"/>
  </r>
  <r>
    <s v="Hail_4"/>
    <x v="1"/>
    <x v="1"/>
    <n v="463.39562000000001"/>
    <n v="3.594E-2"/>
    <x v="2"/>
    <n v="107.96"/>
    <n v="7.7557919084345254E-5"/>
  </r>
  <r>
    <s v="Hail_5"/>
    <x v="0"/>
    <x v="1"/>
    <n v="689.34052999999994"/>
    <n v="9.0889999999999999E-2"/>
    <x v="3"/>
    <n v="75"/>
    <n v="1.3185065442184287E-4"/>
  </r>
  <r>
    <s v="Hail_6"/>
    <x v="2"/>
    <x v="1"/>
    <n v="829.39730999999995"/>
    <n v="4.8649999999999999E-2"/>
    <x v="4"/>
    <n v="154"/>
    <n v="5.8657050623904243E-5"/>
  </r>
  <r>
    <s v="Hail_7"/>
    <x v="0"/>
    <x v="2"/>
    <n v="729.30834000000004"/>
    <n v="4.4130000000000003E-2"/>
    <x v="3"/>
    <n v="84.67"/>
    <n v="6.0509386194596376E-5"/>
  </r>
  <r>
    <s v="Hail_8"/>
    <x v="1"/>
    <x v="2"/>
    <n v="805.39719000000002"/>
    <n v="3.5740000000000001E-2"/>
    <x v="0"/>
    <n v="97.89"/>
    <n v="4.437562043145445E-5"/>
  </r>
  <r>
    <s v="Hail_9"/>
    <x v="2"/>
    <x v="2"/>
    <n v="823.52040999999997"/>
    <n v="4.7289999999999999E-2"/>
    <x v="5"/>
    <n v="116.98"/>
    <n v="5.7424199116085054E-5"/>
  </r>
  <r>
    <s v="Hail_10"/>
    <x v="0"/>
    <x v="2"/>
    <n v="396.24632000000003"/>
    <n v="3.5729999999999998E-2"/>
    <x v="6"/>
    <n v="79.09"/>
    <n v="9.0171184428917845E-5"/>
  </r>
  <r>
    <s v="Hail_11"/>
    <x v="1"/>
    <x v="2"/>
    <n v="205.39526000000001"/>
    <n v="0.15231"/>
    <x v="7"/>
    <n v="107.58"/>
    <n v="7.4154583703635616E-4"/>
  </r>
  <r>
    <s v="Hail_12"/>
    <x v="0"/>
    <x v="3"/>
    <n v="632.19508499999995"/>
    <n v="4.6025000000000003E-2"/>
    <x v="8"/>
    <n v="133.44999999999999"/>
    <n v="7.2801894687302105E-5"/>
  </r>
  <r>
    <s v="Hail_13"/>
    <x v="0"/>
    <x v="3"/>
    <n v="796.672505"/>
    <n v="3.006E-2"/>
    <x v="7"/>
    <n v="137.25"/>
    <n v="3.7731941056507278E-5"/>
  </r>
  <r>
    <s v="Hail_14"/>
    <x v="1"/>
    <x v="3"/>
    <n v="1934.24819"/>
    <n v="0.17252999999999999"/>
    <x v="9"/>
    <n v="75"/>
    <n v="8.9197446786805571E-5"/>
  </r>
  <r>
    <s v="Hail_15"/>
    <x v="2"/>
    <x v="3"/>
    <n v="7048.3064199999999"/>
    <n v="0.43295"/>
    <x v="6"/>
    <n v="80"/>
    <n v="6.1426103548999796E-5"/>
  </r>
  <r>
    <s v="Hail_16"/>
    <x v="0"/>
    <x v="4"/>
    <n v="420.24934000000002"/>
    <n v="0.19355"/>
    <x v="9"/>
    <n v="123.72"/>
    <n v="4.6055991426423179E-4"/>
  </r>
  <r>
    <s v="Hail_17"/>
    <x v="0"/>
    <x v="4"/>
    <n v="839.30467999999996"/>
    <n v="6.3740000000000005E-2"/>
    <x v="6"/>
    <n v="116.58"/>
    <n v="7.5943815778556131E-5"/>
  </r>
  <r>
    <s v="Hail_18"/>
    <x v="3"/>
    <x v="4"/>
    <n v="1309.3584599999999"/>
    <n v="0.73595999999999995"/>
    <x v="9"/>
    <n v="108.86"/>
    <n v="5.6207678988074816E-4"/>
  </r>
  <r>
    <s v="Hail_19"/>
    <x v="0"/>
    <x v="4"/>
    <n v="749.20434999999998"/>
    <n v="0.61931999999999998"/>
    <x v="3"/>
    <n v="109.54"/>
    <n v="8.2663695158737395E-4"/>
  </r>
  <r>
    <s v="Hail_20"/>
    <x v="1"/>
    <x v="4"/>
    <n v="536.39824999999996"/>
    <n v="7.3959999999999998E-2"/>
    <x v="6"/>
    <n v="101"/>
    <n v="1.3788262732027931E-4"/>
  </r>
  <r>
    <s v="Hail_21"/>
    <x v="0"/>
    <x v="4"/>
    <n v="1053.50845"/>
    <n v="0.15637000000000001"/>
    <x v="5"/>
    <n v="87.88"/>
    <n v="1.4842785551459032E-4"/>
  </r>
  <r>
    <s v="Hail_22"/>
    <x v="4"/>
    <x v="5"/>
    <n v="729.30235000000005"/>
    <n v="3.1579999999999997E-2"/>
    <x v="2"/>
    <n v="87.26"/>
    <n v="4.3301656713433041E-5"/>
  </r>
  <r>
    <s v="Hail_23"/>
    <x v="2"/>
    <x v="5"/>
    <n v="4927.3463599999995"/>
    <n v="4.2880000000000001E-2"/>
    <x v="0"/>
    <n v="122"/>
    <n v="8.7024529771436662E-6"/>
  </r>
  <r>
    <s v="Hail_24"/>
    <x v="0"/>
    <x v="5"/>
    <n v="605.29516999999998"/>
    <n v="7.1169999999999997E-2"/>
    <x v="10"/>
    <n v="89.99"/>
    <n v="1.1757899868918498E-4"/>
  </r>
  <r>
    <s v="Hail_25"/>
    <x v="1"/>
    <x v="6"/>
    <n v="834.26050999999995"/>
    <n v="3.5560000000000001E-2"/>
    <x v="11"/>
    <n v="175"/>
    <n v="4.2624575385930711E-5"/>
  </r>
  <r>
    <s v="Hail_26"/>
    <x v="1"/>
    <x v="6"/>
    <n v="679.01410999999996"/>
    <n v="7.6329999999999995E-2"/>
    <x v="5"/>
    <n v="79.05"/>
    <n v="1.1241298063747158E-4"/>
  </r>
  <r>
    <s v="Hail_27"/>
    <x v="2"/>
    <x v="6"/>
    <n v="1728.2251799999999"/>
    <n v="3.1739999999999997E-2"/>
    <x v="0"/>
    <n v="130.38"/>
    <n v="1.8365662280189668E-5"/>
  </r>
  <r>
    <s v="Hail_28"/>
    <x v="1"/>
    <x v="6"/>
    <n v="647.05912999999998"/>
    <n v="9.2170000000000002E-2"/>
    <x v="11"/>
    <n v="137"/>
    <n v="1.4244447798766088E-4"/>
  </r>
  <r>
    <s v="Hail_29"/>
    <x v="1"/>
    <x v="6"/>
    <n v="3984.2340600000002"/>
    <n v="0.17923"/>
    <x v="5"/>
    <n v="97.35"/>
    <n v="4.4984806941788957E-5"/>
  </r>
  <r>
    <s v="Hail_30"/>
    <x v="4"/>
    <x v="7"/>
    <n v="530.48167999999998"/>
    <n v="9.3109999999999998E-2"/>
    <x v="4"/>
    <n v="95.38"/>
    <n v="1.755197276558165E-4"/>
  </r>
  <r>
    <s v="Hail_31"/>
    <x v="0"/>
    <x v="7"/>
    <n v="484.37119000000001"/>
    <n v="8.133E-2"/>
    <x v="7"/>
    <n v="100.88"/>
    <n v="1.6790841750930727E-4"/>
  </r>
  <r>
    <s v="Hail_32"/>
    <x v="3"/>
    <x v="7"/>
    <n v="920.42845"/>
    <n v="5.6079999999999998E-2"/>
    <x v="9"/>
    <n v="140.47999999999999"/>
    <n v="6.0928147103666776E-5"/>
  </r>
  <r>
    <s v="Hail_33"/>
    <x v="2"/>
    <x v="7"/>
    <n v="1575.726975"/>
    <n v="4.1029999999999997E-2"/>
    <x v="8"/>
    <n v="128"/>
    <n v="2.6038774896266528E-5"/>
  </r>
  <r>
    <s v="Hail_34"/>
    <x v="1"/>
    <x v="7"/>
    <n v="199.24845999999999"/>
    <n v="5.713E-2"/>
    <x v="4"/>
    <n v="146.47"/>
    <n v="2.8672743568507381E-4"/>
  </r>
  <r>
    <s v="Hail_35"/>
    <x v="0"/>
    <x v="8"/>
    <n v="365.40294999999998"/>
    <n v="0.18956000000000001"/>
    <x v="6"/>
    <n v="133.13"/>
    <n v="5.187697581532936E-4"/>
  </r>
  <r>
    <s v="Hail_36"/>
    <x v="2"/>
    <x v="8"/>
    <n v="1628.323705"/>
    <n v="0.100755"/>
    <x v="2"/>
    <n v="113.66"/>
    <n v="6.1876517359918918E-5"/>
  </r>
  <r>
    <s v="Hail_37"/>
    <x v="0"/>
    <x v="8"/>
    <n v="599.37503000000004"/>
    <n v="8.4769999999999998E-2"/>
    <x v="2"/>
    <n v="90.38"/>
    <n v="1.4143064985540021E-4"/>
  </r>
  <r>
    <s v="Hail_38"/>
    <x v="2"/>
    <x v="8"/>
    <n v="1479.152865"/>
    <n v="9.3299999999999998E-3"/>
    <x v="6"/>
    <n v="133.13"/>
    <n v="6.3076644887545138E-6"/>
  </r>
  <r>
    <s v="Hail_39"/>
    <x v="1"/>
    <x v="9"/>
    <n v="265.37493000000001"/>
    <n v="5.5370000000000003E-2"/>
    <x v="12"/>
    <n v="145.76"/>
    <n v="2.0864819446207673E-4"/>
  </r>
  <r>
    <s v="Hail_40"/>
    <x v="5"/>
    <x v="9"/>
    <n v="326.54674"/>
    <n v="0.14326"/>
    <x v="7"/>
    <n v="124.75"/>
    <n v="4.3871208146190651E-4"/>
  </r>
  <r>
    <s v="Hail_41"/>
    <x v="2"/>
    <x v="9"/>
    <n v="24671.025099999999"/>
    <n v="0.97565999999999997"/>
    <x v="5"/>
    <n v="85"/>
    <n v="3.9546796132115322E-5"/>
  </r>
  <r>
    <s v="Hail_42"/>
    <x v="0"/>
    <x v="10"/>
    <n v="302.13747000000001"/>
    <n v="8.9719999999999994E-2"/>
    <x v="13"/>
    <n v="136.58000000000001"/>
    <n v="2.9695092104928261E-4"/>
  </r>
  <r>
    <s v="Hail_43"/>
    <x v="1"/>
    <x v="10"/>
    <n v="658.21965"/>
    <n v="9.9849999999999994E-2"/>
    <x v="14"/>
    <n v="156.36000000000001"/>
    <n v="1.5169708166567193E-4"/>
  </r>
  <r>
    <s v="Hail_44"/>
    <x v="0"/>
    <x v="10"/>
    <n v="758.54966999999999"/>
    <n v="2.6549200000000002"/>
    <x v="10"/>
    <n v="134.65"/>
    <n v="3.4999949311163765E-3"/>
  </r>
  <r>
    <s v="Hail_45"/>
    <x v="0"/>
    <x v="10"/>
    <n v="454.37691000000001"/>
    <n v="0.13253999999999999"/>
    <x v="9"/>
    <n v="100.72"/>
    <n v="2.9169616035286649E-4"/>
  </r>
  <r>
    <s v="Hail_46"/>
    <x v="2"/>
    <x v="10"/>
    <n v="3469.6172000000001"/>
    <n v="8.5730000000000001E-2"/>
    <x v="5"/>
    <n v="134.65"/>
    <n v="2.4708777671496441E-5"/>
  </r>
  <r>
    <s v="Hail_10"/>
    <x v="5"/>
    <x v="2"/>
    <n v="396.24632000000003"/>
    <n v="3.5729999999999998E-2"/>
    <x v="6"/>
    <n v="79.09"/>
    <n v="9.0171184428917845E-5"/>
  </r>
  <r>
    <s v="Hail_12"/>
    <x v="5"/>
    <x v="3"/>
    <n v="632.19508499999995"/>
    <n v="4.6025000000000003E-2"/>
    <x v="8"/>
    <n v="133.44999999999999"/>
    <n v="7.2801894687302105E-5"/>
  </r>
  <r>
    <s v="Hail_13"/>
    <x v="5"/>
    <x v="3"/>
    <n v="796.672505"/>
    <n v="3.006E-2"/>
    <x v="7"/>
    <n v="137.25"/>
    <n v="3.7731941056507278E-5"/>
  </r>
  <r>
    <s v="Hail_27"/>
    <x v="3"/>
    <x v="6"/>
    <n v="1728.2251799999999"/>
    <n v="3.1739999999999997E-2"/>
    <x v="0"/>
    <n v="130.38"/>
    <n v="1.8365662280189668E-5"/>
  </r>
  <r>
    <s v="Hail_33"/>
    <x v="3"/>
    <x v="7"/>
    <n v="1575.726975"/>
    <n v="4.1029999999999997E-2"/>
    <x v="8"/>
    <n v="128"/>
    <n v="2.6038774896266528E-5"/>
  </r>
  <r>
    <s v="Hail_36"/>
    <x v="3"/>
    <x v="8"/>
    <n v="1628.323705"/>
    <n v="0.100755"/>
    <x v="2"/>
    <n v="113.66"/>
    <n v="6.1876517359918918E-5"/>
  </r>
  <r>
    <s v="Hail_38"/>
    <x v="3"/>
    <x v="8"/>
    <n v="1479.152865"/>
    <n v="9.3299999999999998E-3"/>
    <x v="6"/>
    <n v="133.13"/>
    <n v="6.3076644887545138E-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s v="Fire_1"/>
    <x v="0"/>
    <n v="2015"/>
    <n v="11.34891"/>
    <n v="8.8289999999999993E-2"/>
    <n v="13061"/>
    <n v="954"/>
    <n v="7.7796017414888301E-3"/>
    <n v="6.7598193093943799E-6"/>
    <m/>
    <n v="9.2547169811320706E-5"/>
  </r>
  <r>
    <s v="Fire_2"/>
    <x v="1"/>
    <n v="2015"/>
    <n v="50.234810000000003"/>
    <n v="3.23983"/>
    <n v="37691"/>
    <n v="782"/>
    <n v="6.4493724570671193E-2"/>
    <n v="8.5957655673768294E-5"/>
    <m/>
    <n v="4.1430051150895099E-3"/>
  </r>
  <r>
    <s v="Fire_3"/>
    <x v="2"/>
    <n v="2017"/>
    <n v="111.02536000000001"/>
    <n v="0.10384"/>
    <n v="44885"/>
    <n v="1677"/>
    <n v="9.3528181309207202E-4"/>
    <n v="2.3134677509190198E-6"/>
    <m/>
    <n v="6.1920095408467493E-5"/>
  </r>
  <r>
    <s v="Fire_4"/>
    <x v="0"/>
    <n v="2017"/>
    <n v="22.238959999999999"/>
    <n v="5.6169999999999998E-2"/>
    <n v="15085"/>
    <n v="1069"/>
    <n v="2.5257476069024802E-3"/>
    <n v="3.72356645674511E-6"/>
    <m/>
    <n v="5.2544434050514501E-5"/>
  </r>
  <r>
    <s v="Fire_5"/>
    <x v="0"/>
    <n v="2017"/>
    <n v="120.78133"/>
    <n v="9.9169999999999994E-2"/>
    <n v="54008"/>
    <n v="960"/>
    <n v="8.2107060751856304E-4"/>
    <n v="1.8362094504517799E-6"/>
    <m/>
    <n v="1.03302083333333E-4"/>
  </r>
  <r>
    <s v="Fire_6"/>
    <x v="3"/>
    <n v="2019"/>
    <n v="21.34817"/>
    <n v="0.24781"/>
    <n v="17031"/>
    <n v="425"/>
    <n v="1.1608020734329901E-2"/>
    <n v="1.4550525512301101E-5"/>
    <m/>
    <n v="5.8308235294117603E-4"/>
  </r>
  <r>
    <s v="Fire_7"/>
    <x v="3"/>
    <n v="2021"/>
    <n v="10.23981"/>
    <n v="2.3709999999999998E-2"/>
    <n v="13022"/>
    <n v="1037"/>
    <n v="2.3154726503714401E-3"/>
    <n v="1.82076485946859E-6"/>
    <m/>
    <n v="2.2864030858244901E-5"/>
  </r>
  <r>
    <s v="Fire_8"/>
    <x v="0"/>
    <n v="2023"/>
    <n v="99.234979999999993"/>
    <n v="0.52771000000000001"/>
    <n v="70857"/>
    <n v="648"/>
    <n v="5.3177820965953698E-3"/>
    <n v="7.4475351764822099E-6"/>
    <m/>
    <n v="8.1436728395061701E-4"/>
  </r>
  <r>
    <s v="Fire_9"/>
    <x v="2"/>
    <n v="2023"/>
    <n v="80.129840000000002"/>
    <n v="2.8570000000000002E-2"/>
    <n v="48306"/>
    <n v="1899"/>
    <n v="3.56546325314015E-4"/>
    <n v="5.9143791661491296E-7"/>
    <m/>
    <n v="1.50447604002106E-5"/>
  </r>
  <r>
    <s v="Fire_10"/>
    <x v="1"/>
    <n v="2023"/>
    <n v="50.39481"/>
    <n v="0.22317999999999999"/>
    <n v="523772"/>
    <n v="2602"/>
    <n v="4.4286306466876204E-3"/>
    <n v="4.2610143344814199E-7"/>
    <m/>
    <n v="8.5772482705611096E-5"/>
  </r>
  <r>
    <s v="Fire_11"/>
    <x v="0"/>
    <n v="2024"/>
    <n v="21.483260000000001"/>
    <n v="1.4410499999999999"/>
    <n v="173928"/>
    <n v="1434"/>
    <n v="6.7077808489028196E-2"/>
    <n v="8.2853249620532596E-6"/>
    <m/>
    <n v="1.00491631799163E-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s v="Winterstorm_1"/>
    <x v="0"/>
    <x v="0"/>
    <n v="7.8599699999999997"/>
    <x v="0"/>
    <n v="35"/>
    <n v="90"/>
  </r>
  <r>
    <s v="Winterstorm_2"/>
    <x v="1"/>
    <x v="1"/>
    <n v="3.930485"/>
    <x v="1"/>
    <n v="51"/>
    <n v="100"/>
  </r>
  <r>
    <s v="Winterstorm_3"/>
    <x v="2"/>
    <x v="2"/>
    <n v="0.76819000000000004"/>
    <x v="2"/>
    <n v="67"/>
    <n v="109"/>
  </r>
  <r>
    <s v="Winterstorm_4"/>
    <x v="2"/>
    <x v="2"/>
    <n v="5.9363200000000003"/>
    <x v="3"/>
    <n v="76"/>
    <n v="136"/>
  </r>
  <r>
    <s v="Winterstorm_5"/>
    <x v="1"/>
    <x v="2"/>
    <n v="4.0097750000000003"/>
    <x v="4"/>
    <n v="44"/>
    <n v="91"/>
  </r>
  <r>
    <s v="Winterstorm_6"/>
    <x v="3"/>
    <x v="3"/>
    <n v="4.0198099999999997"/>
    <x v="5"/>
    <n v="67"/>
    <n v="122"/>
  </r>
  <r>
    <s v="Winterstorm_7"/>
    <x v="4"/>
    <x v="4"/>
    <n v="2.5685466666666668"/>
    <x v="6"/>
    <n v="42"/>
    <n v="98"/>
  </r>
  <r>
    <s v="Winterstorm_8"/>
    <x v="3"/>
    <x v="4"/>
    <n v="3.3874599999999999"/>
    <x v="7"/>
    <n v="69"/>
    <n v="147"/>
  </r>
  <r>
    <s v="Winterstorm_9"/>
    <x v="2"/>
    <x v="4"/>
    <n v="4.3223099999999999"/>
    <x v="8"/>
    <n v="62"/>
    <n v="104"/>
  </r>
  <r>
    <s v="Winterstorm_10"/>
    <x v="4"/>
    <x v="4"/>
    <n v="2.9583699999999999"/>
    <x v="9"/>
    <n v="50"/>
    <n v="98"/>
  </r>
  <r>
    <s v="Winterstorm_11"/>
    <x v="1"/>
    <x v="5"/>
    <n v="3.6427"/>
    <x v="10"/>
    <n v="59"/>
    <n v="100"/>
  </r>
  <r>
    <s v="Winterstorm_12"/>
    <x v="4"/>
    <x v="5"/>
    <n v="1.3068500000000001"/>
    <x v="11"/>
    <n v="56"/>
    <n v="92"/>
  </r>
  <r>
    <s v="Winterstorm_13"/>
    <x v="5"/>
    <x v="6"/>
    <n v="7.4259300000000001"/>
    <x v="12"/>
    <n v="33"/>
    <n v="90"/>
  </r>
  <r>
    <s v="Winterstorm_14"/>
    <x v="4"/>
    <x v="6"/>
    <n v="2.5776366666666668"/>
    <x v="13"/>
    <n v="38"/>
    <n v="96"/>
  </r>
  <r>
    <s v="Winterstorm_15"/>
    <x v="2"/>
    <x v="6"/>
    <n v="3.2693400000000001"/>
    <x v="14"/>
    <n v="40"/>
    <n v="116"/>
  </r>
  <r>
    <s v="Winterstorm_16"/>
    <x v="1"/>
    <x v="6"/>
    <n v="3.197505"/>
    <x v="15"/>
    <n v="35"/>
    <n v="128"/>
  </r>
  <r>
    <s v="Winterstorm_17"/>
    <x v="4"/>
    <x v="7"/>
    <n v="1.64832"/>
    <x v="16"/>
    <n v="82"/>
    <n v="99"/>
  </r>
  <r>
    <s v="Winterstorm_18"/>
    <x v="4"/>
    <x v="8"/>
    <n v="2.3313733333333331"/>
    <x v="17"/>
    <n v="60"/>
    <n v="103"/>
  </r>
  <r>
    <s v="Winterstorm_19"/>
    <x v="1"/>
    <x v="8"/>
    <n v="4.1566200000000002"/>
    <x v="18"/>
    <n v="62"/>
    <n v="129"/>
  </r>
  <r>
    <s v="Winterstorm_20"/>
    <x v="3"/>
    <x v="8"/>
    <n v="3.8672900000000001"/>
    <x v="19"/>
    <n v="52"/>
    <n v="116"/>
  </r>
  <r>
    <s v="Winterstorm_21"/>
    <x v="4"/>
    <x v="9"/>
    <n v="2.64534"/>
    <x v="20"/>
    <n v="71"/>
    <n v="148"/>
  </r>
  <r>
    <s v="Winterstorm_2"/>
    <x v="0"/>
    <x v="1"/>
    <n v="3.930485"/>
    <x v="1"/>
    <n v="51"/>
    <n v="100"/>
  </r>
  <r>
    <s v="Winterstorm_11"/>
    <x v="0"/>
    <x v="5"/>
    <n v="3.6427"/>
    <x v="10"/>
    <n v="59"/>
    <n v="100"/>
  </r>
  <r>
    <s v="Winterstorm_16"/>
    <x v="0"/>
    <x v="6"/>
    <n v="3.197505"/>
    <x v="15"/>
    <n v="35"/>
    <n v="128"/>
  </r>
  <r>
    <s v="Winterstorm_3"/>
    <x v="5"/>
    <x v="2"/>
    <n v="0.76819000000000004"/>
    <x v="2"/>
    <n v="67"/>
    <n v="109"/>
  </r>
  <r>
    <s v="Winterstorm_9"/>
    <x v="5"/>
    <x v="4"/>
    <n v="4.3223099999999999"/>
    <x v="8"/>
    <n v="62"/>
    <n v="104"/>
  </r>
  <r>
    <s v="Winterstorm_6"/>
    <x v="2"/>
    <x v="3"/>
    <n v="4.0198099999999997"/>
    <x v="5"/>
    <n v="67"/>
    <n v="122"/>
  </r>
  <r>
    <s v="Winterstorm_8"/>
    <x v="2"/>
    <x v="4"/>
    <n v="3.3874599999999999"/>
    <x v="7"/>
    <n v="69"/>
    <n v="147"/>
  </r>
  <r>
    <s v="Winterstorm_20"/>
    <x v="2"/>
    <x v="8"/>
    <n v="3.8672900000000001"/>
    <x v="19"/>
    <n v="52"/>
    <n v="116"/>
  </r>
  <r>
    <s v="Winterstorm_5"/>
    <x v="4"/>
    <x v="2"/>
    <n v="4.0097750000000003"/>
    <x v="4"/>
    <n v="44"/>
    <n v="91"/>
  </r>
  <r>
    <s v="Winterstorm_19"/>
    <x v="4"/>
    <x v="8"/>
    <n v="4.1566200000000002"/>
    <x v="18"/>
    <n v="62"/>
    <n v="129"/>
  </r>
  <r>
    <s v="Winterstorm_7"/>
    <x v="1"/>
    <x v="4"/>
    <n v="2.5685466666666668"/>
    <x v="6"/>
    <n v="42"/>
    <n v="98"/>
  </r>
  <r>
    <s v="Winterstorm_14"/>
    <x v="1"/>
    <x v="6"/>
    <n v="2.5776366666666668"/>
    <x v="13"/>
    <n v="38"/>
    <n v="96"/>
  </r>
  <r>
    <s v="Winterstorm_18"/>
    <x v="1"/>
    <x v="8"/>
    <n v="2.3313733333333331"/>
    <x v="17"/>
    <n v="60"/>
    <n v="103"/>
  </r>
  <r>
    <s v="Winterstorm_21"/>
    <x v="1"/>
    <x v="9"/>
    <n v="2.64534"/>
    <x v="20"/>
    <n v="71"/>
    <n v="148"/>
  </r>
  <r>
    <s v="Winterstorm_7"/>
    <x v="0"/>
    <x v="4"/>
    <n v="2.5685466666666668"/>
    <x v="6"/>
    <n v="42"/>
    <n v="98"/>
  </r>
  <r>
    <s v="Winterstorm_14"/>
    <x v="0"/>
    <x v="6"/>
    <n v="2.5776366666666668"/>
    <x v="13"/>
    <n v="38"/>
    <n v="96"/>
  </r>
  <r>
    <s v="Winterstorm_18"/>
    <x v="0"/>
    <x v="8"/>
    <n v="2.3313733333333331"/>
    <x v="17"/>
    <n v="60"/>
    <n v="103"/>
  </r>
  <r>
    <s v="Winterstorm_21"/>
    <x v="0"/>
    <x v="9"/>
    <n v="2.64534"/>
    <x v="20"/>
    <n v="71"/>
    <n v="148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3">
  <r>
    <s v="Flood_1"/>
    <x v="0"/>
    <x v="0"/>
    <n v="239.12334999999999"/>
    <n v="0.12049"/>
    <n v="233"/>
    <n v="97"/>
  </r>
  <r>
    <s v="Flood_2"/>
    <x v="1"/>
    <x v="0"/>
    <n v="267.22956499999998"/>
    <n v="1.8759999999999999E-2"/>
    <n v="79"/>
    <n v="140"/>
  </r>
  <r>
    <s v="Flood_3"/>
    <x v="2"/>
    <x v="0"/>
    <n v="294.47411"/>
    <n v="0.15484999999999999"/>
    <n v="68"/>
    <n v="65"/>
  </r>
  <r>
    <s v="Flood_4"/>
    <x v="2"/>
    <x v="0"/>
    <n v="284.59280999999999"/>
    <n v="0.11674"/>
    <n v="114"/>
    <n v="131"/>
  </r>
  <r>
    <s v="Flood_5"/>
    <x v="1"/>
    <x v="0"/>
    <n v="293.45812999999998"/>
    <n v="0.22428000000000001"/>
    <n v="143"/>
    <n v="118"/>
  </r>
  <r>
    <s v="Flood_6"/>
    <x v="3"/>
    <x v="0"/>
    <n v="124.49817"/>
    <n v="4.6690000000000002E-2"/>
    <n v="98"/>
    <n v="94"/>
  </r>
  <r>
    <s v="Flood_7"/>
    <x v="4"/>
    <x v="0"/>
    <n v="219.71940499999999"/>
    <n v="9.3520000000000006E-2"/>
    <n v="104"/>
    <n v="86"/>
  </r>
  <r>
    <s v="Flood_8"/>
    <x v="0"/>
    <x v="0"/>
    <n v="352.49164000000002"/>
    <n v="4.3880000000000002E-2"/>
    <n v="128"/>
    <n v="69"/>
  </r>
  <r>
    <s v="Flood_9"/>
    <x v="5"/>
    <x v="1"/>
    <n v="451.56421499999999"/>
    <n v="5.3414999999999997E-2"/>
    <n v="96"/>
    <n v="109"/>
  </r>
  <r>
    <s v="Flood_10"/>
    <x v="3"/>
    <x v="1"/>
    <n v="413.24516"/>
    <n v="0.18793000000000001"/>
    <n v="57"/>
    <n v="103"/>
  </r>
  <r>
    <s v="Flood_11"/>
    <x v="4"/>
    <x v="1"/>
    <n v="319.56196499999999"/>
    <n v="0.125335"/>
    <n v="79"/>
    <n v="65"/>
  </r>
  <r>
    <s v="Flood_12"/>
    <x v="0"/>
    <x v="1"/>
    <n v="532.42381"/>
    <n v="5.271E-2"/>
    <n v="56"/>
    <n v="98"/>
  </r>
  <r>
    <s v="Flood_13"/>
    <x v="3"/>
    <x v="1"/>
    <n v="760.32957999999996"/>
    <n v="8.3470000000000003E-2"/>
    <n v="75"/>
    <n v="75"/>
  </r>
  <r>
    <s v="Flood_14"/>
    <x v="1"/>
    <x v="1"/>
    <n v="503.23941000000002"/>
    <n v="0.12967999999999999"/>
    <n v="90"/>
    <n v="93"/>
  </r>
  <r>
    <s v="Flood_15"/>
    <x v="0"/>
    <x v="1"/>
    <n v="33.690348"/>
    <n v="0.29368"/>
    <n v="55"/>
    <n v="120"/>
  </r>
  <r>
    <s v="Flood_16"/>
    <x v="2"/>
    <x v="1"/>
    <n v="154.23488"/>
    <n v="0.10381"/>
    <n v="42"/>
    <n v="68"/>
  </r>
  <r>
    <s v="Flood_17"/>
    <x v="2"/>
    <x v="1"/>
    <n v="145.39491000000001"/>
    <n v="0.15928999999999999"/>
    <n v="45"/>
    <n v="65"/>
  </r>
  <r>
    <s v="Flood_18"/>
    <x v="1"/>
    <x v="2"/>
    <n v="532.23491000000001"/>
    <n v="0.13059000000000001"/>
    <n v="108"/>
    <n v="65"/>
  </r>
  <r>
    <s v="Flood_19"/>
    <x v="3"/>
    <x v="2"/>
    <n v="1194.2349099999999"/>
    <n v="7.9339999999999994E-2"/>
    <n v="89"/>
    <n v="97"/>
  </r>
  <r>
    <s v="Flood_20"/>
    <x v="3"/>
    <x v="2"/>
    <n v="797.34912999999995"/>
    <n v="6.8809999999999996E-2"/>
    <n v="84"/>
    <n v="65"/>
  </r>
  <r>
    <s v="Flood_21"/>
    <x v="2"/>
    <x v="2"/>
    <n v="103.23878000000001"/>
    <n v="5.8729999999999997E-2"/>
    <n v="50"/>
    <n v="106"/>
  </r>
  <r>
    <s v="Flood_22"/>
    <x v="1"/>
    <x v="2"/>
    <n v="703.09234000000004"/>
    <n v="3.9530000000000003E-2"/>
    <n v="53"/>
    <n v="127"/>
  </r>
  <r>
    <s v="Flood_23"/>
    <x v="1"/>
    <x v="2"/>
    <n v="364.11250333333334"/>
    <n v="3.7696666666666663E-2"/>
    <n v="100"/>
    <n v="109"/>
  </r>
  <r>
    <s v="Flood_24"/>
    <x v="5"/>
    <x v="2"/>
    <n v="1645.67497"/>
    <n v="5.0470000000000001E-2"/>
    <n v="88"/>
    <n v="116"/>
  </r>
  <r>
    <s v="Flood_25"/>
    <x v="5"/>
    <x v="2"/>
    <n v="2965.1191650000001"/>
    <n v="0.13356499999999999"/>
    <n v="70"/>
    <n v="96"/>
  </r>
  <r>
    <s v="Flood_26"/>
    <x v="4"/>
    <x v="3"/>
    <n v="199.60987"/>
    <n v="9.2715000000000006E-2"/>
    <n v="76"/>
    <n v="151"/>
  </r>
  <r>
    <s v="Flood_27"/>
    <x v="2"/>
    <x v="3"/>
    <n v="1529.20948"/>
    <n v="0.12093"/>
    <n v="69"/>
    <n v="107"/>
  </r>
  <r>
    <s v="Flood_28"/>
    <x v="6"/>
    <x v="3"/>
    <n v="1534.32981"/>
    <n v="9.3869999999999995E-2"/>
    <n v="52"/>
    <n v="100"/>
  </r>
  <r>
    <s v="Flood_29"/>
    <x v="1"/>
    <x v="4"/>
    <n v="1454.696905"/>
    <n v="3.1095000000000001E-2"/>
    <n v="87"/>
    <n v="101"/>
  </r>
  <r>
    <s v="Flood_30"/>
    <x v="5"/>
    <x v="4"/>
    <n v="3017.4717900000001"/>
    <n v="0.10074"/>
    <n v="76"/>
    <n v="90"/>
  </r>
  <r>
    <s v="Flood_31"/>
    <x v="2"/>
    <x v="4"/>
    <n v="4029.2305900000001"/>
    <n v="0.10625"/>
    <n v="64"/>
    <n v="79"/>
  </r>
  <r>
    <s v="Flood_32"/>
    <x v="1"/>
    <x v="4"/>
    <n v="3891.0624299999999"/>
    <n v="7.0144999999999999E-2"/>
    <n v="82"/>
    <n v="65"/>
  </r>
  <r>
    <s v="Flood_33"/>
    <x v="5"/>
    <x v="4"/>
    <n v="1099.0615049999999"/>
    <n v="6.2164999999999998E-2"/>
    <n v="74"/>
    <n v="97"/>
  </r>
  <r>
    <s v="Flood_34"/>
    <x v="5"/>
    <x v="4"/>
    <n v="1814.119555"/>
    <n v="0.14740500000000001"/>
    <n v="81"/>
    <n v="102"/>
  </r>
  <r>
    <s v="Flood_35"/>
    <x v="0"/>
    <x v="5"/>
    <n v="741.32698000000005"/>
    <n v="5.9229999999999998E-2"/>
    <n v="62"/>
    <n v="108"/>
  </r>
  <r>
    <s v="Flood_36"/>
    <x v="3"/>
    <x v="5"/>
    <n v="302.43941000000001"/>
    <n v="0.11987"/>
    <n v="76"/>
    <n v="80"/>
  </r>
  <r>
    <s v="Flood_37"/>
    <x v="1"/>
    <x v="5"/>
    <n v="504.12383999999997"/>
    <n v="0.15232000000000001"/>
    <n v="62"/>
    <n v="77"/>
  </r>
  <r>
    <s v="Flood_38"/>
    <x v="5"/>
    <x v="5"/>
    <n v="2519.6474050000002"/>
    <n v="4.8614999999999998E-2"/>
    <n v="82"/>
    <n v="95"/>
  </r>
  <r>
    <s v="Flood_39"/>
    <x v="1"/>
    <x v="5"/>
    <n v="546.61923999999999"/>
    <n v="5.1240000000000001E-2"/>
    <n v="109"/>
    <n v="90"/>
  </r>
  <r>
    <s v="Flood_40"/>
    <x v="6"/>
    <x v="5"/>
    <n v="1573.3497199999999"/>
    <n v="4.2840000000000003E-2"/>
    <n v="65"/>
    <n v="97"/>
  </r>
  <r>
    <s v="Flood_41"/>
    <x v="0"/>
    <x v="5"/>
    <n v="146.52473000000001"/>
    <n v="0.26299"/>
    <n v="28"/>
    <n v="117"/>
  </r>
  <r>
    <s v="Flood_42"/>
    <x v="4"/>
    <x v="5"/>
    <n v="499.19912499999998"/>
    <n v="2.8885000000000001E-2"/>
    <n v="49"/>
    <n v="78"/>
  </r>
  <r>
    <s v="Flood_43"/>
    <x v="2"/>
    <x v="6"/>
    <n v="5837.1329800000003"/>
    <n v="9.3219999999999997E-2"/>
    <n v="75"/>
    <n v="141"/>
  </r>
  <r>
    <s v="Flood_44"/>
    <x v="1"/>
    <x v="6"/>
    <n v="2414.0978033333336"/>
    <n v="1.5173333333333332E-2"/>
    <n v="211"/>
    <n v="103"/>
  </r>
  <r>
    <s v="Flood_45"/>
    <x v="3"/>
    <x v="6"/>
    <n v="1303.29483"/>
    <n v="0.62948999999999999"/>
    <n v="292"/>
    <n v="117"/>
  </r>
  <r>
    <s v="Flood_46"/>
    <x v="1"/>
    <x v="6"/>
    <n v="102.30466"/>
    <n v="2.486E-2"/>
    <n v="53"/>
    <n v="75"/>
  </r>
  <r>
    <s v="Flood_47"/>
    <x v="6"/>
    <x v="6"/>
    <n v="2001.43947"/>
    <n v="0.58392999999999995"/>
    <n v="304"/>
    <n v="99"/>
  </r>
  <r>
    <s v="Flood_48"/>
    <x v="1"/>
    <x v="6"/>
    <n v="3497.1019249999999"/>
    <n v="7.9670000000000005E-2"/>
    <n v="88"/>
    <n v="126"/>
  </r>
  <r>
    <s v="Flood_49"/>
    <x v="5"/>
    <x v="6"/>
    <n v="3555.17443"/>
    <n v="6.6570000000000004E-2"/>
    <n v="106"/>
    <n v="115"/>
  </r>
  <r>
    <s v="Flood_50"/>
    <x v="0"/>
    <x v="6"/>
    <n v="1929.34058"/>
    <n v="0.10943"/>
    <n v="181"/>
    <n v="104"/>
  </r>
  <r>
    <s v="Flood_51"/>
    <x v="7"/>
    <x v="7"/>
    <n v="503.23932000000002"/>
    <n v="5.935E-2"/>
    <n v="75"/>
    <n v="100"/>
  </r>
  <r>
    <s v="Flood_52"/>
    <x v="0"/>
    <x v="7"/>
    <n v="4001.2398400000002"/>
    <n v="0.12372"/>
    <n v="140"/>
    <n v="190"/>
  </r>
  <r>
    <s v="Flood_53"/>
    <x v="4"/>
    <x v="7"/>
    <n v="169.64282499999999"/>
    <n v="4.4595000000000003E-2"/>
    <n v="16"/>
    <n v="150"/>
  </r>
  <r>
    <s v="Flood_54"/>
    <x v="5"/>
    <x v="7"/>
    <n v="1923.4011700000001"/>
    <n v="0.12504000000000001"/>
    <n v="110"/>
    <n v="102"/>
  </r>
  <r>
    <s v="Flood_55"/>
    <x v="1"/>
    <x v="7"/>
    <n v="826.64507000000003"/>
    <n v="0.146565"/>
    <n v="76"/>
    <n v="125"/>
  </r>
  <r>
    <s v="Flood_56"/>
    <x v="6"/>
    <x v="8"/>
    <n v="1204.39284"/>
    <n v="9.9180000000000004E-2"/>
    <n v="91"/>
    <n v="90"/>
  </r>
  <r>
    <s v="Flood_57"/>
    <x v="3"/>
    <x v="8"/>
    <n v="559.23952099999997"/>
    <n v="4.1930000000000002E-2"/>
    <n v="126"/>
    <n v="90"/>
  </r>
  <r>
    <s v="Flood_58"/>
    <x v="5"/>
    <x v="8"/>
    <n v="1959.1455149999999"/>
    <n v="0.17218"/>
    <n v="97"/>
    <n v="107"/>
  </r>
  <r>
    <s v="Flood_59"/>
    <x v="5"/>
    <x v="8"/>
    <n v="1923.40256"/>
    <n v="0.10492"/>
    <n v="82"/>
    <n v="111"/>
  </r>
  <r>
    <s v="Flood_60"/>
    <x v="1"/>
    <x v="8"/>
    <n v="317.29466000000002"/>
    <n v="0.24087"/>
    <n v="262"/>
    <n v="79"/>
  </r>
  <r>
    <s v="Flood_61"/>
    <x v="5"/>
    <x v="9"/>
    <n v="1619.6922850000001"/>
    <n v="5.4115000000000003E-2"/>
    <n v="203"/>
    <n v="175"/>
  </r>
  <r>
    <s v="Flood_62"/>
    <x v="5"/>
    <x v="9"/>
    <n v="1960.62417"/>
    <n v="8.8639999999999997E-2"/>
    <n v="66"/>
    <n v="120"/>
  </r>
  <r>
    <s v="Flood_63"/>
    <x v="1"/>
    <x v="9"/>
    <n v="198.41024999999999"/>
    <n v="3.7080000000000002E-2"/>
    <n v="77"/>
    <n v="65"/>
  </r>
  <r>
    <s v="Flood_64"/>
    <x v="2"/>
    <x v="9"/>
    <n v="593.38502000000005"/>
    <n v="9.9379999999999996E-2"/>
    <n v="120"/>
    <n v="143"/>
  </r>
  <r>
    <s v="Flood_65"/>
    <x v="7"/>
    <x v="9"/>
    <n v="101.28463000000001"/>
    <n v="0.21496000000000001"/>
    <n v="78"/>
    <n v="89"/>
  </r>
  <r>
    <s v="Flood_66"/>
    <x v="1"/>
    <x v="9"/>
    <n v="458.01616999999999"/>
    <n v="2.3970000000000002E-2"/>
    <n v="121"/>
    <n v="117"/>
  </r>
  <r>
    <s v="Flood_67"/>
    <x v="5"/>
    <x v="9"/>
    <n v="1930.34825"/>
    <n v="3.7620000000000001E-2"/>
    <n v="264"/>
    <n v="119"/>
  </r>
  <r>
    <s v="Flood_68"/>
    <x v="1"/>
    <x v="9"/>
    <n v="373.95731000000001"/>
    <n v="0.26429000000000002"/>
    <n v="106"/>
    <n v="104"/>
  </r>
  <r>
    <s v="Flood_69"/>
    <x v="2"/>
    <x v="10"/>
    <n v="6304.1873500000002"/>
    <n v="1.0861099999999999"/>
    <n v="59"/>
    <n v="91"/>
  </r>
  <r>
    <s v="Flood_70"/>
    <x v="5"/>
    <x v="10"/>
    <n v="2342.7830399999998"/>
    <n v="0.12885333333333335"/>
    <n v="67"/>
    <n v="65"/>
  </r>
  <r>
    <s v="Flood_71"/>
    <x v="2"/>
    <x v="10"/>
    <n v="5739.0329099999999"/>
    <n v="0.97531999999999996"/>
    <n v="123"/>
    <n v="85"/>
  </r>
  <r>
    <s v="Flood_72"/>
    <x v="5"/>
    <x v="10"/>
    <n v="3092.2491100000002"/>
    <n v="2.3059400000000001"/>
    <n v="221"/>
    <n v="156"/>
  </r>
  <r>
    <s v="Flood_73"/>
    <x v="2"/>
    <x v="10"/>
    <n v="3459.0387599999999"/>
    <n v="0.11457000000000001"/>
    <n v="60"/>
    <n v="65"/>
  </r>
  <r>
    <s v="Flood_74"/>
    <x v="6"/>
    <x v="10"/>
    <n v="1684.6940400000001"/>
    <n v="0.21085999999999999"/>
    <n v="211"/>
    <n v="115"/>
  </r>
  <r>
    <s v="Flood_2"/>
    <x v="5"/>
    <x v="0"/>
    <n v="267.22956499999998"/>
    <n v="1.8759999999999999E-2"/>
    <n v="79"/>
    <n v="140"/>
  </r>
  <r>
    <s v="Flood_23"/>
    <x v="5"/>
    <x v="2"/>
    <n v="364.11250333333334"/>
    <n v="3.7696666666666663E-2"/>
    <n v="100"/>
    <n v="109"/>
  </r>
  <r>
    <s v="Flood_29"/>
    <x v="5"/>
    <x v="4"/>
    <n v="1454.696905"/>
    <s v="0.06219/2"/>
    <n v="87"/>
    <n v="101"/>
  </r>
  <r>
    <s v="Flood_32"/>
    <x v="5"/>
    <x v="4"/>
    <n v="3891.0624299999999"/>
    <n v="7.0144999999999999E-2"/>
    <n v="82"/>
    <n v="65"/>
  </r>
  <r>
    <s v="Flood_39"/>
    <x v="5"/>
    <x v="5"/>
    <n v="546.61923999999999"/>
    <n v="5.1240000000000001E-2"/>
    <n v="109"/>
    <n v="90"/>
  </r>
  <r>
    <s v="Flood_44"/>
    <x v="5"/>
    <x v="6"/>
    <n v="2414.0978033333336"/>
    <n v="1.5173333333333332E-2"/>
    <n v="211"/>
    <n v="103"/>
  </r>
  <r>
    <s v="Flood_48"/>
    <x v="5"/>
    <x v="6"/>
    <n v="3497.1019249999999"/>
    <n v="7.9670000000000005E-2"/>
    <n v="88"/>
    <n v="126"/>
  </r>
  <r>
    <s v="Flood_55"/>
    <x v="5"/>
    <x v="7"/>
    <n v="826.64507000000003"/>
    <n v="0.146565"/>
    <n v="76"/>
    <n v="125"/>
  </r>
  <r>
    <s v="Flood_23"/>
    <x v="2"/>
    <x v="2"/>
    <n v="364.11250333333334"/>
    <n v="3.7696666666666663E-2"/>
    <n v="100"/>
    <n v="109"/>
  </r>
  <r>
    <s v="Flood_44"/>
    <x v="2"/>
    <x v="6"/>
    <n v="2414.0978033333336"/>
    <n v="1.5173333333333332E-2"/>
    <n v="211"/>
    <n v="103"/>
  </r>
  <r>
    <s v="Flood_7"/>
    <x v="3"/>
    <x v="0"/>
    <n v="219.71940499999999"/>
    <n v="9.3520000000000006E-2"/>
    <n v="104"/>
    <n v="86"/>
  </r>
  <r>
    <s v="Flood_11"/>
    <x v="3"/>
    <x v="1"/>
    <n v="319.56196499999999"/>
    <n v="0.125335"/>
    <n v="79"/>
    <n v="65"/>
  </r>
  <r>
    <s v="Flood_26"/>
    <x v="3"/>
    <x v="3"/>
    <n v="199.60987"/>
    <n v="9.2715000000000006E-2"/>
    <n v="76"/>
    <n v="151"/>
  </r>
  <r>
    <s v="Flood_42"/>
    <x v="3"/>
    <x v="5"/>
    <n v="499.19912499999998"/>
    <n v="2.8885000000000001E-2"/>
    <n v="49"/>
    <n v="78"/>
  </r>
  <r>
    <s v="Flood_53"/>
    <x v="3"/>
    <x v="7"/>
    <n v="169.64282499999999"/>
    <n v="4.4595000000000003E-2"/>
    <n v="16"/>
    <n v="150"/>
  </r>
  <r>
    <s v="Flood_9"/>
    <x v="2"/>
    <x v="1"/>
    <n v="451.56421499999999"/>
    <n v="5.3414999999999997E-2"/>
    <n v="96"/>
    <n v="109"/>
  </r>
  <r>
    <s v="Flood_24"/>
    <x v="2"/>
    <x v="2"/>
    <n v="1645.67497"/>
    <n v="5.0470000000000001E-2"/>
    <n v="88"/>
    <n v="116"/>
  </r>
  <r>
    <s v="Flood_25"/>
    <x v="2"/>
    <x v="2"/>
    <n v="2965.1191650000001"/>
    <n v="0.13356499999999999"/>
    <n v="70"/>
    <n v="96"/>
  </r>
  <r>
    <s v="Flood_30"/>
    <x v="2"/>
    <x v="4"/>
    <n v="3017.4717900000001"/>
    <n v="0.10074"/>
    <n v="76"/>
    <n v="90"/>
  </r>
  <r>
    <s v="Flood_33"/>
    <x v="2"/>
    <x v="4"/>
    <n v="1099.0615049999999"/>
    <n v="6.2164999999999998E-2"/>
    <n v="74"/>
    <n v="97"/>
  </r>
  <r>
    <s v="Flood_34"/>
    <x v="2"/>
    <x v="4"/>
    <n v="1814.119555"/>
    <n v="0.14740500000000001"/>
    <n v="81"/>
    <n v="102"/>
  </r>
  <r>
    <s v="Flood_38"/>
    <x v="2"/>
    <x v="5"/>
    <n v="2519.6474050000002"/>
    <n v="4.8614999999999998E-2"/>
    <n v="82"/>
    <n v="95"/>
  </r>
  <r>
    <s v="Flood_49"/>
    <x v="2"/>
    <x v="6"/>
    <n v="3555.17443"/>
    <n v="6.6570000000000004E-2"/>
    <n v="106"/>
    <n v="115"/>
  </r>
  <r>
    <s v="Flood_58"/>
    <x v="2"/>
    <x v="8"/>
    <n v="1959.1455149999999"/>
    <n v="0.17218"/>
    <n v="97"/>
    <n v="107"/>
  </r>
  <r>
    <s v="Flood_61"/>
    <x v="2"/>
    <x v="9"/>
    <n v="1619.6922850000001"/>
    <n v="5.4115000000000003E-2"/>
    <n v="203"/>
    <n v="175"/>
  </r>
  <r>
    <s v="Flood_62"/>
    <x v="2"/>
    <x v="9"/>
    <n v="1960.62417"/>
    <n v="8.8639999999999997E-2"/>
    <n v="66"/>
    <n v="120"/>
  </r>
  <r>
    <s v="Flood_72"/>
    <x v="2"/>
    <x v="10"/>
    <n v="1546.1245550000001"/>
    <n v="1.1529700000000001"/>
    <n v="221"/>
    <n v="156"/>
  </r>
  <r>
    <s v="Flood_70"/>
    <x v="2"/>
    <x v="10"/>
    <n v="2342.7830399999998"/>
    <n v="0.12885333333333335"/>
    <n v="67"/>
    <n v="65"/>
  </r>
  <r>
    <s v="Flood_70"/>
    <x v="8"/>
    <x v="10"/>
    <n v="2342.7830399999998"/>
    <n v="0.12885333333333335"/>
    <n v="67"/>
    <n v="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C9205B-FC16-4194-A617-63F4EC5D3A62}" name="PivotTable1" cacheId="1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J1:L8" firstHeaderRow="1" firstDataRow="1" firstDataCol="2"/>
  <pivotFields count="8">
    <pivotField compact="0" outline="0" showAll="0"/>
    <pivotField axis="axisRow" compact="0" outline="0" showAll="0">
      <items count="7">
        <item sd="0" x="0"/>
        <item sd="0" x="4"/>
        <item sd="0" x="2"/>
        <item sd="0" x="1"/>
        <item sd="0" x="3"/>
        <item sd="0" x="5"/>
        <item t="default"/>
      </items>
    </pivotField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2">
    <field x="1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_losses_in_billions" fld="4" subtotal="average" baseField="0" baseItem="0"/>
  </dataFields>
  <chartFormats count="5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33BC22E-81A4-4935-A9AC-C42D7F0667E7}" name="PivotTable10" cacheId="1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44:J51" firstHeaderRow="1" firstDataRow="1" firstDataCol="1"/>
  <pivotFields count="7">
    <pivotField compact="0" outline="0" showAll="0"/>
    <pivotField axis="axisRow" compact="0" outline="0" showAll="0">
      <items count="7">
        <item x="3"/>
        <item x="2"/>
        <item x="4"/>
        <item x="0"/>
        <item x="5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Max_wind_km/h" fld="6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D803E0-FB02-4AD7-A285-9CB45B473C4A}" name="PivotTable4" cacheId="1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1:P40" firstHeaderRow="0" firstDataRow="1" firstDataCol="2"/>
  <pivotFields count="7">
    <pivotField compact="0" outline="0" showAll="0"/>
    <pivotField axis="axisRow" compact="0" outline="0" showAll="0">
      <items count="7">
        <item x="3"/>
        <item x="2"/>
        <item x="4"/>
        <item x="0"/>
        <item x="5"/>
        <item x="1"/>
        <item t="default"/>
      </items>
    </pivotField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1"/>
    <field x="2"/>
  </rowFields>
  <rowItems count="39">
    <i>
      <x/>
      <x v="3"/>
    </i>
    <i r="1">
      <x v="4"/>
    </i>
    <i r="1">
      <x v="8"/>
    </i>
    <i t="default">
      <x/>
    </i>
    <i>
      <x v="1"/>
      <x v="2"/>
    </i>
    <i r="1">
      <x v="3"/>
    </i>
    <i r="1">
      <x v="4"/>
    </i>
    <i r="1">
      <x v="6"/>
    </i>
    <i r="1">
      <x v="8"/>
    </i>
    <i t="default">
      <x v="1"/>
    </i>
    <i>
      <x v="2"/>
      <x v="2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>
      <x v="3"/>
      <x/>
    </i>
    <i r="1">
      <x v="1"/>
    </i>
    <i r="1">
      <x v="4"/>
    </i>
    <i r="1">
      <x v="5"/>
    </i>
    <i r="1">
      <x v="6"/>
    </i>
    <i r="1">
      <x v="8"/>
    </i>
    <i r="1">
      <x v="9"/>
    </i>
    <i t="default">
      <x v="3"/>
    </i>
    <i>
      <x v="4"/>
      <x v="2"/>
    </i>
    <i r="1">
      <x v="4"/>
    </i>
    <i r="1">
      <x v="6"/>
    </i>
    <i t="default">
      <x v="4"/>
    </i>
    <i>
      <x v="5"/>
      <x v="1"/>
    </i>
    <i r="1">
      <x v="2"/>
    </i>
    <i r="1">
      <x v="4"/>
    </i>
    <i r="1">
      <x v="5"/>
    </i>
    <i r="1">
      <x v="6"/>
    </i>
    <i r="1">
      <x v="8"/>
    </i>
    <i r="1">
      <x v="9"/>
    </i>
    <i t="default">
      <x v="5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otal_exposure_in_billions" fld="3" subtotal="average" baseField="0" baseItem="0"/>
    <dataField name="Average of Total_losses_in_billions" fld="4" subtotal="average" baseField="0" baseItem="0"/>
    <dataField name="Average of Max_rainfall_mm" fld="5" subtotal="average" baseField="0" baseItem="0"/>
    <dataField name="Max of Max_rainfall_mm2" fld="5" subtotal="max" baseField="0" baseItem="0"/>
    <dataField name="Average of Max_wind_km/h" fld="6" subtotal="average" baseField="0" baseItem="0"/>
    <dataField name="Max of Max_wind_km/h2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CFE747-7A56-486B-B2C5-05FBAD1661AB}" name="PivotTable14" cacheId="1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M44:N51" firstHeaderRow="1" firstDataRow="1" firstDataCol="1"/>
  <pivotFields count="7">
    <pivotField compact="0" outline="0" showAll="0"/>
    <pivotField axis="axisRow" compact="0" outline="0" showAll="0">
      <items count="7">
        <item x="3"/>
        <item x="2"/>
        <item x="4"/>
        <item x="0"/>
        <item x="5"/>
        <item x="1"/>
        <item t="default"/>
      </items>
    </pivotField>
    <pivotField compact="0" outline="0" showAll="0"/>
    <pivotField compact="0" outline="0" showAll="0"/>
    <pivotField dataField="1" compact="0" outline="0" showAll="0">
      <items count="22">
        <item x="13"/>
        <item x="12"/>
        <item x="17"/>
        <item x="11"/>
        <item x="6"/>
        <item x="10"/>
        <item x="2"/>
        <item x="9"/>
        <item x="4"/>
        <item x="5"/>
        <item x="19"/>
        <item x="1"/>
        <item x="0"/>
        <item x="15"/>
        <item x="18"/>
        <item x="16"/>
        <item x="20"/>
        <item x="8"/>
        <item x="7"/>
        <item x="14"/>
        <item x="3"/>
        <item t="default"/>
      </items>
    </pivotField>
    <pivotField compact="0" outline="0" showAll="0"/>
    <pivotField compact="0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Total_losses_in_billions" fld="4" subtotal="average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627204-E848-4132-BC5B-B115A10FD0FB}" name="PivotTable11" cacheId="1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53:J60" firstHeaderRow="1" firstDataRow="1" firstDataCol="1"/>
  <pivotFields count="7">
    <pivotField compact="0" outline="0" showAll="0"/>
    <pivotField axis="axisRow" compact="0" outline="0" showAll="0">
      <items count="7">
        <item x="3"/>
        <item x="2"/>
        <item x="4"/>
        <item x="0"/>
        <item x="5"/>
        <item x="1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ax of Max_wind_km/h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5400A9-D363-44ED-ABD8-FD808AC739D1}" name="PivotTable6" cacheId="1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C9" firstHeaderRow="1" firstDataRow="1" firstDataCol="2"/>
  <pivotFields count="8">
    <pivotField dataField="1" compact="0" outline="0" showAll="0"/>
    <pivotField axis="axisRow" compact="0" outline="0" showAll="0">
      <items count="7">
        <item sd="0" x="0"/>
        <item sd="0" x="4"/>
        <item sd="0" x="2"/>
        <item sd="0" x="1"/>
        <item sd="0" x="3"/>
        <item sd="0" x="5"/>
        <item t="default"/>
      </items>
    </pivotField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CAT_Event_Hail" fld="0" subtotal="count" baseField="0" baseItem="0"/>
  </dataFields>
  <chartFormats count="3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832F69-1ACA-44B4-9920-5E3A91FD4977}" name="PivotTable9" cacheId="19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M2:O41" firstHeaderRow="1" firstDataRow="1" firstDataCol="2"/>
  <pivotFields count="7">
    <pivotField dataField="1" compact="0" outline="0" showAll="0"/>
    <pivotField axis="axisRow" compact="0" outline="0" showAll="0">
      <items count="7">
        <item x="3"/>
        <item x="2"/>
        <item x="4"/>
        <item x="0"/>
        <item x="5"/>
        <item x="1"/>
        <item t="default"/>
      </items>
    </pivotField>
    <pivotField axis="axisRow" compact="0" outline="0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2"/>
  </rowFields>
  <rowItems count="39">
    <i>
      <x/>
      <x v="3"/>
    </i>
    <i r="1">
      <x v="4"/>
    </i>
    <i r="1">
      <x v="8"/>
    </i>
    <i t="default">
      <x/>
    </i>
    <i>
      <x v="1"/>
      <x v="2"/>
    </i>
    <i r="1">
      <x v="3"/>
    </i>
    <i r="1">
      <x v="4"/>
    </i>
    <i r="1">
      <x v="6"/>
    </i>
    <i r="1">
      <x v="8"/>
    </i>
    <i t="default">
      <x v="1"/>
    </i>
    <i>
      <x v="2"/>
      <x v="2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>
      <x v="3"/>
      <x/>
    </i>
    <i r="1">
      <x v="1"/>
    </i>
    <i r="1">
      <x v="4"/>
    </i>
    <i r="1">
      <x v="5"/>
    </i>
    <i r="1">
      <x v="6"/>
    </i>
    <i r="1">
      <x v="8"/>
    </i>
    <i r="1">
      <x v="9"/>
    </i>
    <i t="default">
      <x v="3"/>
    </i>
    <i>
      <x v="4"/>
      <x v="2"/>
    </i>
    <i r="1">
      <x v="4"/>
    </i>
    <i r="1">
      <x v="6"/>
    </i>
    <i t="default">
      <x v="4"/>
    </i>
    <i>
      <x v="5"/>
      <x v="1"/>
    </i>
    <i r="1">
      <x v="2"/>
    </i>
    <i r="1">
      <x v="4"/>
    </i>
    <i r="1">
      <x v="5"/>
    </i>
    <i r="1">
      <x v="6"/>
    </i>
    <i r="1">
      <x v="8"/>
    </i>
    <i r="1">
      <x v="9"/>
    </i>
    <i t="default">
      <x v="5"/>
    </i>
    <i t="grand">
      <x/>
    </i>
  </rowItems>
  <colItems count="1">
    <i/>
  </colItems>
  <dataFields count="1">
    <dataField name="Count of CAT_Event_Winterstorm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5CE03F-02D5-46E3-9469-B2F688941806}" name="PivotTable8" cacheId="1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2:K67" firstHeaderRow="1" firstDataRow="1" firstDataCol="2"/>
  <pivotFields count="7">
    <pivotField dataField="1" compact="0" outline="0" showAll="0"/>
    <pivotField axis="axisRow" compact="0" outline="0" showAll="0">
      <items count="10">
        <item x="3"/>
        <item x="6"/>
        <item x="1"/>
        <item x="7"/>
        <item x="8"/>
        <item x="2"/>
        <item x="0"/>
        <item x="5"/>
        <item x="4"/>
        <item t="default"/>
      </items>
    </pivotField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</pivotFields>
  <rowFields count="2">
    <field x="1"/>
    <field x="2"/>
  </rowFields>
  <rowItems count="65">
    <i>
      <x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t="default">
      <x/>
    </i>
    <i>
      <x v="1"/>
      <x v="3"/>
    </i>
    <i r="1">
      <x v="5"/>
    </i>
    <i r="1">
      <x v="6"/>
    </i>
    <i r="1">
      <x v="8"/>
    </i>
    <i r="1">
      <x v="10"/>
    </i>
    <i t="default">
      <x v="1"/>
    </i>
    <i>
      <x v="2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>
      <x v="3"/>
      <x v="7"/>
    </i>
    <i r="1">
      <x v="9"/>
    </i>
    <i t="default">
      <x v="3"/>
    </i>
    <i>
      <x v="4"/>
      <x v="10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t="default">
      <x v="5"/>
    </i>
    <i>
      <x v="6"/>
      <x/>
    </i>
    <i r="1">
      <x v="1"/>
    </i>
    <i r="1">
      <x v="5"/>
    </i>
    <i r="1">
      <x v="6"/>
    </i>
    <i r="1">
      <x v="7"/>
    </i>
    <i t="default">
      <x v="6"/>
    </i>
    <i>
      <x v="7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7"/>
    </i>
    <i>
      <x v="8"/>
      <x/>
    </i>
    <i r="1">
      <x v="1"/>
    </i>
    <i r="1">
      <x v="3"/>
    </i>
    <i r="1">
      <x v="5"/>
    </i>
    <i r="1">
      <x v="7"/>
    </i>
    <i t="default">
      <x v="8"/>
    </i>
    <i t="grand">
      <x/>
    </i>
  </rowItems>
  <colItems count="1">
    <i/>
  </colItems>
  <dataFields count="1">
    <dataField name="Count of CAT_Event_Floo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CDE4EC-10FB-4BD6-82FA-99622C89BBEF}" name="PivotTable7" cacheId="1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2:G7" firstHeaderRow="1" firstDataRow="1" firstDataCol="2"/>
  <pivotFields count="8">
    <pivotField dataField="1" compact="0" outline="0" showAll="0"/>
    <pivotField axis="axisRow" compact="0" outline="0" showAll="0">
      <items count="5">
        <item sd="0" x="1"/>
        <item sd="0" x="0"/>
        <item sd="0" x="3"/>
        <item sd="0" x="2"/>
        <item t="default"/>
      </items>
    </pivotField>
    <pivotField axis="axisRow"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compact="0" outline="0" showAll="0"/>
    <pivotField compact="0" numFmtId="3" outline="0" showAll="0"/>
    <pivotField compact="0" numFmtId="3" outline="0" showAll="0"/>
    <pivotField compact="0" outline="0" showAll="0"/>
  </pivotFields>
  <rowFields count="2">
    <field x="1"/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CAT_Event_Fire" fld="0" subtotal="count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1E6DD-F83A-4B0B-93AF-9AED70558A94}" name="PivotTable2" cacheId="1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R1:AH9" firstHeaderRow="1" firstDataRow="2" firstDataCol="1"/>
  <pivotFields count="8">
    <pivotField compact="0" outline="0" showAll="0"/>
    <pivotField axis="axisRow" compact="0" outline="0" showAll="0">
      <items count="7">
        <item x="0"/>
        <item x="4"/>
        <item x="2"/>
        <item x="1"/>
        <item x="3"/>
        <item x="5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16">
        <item x="1"/>
        <item x="2"/>
        <item x="3"/>
        <item x="6"/>
        <item x="0"/>
        <item x="9"/>
        <item x="7"/>
        <item x="5"/>
        <item x="10"/>
        <item x="11"/>
        <item x="8"/>
        <item x="4"/>
        <item x="13"/>
        <item x="12"/>
        <item x="14"/>
        <item t="default"/>
      </items>
    </pivotField>
    <pivotField compact="0" outline="0" showAll="0"/>
    <pivotField compact="0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5"/>
  </colFields>
  <col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colItems>
  <dataFields count="1">
    <dataField name="Count of Hail_scale" fld="5" subtotal="count" baseField="0" baseItem="0"/>
  </dataFields>
  <chartFormats count="6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3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3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3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3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3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3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3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3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3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3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4" format="3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4" format="3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4" format="3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4" format="3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4" format="3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4" format="3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4" format="3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4" format="3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4" format="3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4" format="3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4" format="4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4" format="4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4" format="4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4" format="4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4" format="4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  <chartFormat chart="8" format="1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8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8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5"/>
          </reference>
        </references>
      </pivotArea>
    </chartFormat>
    <chartFormat chart="8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6"/>
          </reference>
        </references>
      </pivotArea>
    </chartFormat>
    <chartFormat chart="8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7"/>
          </reference>
        </references>
      </pivotArea>
    </chartFormat>
    <chartFormat chart="8" format="2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8"/>
          </reference>
        </references>
      </pivotArea>
    </chartFormat>
    <chartFormat chart="8" format="2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9"/>
          </reference>
        </references>
      </pivotArea>
    </chartFormat>
    <chartFormat chart="8" format="2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0"/>
          </reference>
        </references>
      </pivotArea>
    </chartFormat>
    <chartFormat chart="8" format="2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1"/>
          </reference>
        </references>
      </pivotArea>
    </chartFormat>
    <chartFormat chart="8" format="2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2"/>
          </reference>
        </references>
      </pivotArea>
    </chartFormat>
    <chartFormat chart="8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3"/>
          </reference>
        </references>
      </pivotArea>
    </chartFormat>
    <chartFormat chart="8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8BBC6-7787-4A38-9213-563B2A3E9FEE}" name="PivotTable12" cacheId="19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J30:K37" firstHeaderRow="1" firstDataRow="1" firstDataCol="1"/>
  <pivotFields count="8">
    <pivotField compact="0" outline="0" showAll="0"/>
    <pivotField axis="axisRow" compact="0" outline="0" showAll="0">
      <items count="7">
        <item x="0"/>
        <item x="4"/>
        <item x="2"/>
        <item x="1"/>
        <item x="3"/>
        <item x="5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Max of Total_losses_in_billions" fld="4" subtotal="max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D143F6-FCB6-4C3B-BD99-776E360A385C}" name="PivotTable13" cacheId="19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E22:F27" firstHeaderRow="1" firstDataRow="1" firstDataCol="1"/>
  <pivotFields count="11">
    <pivotField compact="0" outline="0" showAll="0"/>
    <pivotField axis="axisRow" compact="0" outline="0" showAll="0">
      <items count="5">
        <item x="1"/>
        <item x="0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numFmtId="3" outline="0" showAll="0"/>
    <pivotField compact="0" numFmtId="3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Average of Severity (burned)" fld="8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532F3E-B9B3-4F4F-B207-32C2D437B7C2}" name="PivotTable3" cacheId="19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J1:N6" firstHeaderRow="0" firstDataRow="1" firstDataCol="1"/>
  <pivotFields count="8">
    <pivotField dataField="1" compact="0" outline="0" showAll="0"/>
    <pivotField axis="axisRow" compact="0" outline="0" showAll="0">
      <items count="5">
        <item x="1"/>
        <item x="0"/>
        <item x="3"/>
        <item x="2"/>
        <item t="default"/>
      </items>
    </pivotField>
    <pivotField compact="0" outline="0" showAll="0">
      <items count="7">
        <item x="0"/>
        <item x="1"/>
        <item x="2"/>
        <item x="3"/>
        <item x="4"/>
        <item x="5"/>
        <item t="default"/>
      </items>
    </pivotField>
    <pivotField compact="0" outline="0" showAll="0"/>
    <pivotField dataField="1" compact="0" outline="0" showAll="0"/>
    <pivotField dataField="1" compact="0" numFmtId="3" outline="0" showAll="0"/>
    <pivotField dataField="1" compact="0" numFmtId="3" outline="0" showAll="0"/>
    <pivotField compact="0" outline="0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Count of CAT_Event_Fire" fld="0" subtotal="count" baseField="0" baseItem="0"/>
    <dataField name="Average of Total_losses_in_billions" fld="4" subtotal="average" baseField="0" baseItem="0"/>
    <dataField name="Average of Hectares_burned" fld="5" subtotal="average" baseField="0" baseItem="0" numFmtId="3"/>
    <dataField name="Average of Structures_destroyed" fld="6" subtotal="average" baseField="0" baseItem="0" numFmtId="3"/>
  </dataFields>
  <chartFormats count="5"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048FA-43E1-464F-A963-C3585A14C37E}" name="PivotTable5" cacheId="1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I1:P66" firstHeaderRow="0" firstDataRow="1" firstDataCol="2"/>
  <pivotFields count="7">
    <pivotField compact="0" outline="0" showAll="0"/>
    <pivotField axis="axisRow" compact="0" outline="0" showAll="0">
      <items count="10">
        <item x="3"/>
        <item x="6"/>
        <item x="1"/>
        <item x="7"/>
        <item x="8"/>
        <item x="2"/>
        <item x="0"/>
        <item x="5"/>
        <item x="4"/>
        <item t="default"/>
      </items>
    </pivotField>
    <pivotField axis="axisRow" compact="0" outline="0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compact="0" outline="0" showAll="0"/>
    <pivotField dataField="1" compact="0" outline="0" showAll="0"/>
    <pivotField dataField="1" compact="0" outline="0" showAll="0"/>
    <pivotField dataField="1" compact="0" outline="0" showAll="0"/>
  </pivotFields>
  <rowFields count="2">
    <field x="1"/>
    <field x="2"/>
  </rowFields>
  <rowItems count="65">
    <i>
      <x/>
      <x/>
    </i>
    <i r="1">
      <x v="1"/>
    </i>
    <i r="1">
      <x v="2"/>
    </i>
    <i r="1">
      <x v="3"/>
    </i>
    <i r="1">
      <x v="5"/>
    </i>
    <i r="1">
      <x v="6"/>
    </i>
    <i r="1">
      <x v="7"/>
    </i>
    <i r="1">
      <x v="8"/>
    </i>
    <i t="default">
      <x/>
    </i>
    <i>
      <x v="1"/>
      <x v="3"/>
    </i>
    <i r="1">
      <x v="5"/>
    </i>
    <i r="1">
      <x v="6"/>
    </i>
    <i r="1">
      <x v="8"/>
    </i>
    <i r="1">
      <x v="10"/>
    </i>
    <i t="default">
      <x v="1"/>
    </i>
    <i>
      <x v="2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>
      <x v="3"/>
      <x v="7"/>
    </i>
    <i r="1">
      <x v="9"/>
    </i>
    <i t="default">
      <x v="3"/>
    </i>
    <i>
      <x v="4"/>
      <x v="10"/>
    </i>
    <i t="default">
      <x v="4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 r="1">
      <x v="10"/>
    </i>
    <i t="default">
      <x v="5"/>
    </i>
    <i>
      <x v="6"/>
      <x/>
    </i>
    <i r="1">
      <x v="1"/>
    </i>
    <i r="1">
      <x v="5"/>
    </i>
    <i r="1">
      <x v="6"/>
    </i>
    <i r="1">
      <x v="7"/>
    </i>
    <i t="default">
      <x v="6"/>
    </i>
    <i>
      <x v="7"/>
      <x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t="default">
      <x v="7"/>
    </i>
    <i>
      <x v="8"/>
      <x/>
    </i>
    <i r="1">
      <x v="1"/>
    </i>
    <i r="1">
      <x v="3"/>
    </i>
    <i r="1">
      <x v="5"/>
    </i>
    <i r="1">
      <x v="7"/>
    </i>
    <i t="default"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Average of Total_exposure_in_billions" fld="3" subtotal="average" baseField="0" baseItem="0"/>
    <dataField name="Average of Total_losses_in_billions" fld="4" subtotal="average" baseField="0" baseItem="0"/>
    <dataField name="Average of Max_rainfall_mm" fld="5" subtotal="average" baseField="0" baseItem="0"/>
    <dataField name="Max of Max_rainfall_mm" fld="5" subtotal="max" baseField="0" baseItem="0"/>
    <dataField name="Average of Max_wind_km/h" fld="6" subtotal="average" baseField="0" baseItem="0"/>
    <dataField name="Max of Max_wind_km/h2" fld="6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06B85A-9826-49AB-8B76-6FCE22F941AC}" name="PivotTable17" cacheId="1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I99:J109" firstHeaderRow="1" firstDataRow="1" firstDataCol="1"/>
  <pivotFields count="7">
    <pivotField compact="0" outline="0" showAll="0"/>
    <pivotField axis="axisRow" compact="0" outline="0" showAll="0" sortType="ascending">
      <items count="10">
        <item x="3"/>
        <item x="6"/>
        <item x="1"/>
        <item x="7"/>
        <item x="8"/>
        <item x="2"/>
        <item x="0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10">
    <i>
      <x v="4"/>
    </i>
    <i>
      <x v="3"/>
    </i>
    <i>
      <x v="8"/>
    </i>
    <i>
      <x v="5"/>
    </i>
    <i>
      <x v="6"/>
    </i>
    <i>
      <x v="2"/>
    </i>
    <i>
      <x v="7"/>
    </i>
    <i>
      <x/>
    </i>
    <i>
      <x v="1"/>
    </i>
    <i t="grand">
      <x/>
    </i>
  </rowItems>
  <colItems count="1">
    <i/>
  </colItems>
  <dataFields count="1">
    <dataField name="Max of Max_rainfall_mm" fld="5" subtotal="max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0BDBCB-C438-48C8-AD58-1153733D9564}" name="PivotTable16" cacheId="1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6">
  <location ref="I86:J96" firstHeaderRow="1" firstDataRow="1" firstDataCol="1"/>
  <pivotFields count="7">
    <pivotField compact="0" outline="0" showAll="0"/>
    <pivotField axis="axisRow" compact="0" outline="0" showAll="0" sortType="ascending">
      <items count="10">
        <item x="3"/>
        <item x="6"/>
        <item x="1"/>
        <item x="7"/>
        <item x="8"/>
        <item x="2"/>
        <item x="0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</pivotFields>
  <rowFields count="1">
    <field x="1"/>
  </rowFields>
  <rowItems count="10">
    <i>
      <x v="8"/>
    </i>
    <i>
      <x v="4"/>
    </i>
    <i>
      <x v="3"/>
    </i>
    <i>
      <x v="5"/>
    </i>
    <i>
      <x/>
    </i>
    <i>
      <x v="2"/>
    </i>
    <i>
      <x v="7"/>
    </i>
    <i>
      <x v="6"/>
    </i>
    <i>
      <x v="1"/>
    </i>
    <i t="grand">
      <x/>
    </i>
  </rowItems>
  <colItems count="1">
    <i/>
  </colItems>
  <dataFields count="1">
    <dataField name="Average of Max_rainfall_mm" fld="5" subtotal="average" baseField="0" baseItem="0"/>
  </dataFields>
  <chartFormats count="1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6DA55A-63A6-40E6-8263-6B1335461DC3}" name="PivotTable15" cacheId="19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I70:J80" firstHeaderRow="1" firstDataRow="1" firstDataCol="1"/>
  <pivotFields count="7">
    <pivotField compact="0" outline="0" showAll="0"/>
    <pivotField axis="axisRow" compact="0" outline="0" showAll="0" sortType="ascending">
      <items count="10">
        <item x="3"/>
        <item x="6"/>
        <item x="1"/>
        <item x="7"/>
        <item x="8"/>
        <item x="2"/>
        <item x="0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1"/>
  </rowFields>
  <rowItems count="10">
    <i>
      <x v="8"/>
    </i>
    <i>
      <x v="2"/>
    </i>
    <i>
      <x/>
    </i>
    <i>
      <x v="4"/>
    </i>
    <i>
      <x v="6"/>
    </i>
    <i>
      <x v="3"/>
    </i>
    <i>
      <x v="7"/>
    </i>
    <i>
      <x v="5"/>
    </i>
    <i>
      <x v="1"/>
    </i>
    <i t="grand">
      <x/>
    </i>
  </rowItems>
  <colItems count="1">
    <i/>
  </colItems>
  <dataFields count="1">
    <dataField name="Average of Total_losses_in_billions" fld="4" subtotal="average" baseField="0" baseItem="0"/>
  </dataFields>
  <chartFormats count="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9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2.xml"/><Relationship Id="rId2" Type="http://schemas.openxmlformats.org/officeDocument/2006/relationships/pivotTable" Target="../pivotTables/pivotTable11.xml"/><Relationship Id="rId1" Type="http://schemas.openxmlformats.org/officeDocument/2006/relationships/pivotTable" Target="../pivotTables/pivotTable10.xml"/><Relationship Id="rId5" Type="http://schemas.openxmlformats.org/officeDocument/2006/relationships/drawing" Target="../drawings/drawing4.xml"/><Relationship Id="rId4" Type="http://schemas.openxmlformats.org/officeDocument/2006/relationships/pivotTable" Target="../pivotTables/pivotTable1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6.xml"/><Relationship Id="rId2" Type="http://schemas.openxmlformats.org/officeDocument/2006/relationships/pivotTable" Target="../pivotTables/pivotTable15.xml"/><Relationship Id="rId1" Type="http://schemas.openxmlformats.org/officeDocument/2006/relationships/pivotTable" Target="../pivotTables/pivotTable14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1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6"/>
  <sheetViews>
    <sheetView workbookViewId="0"/>
  </sheetViews>
  <sheetFormatPr defaultColWidth="12.5703125" defaultRowHeight="15.75" customHeight="1"/>
  <sheetData>
    <row r="1" spans="1:2" ht="15.75" customHeight="1">
      <c r="A1" s="1" t="s">
        <v>0</v>
      </c>
    </row>
    <row r="3" spans="1:2" ht="15.75" customHeight="1">
      <c r="A3" s="1" t="s">
        <v>1</v>
      </c>
    </row>
    <row r="4" spans="1:2" ht="15.75" customHeight="1">
      <c r="A4" s="2" t="s">
        <v>2</v>
      </c>
      <c r="B4" s="1" t="s">
        <v>3</v>
      </c>
    </row>
    <row r="5" spans="1:2" ht="15.75" customHeight="1">
      <c r="A5" s="2" t="s">
        <v>4</v>
      </c>
      <c r="B5" s="1" t="s">
        <v>5</v>
      </c>
    </row>
    <row r="6" spans="1:2" ht="15.75" customHeight="1">
      <c r="A6" s="1" t="s">
        <v>6</v>
      </c>
      <c r="B6" s="1" t="s">
        <v>7</v>
      </c>
    </row>
  </sheetData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5E0AD-B4D5-40A9-B1F4-460AAB42CA1A}">
  <dimension ref="C6:F12"/>
  <sheetViews>
    <sheetView workbookViewId="0">
      <selection activeCell="E17" sqref="E17"/>
    </sheetView>
  </sheetViews>
  <sheetFormatPr defaultRowHeight="12.75"/>
  <cols>
    <col min="3" max="3" width="12.140625" customWidth="1"/>
    <col min="4" max="4" width="31.5703125" customWidth="1"/>
    <col min="5" max="5" width="28.28515625" customWidth="1"/>
    <col min="6" max="6" width="20.85546875" customWidth="1"/>
  </cols>
  <sheetData>
    <row r="6" spans="3:6">
      <c r="C6" s="34" t="s">
        <v>141</v>
      </c>
      <c r="D6" s="34" t="s">
        <v>305</v>
      </c>
      <c r="E6" s="34" t="s">
        <v>306</v>
      </c>
      <c r="F6" s="34" t="s">
        <v>307</v>
      </c>
    </row>
    <row r="7" spans="3:6" ht="23.25">
      <c r="C7" s="40" t="s">
        <v>14</v>
      </c>
      <c r="D7" s="35" t="s">
        <v>308</v>
      </c>
      <c r="E7" s="39" t="s">
        <v>309</v>
      </c>
      <c r="F7" s="41" t="s">
        <v>310</v>
      </c>
    </row>
    <row r="8" spans="3:6">
      <c r="C8" s="40" t="s">
        <v>19</v>
      </c>
      <c r="D8" s="37" t="s">
        <v>311</v>
      </c>
      <c r="E8" s="36" t="s">
        <v>312</v>
      </c>
      <c r="F8" s="41" t="s">
        <v>313</v>
      </c>
    </row>
    <row r="9" spans="3:6" ht="23.25">
      <c r="C9" s="40" t="s">
        <v>35</v>
      </c>
      <c r="D9" s="37" t="s">
        <v>314</v>
      </c>
      <c r="E9" s="37" t="s">
        <v>315</v>
      </c>
      <c r="F9" s="41" t="s">
        <v>316</v>
      </c>
    </row>
    <row r="10" spans="3:6" ht="23.25">
      <c r="C10" s="40" t="s">
        <v>24</v>
      </c>
      <c r="D10" s="36" t="s">
        <v>317</v>
      </c>
      <c r="E10" s="38" t="s">
        <v>318</v>
      </c>
      <c r="F10" s="41" t="s">
        <v>319</v>
      </c>
    </row>
    <row r="11" spans="3:6">
      <c r="C11" s="40" t="s">
        <v>32</v>
      </c>
      <c r="D11" s="36" t="s">
        <v>320</v>
      </c>
      <c r="E11" s="37" t="s">
        <v>321</v>
      </c>
      <c r="F11" s="41" t="s">
        <v>322</v>
      </c>
    </row>
    <row r="12" spans="3:6" ht="23.25">
      <c r="C12" s="40" t="s">
        <v>29</v>
      </c>
      <c r="D12" s="37" t="s">
        <v>323</v>
      </c>
      <c r="E12" s="37" t="s">
        <v>324</v>
      </c>
      <c r="F12" s="41" t="s">
        <v>325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8"/>
  <sheetViews>
    <sheetView topLeftCell="B1" workbookViewId="0">
      <selection activeCell="G8" sqref="G8"/>
    </sheetView>
  </sheetViews>
  <sheetFormatPr defaultColWidth="12.5703125" defaultRowHeight="15.75" customHeight="1"/>
  <sheetData>
    <row r="1" spans="1:9">
      <c r="A1" s="3" t="s">
        <v>8</v>
      </c>
      <c r="D1" s="3" t="s">
        <v>9</v>
      </c>
      <c r="G1" s="3" t="s">
        <v>10</v>
      </c>
      <c r="I1" s="3"/>
    </row>
    <row r="3" spans="1:9" ht="15.75" customHeight="1">
      <c r="A3" s="1" t="s">
        <v>11</v>
      </c>
      <c r="B3" s="1" t="s">
        <v>12</v>
      </c>
      <c r="D3" s="1">
        <v>0</v>
      </c>
      <c r="E3" s="1" t="s">
        <v>13</v>
      </c>
      <c r="G3" s="1" t="s">
        <v>14</v>
      </c>
      <c r="H3" s="1" t="s">
        <v>15</v>
      </c>
    </row>
    <row r="4" spans="1:9" ht="15.75" customHeight="1">
      <c r="A4" s="1" t="s">
        <v>16</v>
      </c>
      <c r="B4" s="1" t="s">
        <v>17</v>
      </c>
      <c r="D4" s="1">
        <v>1</v>
      </c>
      <c r="E4" s="1" t="s">
        <v>18</v>
      </c>
      <c r="G4" s="1" t="s">
        <v>19</v>
      </c>
      <c r="H4" s="1" t="s">
        <v>20</v>
      </c>
    </row>
    <row r="5" spans="1:9" ht="15.75" customHeight="1">
      <c r="A5" s="1" t="s">
        <v>21</v>
      </c>
      <c r="B5" s="1" t="s">
        <v>22</v>
      </c>
      <c r="D5" s="1">
        <v>2</v>
      </c>
      <c r="E5" s="1" t="s">
        <v>23</v>
      </c>
      <c r="G5" s="1" t="s">
        <v>24</v>
      </c>
      <c r="H5" s="1" t="s">
        <v>25</v>
      </c>
    </row>
    <row r="6" spans="1:9" ht="15.75" customHeight="1">
      <c r="A6" s="1" t="s">
        <v>26</v>
      </c>
      <c r="B6" s="1" t="s">
        <v>27</v>
      </c>
      <c r="D6" s="1">
        <v>3</v>
      </c>
      <c r="E6" s="1" t="s">
        <v>28</v>
      </c>
      <c r="G6" s="1" t="s">
        <v>29</v>
      </c>
      <c r="H6" s="1" t="s">
        <v>30</v>
      </c>
    </row>
    <row r="7" spans="1:9" ht="15.75" customHeight="1">
      <c r="D7" s="1">
        <v>4</v>
      </c>
      <c r="E7" s="1" t="s">
        <v>31</v>
      </c>
      <c r="G7" s="1" t="s">
        <v>32</v>
      </c>
      <c r="H7" s="1" t="s">
        <v>33</v>
      </c>
    </row>
    <row r="8" spans="1:9" ht="15.75" customHeight="1">
      <c r="D8" s="1">
        <v>5</v>
      </c>
      <c r="E8" s="1" t="s">
        <v>34</v>
      </c>
      <c r="G8" s="1" t="s">
        <v>35</v>
      </c>
      <c r="H8" s="1" t="s">
        <v>36</v>
      </c>
    </row>
    <row r="9" spans="1:9" ht="15.75" customHeight="1">
      <c r="D9" s="1">
        <v>6</v>
      </c>
      <c r="E9" s="1" t="s">
        <v>37</v>
      </c>
    </row>
    <row r="10" spans="1:9" ht="15.75" customHeight="1">
      <c r="D10" s="1">
        <v>7</v>
      </c>
      <c r="E10" s="1" t="s">
        <v>38</v>
      </c>
    </row>
    <row r="11" spans="1:9" ht="15.75" customHeight="1">
      <c r="D11" s="1">
        <v>8</v>
      </c>
      <c r="E11" s="1" t="s">
        <v>39</v>
      </c>
    </row>
    <row r="12" spans="1:9" ht="15.75" customHeight="1">
      <c r="D12" s="1">
        <v>9</v>
      </c>
      <c r="E12" s="1" t="s">
        <v>40</v>
      </c>
    </row>
    <row r="13" spans="1:9" ht="15.75" customHeight="1">
      <c r="D13" s="1">
        <v>10</v>
      </c>
      <c r="E13" s="1" t="s">
        <v>41</v>
      </c>
    </row>
    <row r="14" spans="1:9" ht="15.75" customHeight="1">
      <c r="D14" s="1">
        <v>11</v>
      </c>
      <c r="E14" s="1" t="s">
        <v>42</v>
      </c>
    </row>
    <row r="15" spans="1:9" ht="15.75" customHeight="1">
      <c r="D15" s="1">
        <v>12</v>
      </c>
      <c r="E15" s="1" t="s">
        <v>43</v>
      </c>
    </row>
    <row r="16" spans="1:9" ht="15.75" customHeight="1">
      <c r="D16" s="1">
        <v>13</v>
      </c>
      <c r="E16" s="1" t="s">
        <v>44</v>
      </c>
    </row>
    <row r="17" spans="4:5" ht="15.75" customHeight="1">
      <c r="D17" s="1">
        <v>14</v>
      </c>
      <c r="E17" s="1" t="s">
        <v>45</v>
      </c>
    </row>
    <row r="18" spans="4:5" ht="15.75" customHeight="1">
      <c r="D18" s="1">
        <v>15</v>
      </c>
      <c r="E18" s="1" t="s">
        <v>46</v>
      </c>
    </row>
  </sheetData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M37"/>
  <sheetViews>
    <sheetView topLeftCell="H10" workbookViewId="0">
      <selection activeCell="N24" sqref="N24"/>
    </sheetView>
  </sheetViews>
  <sheetFormatPr defaultColWidth="12.5703125" defaultRowHeight="15.75" customHeight="1"/>
  <cols>
    <col min="1" max="1" width="19" customWidth="1"/>
  </cols>
  <sheetData>
    <row r="1" spans="1:5" ht="12.6">
      <c r="A1" t="s">
        <v>47</v>
      </c>
    </row>
    <row r="2" spans="1:5" ht="12.6">
      <c r="A2" s="14"/>
      <c r="B2" s="14">
        <v>2023</v>
      </c>
      <c r="C2" s="14">
        <v>2022</v>
      </c>
      <c r="D2" s="14">
        <v>2021</v>
      </c>
      <c r="E2" s="14">
        <v>2020</v>
      </c>
    </row>
    <row r="3" spans="1:5" ht="12.6">
      <c r="A3" s="14" t="s">
        <v>48</v>
      </c>
      <c r="B3" s="15">
        <v>9399000</v>
      </c>
      <c r="C3" s="15">
        <v>10789000</v>
      </c>
      <c r="D3" s="15">
        <v>8599000</v>
      </c>
      <c r="E3" s="15">
        <v>5599000</v>
      </c>
    </row>
    <row r="4" spans="1:5" ht="12.6">
      <c r="A4" s="14" t="s">
        <v>49</v>
      </c>
      <c r="B4" s="15">
        <v>6884000</v>
      </c>
      <c r="C4" s="15">
        <v>7999000</v>
      </c>
      <c r="D4" s="15">
        <v>5199000</v>
      </c>
      <c r="E4" s="15">
        <v>3969000</v>
      </c>
    </row>
    <row r="5" spans="1:5" ht="12.6">
      <c r="A5" s="14" t="s">
        <v>50</v>
      </c>
      <c r="B5" s="15">
        <f t="shared" ref="B5:E5" si="0">B3-B4</f>
        <v>2515000</v>
      </c>
      <c r="C5" s="15">
        <f t="shared" si="0"/>
        <v>2790000</v>
      </c>
      <c r="D5" s="15">
        <f t="shared" si="0"/>
        <v>3400000</v>
      </c>
      <c r="E5" s="15">
        <f t="shared" si="0"/>
        <v>1630000</v>
      </c>
    </row>
    <row r="6" spans="1:5" ht="12.6">
      <c r="A6" s="14" t="s">
        <v>51</v>
      </c>
      <c r="B6" s="15">
        <v>1799500</v>
      </c>
      <c r="C6" s="15">
        <v>1650000</v>
      </c>
      <c r="D6" s="15">
        <v>1269000</v>
      </c>
      <c r="E6" s="15">
        <v>997650</v>
      </c>
    </row>
    <row r="7" spans="1:5" ht="15.75" customHeight="1">
      <c r="A7" s="14" t="s">
        <v>52</v>
      </c>
      <c r="B7" s="15">
        <f t="shared" ref="B7:E7" si="1">B5-B6</f>
        <v>715500</v>
      </c>
      <c r="C7" s="15">
        <f t="shared" si="1"/>
        <v>1140000</v>
      </c>
      <c r="D7" s="15">
        <f t="shared" si="1"/>
        <v>2131000</v>
      </c>
      <c r="E7" s="15">
        <f t="shared" si="1"/>
        <v>632350</v>
      </c>
    </row>
    <row r="8" spans="1:5" ht="12.6"/>
    <row r="9" spans="1:5" ht="12.6">
      <c r="A9" s="14" t="s">
        <v>53</v>
      </c>
      <c r="B9" s="15">
        <v>17999750</v>
      </c>
      <c r="C9" s="15">
        <v>18893799</v>
      </c>
      <c r="D9" s="15">
        <v>14523999</v>
      </c>
      <c r="E9" s="15">
        <v>7699650</v>
      </c>
    </row>
    <row r="10" spans="1:5" ht="12.6">
      <c r="A10" s="16" t="s">
        <v>54</v>
      </c>
      <c r="B10" s="15">
        <v>1799550</v>
      </c>
      <c r="C10" s="15">
        <v>2076450</v>
      </c>
      <c r="D10" s="15">
        <v>1504699</v>
      </c>
      <c r="E10" s="15">
        <v>1108999</v>
      </c>
    </row>
    <row r="11" spans="1:5" ht="12.6">
      <c r="A11" s="16" t="s">
        <v>55</v>
      </c>
      <c r="B11" s="15">
        <v>46799</v>
      </c>
      <c r="C11" s="15">
        <v>58767</v>
      </c>
      <c r="D11" s="15">
        <v>33799</v>
      </c>
      <c r="E11" s="15">
        <v>7901</v>
      </c>
    </row>
    <row r="12" spans="1:5" ht="12.6">
      <c r="A12" s="16" t="s">
        <v>56</v>
      </c>
      <c r="B12" s="15">
        <v>955237</v>
      </c>
      <c r="C12" s="15">
        <v>1115000</v>
      </c>
      <c r="D12" s="15">
        <v>899901</v>
      </c>
      <c r="E12" s="15">
        <v>674550</v>
      </c>
    </row>
    <row r="13" spans="1:5" ht="12.6">
      <c r="A13" s="16" t="s">
        <v>57</v>
      </c>
      <c r="B13" s="15">
        <f t="shared" ref="B13:E13" si="2">B10-B11-B12</f>
        <v>797514</v>
      </c>
      <c r="C13" s="15">
        <f t="shared" si="2"/>
        <v>902683</v>
      </c>
      <c r="D13" s="15">
        <f t="shared" si="2"/>
        <v>570999</v>
      </c>
      <c r="E13" s="15">
        <f t="shared" si="2"/>
        <v>426548</v>
      </c>
    </row>
    <row r="14" spans="1:5" ht="15.75" customHeight="1">
      <c r="A14" s="14" t="s">
        <v>58</v>
      </c>
      <c r="B14" s="15">
        <v>5092399</v>
      </c>
      <c r="C14" s="15">
        <v>6206185</v>
      </c>
      <c r="D14" s="15">
        <v>4989661</v>
      </c>
      <c r="E14" s="15">
        <v>3699950</v>
      </c>
    </row>
    <row r="15" spans="1:5" ht="14.1">
      <c r="A15" s="4"/>
    </row>
    <row r="16" spans="1:5" ht="14.1">
      <c r="A16" s="4"/>
    </row>
    <row r="17" spans="1:13" ht="15.75" customHeight="1">
      <c r="A17" t="s">
        <v>59</v>
      </c>
      <c r="B17">
        <f>B7/B3</f>
        <v>7.6125119693584417E-2</v>
      </c>
      <c r="C17">
        <f t="shared" ref="C17:E17" si="3">C7/C3</f>
        <v>0.10566317545648346</v>
      </c>
      <c r="D17">
        <f t="shared" si="3"/>
        <v>0.24781951389696477</v>
      </c>
      <c r="E17">
        <f t="shared" si="3"/>
        <v>0.11293981068047866</v>
      </c>
      <c r="M17" t="s">
        <v>60</v>
      </c>
    </row>
    <row r="19" spans="1:13" ht="15.75" customHeight="1">
      <c r="M19" t="s">
        <v>61</v>
      </c>
    </row>
    <row r="20" spans="1:13" ht="15.75" customHeight="1">
      <c r="A20" t="s">
        <v>62</v>
      </c>
      <c r="B20">
        <f>(B3-B4)/B3</f>
        <v>0.26758165762315139</v>
      </c>
      <c r="C20">
        <f t="shared" ref="C20:E20" si="4">(C3-C4)/C3</f>
        <v>0.25859671888034108</v>
      </c>
      <c r="D20">
        <f t="shared" si="4"/>
        <v>0.39539481335038956</v>
      </c>
      <c r="E20">
        <f t="shared" si="4"/>
        <v>0.29112341489551707</v>
      </c>
      <c r="M20" t="s">
        <v>63</v>
      </c>
    </row>
    <row r="21" spans="1:13" ht="15.75" customHeight="1">
      <c r="A21" t="s">
        <v>64</v>
      </c>
      <c r="B21">
        <f>B14/B9</f>
        <v>0.28291498493034628</v>
      </c>
      <c r="C21">
        <f t="shared" ref="C21:E21" si="5">C14/C9</f>
        <v>0.32847734857346583</v>
      </c>
      <c r="D21">
        <f t="shared" si="5"/>
        <v>0.34354594764155522</v>
      </c>
      <c r="E21">
        <f t="shared" si="5"/>
        <v>0.48053482950523724</v>
      </c>
      <c r="M21" t="s">
        <v>65</v>
      </c>
    </row>
    <row r="22" spans="1:13" ht="15.75" customHeight="1">
      <c r="A22" t="s">
        <v>66</v>
      </c>
      <c r="B22">
        <f>B3/B9</f>
        <v>0.52217391908220945</v>
      </c>
      <c r="C22">
        <f t="shared" ref="C22:E22" si="6">C3/C9</f>
        <v>0.57103391435465145</v>
      </c>
      <c r="D22">
        <f t="shared" si="6"/>
        <v>0.59205457119626625</v>
      </c>
      <c r="E22">
        <f t="shared" si="6"/>
        <v>0.72717591059333864</v>
      </c>
    </row>
    <row r="23" spans="1:13" ht="15.75" customHeight="1">
      <c r="A23" t="s">
        <v>67</v>
      </c>
      <c r="B23">
        <f>B10/B14</f>
        <v>0.35337961538363355</v>
      </c>
      <c r="C23">
        <f t="shared" ref="C23:E23" si="7">C10/C14</f>
        <v>0.334577522262066</v>
      </c>
      <c r="D23">
        <f t="shared" si="7"/>
        <v>0.30156337274215622</v>
      </c>
      <c r="E23">
        <f t="shared" si="7"/>
        <v>0.29973350991229614</v>
      </c>
      <c r="M23" t="s">
        <v>68</v>
      </c>
    </row>
    <row r="25" spans="1:13" ht="15.75" customHeight="1">
      <c r="A25" t="s">
        <v>69</v>
      </c>
    </row>
    <row r="26" spans="1:13" ht="15.75" customHeight="1">
      <c r="A26" t="s">
        <v>70</v>
      </c>
    </row>
    <row r="27" spans="1:13" ht="15.75" customHeight="1">
      <c r="A27" t="s">
        <v>71</v>
      </c>
    </row>
    <row r="28" spans="1:13" ht="15.75" customHeight="1">
      <c r="A28" t="s">
        <v>72</v>
      </c>
    </row>
    <row r="29" spans="1:13" ht="15.75" customHeight="1">
      <c r="A29" t="s">
        <v>73</v>
      </c>
    </row>
    <row r="30" spans="1:13" ht="15.75" customHeight="1">
      <c r="A30" t="s">
        <v>74</v>
      </c>
    </row>
    <row r="31" spans="1:13" ht="15.75" customHeight="1">
      <c r="A31" t="s">
        <v>75</v>
      </c>
    </row>
    <row r="33" spans="1:1" ht="15.75" customHeight="1">
      <c r="A33" t="s">
        <v>76</v>
      </c>
    </row>
    <row r="35" spans="1:1" ht="15.75" customHeight="1">
      <c r="A35" t="s">
        <v>77</v>
      </c>
    </row>
    <row r="37" spans="1:1" ht="15.75" customHeight="1">
      <c r="A37" t="s">
        <v>78</v>
      </c>
    </row>
  </sheetData>
  <pageMargins left="0" right="0" top="0" bottom="0" header="0" footer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I54"/>
  <sheetViews>
    <sheetView topLeftCell="I1" workbookViewId="0">
      <selection activeCell="AI20" sqref="AI20"/>
    </sheetView>
  </sheetViews>
  <sheetFormatPr defaultColWidth="12.5703125" defaultRowHeight="15.75" customHeight="1"/>
  <cols>
    <col min="4" max="4" width="24.42578125" customWidth="1"/>
    <col min="5" max="5" width="21.85546875" customWidth="1"/>
    <col min="7" max="7" width="15.140625" customWidth="1"/>
    <col min="9" max="10" width="12.7109375" bestFit="1" customWidth="1"/>
    <col min="11" max="11" width="29.5703125" bestFit="1" customWidth="1"/>
    <col min="12" max="12" width="33.42578125" bestFit="1" customWidth="1"/>
    <col min="13" max="13" width="26" bestFit="1" customWidth="1"/>
    <col min="14" max="15" width="23.28515625" bestFit="1" customWidth="1"/>
    <col min="16" max="16" width="18.28515625" bestFit="1" customWidth="1"/>
    <col min="17" max="18" width="18.7109375" bestFit="1" customWidth="1"/>
    <col min="19" max="19" width="13" bestFit="1" customWidth="1"/>
    <col min="20" max="27" width="2.140625" bestFit="1" customWidth="1"/>
    <col min="28" max="33" width="3.140625" bestFit="1" customWidth="1"/>
    <col min="34" max="34" width="11.5703125" bestFit="1" customWidth="1"/>
    <col min="36" max="36" width="12.7109375" bestFit="1" customWidth="1"/>
    <col min="37" max="37" width="19.42578125" bestFit="1" customWidth="1"/>
  </cols>
  <sheetData>
    <row r="1" spans="1:34" ht="14.1">
      <c r="A1" s="5" t="s">
        <v>79</v>
      </c>
      <c r="B1" s="6" t="s">
        <v>10</v>
      </c>
      <c r="C1" s="6" t="s">
        <v>80</v>
      </c>
      <c r="D1" s="6" t="s">
        <v>81</v>
      </c>
      <c r="E1" s="6" t="s">
        <v>82</v>
      </c>
      <c r="F1" s="6" t="s">
        <v>83</v>
      </c>
      <c r="G1" s="6" t="s">
        <v>84</v>
      </c>
      <c r="H1" s="18" t="s">
        <v>85</v>
      </c>
      <c r="J1" s="17" t="s">
        <v>10</v>
      </c>
      <c r="K1" s="17" t="s">
        <v>80</v>
      </c>
      <c r="L1" t="s">
        <v>86</v>
      </c>
      <c r="R1" s="17" t="s">
        <v>87</v>
      </c>
      <c r="S1" s="17" t="s">
        <v>83</v>
      </c>
    </row>
    <row r="2" spans="1:34" ht="14.1">
      <c r="A2" s="7" t="s">
        <v>88</v>
      </c>
      <c r="B2" s="8" t="s">
        <v>14</v>
      </c>
      <c r="C2" s="9">
        <v>2014</v>
      </c>
      <c r="D2" s="8">
        <v>537.39535999999998</v>
      </c>
      <c r="E2" s="8">
        <v>4.9639999999999997E-2</v>
      </c>
      <c r="F2" s="9">
        <v>5</v>
      </c>
      <c r="G2" s="9">
        <v>114.33</v>
      </c>
      <c r="H2">
        <f>E2/D2</f>
        <v>9.2371471164172308E-5</v>
      </c>
      <c r="J2" t="s">
        <v>14</v>
      </c>
      <c r="L2">
        <v>0.25349447368421046</v>
      </c>
      <c r="R2" s="17" t="s">
        <v>10</v>
      </c>
      <c r="S2">
        <v>0</v>
      </c>
      <c r="T2">
        <v>2</v>
      </c>
      <c r="U2">
        <v>3</v>
      </c>
      <c r="V2">
        <v>4</v>
      </c>
      <c r="W2">
        <v>5</v>
      </c>
      <c r="X2">
        <v>6</v>
      </c>
      <c r="Y2">
        <v>7</v>
      </c>
      <c r="Z2">
        <v>8</v>
      </c>
      <c r="AA2">
        <v>9</v>
      </c>
      <c r="AB2">
        <v>10</v>
      </c>
      <c r="AC2">
        <v>11</v>
      </c>
      <c r="AD2">
        <v>12</v>
      </c>
      <c r="AE2">
        <v>13</v>
      </c>
      <c r="AF2">
        <v>14</v>
      </c>
      <c r="AG2">
        <v>15</v>
      </c>
      <c r="AH2" t="s">
        <v>89</v>
      </c>
    </row>
    <row r="3" spans="1:34" ht="14.1">
      <c r="A3" s="7" t="s">
        <v>90</v>
      </c>
      <c r="B3" s="8" t="s">
        <v>14</v>
      </c>
      <c r="C3" s="9">
        <v>2014</v>
      </c>
      <c r="D3" s="8">
        <v>634.39485000000002</v>
      </c>
      <c r="E3" s="8">
        <v>3.3459999999999997E-2</v>
      </c>
      <c r="F3" s="8">
        <v>0</v>
      </c>
      <c r="G3" s="9">
        <v>92.29</v>
      </c>
      <c r="H3">
        <f t="shared" ref="H3:H54" si="0">E3/D3</f>
        <v>5.274317721841531E-5</v>
      </c>
      <c r="J3" t="s">
        <v>91</v>
      </c>
      <c r="L3">
        <v>6.2344999999999998E-2</v>
      </c>
      <c r="R3" t="s">
        <v>14</v>
      </c>
      <c r="S3">
        <v>1</v>
      </c>
      <c r="T3">
        <v>1</v>
      </c>
      <c r="U3">
        <v>3</v>
      </c>
      <c r="V3">
        <v>3</v>
      </c>
      <c r="W3">
        <v>2</v>
      </c>
      <c r="X3">
        <v>2</v>
      </c>
      <c r="Y3">
        <v>2</v>
      </c>
      <c r="Z3">
        <v>1</v>
      </c>
      <c r="AA3">
        <v>2</v>
      </c>
      <c r="AC3">
        <v>1</v>
      </c>
      <c r="AE3">
        <v>1</v>
      </c>
      <c r="AH3">
        <v>19</v>
      </c>
    </row>
    <row r="4" spans="1:34" ht="14.1">
      <c r="A4" s="7" t="s">
        <v>92</v>
      </c>
      <c r="B4" s="8" t="s">
        <v>14</v>
      </c>
      <c r="C4" s="9">
        <v>2015</v>
      </c>
      <c r="D4" s="8">
        <v>625.37510999999995</v>
      </c>
      <c r="E4" s="8">
        <v>0.14946999999999999</v>
      </c>
      <c r="F4" s="9">
        <v>5</v>
      </c>
      <c r="G4" s="9">
        <v>75</v>
      </c>
      <c r="H4">
        <f t="shared" si="0"/>
        <v>2.3900855280281302E-4</v>
      </c>
      <c r="J4" t="s">
        <v>24</v>
      </c>
      <c r="L4">
        <v>0.1816015</v>
      </c>
      <c r="R4" t="s">
        <v>91</v>
      </c>
      <c r="T4">
        <v>1</v>
      </c>
      <c r="AD4">
        <v>1</v>
      </c>
      <c r="AH4">
        <v>2</v>
      </c>
    </row>
    <row r="5" spans="1:34" ht="14.1">
      <c r="A5" s="7" t="s">
        <v>93</v>
      </c>
      <c r="B5" s="8" t="s">
        <v>32</v>
      </c>
      <c r="C5" s="9">
        <v>2015</v>
      </c>
      <c r="D5" s="8">
        <v>463.39562000000001</v>
      </c>
      <c r="E5" s="8">
        <v>3.594E-2</v>
      </c>
      <c r="F5" s="9">
        <v>2</v>
      </c>
      <c r="G5" s="9">
        <v>107.96</v>
      </c>
      <c r="H5">
        <f t="shared" si="0"/>
        <v>7.7557919084345254E-5</v>
      </c>
      <c r="J5" t="s">
        <v>32</v>
      </c>
      <c r="L5">
        <v>8.8843333333333344E-2</v>
      </c>
      <c r="R5" t="s">
        <v>24</v>
      </c>
      <c r="T5">
        <v>1</v>
      </c>
      <c r="V5">
        <v>2</v>
      </c>
      <c r="W5">
        <v>2</v>
      </c>
      <c r="Z5">
        <v>3</v>
      </c>
      <c r="AC5">
        <v>1</v>
      </c>
      <c r="AD5">
        <v>1</v>
      </c>
      <c r="AH5">
        <v>10</v>
      </c>
    </row>
    <row r="6" spans="1:34" ht="14.1">
      <c r="A6" s="7" t="s">
        <v>94</v>
      </c>
      <c r="B6" s="8" t="s">
        <v>14</v>
      </c>
      <c r="C6" s="9">
        <v>2015</v>
      </c>
      <c r="D6" s="8">
        <v>689.34052999999994</v>
      </c>
      <c r="E6" s="8">
        <v>9.0889999999999999E-2</v>
      </c>
      <c r="F6" s="9">
        <v>3</v>
      </c>
      <c r="G6" s="9">
        <v>75</v>
      </c>
      <c r="H6">
        <f t="shared" si="0"/>
        <v>1.3185065442184287E-4</v>
      </c>
      <c r="J6" t="s">
        <v>29</v>
      </c>
      <c r="L6">
        <v>0.1624825</v>
      </c>
      <c r="R6" t="s">
        <v>32</v>
      </c>
      <c r="T6">
        <v>1</v>
      </c>
      <c r="V6">
        <v>1</v>
      </c>
      <c r="W6">
        <v>1</v>
      </c>
      <c r="X6">
        <v>1</v>
      </c>
      <c r="Y6">
        <v>1</v>
      </c>
      <c r="Z6">
        <v>2</v>
      </c>
      <c r="AB6">
        <v>2</v>
      </c>
      <c r="AD6">
        <v>1</v>
      </c>
      <c r="AF6">
        <v>1</v>
      </c>
      <c r="AG6">
        <v>1</v>
      </c>
      <c r="AH6">
        <v>12</v>
      </c>
    </row>
    <row r="7" spans="1:34" ht="14.1">
      <c r="A7" s="7" t="s">
        <v>95</v>
      </c>
      <c r="B7" s="8" t="s">
        <v>24</v>
      </c>
      <c r="C7" s="9">
        <v>2015</v>
      </c>
      <c r="D7" s="8">
        <v>829.39730999999995</v>
      </c>
      <c r="E7" s="8">
        <v>4.8649999999999999E-2</v>
      </c>
      <c r="F7" s="8">
        <v>12</v>
      </c>
      <c r="G7" s="8">
        <v>154</v>
      </c>
      <c r="H7">
        <f t="shared" si="0"/>
        <v>5.8657050623904243E-5</v>
      </c>
      <c r="J7" t="s">
        <v>96</v>
      </c>
      <c r="L7">
        <v>6.3768749999999999E-2</v>
      </c>
      <c r="R7" t="s">
        <v>29</v>
      </c>
      <c r="T7">
        <v>1</v>
      </c>
      <c r="V7">
        <v>1</v>
      </c>
      <c r="W7">
        <v>1</v>
      </c>
      <c r="X7">
        <v>2</v>
      </c>
      <c r="AC7">
        <v>1</v>
      </c>
      <c r="AH7">
        <v>6</v>
      </c>
    </row>
    <row r="8" spans="1:34" ht="14.1">
      <c r="A8" s="7" t="s">
        <v>97</v>
      </c>
      <c r="B8" s="8" t="s">
        <v>14</v>
      </c>
      <c r="C8" s="9">
        <v>2016</v>
      </c>
      <c r="D8" s="8">
        <v>729.30834000000004</v>
      </c>
      <c r="E8" s="8">
        <v>4.4130000000000003E-2</v>
      </c>
      <c r="F8" s="9">
        <v>3</v>
      </c>
      <c r="G8" s="9">
        <v>84.67</v>
      </c>
      <c r="H8">
        <f t="shared" si="0"/>
        <v>6.0509386194596376E-5</v>
      </c>
      <c r="J8" t="s">
        <v>89</v>
      </c>
      <c r="L8">
        <v>0.1708149056603773</v>
      </c>
      <c r="R8" t="s">
        <v>96</v>
      </c>
      <c r="V8">
        <v>1</v>
      </c>
      <c r="Y8">
        <v>2</v>
      </c>
      <c r="AC8">
        <v>1</v>
      </c>
      <c r="AH8">
        <v>4</v>
      </c>
    </row>
    <row r="9" spans="1:34" ht="14.1">
      <c r="A9" s="7" t="s">
        <v>98</v>
      </c>
      <c r="B9" s="8" t="s">
        <v>32</v>
      </c>
      <c r="C9" s="9">
        <v>2016</v>
      </c>
      <c r="D9" s="8">
        <v>805.39719000000002</v>
      </c>
      <c r="E9" s="8">
        <v>3.5740000000000001E-2</v>
      </c>
      <c r="F9" s="8">
        <v>5</v>
      </c>
      <c r="G9" s="9">
        <v>97.89</v>
      </c>
      <c r="H9">
        <f t="shared" si="0"/>
        <v>4.437562043145445E-5</v>
      </c>
      <c r="R9" t="s">
        <v>89</v>
      </c>
      <c r="S9">
        <v>1</v>
      </c>
      <c r="T9">
        <v>5</v>
      </c>
      <c r="U9">
        <v>3</v>
      </c>
      <c r="V9">
        <v>8</v>
      </c>
      <c r="W9">
        <v>6</v>
      </c>
      <c r="X9">
        <v>5</v>
      </c>
      <c r="Y9">
        <v>5</v>
      </c>
      <c r="Z9">
        <v>6</v>
      </c>
      <c r="AA9">
        <v>2</v>
      </c>
      <c r="AB9">
        <v>2</v>
      </c>
      <c r="AC9">
        <v>4</v>
      </c>
      <c r="AD9">
        <v>3</v>
      </c>
      <c r="AE9">
        <v>1</v>
      </c>
      <c r="AF9">
        <v>1</v>
      </c>
      <c r="AG9">
        <v>1</v>
      </c>
      <c r="AH9">
        <v>53</v>
      </c>
    </row>
    <row r="10" spans="1:34" ht="14.1">
      <c r="A10" s="7" t="s">
        <v>99</v>
      </c>
      <c r="B10" s="8" t="s">
        <v>24</v>
      </c>
      <c r="C10" s="9">
        <v>2016</v>
      </c>
      <c r="D10" s="8">
        <v>823.52040999999997</v>
      </c>
      <c r="E10" s="8">
        <v>4.7289999999999999E-2</v>
      </c>
      <c r="F10" s="8">
        <v>8</v>
      </c>
      <c r="G10" s="9">
        <v>116.98</v>
      </c>
      <c r="H10">
        <f t="shared" si="0"/>
        <v>5.7424199116085054E-5</v>
      </c>
    </row>
    <row r="11" spans="1:34" ht="14.1">
      <c r="A11" s="7" t="s">
        <v>100</v>
      </c>
      <c r="B11" s="8" t="s">
        <v>14</v>
      </c>
      <c r="C11" s="9">
        <v>2016</v>
      </c>
      <c r="D11" s="8">
        <f>792.49264/2</f>
        <v>396.24632000000003</v>
      </c>
      <c r="E11" s="8">
        <f>0.07146/2</f>
        <v>3.5729999999999998E-2</v>
      </c>
      <c r="F11" s="8">
        <v>4</v>
      </c>
      <c r="G11" s="9">
        <v>79.09</v>
      </c>
      <c r="H11">
        <f t="shared" si="0"/>
        <v>9.0171184428917845E-5</v>
      </c>
    </row>
    <row r="12" spans="1:34" ht="14.1">
      <c r="A12" s="7" t="s">
        <v>101</v>
      </c>
      <c r="B12" s="8" t="s">
        <v>32</v>
      </c>
      <c r="C12" s="9">
        <v>2016</v>
      </c>
      <c r="D12" s="8">
        <v>205.39526000000001</v>
      </c>
      <c r="E12" s="8">
        <v>0.15231</v>
      </c>
      <c r="F12" s="8">
        <v>7</v>
      </c>
      <c r="G12" s="9">
        <v>107.58</v>
      </c>
      <c r="H12">
        <f t="shared" si="0"/>
        <v>7.4154583703635616E-4</v>
      </c>
      <c r="Q12" t="s">
        <v>102</v>
      </c>
    </row>
    <row r="13" spans="1:34" ht="14.1">
      <c r="A13" s="7" t="s">
        <v>103</v>
      </c>
      <c r="B13" s="8" t="s">
        <v>14</v>
      </c>
      <c r="C13" s="9">
        <v>2017</v>
      </c>
      <c r="D13" s="8">
        <f>1264.39017/2</f>
        <v>632.19508499999995</v>
      </c>
      <c r="E13" s="8">
        <f>0.09205/2</f>
        <v>4.6025000000000003E-2</v>
      </c>
      <c r="F13" s="9">
        <v>11</v>
      </c>
      <c r="G13" s="9">
        <v>133.44999999999999</v>
      </c>
      <c r="H13">
        <f t="shared" si="0"/>
        <v>7.2801894687302105E-5</v>
      </c>
    </row>
    <row r="14" spans="1:34" ht="14.1">
      <c r="A14" s="7" t="s">
        <v>104</v>
      </c>
      <c r="B14" s="8" t="s">
        <v>14</v>
      </c>
      <c r="C14" s="9">
        <v>2017</v>
      </c>
      <c r="D14" s="8">
        <f>1593.34501/2</f>
        <v>796.672505</v>
      </c>
      <c r="E14" s="8">
        <f>0.06012/2</f>
        <v>3.006E-2</v>
      </c>
      <c r="F14" s="9">
        <v>7</v>
      </c>
      <c r="G14" s="9">
        <v>137.25</v>
      </c>
      <c r="H14">
        <f t="shared" si="0"/>
        <v>3.7731941056507278E-5</v>
      </c>
    </row>
    <row r="15" spans="1:34" ht="14.1">
      <c r="A15" s="7" t="s">
        <v>105</v>
      </c>
      <c r="B15" s="8" t="s">
        <v>32</v>
      </c>
      <c r="C15" s="9">
        <v>2017</v>
      </c>
      <c r="D15" s="8">
        <v>1934.24819</v>
      </c>
      <c r="E15" s="8">
        <v>0.17252999999999999</v>
      </c>
      <c r="F15" s="9">
        <v>6</v>
      </c>
      <c r="G15" s="9">
        <v>75</v>
      </c>
      <c r="H15">
        <f t="shared" si="0"/>
        <v>8.9197446786805571E-5</v>
      </c>
    </row>
    <row r="16" spans="1:34" ht="14.1">
      <c r="A16" s="7" t="s">
        <v>106</v>
      </c>
      <c r="B16" s="8" t="s">
        <v>24</v>
      </c>
      <c r="C16" s="9">
        <v>2017</v>
      </c>
      <c r="D16" s="8">
        <v>7048.3064199999999</v>
      </c>
      <c r="E16" s="8">
        <v>0.43295</v>
      </c>
      <c r="F16" s="9">
        <v>4</v>
      </c>
      <c r="G16" s="9">
        <v>80</v>
      </c>
      <c r="H16">
        <f t="shared" si="0"/>
        <v>6.1426103548999796E-5</v>
      </c>
    </row>
    <row r="17" spans="1:35" ht="14.1">
      <c r="A17" s="7" t="s">
        <v>107</v>
      </c>
      <c r="B17" s="8" t="s">
        <v>14</v>
      </c>
      <c r="C17" s="9">
        <v>2018</v>
      </c>
      <c r="D17" s="8">
        <v>420.24934000000002</v>
      </c>
      <c r="E17" s="8">
        <v>0.19355</v>
      </c>
      <c r="F17" s="9">
        <v>6</v>
      </c>
      <c r="G17" s="9">
        <v>123.72</v>
      </c>
      <c r="H17">
        <f t="shared" si="0"/>
        <v>4.6055991426423179E-4</v>
      </c>
    </row>
    <row r="18" spans="1:35" ht="14.1">
      <c r="A18" s="7" t="s">
        <v>108</v>
      </c>
      <c r="B18" s="8" t="s">
        <v>14</v>
      </c>
      <c r="C18" s="9">
        <v>2018</v>
      </c>
      <c r="D18" s="8">
        <v>839.30467999999996</v>
      </c>
      <c r="E18" s="8">
        <v>6.3740000000000005E-2</v>
      </c>
      <c r="F18" s="9">
        <v>4</v>
      </c>
      <c r="G18" s="9">
        <v>116.58</v>
      </c>
      <c r="H18">
        <f t="shared" si="0"/>
        <v>7.5943815778556131E-5</v>
      </c>
    </row>
    <row r="19" spans="1:35" ht="14.1">
      <c r="A19" s="7" t="s">
        <v>109</v>
      </c>
      <c r="B19" s="8" t="s">
        <v>29</v>
      </c>
      <c r="C19" s="9">
        <v>2018</v>
      </c>
      <c r="D19" s="8">
        <v>1309.3584599999999</v>
      </c>
      <c r="E19" s="8">
        <v>0.73595999999999995</v>
      </c>
      <c r="F19" s="9">
        <v>6</v>
      </c>
      <c r="G19" s="9">
        <v>108.86</v>
      </c>
      <c r="H19">
        <f t="shared" si="0"/>
        <v>5.6207678988074816E-4</v>
      </c>
      <c r="AI19" t="s">
        <v>110</v>
      </c>
    </row>
    <row r="20" spans="1:35" ht="14.1">
      <c r="A20" s="7" t="s">
        <v>111</v>
      </c>
      <c r="B20" s="8" t="s">
        <v>14</v>
      </c>
      <c r="C20" s="9">
        <v>2018</v>
      </c>
      <c r="D20" s="8">
        <v>749.20434999999998</v>
      </c>
      <c r="E20" s="8">
        <v>0.61931999999999998</v>
      </c>
      <c r="F20" s="9">
        <v>3</v>
      </c>
      <c r="G20" s="9">
        <v>109.54</v>
      </c>
      <c r="H20">
        <f t="shared" si="0"/>
        <v>8.2663695158737395E-4</v>
      </c>
    </row>
    <row r="21" spans="1:35" ht="14.1">
      <c r="A21" s="7" t="s">
        <v>112</v>
      </c>
      <c r="B21" s="8" t="s">
        <v>32</v>
      </c>
      <c r="C21" s="9">
        <v>2018</v>
      </c>
      <c r="D21" s="8">
        <v>536.39824999999996</v>
      </c>
      <c r="E21" s="8">
        <v>7.3959999999999998E-2</v>
      </c>
      <c r="F21" s="9">
        <v>4</v>
      </c>
      <c r="G21" s="9">
        <v>101</v>
      </c>
      <c r="H21">
        <f t="shared" si="0"/>
        <v>1.3788262732027931E-4</v>
      </c>
    </row>
    <row r="22" spans="1:35" ht="14.1">
      <c r="A22" s="7" t="s">
        <v>113</v>
      </c>
      <c r="B22" s="8" t="s">
        <v>14</v>
      </c>
      <c r="C22" s="9">
        <v>2018</v>
      </c>
      <c r="D22" s="8">
        <v>1053.50845</v>
      </c>
      <c r="E22" s="8">
        <v>0.15637000000000001</v>
      </c>
      <c r="F22" s="9">
        <v>8</v>
      </c>
      <c r="G22" s="9">
        <v>87.88</v>
      </c>
      <c r="H22">
        <f t="shared" si="0"/>
        <v>1.4842785551459032E-4</v>
      </c>
    </row>
    <row r="23" spans="1:35" ht="14.1">
      <c r="A23" s="7" t="s">
        <v>114</v>
      </c>
      <c r="B23" s="8" t="s">
        <v>91</v>
      </c>
      <c r="C23" s="9">
        <v>2019</v>
      </c>
      <c r="D23" s="8">
        <v>729.30235000000005</v>
      </c>
      <c r="E23" s="8">
        <v>3.1579999999999997E-2</v>
      </c>
      <c r="F23" s="9">
        <v>2</v>
      </c>
      <c r="G23" s="9">
        <v>87.26</v>
      </c>
      <c r="H23">
        <f t="shared" si="0"/>
        <v>4.3301656713433041E-5</v>
      </c>
    </row>
    <row r="24" spans="1:35" ht="14.1">
      <c r="A24" s="7" t="s">
        <v>115</v>
      </c>
      <c r="B24" s="8" t="s">
        <v>24</v>
      </c>
      <c r="C24" s="9">
        <v>2019</v>
      </c>
      <c r="D24" s="8">
        <v>4927.3463599999995</v>
      </c>
      <c r="E24" s="8">
        <v>4.2880000000000001E-2</v>
      </c>
      <c r="F24" s="9">
        <v>5</v>
      </c>
      <c r="G24" s="9">
        <v>122</v>
      </c>
      <c r="H24">
        <f t="shared" si="0"/>
        <v>8.7024529771436662E-6</v>
      </c>
    </row>
    <row r="25" spans="1:35" ht="14.1">
      <c r="A25" s="7" t="s">
        <v>116</v>
      </c>
      <c r="B25" s="8" t="s">
        <v>14</v>
      </c>
      <c r="C25" s="9">
        <v>2019</v>
      </c>
      <c r="D25" s="8">
        <v>605.29516999999998</v>
      </c>
      <c r="E25" s="8">
        <v>7.1169999999999997E-2</v>
      </c>
      <c r="F25" s="9">
        <v>9</v>
      </c>
      <c r="G25" s="9">
        <v>89.99</v>
      </c>
      <c r="H25">
        <f t="shared" si="0"/>
        <v>1.1757899868918498E-4</v>
      </c>
    </row>
    <row r="26" spans="1:35" ht="14.1">
      <c r="A26" s="7" t="s">
        <v>117</v>
      </c>
      <c r="B26" s="8" t="s">
        <v>32</v>
      </c>
      <c r="C26" s="9">
        <v>2020</v>
      </c>
      <c r="D26" s="8">
        <v>834.26050999999995</v>
      </c>
      <c r="E26" s="8">
        <v>3.5560000000000001E-2</v>
      </c>
      <c r="F26" s="8">
        <v>10</v>
      </c>
      <c r="G26" s="8">
        <v>175</v>
      </c>
      <c r="H26">
        <f t="shared" si="0"/>
        <v>4.2624575385930711E-5</v>
      </c>
    </row>
    <row r="27" spans="1:35" ht="14.1">
      <c r="A27" s="7" t="s">
        <v>118</v>
      </c>
      <c r="B27" s="8" t="s">
        <v>32</v>
      </c>
      <c r="C27" s="9">
        <v>2020</v>
      </c>
      <c r="D27" s="8">
        <v>679.01410999999996</v>
      </c>
      <c r="E27" s="8">
        <v>7.6329999999999995E-2</v>
      </c>
      <c r="F27" s="9">
        <v>8</v>
      </c>
      <c r="G27" s="9">
        <v>79.05</v>
      </c>
      <c r="H27">
        <f t="shared" si="0"/>
        <v>1.1241298063747158E-4</v>
      </c>
    </row>
    <row r="28" spans="1:35" ht="14.1">
      <c r="A28" s="7" t="s">
        <v>119</v>
      </c>
      <c r="B28" s="8" t="s">
        <v>24</v>
      </c>
      <c r="C28" s="9">
        <v>2020</v>
      </c>
      <c r="D28" s="8">
        <f>3456.45036/2</f>
        <v>1728.2251799999999</v>
      </c>
      <c r="E28" s="8">
        <f>0.06348/2</f>
        <v>3.1739999999999997E-2</v>
      </c>
      <c r="F28" s="9">
        <v>5</v>
      </c>
      <c r="G28" s="9">
        <v>130.38</v>
      </c>
      <c r="H28">
        <f t="shared" si="0"/>
        <v>1.8365662280189668E-5</v>
      </c>
    </row>
    <row r="29" spans="1:35" ht="14.1">
      <c r="A29" s="7" t="s">
        <v>120</v>
      </c>
      <c r="B29" s="8" t="s">
        <v>32</v>
      </c>
      <c r="C29" s="9">
        <v>2020</v>
      </c>
      <c r="D29" s="8">
        <v>647.05912999999998</v>
      </c>
      <c r="E29" s="8">
        <v>9.2170000000000002E-2</v>
      </c>
      <c r="F29" s="9">
        <v>10</v>
      </c>
      <c r="G29" s="8">
        <v>137</v>
      </c>
      <c r="H29">
        <f t="shared" si="0"/>
        <v>1.4244447798766088E-4</v>
      </c>
    </row>
    <row r="30" spans="1:35" ht="14.1">
      <c r="A30" s="7" t="s">
        <v>121</v>
      </c>
      <c r="B30" s="8" t="s">
        <v>32</v>
      </c>
      <c r="C30" s="9">
        <v>2020</v>
      </c>
      <c r="D30" s="8">
        <v>3984.2340600000002</v>
      </c>
      <c r="E30" s="8">
        <v>0.17923</v>
      </c>
      <c r="F30" s="8">
        <v>8</v>
      </c>
      <c r="G30" s="9">
        <v>97.35</v>
      </c>
      <c r="H30">
        <f t="shared" si="0"/>
        <v>4.4984806941788957E-5</v>
      </c>
      <c r="J30" s="17" t="s">
        <v>10</v>
      </c>
      <c r="K30" t="s">
        <v>122</v>
      </c>
    </row>
    <row r="31" spans="1:35" ht="14.1">
      <c r="A31" s="7" t="s">
        <v>123</v>
      </c>
      <c r="B31" s="8" t="s">
        <v>91</v>
      </c>
      <c r="C31" s="9">
        <v>2021</v>
      </c>
      <c r="D31" s="8">
        <v>530.48167999999998</v>
      </c>
      <c r="E31" s="8">
        <v>9.3109999999999998E-2</v>
      </c>
      <c r="F31" s="9">
        <v>12</v>
      </c>
      <c r="G31" s="9">
        <v>95.38</v>
      </c>
      <c r="H31">
        <f t="shared" si="0"/>
        <v>1.755197276558165E-4</v>
      </c>
      <c r="J31" t="s">
        <v>14</v>
      </c>
      <c r="K31">
        <v>2.6549200000000002</v>
      </c>
    </row>
    <row r="32" spans="1:35" ht="14.1">
      <c r="A32" s="7" t="s">
        <v>124</v>
      </c>
      <c r="B32" s="8" t="s">
        <v>14</v>
      </c>
      <c r="C32" s="9">
        <v>2021</v>
      </c>
      <c r="D32" s="8">
        <v>484.37119000000001</v>
      </c>
      <c r="E32" s="8">
        <v>8.133E-2</v>
      </c>
      <c r="F32" s="9">
        <v>7</v>
      </c>
      <c r="G32" s="9">
        <v>100.88</v>
      </c>
      <c r="H32">
        <f t="shared" si="0"/>
        <v>1.6790841750930727E-4</v>
      </c>
      <c r="J32" t="s">
        <v>91</v>
      </c>
      <c r="K32">
        <v>9.3109999999999998E-2</v>
      </c>
    </row>
    <row r="33" spans="1:11" ht="14.1">
      <c r="A33" s="7" t="s">
        <v>125</v>
      </c>
      <c r="B33" s="8" t="s">
        <v>29</v>
      </c>
      <c r="C33" s="9">
        <v>2021</v>
      </c>
      <c r="D33" s="8">
        <v>920.42845</v>
      </c>
      <c r="E33" s="8">
        <v>5.6079999999999998E-2</v>
      </c>
      <c r="F33" s="9">
        <v>6</v>
      </c>
      <c r="G33" s="9">
        <v>140.47999999999999</v>
      </c>
      <c r="H33">
        <f t="shared" si="0"/>
        <v>6.0928147103666776E-5</v>
      </c>
      <c r="J33" t="s">
        <v>24</v>
      </c>
      <c r="K33">
        <v>0.97565999999999997</v>
      </c>
    </row>
    <row r="34" spans="1:11" ht="14.1">
      <c r="A34" s="7" t="s">
        <v>126</v>
      </c>
      <c r="B34" s="8" t="s">
        <v>24</v>
      </c>
      <c r="C34" s="9">
        <v>2021</v>
      </c>
      <c r="D34" s="8">
        <f>3151.45395/2</f>
        <v>1575.726975</v>
      </c>
      <c r="E34" s="8">
        <f>0.08206/2</f>
        <v>4.1029999999999997E-2</v>
      </c>
      <c r="F34" s="8">
        <v>11</v>
      </c>
      <c r="G34" s="8">
        <v>128</v>
      </c>
      <c r="H34">
        <f t="shared" si="0"/>
        <v>2.6038774896266528E-5</v>
      </c>
      <c r="J34" t="s">
        <v>32</v>
      </c>
      <c r="K34">
        <v>0.17923</v>
      </c>
    </row>
    <row r="35" spans="1:11" ht="14.1">
      <c r="A35" s="7" t="s">
        <v>127</v>
      </c>
      <c r="B35" s="8" t="s">
        <v>32</v>
      </c>
      <c r="C35" s="9">
        <v>2021</v>
      </c>
      <c r="D35" s="8">
        <v>199.24845999999999</v>
      </c>
      <c r="E35" s="8">
        <v>5.713E-2</v>
      </c>
      <c r="F35" s="8">
        <v>12</v>
      </c>
      <c r="G35" s="9">
        <v>146.47</v>
      </c>
      <c r="H35">
        <f t="shared" si="0"/>
        <v>2.8672743568507381E-4</v>
      </c>
      <c r="J35" t="s">
        <v>29</v>
      </c>
      <c r="K35">
        <v>0.73595999999999995</v>
      </c>
    </row>
    <row r="36" spans="1:11" ht="14.1">
      <c r="A36" s="7" t="s">
        <v>128</v>
      </c>
      <c r="B36" s="8" t="s">
        <v>14</v>
      </c>
      <c r="C36" s="9">
        <v>2022</v>
      </c>
      <c r="D36" s="8">
        <v>365.40294999999998</v>
      </c>
      <c r="E36" s="8">
        <v>0.18956000000000001</v>
      </c>
      <c r="F36" s="8">
        <v>4</v>
      </c>
      <c r="G36" s="9">
        <v>133.13</v>
      </c>
      <c r="H36">
        <f t="shared" si="0"/>
        <v>5.187697581532936E-4</v>
      </c>
      <c r="J36" t="s">
        <v>96</v>
      </c>
      <c r="K36">
        <v>0.14326</v>
      </c>
    </row>
    <row r="37" spans="1:11" ht="14.1">
      <c r="A37" s="7" t="s">
        <v>129</v>
      </c>
      <c r="B37" s="8" t="s">
        <v>24</v>
      </c>
      <c r="C37" s="9">
        <v>2022</v>
      </c>
      <c r="D37" s="8">
        <f>3256.64741/2</f>
        <v>1628.323705</v>
      </c>
      <c r="E37" s="8">
        <f>0.20151/2</f>
        <v>0.100755</v>
      </c>
      <c r="F37" s="8">
        <v>2</v>
      </c>
      <c r="G37" s="9">
        <v>113.66</v>
      </c>
      <c r="H37">
        <f t="shared" si="0"/>
        <v>6.1876517359918918E-5</v>
      </c>
      <c r="J37" t="s">
        <v>89</v>
      </c>
      <c r="K37">
        <v>2.6549200000000002</v>
      </c>
    </row>
    <row r="38" spans="1:11" ht="14.1">
      <c r="A38" s="7" t="s">
        <v>130</v>
      </c>
      <c r="B38" s="8" t="s">
        <v>14</v>
      </c>
      <c r="C38" s="9">
        <v>2022</v>
      </c>
      <c r="D38" s="8">
        <v>599.37503000000004</v>
      </c>
      <c r="E38" s="8">
        <v>8.4769999999999998E-2</v>
      </c>
      <c r="F38" s="8">
        <v>2</v>
      </c>
      <c r="G38" s="9">
        <v>90.38</v>
      </c>
      <c r="H38">
        <f t="shared" si="0"/>
        <v>1.4143064985540021E-4</v>
      </c>
    </row>
    <row r="39" spans="1:11" ht="14.1">
      <c r="A39" s="7" t="s">
        <v>131</v>
      </c>
      <c r="B39" s="8" t="s">
        <v>24</v>
      </c>
      <c r="C39" s="9">
        <v>2022</v>
      </c>
      <c r="D39" s="8">
        <f>2958.30573/2</f>
        <v>1479.152865</v>
      </c>
      <c r="E39" s="8">
        <f>0.01866/2</f>
        <v>9.3299999999999998E-3</v>
      </c>
      <c r="F39" s="8">
        <v>4</v>
      </c>
      <c r="G39" s="9">
        <v>133.13</v>
      </c>
      <c r="H39">
        <f t="shared" si="0"/>
        <v>6.3076644887545138E-6</v>
      </c>
    </row>
    <row r="40" spans="1:11" ht="14.1">
      <c r="A40" s="7" t="s">
        <v>132</v>
      </c>
      <c r="B40" s="8" t="s">
        <v>32</v>
      </c>
      <c r="C40" s="9">
        <v>2023</v>
      </c>
      <c r="D40" s="8">
        <v>265.37493000000001</v>
      </c>
      <c r="E40" s="8">
        <v>5.5370000000000003E-2</v>
      </c>
      <c r="F40" s="9">
        <v>14</v>
      </c>
      <c r="G40" s="9">
        <v>145.76</v>
      </c>
      <c r="H40">
        <f t="shared" si="0"/>
        <v>2.0864819446207673E-4</v>
      </c>
    </row>
    <row r="41" spans="1:11" ht="14.1">
      <c r="A41" s="7" t="s">
        <v>133</v>
      </c>
      <c r="B41" s="8" t="s">
        <v>96</v>
      </c>
      <c r="C41" s="9">
        <v>2023</v>
      </c>
      <c r="D41" s="8">
        <v>326.54674</v>
      </c>
      <c r="E41" s="8">
        <v>0.14326</v>
      </c>
      <c r="F41" s="8">
        <v>7</v>
      </c>
      <c r="G41" s="8">
        <v>124.75</v>
      </c>
      <c r="H41">
        <f t="shared" si="0"/>
        <v>4.3871208146190651E-4</v>
      </c>
    </row>
    <row r="42" spans="1:11" ht="14.1">
      <c r="A42" s="7" t="s">
        <v>134</v>
      </c>
      <c r="B42" s="8" t="s">
        <v>24</v>
      </c>
      <c r="C42" s="9">
        <v>2023</v>
      </c>
      <c r="D42" s="8">
        <v>24671.025099999999</v>
      </c>
      <c r="E42" s="8">
        <v>0.97565999999999997</v>
      </c>
      <c r="F42" s="8">
        <v>8</v>
      </c>
      <c r="G42" s="8">
        <v>85</v>
      </c>
      <c r="H42">
        <f t="shared" si="0"/>
        <v>3.9546796132115322E-5</v>
      </c>
    </row>
    <row r="43" spans="1:11" ht="14.1">
      <c r="A43" s="7" t="s">
        <v>135</v>
      </c>
      <c r="B43" s="8" t="s">
        <v>14</v>
      </c>
      <c r="C43" s="9">
        <v>2024</v>
      </c>
      <c r="D43" s="8">
        <v>302.13747000000001</v>
      </c>
      <c r="E43" s="8">
        <v>8.9719999999999994E-2</v>
      </c>
      <c r="F43" s="9">
        <v>13</v>
      </c>
      <c r="G43" s="8">
        <v>136.58000000000001</v>
      </c>
      <c r="H43">
        <f t="shared" si="0"/>
        <v>2.9695092104928261E-4</v>
      </c>
    </row>
    <row r="44" spans="1:11" ht="14.1">
      <c r="A44" s="7" t="s">
        <v>136</v>
      </c>
      <c r="B44" s="8" t="s">
        <v>32</v>
      </c>
      <c r="C44" s="9">
        <v>2024</v>
      </c>
      <c r="D44" s="8">
        <v>658.21965</v>
      </c>
      <c r="E44" s="8">
        <v>9.9849999999999994E-2</v>
      </c>
      <c r="F44" s="8">
        <v>15</v>
      </c>
      <c r="G44" s="9">
        <v>156.36000000000001</v>
      </c>
      <c r="H44">
        <f t="shared" si="0"/>
        <v>1.5169708166567193E-4</v>
      </c>
    </row>
    <row r="45" spans="1:11" ht="14.1">
      <c r="A45" s="7" t="s">
        <v>137</v>
      </c>
      <c r="B45" s="8" t="s">
        <v>14</v>
      </c>
      <c r="C45" s="9">
        <v>2024</v>
      </c>
      <c r="D45" s="8">
        <v>758.54966999999999</v>
      </c>
      <c r="E45" s="8">
        <v>2.6549200000000002</v>
      </c>
      <c r="F45" s="9">
        <v>9</v>
      </c>
      <c r="G45" s="9">
        <v>134.65</v>
      </c>
      <c r="H45">
        <f t="shared" si="0"/>
        <v>3.4999949311163765E-3</v>
      </c>
    </row>
    <row r="46" spans="1:11" ht="14.1">
      <c r="A46" s="7" t="s">
        <v>138</v>
      </c>
      <c r="B46" s="8" t="s">
        <v>14</v>
      </c>
      <c r="C46" s="9">
        <v>2024</v>
      </c>
      <c r="D46" s="8">
        <v>454.37691000000001</v>
      </c>
      <c r="E46" s="8">
        <v>0.13253999999999999</v>
      </c>
      <c r="F46" s="9">
        <v>6</v>
      </c>
      <c r="G46" s="9">
        <v>100.72</v>
      </c>
      <c r="H46">
        <f t="shared" si="0"/>
        <v>2.9169616035286649E-4</v>
      </c>
    </row>
    <row r="47" spans="1:11" ht="14.1">
      <c r="A47" s="7" t="s">
        <v>139</v>
      </c>
      <c r="B47" s="8" t="s">
        <v>24</v>
      </c>
      <c r="C47" s="9">
        <v>2024</v>
      </c>
      <c r="D47" s="8">
        <v>3469.6172000000001</v>
      </c>
      <c r="E47" s="8">
        <v>8.5730000000000001E-2</v>
      </c>
      <c r="F47" s="8">
        <v>8</v>
      </c>
      <c r="G47" s="9">
        <v>134.65</v>
      </c>
      <c r="H47">
        <f t="shared" si="0"/>
        <v>2.4708777671496441E-5</v>
      </c>
    </row>
    <row r="48" spans="1:11" ht="15.75" customHeight="1">
      <c r="A48" s="7" t="s">
        <v>100</v>
      </c>
      <c r="B48" s="8" t="s">
        <v>96</v>
      </c>
      <c r="C48" s="9">
        <v>2016</v>
      </c>
      <c r="D48" s="8">
        <f>792.49264/2</f>
        <v>396.24632000000003</v>
      </c>
      <c r="E48" s="8">
        <f>0.07146/2</f>
        <v>3.5729999999999998E-2</v>
      </c>
      <c r="F48" s="8">
        <v>4</v>
      </c>
      <c r="G48" s="9">
        <v>79.09</v>
      </c>
      <c r="H48">
        <f t="shared" si="0"/>
        <v>9.0171184428917845E-5</v>
      </c>
    </row>
    <row r="49" spans="1:8" ht="15.75" customHeight="1">
      <c r="A49" s="7" t="s">
        <v>103</v>
      </c>
      <c r="B49" s="8" t="s">
        <v>96</v>
      </c>
      <c r="C49" s="9">
        <v>2017</v>
      </c>
      <c r="D49" s="8">
        <f>1264.39017/2</f>
        <v>632.19508499999995</v>
      </c>
      <c r="E49" s="8">
        <f>0.09205/2</f>
        <v>4.6025000000000003E-2</v>
      </c>
      <c r="F49" s="9">
        <v>11</v>
      </c>
      <c r="G49" s="9">
        <v>133.44999999999999</v>
      </c>
      <c r="H49">
        <f t="shared" si="0"/>
        <v>7.2801894687302105E-5</v>
      </c>
    </row>
    <row r="50" spans="1:8" ht="15.75" customHeight="1">
      <c r="A50" s="7" t="s">
        <v>104</v>
      </c>
      <c r="B50" s="8" t="s">
        <v>96</v>
      </c>
      <c r="C50" s="9">
        <v>2017</v>
      </c>
      <c r="D50" s="8">
        <f>1593.34501/2</f>
        <v>796.672505</v>
      </c>
      <c r="E50" s="8">
        <f>0.06012/2</f>
        <v>3.006E-2</v>
      </c>
      <c r="F50" s="9">
        <v>7</v>
      </c>
      <c r="G50" s="9">
        <v>137.25</v>
      </c>
      <c r="H50">
        <f t="shared" si="0"/>
        <v>3.7731941056507278E-5</v>
      </c>
    </row>
    <row r="51" spans="1:8" ht="15.75" customHeight="1">
      <c r="A51" s="7" t="s">
        <v>119</v>
      </c>
      <c r="B51" s="8" t="s">
        <v>29</v>
      </c>
      <c r="C51" s="9">
        <v>2020</v>
      </c>
      <c r="D51" s="8">
        <f>3456.45036/2</f>
        <v>1728.2251799999999</v>
      </c>
      <c r="E51" s="8">
        <f>0.06348/2</f>
        <v>3.1739999999999997E-2</v>
      </c>
      <c r="F51" s="9">
        <v>5</v>
      </c>
      <c r="G51" s="9">
        <v>130.38</v>
      </c>
      <c r="H51">
        <f t="shared" si="0"/>
        <v>1.8365662280189668E-5</v>
      </c>
    </row>
    <row r="52" spans="1:8" ht="15.75" customHeight="1">
      <c r="A52" s="7" t="s">
        <v>126</v>
      </c>
      <c r="B52" s="8" t="s">
        <v>29</v>
      </c>
      <c r="C52" s="9">
        <v>2021</v>
      </c>
      <c r="D52" s="8">
        <f>3151.45395/2</f>
        <v>1575.726975</v>
      </c>
      <c r="E52" s="8">
        <f>0.08206/2</f>
        <v>4.1029999999999997E-2</v>
      </c>
      <c r="F52" s="8">
        <v>11</v>
      </c>
      <c r="G52" s="8">
        <v>128</v>
      </c>
      <c r="H52">
        <f t="shared" si="0"/>
        <v>2.6038774896266528E-5</v>
      </c>
    </row>
    <row r="53" spans="1:8" ht="15.75" customHeight="1">
      <c r="A53" s="7" t="s">
        <v>129</v>
      </c>
      <c r="B53" s="8" t="s">
        <v>29</v>
      </c>
      <c r="C53" s="9">
        <v>2022</v>
      </c>
      <c r="D53" s="8">
        <f>3256.64741/2</f>
        <v>1628.323705</v>
      </c>
      <c r="E53" s="8">
        <f>0.20151/2</f>
        <v>0.100755</v>
      </c>
      <c r="F53" s="8">
        <v>2</v>
      </c>
      <c r="G53" s="9">
        <v>113.66</v>
      </c>
      <c r="H53">
        <f t="shared" si="0"/>
        <v>6.1876517359918918E-5</v>
      </c>
    </row>
    <row r="54" spans="1:8" ht="15.75" customHeight="1">
      <c r="A54" s="7" t="s">
        <v>131</v>
      </c>
      <c r="B54" s="8" t="s">
        <v>29</v>
      </c>
      <c r="C54" s="9">
        <v>2022</v>
      </c>
      <c r="D54" s="8">
        <f>2958.30573/2</f>
        <v>1479.152865</v>
      </c>
      <c r="E54" s="8">
        <f>0.01866/2</f>
        <v>9.3299999999999998E-3</v>
      </c>
      <c r="F54" s="8">
        <v>4</v>
      </c>
      <c r="G54" s="9">
        <v>133.13</v>
      </c>
      <c r="H54">
        <f t="shared" si="0"/>
        <v>6.3076644887545138E-6</v>
      </c>
    </row>
  </sheetData>
  <pageMargins left="0" right="0" top="0" bottom="0" header="0" footer="0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P27"/>
  <sheetViews>
    <sheetView topLeftCell="E1" workbookViewId="0">
      <selection activeCell="E2" sqref="E2"/>
    </sheetView>
  </sheetViews>
  <sheetFormatPr defaultColWidth="12.5703125" defaultRowHeight="15.75" customHeight="1"/>
  <cols>
    <col min="4" max="4" width="23.28515625" customWidth="1"/>
    <col min="5" max="5" width="11.7109375" customWidth="1"/>
    <col min="6" max="6" width="27.140625" customWidth="1"/>
    <col min="10" max="10" width="11.7109375" bestFit="1" customWidth="1"/>
    <col min="11" max="11" width="12.85546875" customWidth="1"/>
    <col min="12" max="12" width="17.5703125" customWidth="1"/>
    <col min="13" max="13" width="16" customWidth="1"/>
    <col min="14" max="14" width="19.5703125" customWidth="1"/>
    <col min="15" max="15" width="19.28515625" customWidth="1"/>
    <col min="16" max="16" width="17.7109375" bestFit="1" customWidth="1"/>
  </cols>
  <sheetData>
    <row r="1" spans="1:16" ht="15">
      <c r="A1" s="5" t="s">
        <v>140</v>
      </c>
      <c r="B1" s="10" t="s">
        <v>141</v>
      </c>
      <c r="C1" s="10" t="s">
        <v>80</v>
      </c>
      <c r="D1" s="10" t="s">
        <v>81</v>
      </c>
      <c r="E1" s="10" t="s">
        <v>82</v>
      </c>
      <c r="F1" s="10" t="s">
        <v>142</v>
      </c>
      <c r="G1" s="10" t="s">
        <v>143</v>
      </c>
      <c r="H1" s="18" t="s">
        <v>144</v>
      </c>
      <c r="J1" s="17" t="s">
        <v>141</v>
      </c>
      <c r="K1" t="s">
        <v>145</v>
      </c>
      <c r="L1" t="s">
        <v>86</v>
      </c>
      <c r="M1" t="s">
        <v>146</v>
      </c>
      <c r="N1" t="s">
        <v>147</v>
      </c>
      <c r="P1" t="s">
        <v>148</v>
      </c>
    </row>
    <row r="2" spans="1:16" ht="14.25">
      <c r="A2" s="1" t="s">
        <v>149</v>
      </c>
      <c r="B2" s="11" t="s">
        <v>19</v>
      </c>
      <c r="C2" s="11">
        <v>2015</v>
      </c>
      <c r="D2" s="11">
        <v>11.34891</v>
      </c>
      <c r="E2" s="11">
        <v>8.8289999999999993E-2</v>
      </c>
      <c r="F2" s="12">
        <v>13061</v>
      </c>
      <c r="G2" s="12">
        <v>954</v>
      </c>
      <c r="H2">
        <f>E2/D2</f>
        <v>7.7796017414888292E-3</v>
      </c>
      <c r="J2" t="s">
        <v>14</v>
      </c>
      <c r="K2">
        <v>2</v>
      </c>
      <c r="L2">
        <v>1.7315050000000001</v>
      </c>
      <c r="M2" s="19">
        <v>280731.5</v>
      </c>
      <c r="N2" s="19">
        <v>1692</v>
      </c>
    </row>
    <row r="3" spans="1:16" ht="14.25">
      <c r="A3" s="1" t="s">
        <v>150</v>
      </c>
      <c r="B3" s="11" t="s">
        <v>14</v>
      </c>
      <c r="C3" s="11">
        <v>2015</v>
      </c>
      <c r="D3" s="11">
        <v>50.234810000000003</v>
      </c>
      <c r="E3" s="11">
        <v>3.23983</v>
      </c>
      <c r="F3" s="12">
        <v>37691</v>
      </c>
      <c r="G3" s="12">
        <v>782</v>
      </c>
      <c r="H3">
        <f>E3/D3</f>
        <v>6.4493724570671207E-2</v>
      </c>
      <c r="J3" t="s">
        <v>19</v>
      </c>
      <c r="K3">
        <v>5</v>
      </c>
      <c r="L3">
        <v>0.44247800000000004</v>
      </c>
      <c r="M3" s="19">
        <v>65387.8</v>
      </c>
      <c r="N3" s="19">
        <v>1013</v>
      </c>
    </row>
    <row r="4" spans="1:16" ht="14.25">
      <c r="A4" s="1" t="s">
        <v>151</v>
      </c>
      <c r="B4" s="11" t="s">
        <v>32</v>
      </c>
      <c r="C4" s="11">
        <v>2017</v>
      </c>
      <c r="D4" s="11">
        <v>111.02536000000001</v>
      </c>
      <c r="E4" s="11">
        <v>0.10384</v>
      </c>
      <c r="F4" s="12">
        <v>44885</v>
      </c>
      <c r="G4" s="12">
        <v>1677</v>
      </c>
      <c r="H4">
        <f>E4/D4</f>
        <v>9.3528181309207191E-4</v>
      </c>
      <c r="J4" t="s">
        <v>35</v>
      </c>
      <c r="K4">
        <v>2</v>
      </c>
      <c r="L4">
        <v>0.13575999999999999</v>
      </c>
      <c r="M4" s="19">
        <v>15026.5</v>
      </c>
      <c r="N4" s="19">
        <v>731</v>
      </c>
    </row>
    <row r="5" spans="1:16" ht="14.25">
      <c r="A5" s="1" t="s">
        <v>152</v>
      </c>
      <c r="B5" s="11" t="s">
        <v>19</v>
      </c>
      <c r="C5" s="11">
        <v>2017</v>
      </c>
      <c r="D5" s="11">
        <v>22.238959999999999</v>
      </c>
      <c r="E5" s="11">
        <v>5.6169999999999998E-2</v>
      </c>
      <c r="F5" s="12">
        <v>15085</v>
      </c>
      <c r="G5" s="12">
        <v>1069</v>
      </c>
      <c r="H5">
        <f>E5/D5</f>
        <v>2.525747606902481E-3</v>
      </c>
      <c r="J5" t="s">
        <v>32</v>
      </c>
      <c r="K5">
        <v>2</v>
      </c>
      <c r="L5">
        <v>6.6205E-2</v>
      </c>
      <c r="M5" s="19">
        <v>46595.5</v>
      </c>
      <c r="N5" s="19">
        <v>1788</v>
      </c>
    </row>
    <row r="6" spans="1:16" ht="14.25">
      <c r="A6" s="1" t="s">
        <v>153</v>
      </c>
      <c r="B6" s="11" t="s">
        <v>19</v>
      </c>
      <c r="C6" s="11">
        <v>2017</v>
      </c>
      <c r="D6" s="11">
        <v>120.78133</v>
      </c>
      <c r="E6" s="11">
        <v>9.9169999999999994E-2</v>
      </c>
      <c r="F6" s="12">
        <v>54008</v>
      </c>
      <c r="G6" s="12">
        <v>960</v>
      </c>
      <c r="H6">
        <f>E6/D6</f>
        <v>8.2107060751856261E-4</v>
      </c>
      <c r="J6" t="s">
        <v>89</v>
      </c>
      <c r="K6">
        <v>11</v>
      </c>
      <c r="L6">
        <v>0.55266636363636368</v>
      </c>
      <c r="M6" s="19">
        <v>91967.818181818177</v>
      </c>
      <c r="N6" s="19">
        <v>1226.090909090909</v>
      </c>
    </row>
    <row r="7" spans="1:16" ht="14.25">
      <c r="A7" s="1" t="s">
        <v>154</v>
      </c>
      <c r="B7" s="11" t="s">
        <v>35</v>
      </c>
      <c r="C7" s="11">
        <v>2019</v>
      </c>
      <c r="D7" s="11">
        <v>21.34817</v>
      </c>
      <c r="E7" s="11">
        <v>0.24781</v>
      </c>
      <c r="F7" s="12">
        <v>17031</v>
      </c>
      <c r="G7" s="12">
        <v>425</v>
      </c>
      <c r="H7">
        <f>E7/D7</f>
        <v>1.1608020734329922E-2</v>
      </c>
    </row>
    <row r="8" spans="1:16" ht="14.25">
      <c r="A8" s="1" t="s">
        <v>155</v>
      </c>
      <c r="B8" s="11" t="s">
        <v>35</v>
      </c>
      <c r="C8" s="11">
        <v>2021</v>
      </c>
      <c r="D8" s="11">
        <v>10.23981</v>
      </c>
      <c r="E8" s="11">
        <v>2.3709999999999998E-2</v>
      </c>
      <c r="F8" s="12">
        <v>13022</v>
      </c>
      <c r="G8" s="12">
        <v>1037</v>
      </c>
      <c r="H8">
        <f>E8/D8</f>
        <v>2.3154726503714423E-3</v>
      </c>
    </row>
    <row r="9" spans="1:16" ht="35.25">
      <c r="A9" s="1" t="s">
        <v>156</v>
      </c>
      <c r="B9" s="11" t="s">
        <v>19</v>
      </c>
      <c r="C9" s="11">
        <v>2023</v>
      </c>
      <c r="D9" s="11">
        <v>99.234979999999993</v>
      </c>
      <c r="E9" s="11">
        <v>0.52771000000000001</v>
      </c>
      <c r="F9" s="12">
        <v>70857</v>
      </c>
      <c r="G9" s="12">
        <v>648</v>
      </c>
      <c r="H9">
        <f>E9/D9</f>
        <v>5.3177820965953741E-3</v>
      </c>
      <c r="J9" s="22" t="s">
        <v>141</v>
      </c>
      <c r="K9" s="23" t="s">
        <v>157</v>
      </c>
      <c r="L9" s="22" t="s">
        <v>158</v>
      </c>
      <c r="M9" s="22" t="s">
        <v>159</v>
      </c>
      <c r="N9" s="22" t="s">
        <v>160</v>
      </c>
      <c r="O9" s="27" t="s">
        <v>161</v>
      </c>
    </row>
    <row r="10" spans="1:16" ht="14.25">
      <c r="A10" s="1" t="s">
        <v>162</v>
      </c>
      <c r="B10" s="11" t="s">
        <v>32</v>
      </c>
      <c r="C10" s="11">
        <v>2023</v>
      </c>
      <c r="D10" s="11">
        <v>80.129840000000002</v>
      </c>
      <c r="E10" s="11">
        <v>2.8570000000000002E-2</v>
      </c>
      <c r="F10" s="12">
        <v>48306</v>
      </c>
      <c r="G10" s="12">
        <v>1899</v>
      </c>
      <c r="H10">
        <f>E10/D10</f>
        <v>3.5654632531401537E-4</v>
      </c>
      <c r="J10" s="24" t="s">
        <v>14</v>
      </c>
      <c r="K10" s="24">
        <v>2</v>
      </c>
      <c r="L10" s="24">
        <v>1.7315050000000001</v>
      </c>
      <c r="M10" s="25">
        <v>280731.5</v>
      </c>
      <c r="N10" s="26">
        <v>1692</v>
      </c>
      <c r="O10" s="28" t="s">
        <v>163</v>
      </c>
    </row>
    <row r="11" spans="1:16" ht="14.25">
      <c r="A11" s="1" t="s">
        <v>164</v>
      </c>
      <c r="B11" s="11" t="s">
        <v>14</v>
      </c>
      <c r="C11" s="11">
        <v>2023</v>
      </c>
      <c r="D11" s="11">
        <v>50.39481</v>
      </c>
      <c r="E11" s="11">
        <v>0.22317999999999999</v>
      </c>
      <c r="F11" s="12">
        <v>523772</v>
      </c>
      <c r="G11" s="12">
        <v>2602</v>
      </c>
      <c r="H11">
        <f>E11/D11</f>
        <v>4.4286306466876247E-3</v>
      </c>
      <c r="J11" s="24" t="s">
        <v>19</v>
      </c>
      <c r="K11" s="24">
        <v>5</v>
      </c>
      <c r="L11" s="24">
        <v>0.44247800000000004</v>
      </c>
      <c r="M11" s="25">
        <v>65387.8</v>
      </c>
      <c r="N11" s="26">
        <v>1013</v>
      </c>
      <c r="O11" s="28" t="s">
        <v>165</v>
      </c>
    </row>
    <row r="12" spans="1:16" ht="14.25">
      <c r="A12" s="1" t="s">
        <v>166</v>
      </c>
      <c r="B12" s="11" t="s">
        <v>19</v>
      </c>
      <c r="C12" s="11">
        <v>2024</v>
      </c>
      <c r="D12" s="11">
        <v>21.483260000000001</v>
      </c>
      <c r="E12" s="11">
        <v>1.4410499999999999</v>
      </c>
      <c r="F12" s="12">
        <v>173928</v>
      </c>
      <c r="G12" s="12">
        <v>1434</v>
      </c>
      <c r="H12">
        <f>E12/D12</f>
        <v>6.7077808489028196E-2</v>
      </c>
      <c r="J12" s="24" t="s">
        <v>167</v>
      </c>
      <c r="K12" s="24">
        <v>2</v>
      </c>
      <c r="L12" s="24">
        <v>0.13575999999999999</v>
      </c>
      <c r="M12" s="25">
        <v>15026.5</v>
      </c>
      <c r="N12" s="26">
        <v>731</v>
      </c>
      <c r="O12" s="28" t="s">
        <v>168</v>
      </c>
    </row>
    <row r="13" spans="1:16" ht="15.75" customHeight="1">
      <c r="J13" s="24" t="s">
        <v>32</v>
      </c>
      <c r="K13" s="24">
        <v>2</v>
      </c>
      <c r="L13" s="24">
        <v>6.6205E-2</v>
      </c>
      <c r="M13" s="25">
        <v>46595.5</v>
      </c>
      <c r="N13" s="26">
        <v>1788</v>
      </c>
      <c r="O13" s="28" t="s">
        <v>169</v>
      </c>
    </row>
    <row r="17" spans="5:6" ht="15.75" customHeight="1">
      <c r="E17" t="s">
        <v>170</v>
      </c>
      <c r="F17" t="s">
        <v>171</v>
      </c>
    </row>
    <row r="18" spans="5:6" ht="15.75" customHeight="1">
      <c r="E18" t="s">
        <v>172</v>
      </c>
      <c r="F18" t="s">
        <v>173</v>
      </c>
    </row>
    <row r="22" spans="5:6" ht="15.75" customHeight="1">
      <c r="E22" s="17" t="s">
        <v>141</v>
      </c>
      <c r="F22" t="s">
        <v>174</v>
      </c>
    </row>
    <row r="23" spans="5:6" ht="15.75" customHeight="1">
      <c r="E23" t="s">
        <v>14</v>
      </c>
      <c r="F23">
        <v>4.3191878553608221E-5</v>
      </c>
    </row>
    <row r="24" spans="5:6" ht="15.75" customHeight="1">
      <c r="E24" t="s">
        <v>19</v>
      </c>
      <c r="F24">
        <v>5.6104910710253468E-6</v>
      </c>
    </row>
    <row r="25" spans="5:6" ht="15.75" customHeight="1">
      <c r="E25" t="s">
        <v>35</v>
      </c>
      <c r="F25">
        <v>8.1856451858848461E-6</v>
      </c>
    </row>
    <row r="26" spans="5:6" ht="15.75" customHeight="1">
      <c r="E26" t="s">
        <v>32</v>
      </c>
      <c r="F26">
        <v>1.4524528337669663E-6</v>
      </c>
    </row>
    <row r="27" spans="5:6" ht="15.75" customHeight="1">
      <c r="E27" t="s">
        <v>89</v>
      </c>
      <c r="F27">
        <v>1.215567350014971E-5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P109"/>
  <sheetViews>
    <sheetView workbookViewId="0">
      <selection activeCell="S5" sqref="S5"/>
    </sheetView>
  </sheetViews>
  <sheetFormatPr defaultColWidth="12.5703125" defaultRowHeight="15.75" customHeight="1"/>
  <cols>
    <col min="4" max="4" width="24.28515625" customWidth="1"/>
    <col min="5" max="5" width="21.5703125" customWidth="1"/>
    <col min="6" max="6" width="16.7109375" customWidth="1"/>
    <col min="7" max="7" width="15.140625" customWidth="1"/>
    <col min="9" max="9" width="12.7109375" bestFit="1" customWidth="1"/>
    <col min="10" max="10" width="33.42578125" bestFit="1" customWidth="1"/>
    <col min="11" max="11" width="36" bestFit="1" customWidth="1"/>
    <col min="12" max="12" width="33.42578125" bestFit="1" customWidth="1"/>
    <col min="13" max="13" width="26.85546875" bestFit="1" customWidth="1"/>
    <col min="14" max="14" width="23" bestFit="1" customWidth="1"/>
    <col min="15" max="15" width="26" bestFit="1" customWidth="1"/>
    <col min="16" max="16" width="23.28515625" bestFit="1" customWidth="1"/>
    <col min="19" max="19" width="12.7109375" bestFit="1" customWidth="1"/>
    <col min="20" max="20" width="13.7109375" bestFit="1" customWidth="1"/>
  </cols>
  <sheetData>
    <row r="1" spans="1:16" ht="14.1">
      <c r="A1" s="5" t="s">
        <v>175</v>
      </c>
      <c r="B1" s="13" t="s">
        <v>10</v>
      </c>
      <c r="C1" s="13" t="s">
        <v>80</v>
      </c>
      <c r="D1" s="13" t="s">
        <v>81</v>
      </c>
      <c r="E1" s="13" t="s">
        <v>82</v>
      </c>
      <c r="F1" s="13" t="s">
        <v>176</v>
      </c>
      <c r="G1" s="13" t="s">
        <v>84</v>
      </c>
      <c r="I1" s="17" t="s">
        <v>10</v>
      </c>
      <c r="J1" s="17" t="s">
        <v>80</v>
      </c>
      <c r="K1" t="s">
        <v>177</v>
      </c>
      <c r="L1" t="s">
        <v>86</v>
      </c>
      <c r="M1" t="s">
        <v>178</v>
      </c>
      <c r="N1" t="s">
        <v>179</v>
      </c>
      <c r="O1" t="s">
        <v>180</v>
      </c>
      <c r="P1" t="s">
        <v>181</v>
      </c>
    </row>
    <row r="2" spans="1:16" ht="14.1">
      <c r="A2" s="7" t="s">
        <v>182</v>
      </c>
      <c r="B2" s="8" t="s">
        <v>32</v>
      </c>
      <c r="C2" s="9">
        <v>2014</v>
      </c>
      <c r="D2" s="8">
        <v>239.12334999999999</v>
      </c>
      <c r="E2" s="8">
        <v>0.12049</v>
      </c>
      <c r="F2" s="8">
        <v>233</v>
      </c>
      <c r="G2" s="8">
        <v>97</v>
      </c>
      <c r="I2" t="s">
        <v>14</v>
      </c>
      <c r="J2">
        <v>2014</v>
      </c>
      <c r="K2">
        <v>172.10878750000001</v>
      </c>
      <c r="L2">
        <v>7.0105000000000001E-2</v>
      </c>
      <c r="M2">
        <v>101</v>
      </c>
      <c r="N2">
        <v>104</v>
      </c>
      <c r="O2">
        <v>90</v>
      </c>
      <c r="P2">
        <v>94</v>
      </c>
    </row>
    <row r="3" spans="1:16" ht="14.1">
      <c r="A3" s="7" t="s">
        <v>183</v>
      </c>
      <c r="B3" s="8" t="s">
        <v>35</v>
      </c>
      <c r="C3" s="9">
        <v>2014</v>
      </c>
      <c r="D3" s="8">
        <f>534.45913/2</f>
        <v>267.22956499999998</v>
      </c>
      <c r="E3" s="9">
        <f>0.03752/2</f>
        <v>1.8759999999999999E-2</v>
      </c>
      <c r="F3" s="8">
        <v>79</v>
      </c>
      <c r="G3" s="8">
        <v>140</v>
      </c>
      <c r="J3">
        <v>2015</v>
      </c>
      <c r="K3">
        <v>497.71223499999996</v>
      </c>
      <c r="L3">
        <v>0.13224500000000003</v>
      </c>
      <c r="M3">
        <v>70.333333333333329</v>
      </c>
      <c r="N3">
        <v>79</v>
      </c>
      <c r="O3">
        <v>81</v>
      </c>
      <c r="P3">
        <v>103</v>
      </c>
    </row>
    <row r="4" spans="1:16" ht="14.1">
      <c r="A4" s="7" t="s">
        <v>184</v>
      </c>
      <c r="B4" s="8" t="s">
        <v>24</v>
      </c>
      <c r="C4" s="9">
        <v>2014</v>
      </c>
      <c r="D4" s="8">
        <v>294.47411</v>
      </c>
      <c r="E4" s="8">
        <v>0.15484999999999999</v>
      </c>
      <c r="F4" s="8">
        <v>68</v>
      </c>
      <c r="G4" s="9">
        <v>65</v>
      </c>
      <c r="J4">
        <v>2016</v>
      </c>
      <c r="K4">
        <v>995.79201999999987</v>
      </c>
      <c r="L4">
        <v>7.4075000000000002E-2</v>
      </c>
      <c r="M4">
        <v>86.5</v>
      </c>
      <c r="N4">
        <v>89</v>
      </c>
      <c r="O4">
        <v>81</v>
      </c>
      <c r="P4">
        <v>97</v>
      </c>
    </row>
    <row r="5" spans="1:16" ht="14.1">
      <c r="A5" s="7" t="s">
        <v>185</v>
      </c>
      <c r="B5" s="8" t="s">
        <v>24</v>
      </c>
      <c r="C5" s="9">
        <v>2014</v>
      </c>
      <c r="D5" s="8">
        <v>284.59280999999999</v>
      </c>
      <c r="E5" s="8">
        <v>0.11674</v>
      </c>
      <c r="F5" s="8">
        <v>114</v>
      </c>
      <c r="G5" s="8">
        <v>131</v>
      </c>
      <c r="J5">
        <v>2017</v>
      </c>
      <c r="K5">
        <v>199.60987</v>
      </c>
      <c r="L5">
        <v>9.2715000000000006E-2</v>
      </c>
      <c r="M5">
        <v>76</v>
      </c>
      <c r="N5">
        <v>76</v>
      </c>
      <c r="O5">
        <v>151</v>
      </c>
      <c r="P5">
        <v>151</v>
      </c>
    </row>
    <row r="6" spans="1:16" ht="14.1">
      <c r="A6" s="7" t="s">
        <v>186</v>
      </c>
      <c r="B6" s="8" t="s">
        <v>35</v>
      </c>
      <c r="C6" s="9">
        <v>2014</v>
      </c>
      <c r="D6" s="8">
        <v>293.45812999999998</v>
      </c>
      <c r="E6" s="8">
        <v>0.22428000000000001</v>
      </c>
      <c r="F6" s="8">
        <v>143</v>
      </c>
      <c r="G6" s="8">
        <v>118</v>
      </c>
      <c r="J6">
        <v>2019</v>
      </c>
      <c r="K6">
        <v>400.81926750000002</v>
      </c>
      <c r="L6">
        <v>7.4377499999999999E-2</v>
      </c>
      <c r="M6">
        <v>62.5</v>
      </c>
      <c r="N6">
        <v>76</v>
      </c>
      <c r="O6">
        <v>79</v>
      </c>
      <c r="P6">
        <v>80</v>
      </c>
    </row>
    <row r="7" spans="1:16" ht="14.1">
      <c r="A7" s="7" t="s">
        <v>187</v>
      </c>
      <c r="B7" s="8" t="s">
        <v>14</v>
      </c>
      <c r="C7" s="9">
        <v>2014</v>
      </c>
      <c r="D7" s="8">
        <v>124.49817</v>
      </c>
      <c r="E7" s="8">
        <v>4.6690000000000002E-2</v>
      </c>
      <c r="F7" s="8">
        <v>98</v>
      </c>
      <c r="G7" s="8">
        <v>94</v>
      </c>
      <c r="J7">
        <v>2020</v>
      </c>
      <c r="K7">
        <v>1303.29483</v>
      </c>
      <c r="L7">
        <v>0.62948999999999999</v>
      </c>
      <c r="M7">
        <v>292</v>
      </c>
      <c r="N7">
        <v>292</v>
      </c>
      <c r="O7">
        <v>117</v>
      </c>
      <c r="P7">
        <v>117</v>
      </c>
    </row>
    <row r="8" spans="1:16" ht="14.1">
      <c r="A8" s="7" t="s">
        <v>188</v>
      </c>
      <c r="B8" s="8" t="s">
        <v>96</v>
      </c>
      <c r="C8" s="9">
        <v>2014</v>
      </c>
      <c r="D8">
        <v>219.71940499999999</v>
      </c>
      <c r="E8">
        <v>9.3520000000000006E-2</v>
      </c>
      <c r="F8" s="8">
        <v>104</v>
      </c>
      <c r="G8" s="8">
        <v>86</v>
      </c>
      <c r="J8">
        <v>2021</v>
      </c>
      <c r="K8">
        <v>169.64282499999999</v>
      </c>
      <c r="L8">
        <v>4.4595000000000003E-2</v>
      </c>
      <c r="M8">
        <v>16</v>
      </c>
      <c r="N8">
        <v>16</v>
      </c>
      <c r="O8">
        <v>150</v>
      </c>
      <c r="P8">
        <v>150</v>
      </c>
    </row>
    <row r="9" spans="1:16" ht="14.1">
      <c r="A9" s="7" t="s">
        <v>189</v>
      </c>
      <c r="B9" s="8" t="s">
        <v>32</v>
      </c>
      <c r="C9" s="9">
        <v>2014</v>
      </c>
      <c r="D9" s="8">
        <v>352.49164000000002</v>
      </c>
      <c r="E9" s="8">
        <v>4.3880000000000002E-2</v>
      </c>
      <c r="F9" s="8">
        <v>128</v>
      </c>
      <c r="G9" s="8">
        <v>69</v>
      </c>
      <c r="J9">
        <v>2022</v>
      </c>
      <c r="K9">
        <v>559.23952099999997</v>
      </c>
      <c r="L9">
        <v>4.1930000000000002E-2</v>
      </c>
      <c r="M9">
        <v>126</v>
      </c>
      <c r="N9">
        <v>126</v>
      </c>
      <c r="O9">
        <v>90</v>
      </c>
      <c r="P9">
        <v>90</v>
      </c>
    </row>
    <row r="10" spans="1:16" ht="14.1">
      <c r="A10" s="7" t="s">
        <v>190</v>
      </c>
      <c r="B10" s="8" t="s">
        <v>29</v>
      </c>
      <c r="C10" s="9">
        <v>2015</v>
      </c>
      <c r="D10">
        <v>451.56421499999999</v>
      </c>
      <c r="E10">
        <v>5.3414999999999997E-2</v>
      </c>
      <c r="F10" s="8">
        <v>96</v>
      </c>
      <c r="G10" s="8">
        <v>109</v>
      </c>
      <c r="I10" t="s">
        <v>191</v>
      </c>
      <c r="K10">
        <v>527.87414623076916</v>
      </c>
      <c r="L10">
        <v>0.12635230769230771</v>
      </c>
      <c r="M10">
        <v>93.92307692307692</v>
      </c>
      <c r="N10">
        <v>292</v>
      </c>
      <c r="O10">
        <v>96.230769230769226</v>
      </c>
      <c r="P10">
        <v>151</v>
      </c>
    </row>
    <row r="11" spans="1:16" ht="14.1">
      <c r="A11" s="7" t="s">
        <v>192</v>
      </c>
      <c r="B11" s="8" t="s">
        <v>14</v>
      </c>
      <c r="C11" s="9">
        <v>2015</v>
      </c>
      <c r="D11" s="8">
        <v>413.24516</v>
      </c>
      <c r="E11" s="8">
        <v>0.18793000000000001</v>
      </c>
      <c r="F11" s="8">
        <v>57</v>
      </c>
      <c r="G11" s="8">
        <v>103</v>
      </c>
      <c r="I11" t="s">
        <v>19</v>
      </c>
      <c r="J11">
        <v>2017</v>
      </c>
      <c r="K11">
        <v>1534.32981</v>
      </c>
      <c r="L11">
        <v>9.3869999999999995E-2</v>
      </c>
      <c r="M11">
        <v>52</v>
      </c>
      <c r="N11">
        <v>52</v>
      </c>
      <c r="O11">
        <v>100</v>
      </c>
      <c r="P11">
        <v>100</v>
      </c>
    </row>
    <row r="12" spans="1:16" ht="14.1">
      <c r="A12" s="7" t="s">
        <v>193</v>
      </c>
      <c r="B12" s="8" t="s">
        <v>96</v>
      </c>
      <c r="C12" s="9">
        <v>2015</v>
      </c>
      <c r="D12">
        <v>319.56196499999999</v>
      </c>
      <c r="E12">
        <v>0.125335</v>
      </c>
      <c r="F12" s="8">
        <v>79</v>
      </c>
      <c r="G12" s="9">
        <v>65</v>
      </c>
      <c r="J12">
        <v>2019</v>
      </c>
      <c r="K12">
        <v>1573.3497199999999</v>
      </c>
      <c r="L12">
        <v>4.2840000000000003E-2</v>
      </c>
      <c r="M12">
        <v>65</v>
      </c>
      <c r="N12">
        <v>65</v>
      </c>
      <c r="O12">
        <v>97</v>
      </c>
      <c r="P12">
        <v>97</v>
      </c>
    </row>
    <row r="13" spans="1:16" ht="14.1">
      <c r="A13" s="7" t="s">
        <v>194</v>
      </c>
      <c r="B13" s="8" t="s">
        <v>32</v>
      </c>
      <c r="C13" s="9">
        <v>2015</v>
      </c>
      <c r="D13" s="8">
        <v>532.42381</v>
      </c>
      <c r="E13" s="9">
        <v>5.271E-2</v>
      </c>
      <c r="F13" s="8">
        <v>56</v>
      </c>
      <c r="G13" s="8">
        <v>98</v>
      </c>
      <c r="J13">
        <v>2020</v>
      </c>
      <c r="K13">
        <v>2001.43947</v>
      </c>
      <c r="L13">
        <v>0.58392999999999995</v>
      </c>
      <c r="M13">
        <v>304</v>
      </c>
      <c r="N13">
        <v>304</v>
      </c>
      <c r="O13">
        <v>99</v>
      </c>
      <c r="P13">
        <v>99</v>
      </c>
    </row>
    <row r="14" spans="1:16" ht="14.1">
      <c r="A14" s="7" t="s">
        <v>195</v>
      </c>
      <c r="B14" s="8" t="s">
        <v>14</v>
      </c>
      <c r="C14" s="9">
        <v>2015</v>
      </c>
      <c r="D14" s="8">
        <v>760.32957999999996</v>
      </c>
      <c r="E14" s="8">
        <v>8.3470000000000003E-2</v>
      </c>
      <c r="F14" s="8">
        <v>75</v>
      </c>
      <c r="G14" s="8">
        <v>75</v>
      </c>
      <c r="J14">
        <v>2022</v>
      </c>
      <c r="K14">
        <v>1204.39284</v>
      </c>
      <c r="L14">
        <v>9.9180000000000004E-2</v>
      </c>
      <c r="M14">
        <v>91</v>
      </c>
      <c r="N14">
        <v>91</v>
      </c>
      <c r="O14">
        <v>90</v>
      </c>
      <c r="P14">
        <v>90</v>
      </c>
    </row>
    <row r="15" spans="1:16" ht="14.1">
      <c r="A15" s="7" t="s">
        <v>196</v>
      </c>
      <c r="B15" s="8" t="s">
        <v>35</v>
      </c>
      <c r="C15" s="9">
        <v>2015</v>
      </c>
      <c r="D15" s="8">
        <v>503.23941000000002</v>
      </c>
      <c r="E15" s="8">
        <v>0.12967999999999999</v>
      </c>
      <c r="F15" s="8">
        <v>90</v>
      </c>
      <c r="G15" s="8">
        <v>93</v>
      </c>
      <c r="J15">
        <v>2024</v>
      </c>
      <c r="K15">
        <v>1684.6940400000001</v>
      </c>
      <c r="L15">
        <v>0.21085999999999999</v>
      </c>
      <c r="M15">
        <v>211</v>
      </c>
      <c r="N15">
        <v>211</v>
      </c>
      <c r="O15">
        <v>115</v>
      </c>
      <c r="P15">
        <v>115</v>
      </c>
    </row>
    <row r="16" spans="1:16" ht="14.1">
      <c r="A16" s="7" t="s">
        <v>197</v>
      </c>
      <c r="B16" s="8" t="s">
        <v>32</v>
      </c>
      <c r="C16" s="9">
        <v>2015</v>
      </c>
      <c r="D16" s="9">
        <v>33.690348</v>
      </c>
      <c r="E16" s="8">
        <v>0.29368</v>
      </c>
      <c r="F16" s="8">
        <v>55</v>
      </c>
      <c r="G16" s="8">
        <v>120</v>
      </c>
      <c r="I16" t="s">
        <v>198</v>
      </c>
      <c r="K16">
        <v>1599.6411759999999</v>
      </c>
      <c r="L16">
        <v>0.20613600000000001</v>
      </c>
      <c r="M16">
        <v>144.6</v>
      </c>
      <c r="N16">
        <v>304</v>
      </c>
      <c r="O16">
        <v>100.2</v>
      </c>
      <c r="P16">
        <v>115</v>
      </c>
    </row>
    <row r="17" spans="1:16" ht="14.1">
      <c r="A17" s="7" t="s">
        <v>199</v>
      </c>
      <c r="B17" s="8" t="s">
        <v>24</v>
      </c>
      <c r="C17" s="9">
        <v>2015</v>
      </c>
      <c r="D17" s="8">
        <v>154.23488</v>
      </c>
      <c r="E17" s="8">
        <v>0.10381</v>
      </c>
      <c r="F17" s="8">
        <v>42</v>
      </c>
      <c r="G17" s="8">
        <v>68</v>
      </c>
      <c r="I17" t="s">
        <v>35</v>
      </c>
      <c r="J17">
        <v>2014</v>
      </c>
      <c r="K17">
        <v>280.34384749999998</v>
      </c>
      <c r="L17">
        <v>0.12152</v>
      </c>
      <c r="M17">
        <v>111</v>
      </c>
      <c r="N17">
        <v>143</v>
      </c>
      <c r="O17">
        <v>129</v>
      </c>
      <c r="P17">
        <v>140</v>
      </c>
    </row>
    <row r="18" spans="1:16" ht="14.1">
      <c r="A18" s="7" t="s">
        <v>200</v>
      </c>
      <c r="B18" s="8" t="s">
        <v>24</v>
      </c>
      <c r="C18" s="9">
        <v>2015</v>
      </c>
      <c r="D18" s="8">
        <v>145.39491000000001</v>
      </c>
      <c r="E18" s="9">
        <v>0.15928999999999999</v>
      </c>
      <c r="F18" s="8">
        <v>45</v>
      </c>
      <c r="G18" s="8">
        <v>65</v>
      </c>
      <c r="J18">
        <v>2015</v>
      </c>
      <c r="K18">
        <v>503.23941000000002</v>
      </c>
      <c r="L18">
        <v>0.12967999999999999</v>
      </c>
      <c r="M18">
        <v>90</v>
      </c>
      <c r="N18">
        <v>90</v>
      </c>
      <c r="O18">
        <v>93</v>
      </c>
      <c r="P18">
        <v>93</v>
      </c>
    </row>
    <row r="19" spans="1:16" ht="14.1">
      <c r="A19" s="7" t="s">
        <v>201</v>
      </c>
      <c r="B19" s="8" t="s">
        <v>35</v>
      </c>
      <c r="C19" s="9">
        <v>2016</v>
      </c>
      <c r="D19" s="8">
        <v>532.23491000000001</v>
      </c>
      <c r="E19" s="8">
        <v>0.13059000000000001</v>
      </c>
      <c r="F19" s="8">
        <v>108</v>
      </c>
      <c r="G19" s="9">
        <v>65</v>
      </c>
      <c r="J19">
        <v>2016</v>
      </c>
      <c r="K19">
        <v>533.14658444444444</v>
      </c>
      <c r="L19">
        <v>6.9272222222222221E-2</v>
      </c>
      <c r="M19">
        <v>87</v>
      </c>
      <c r="N19">
        <v>108</v>
      </c>
      <c r="O19">
        <v>100.33333333333333</v>
      </c>
      <c r="P19">
        <v>127</v>
      </c>
    </row>
    <row r="20" spans="1:16" ht="14.1">
      <c r="A20" s="7" t="s">
        <v>202</v>
      </c>
      <c r="B20" s="8" t="s">
        <v>14</v>
      </c>
      <c r="C20" s="9">
        <v>2016</v>
      </c>
      <c r="D20" s="8">
        <v>1194.2349099999999</v>
      </c>
      <c r="E20" s="8">
        <v>7.9339999999999994E-2</v>
      </c>
      <c r="F20" s="8">
        <v>89</v>
      </c>
      <c r="G20" s="8">
        <v>97</v>
      </c>
      <c r="J20">
        <v>2018</v>
      </c>
      <c r="K20">
        <v>2672.8796674999999</v>
      </c>
      <c r="L20">
        <v>5.0619999999999998E-2</v>
      </c>
      <c r="M20">
        <v>84.5</v>
      </c>
      <c r="N20">
        <v>87</v>
      </c>
      <c r="O20">
        <v>83</v>
      </c>
      <c r="P20">
        <v>101</v>
      </c>
    </row>
    <row r="21" spans="1:16" ht="14.1">
      <c r="A21" s="7" t="s">
        <v>203</v>
      </c>
      <c r="B21" s="8" t="s">
        <v>14</v>
      </c>
      <c r="C21" s="9">
        <v>2016</v>
      </c>
      <c r="D21" s="8">
        <v>797.34912999999995</v>
      </c>
      <c r="E21" s="8">
        <v>6.8809999999999996E-2</v>
      </c>
      <c r="F21" s="8">
        <v>84</v>
      </c>
      <c r="G21" s="9">
        <v>65</v>
      </c>
      <c r="J21">
        <v>2019</v>
      </c>
      <c r="K21">
        <v>525.37153999999998</v>
      </c>
      <c r="L21">
        <v>0.10178000000000001</v>
      </c>
      <c r="M21">
        <v>85.5</v>
      </c>
      <c r="N21">
        <v>109</v>
      </c>
      <c r="O21">
        <v>83.5</v>
      </c>
      <c r="P21">
        <v>90</v>
      </c>
    </row>
    <row r="22" spans="1:16" ht="14.1">
      <c r="A22" s="7" t="s">
        <v>204</v>
      </c>
      <c r="B22" s="8" t="s">
        <v>24</v>
      </c>
      <c r="C22" s="9">
        <v>2016</v>
      </c>
      <c r="D22" s="8">
        <v>103.23878000000001</v>
      </c>
      <c r="E22" s="8">
        <v>5.8729999999999997E-2</v>
      </c>
      <c r="F22" s="8">
        <v>50</v>
      </c>
      <c r="G22" s="8">
        <v>106</v>
      </c>
      <c r="J22">
        <v>2020</v>
      </c>
      <c r="K22">
        <v>2004.5014627777775</v>
      </c>
      <c r="L22">
        <v>3.9901111111111109E-2</v>
      </c>
      <c r="M22">
        <v>117.33333333333333</v>
      </c>
      <c r="N22">
        <v>211</v>
      </c>
      <c r="O22">
        <v>101.33333333333333</v>
      </c>
      <c r="P22">
        <v>126</v>
      </c>
    </row>
    <row r="23" spans="1:16" ht="14.1">
      <c r="A23" s="7" t="s">
        <v>205</v>
      </c>
      <c r="B23" s="8" t="s">
        <v>35</v>
      </c>
      <c r="C23" s="9">
        <v>2016</v>
      </c>
      <c r="D23" s="8">
        <v>703.09234000000004</v>
      </c>
      <c r="E23" s="9">
        <v>3.9530000000000003E-2</v>
      </c>
      <c r="F23" s="8">
        <v>53</v>
      </c>
      <c r="G23" s="8">
        <v>127</v>
      </c>
      <c r="J23">
        <v>2021</v>
      </c>
      <c r="K23">
        <v>826.64507000000003</v>
      </c>
      <c r="L23">
        <v>0.146565</v>
      </c>
      <c r="M23">
        <v>76</v>
      </c>
      <c r="N23">
        <v>76</v>
      </c>
      <c r="O23">
        <v>125</v>
      </c>
      <c r="P23">
        <v>125</v>
      </c>
    </row>
    <row r="24" spans="1:16" ht="14.1">
      <c r="A24" s="7" t="s">
        <v>206</v>
      </c>
      <c r="B24" s="8" t="s">
        <v>35</v>
      </c>
      <c r="C24" s="9">
        <v>2016</v>
      </c>
      <c r="D24" s="8">
        <f>1092.33751/3</f>
        <v>364.11250333333334</v>
      </c>
      <c r="E24" s="8">
        <f>0.11309/3</f>
        <v>3.7696666666666663E-2</v>
      </c>
      <c r="F24" s="8">
        <v>100</v>
      </c>
      <c r="G24" s="8">
        <v>109</v>
      </c>
      <c r="J24">
        <v>2022</v>
      </c>
      <c r="K24">
        <v>317.29466000000002</v>
      </c>
      <c r="L24">
        <v>0.24087</v>
      </c>
      <c r="M24">
        <v>262</v>
      </c>
      <c r="N24">
        <v>262</v>
      </c>
      <c r="O24">
        <v>79</v>
      </c>
      <c r="P24">
        <v>79</v>
      </c>
    </row>
    <row r="25" spans="1:16" ht="14.1">
      <c r="A25" s="7" t="s">
        <v>207</v>
      </c>
      <c r="B25" s="8" t="s">
        <v>29</v>
      </c>
      <c r="C25" s="9">
        <v>2016</v>
      </c>
      <c r="D25">
        <v>1645.67497</v>
      </c>
      <c r="E25">
        <v>5.0470000000000001E-2</v>
      </c>
      <c r="F25" s="8">
        <v>88</v>
      </c>
      <c r="G25" s="8">
        <v>116</v>
      </c>
      <c r="J25">
        <v>2023</v>
      </c>
      <c r="K25">
        <v>343.46124333333336</v>
      </c>
      <c r="L25">
        <v>0.10844666666666668</v>
      </c>
      <c r="M25">
        <v>101.33333333333333</v>
      </c>
      <c r="N25">
        <v>121</v>
      </c>
      <c r="O25">
        <v>95.333333333333329</v>
      </c>
      <c r="P25">
        <v>117</v>
      </c>
    </row>
    <row r="26" spans="1:16" ht="14.1">
      <c r="A26" s="7" t="s">
        <v>208</v>
      </c>
      <c r="B26" s="8" t="s">
        <v>29</v>
      </c>
      <c r="C26" s="9">
        <v>2016</v>
      </c>
      <c r="D26">
        <v>2965.1191650000001</v>
      </c>
      <c r="E26">
        <v>0.13356499999999999</v>
      </c>
      <c r="F26" s="8">
        <v>70</v>
      </c>
      <c r="G26" s="8">
        <v>96</v>
      </c>
      <c r="I26" t="s">
        <v>209</v>
      </c>
      <c r="K26">
        <v>958.20539564814817</v>
      </c>
      <c r="L26">
        <v>9.5434166666666653E-2</v>
      </c>
      <c r="M26">
        <v>105.94444444444444</v>
      </c>
      <c r="N26">
        <v>262</v>
      </c>
      <c r="O26">
        <v>98.833333333333329</v>
      </c>
      <c r="P26">
        <v>140</v>
      </c>
    </row>
    <row r="27" spans="1:16" ht="14.1">
      <c r="A27" s="7" t="s">
        <v>210</v>
      </c>
      <c r="B27" s="8" t="s">
        <v>96</v>
      </c>
      <c r="C27" s="9">
        <v>2017</v>
      </c>
      <c r="D27">
        <v>199.60987</v>
      </c>
      <c r="E27">
        <v>9.2715000000000006E-2</v>
      </c>
      <c r="F27" s="8">
        <v>76</v>
      </c>
      <c r="G27" s="8">
        <v>151</v>
      </c>
      <c r="I27" t="s">
        <v>91</v>
      </c>
      <c r="J27">
        <v>2021</v>
      </c>
      <c r="K27">
        <v>503.23932000000002</v>
      </c>
      <c r="L27">
        <v>5.935E-2</v>
      </c>
      <c r="M27">
        <v>75</v>
      </c>
      <c r="N27">
        <v>75</v>
      </c>
      <c r="O27">
        <v>100</v>
      </c>
      <c r="P27">
        <v>100</v>
      </c>
    </row>
    <row r="28" spans="1:16" ht="14.1">
      <c r="A28" s="7" t="s">
        <v>211</v>
      </c>
      <c r="B28" s="8" t="s">
        <v>24</v>
      </c>
      <c r="C28" s="9">
        <v>2017</v>
      </c>
      <c r="D28" s="8">
        <v>1529.20948</v>
      </c>
      <c r="E28" s="8">
        <v>0.12093</v>
      </c>
      <c r="F28" s="8">
        <v>69</v>
      </c>
      <c r="G28" s="8">
        <v>107</v>
      </c>
      <c r="J28">
        <v>2023</v>
      </c>
      <c r="K28">
        <v>101.28463000000001</v>
      </c>
      <c r="L28">
        <v>0.21496000000000001</v>
      </c>
      <c r="M28">
        <v>78</v>
      </c>
      <c r="N28">
        <v>78</v>
      </c>
      <c r="O28">
        <v>89</v>
      </c>
      <c r="P28">
        <v>89</v>
      </c>
    </row>
    <row r="29" spans="1:16" ht="14.1">
      <c r="A29" s="7" t="s">
        <v>212</v>
      </c>
      <c r="B29" s="8" t="s">
        <v>19</v>
      </c>
      <c r="C29" s="9">
        <v>2017</v>
      </c>
      <c r="D29" s="8">
        <v>1534.32981</v>
      </c>
      <c r="E29" s="8">
        <v>9.3869999999999995E-2</v>
      </c>
      <c r="F29" s="8">
        <v>52</v>
      </c>
      <c r="G29" s="8">
        <v>100</v>
      </c>
      <c r="I29" t="s">
        <v>213</v>
      </c>
      <c r="K29">
        <v>302.26197500000001</v>
      </c>
      <c r="L29">
        <v>0.137155</v>
      </c>
      <c r="M29">
        <v>76.5</v>
      </c>
      <c r="N29">
        <v>78</v>
      </c>
      <c r="O29">
        <v>94.5</v>
      </c>
      <c r="P29">
        <v>100</v>
      </c>
    </row>
    <row r="30" spans="1:16" ht="14.1">
      <c r="A30" s="7" t="s">
        <v>214</v>
      </c>
      <c r="B30" s="8" t="s">
        <v>35</v>
      </c>
      <c r="C30" s="9">
        <v>2018</v>
      </c>
      <c r="D30" s="8">
        <f>2909.39381/2</f>
        <v>1454.696905</v>
      </c>
      <c r="E30" s="8">
        <f>0.06219/2</f>
        <v>3.1095000000000001E-2</v>
      </c>
      <c r="F30" s="8">
        <v>87</v>
      </c>
      <c r="G30" s="8">
        <v>101</v>
      </c>
      <c r="I30" t="s">
        <v>215</v>
      </c>
      <c r="J30">
        <v>2024</v>
      </c>
      <c r="K30">
        <v>2342.7830399999998</v>
      </c>
      <c r="L30">
        <v>0.12885333333333335</v>
      </c>
      <c r="M30">
        <v>67</v>
      </c>
      <c r="N30">
        <v>67</v>
      </c>
      <c r="O30">
        <v>65</v>
      </c>
      <c r="P30">
        <v>65</v>
      </c>
    </row>
    <row r="31" spans="1:16" ht="14.1">
      <c r="A31" s="7" t="s">
        <v>216</v>
      </c>
      <c r="B31" s="8" t="s">
        <v>29</v>
      </c>
      <c r="C31" s="9">
        <v>2018</v>
      </c>
      <c r="D31">
        <v>3017.4717900000001</v>
      </c>
      <c r="E31">
        <v>0.10074</v>
      </c>
      <c r="F31" s="8">
        <v>76</v>
      </c>
      <c r="G31" s="8">
        <v>90</v>
      </c>
      <c r="I31" t="s">
        <v>217</v>
      </c>
      <c r="K31">
        <v>2342.7830399999998</v>
      </c>
      <c r="L31">
        <v>0.12885333333333335</v>
      </c>
      <c r="M31">
        <v>67</v>
      </c>
      <c r="N31">
        <v>67</v>
      </c>
      <c r="O31">
        <v>65</v>
      </c>
      <c r="P31">
        <v>65</v>
      </c>
    </row>
    <row r="32" spans="1:16" ht="14.1">
      <c r="A32" s="7" t="s">
        <v>218</v>
      </c>
      <c r="B32" s="8" t="s">
        <v>24</v>
      </c>
      <c r="C32" s="9">
        <v>2018</v>
      </c>
      <c r="D32" s="8">
        <v>4029.2305900000001</v>
      </c>
      <c r="E32" s="8">
        <v>0.10625</v>
      </c>
      <c r="F32" s="8">
        <v>64</v>
      </c>
      <c r="G32" s="8">
        <v>79</v>
      </c>
      <c r="I32" t="s">
        <v>24</v>
      </c>
      <c r="J32">
        <v>2014</v>
      </c>
      <c r="K32">
        <v>289.53345999999999</v>
      </c>
      <c r="L32">
        <v>0.135795</v>
      </c>
      <c r="M32">
        <v>91</v>
      </c>
      <c r="N32">
        <v>114</v>
      </c>
      <c r="O32">
        <v>98</v>
      </c>
      <c r="P32">
        <v>131</v>
      </c>
    </row>
    <row r="33" spans="1:16" ht="14.1">
      <c r="A33" s="7" t="s">
        <v>219</v>
      </c>
      <c r="B33" s="8" t="s">
        <v>35</v>
      </c>
      <c r="C33" s="9">
        <v>2018</v>
      </c>
      <c r="D33" s="8">
        <f>7782.12486/2</f>
        <v>3891.0624299999999</v>
      </c>
      <c r="E33" s="8">
        <f>0.14029/2</f>
        <v>7.0144999999999999E-2</v>
      </c>
      <c r="F33" s="8">
        <v>82</v>
      </c>
      <c r="G33" s="9">
        <v>65</v>
      </c>
      <c r="J33">
        <v>2015</v>
      </c>
      <c r="K33">
        <v>250.39800166666669</v>
      </c>
      <c r="L33">
        <v>0.105505</v>
      </c>
      <c r="M33">
        <v>61</v>
      </c>
      <c r="N33">
        <v>96</v>
      </c>
      <c r="O33">
        <v>80.666666666666671</v>
      </c>
      <c r="P33">
        <v>109</v>
      </c>
    </row>
    <row r="34" spans="1:16" ht="14.1">
      <c r="A34" s="7" t="s">
        <v>220</v>
      </c>
      <c r="B34" s="8" t="s">
        <v>29</v>
      </c>
      <c r="C34" s="9">
        <v>2018</v>
      </c>
      <c r="D34">
        <v>1099.0615049999999</v>
      </c>
      <c r="E34">
        <v>6.2164999999999998E-2</v>
      </c>
      <c r="F34" s="8">
        <v>74</v>
      </c>
      <c r="G34" s="8">
        <v>97</v>
      </c>
      <c r="J34">
        <v>2016</v>
      </c>
      <c r="K34">
        <v>1269.5363545833334</v>
      </c>
      <c r="L34">
        <v>7.0115416666666666E-2</v>
      </c>
      <c r="M34">
        <v>77</v>
      </c>
      <c r="N34">
        <v>100</v>
      </c>
      <c r="O34">
        <v>106.75</v>
      </c>
      <c r="P34">
        <v>116</v>
      </c>
    </row>
    <row r="35" spans="1:16" ht="14.1">
      <c r="A35" s="7" t="s">
        <v>221</v>
      </c>
      <c r="B35" s="8" t="s">
        <v>29</v>
      </c>
      <c r="C35" s="9">
        <v>2018</v>
      </c>
      <c r="D35">
        <v>1814.119555</v>
      </c>
      <c r="E35">
        <v>0.14740500000000001</v>
      </c>
      <c r="F35" s="8">
        <v>81</v>
      </c>
      <c r="G35" s="8">
        <v>102</v>
      </c>
      <c r="J35">
        <v>2017</v>
      </c>
      <c r="K35">
        <v>1529.20948</v>
      </c>
      <c r="L35">
        <v>0.12093</v>
      </c>
      <c r="M35">
        <v>69</v>
      </c>
      <c r="N35">
        <v>69</v>
      </c>
      <c r="O35">
        <v>107</v>
      </c>
      <c r="P35">
        <v>107</v>
      </c>
    </row>
    <row r="36" spans="1:16" ht="14.1">
      <c r="A36" s="7" t="s">
        <v>222</v>
      </c>
      <c r="B36" s="8" t="s">
        <v>32</v>
      </c>
      <c r="C36" s="9">
        <v>2019</v>
      </c>
      <c r="D36" s="8">
        <v>741.32698000000005</v>
      </c>
      <c r="E36" s="8">
        <v>5.9229999999999998E-2</v>
      </c>
      <c r="F36" s="8">
        <v>62</v>
      </c>
      <c r="G36" s="8">
        <v>108</v>
      </c>
      <c r="J36">
        <v>2018</v>
      </c>
      <c r="K36">
        <v>2489.9708599999999</v>
      </c>
      <c r="L36">
        <v>0.10414000000000001</v>
      </c>
      <c r="M36">
        <v>73.75</v>
      </c>
      <c r="N36">
        <v>81</v>
      </c>
      <c r="O36">
        <v>92</v>
      </c>
      <c r="P36">
        <v>102</v>
      </c>
    </row>
    <row r="37" spans="1:16" ht="14.1">
      <c r="A37" s="7" t="s">
        <v>223</v>
      </c>
      <c r="B37" s="8" t="s">
        <v>14</v>
      </c>
      <c r="C37" s="9">
        <v>2019</v>
      </c>
      <c r="D37" s="8">
        <v>302.43941000000001</v>
      </c>
      <c r="E37" s="8">
        <v>0.11987</v>
      </c>
      <c r="F37" s="8">
        <v>76</v>
      </c>
      <c r="G37" s="8">
        <v>80</v>
      </c>
      <c r="J37">
        <v>2019</v>
      </c>
      <c r="K37">
        <v>2519.6474050000002</v>
      </c>
      <c r="L37">
        <v>4.8614999999999998E-2</v>
      </c>
      <c r="M37">
        <v>82</v>
      </c>
      <c r="N37">
        <v>82</v>
      </c>
      <c r="O37">
        <v>95</v>
      </c>
      <c r="P37">
        <v>95</v>
      </c>
    </row>
    <row r="38" spans="1:16" ht="14.1">
      <c r="A38" s="7" t="s">
        <v>224</v>
      </c>
      <c r="B38" s="8" t="s">
        <v>35</v>
      </c>
      <c r="C38" s="9">
        <v>2019</v>
      </c>
      <c r="D38" s="8">
        <v>504.12383999999997</v>
      </c>
      <c r="E38" s="8">
        <v>0.15232000000000001</v>
      </c>
      <c r="F38" s="8">
        <v>62</v>
      </c>
      <c r="G38" s="8">
        <v>77</v>
      </c>
      <c r="J38">
        <v>2020</v>
      </c>
      <c r="K38">
        <v>3935.4684044444452</v>
      </c>
      <c r="L38">
        <v>5.8321111111111108E-2</v>
      </c>
      <c r="M38">
        <v>130.66666666666666</v>
      </c>
      <c r="N38">
        <v>211</v>
      </c>
      <c r="O38">
        <v>119.66666666666667</v>
      </c>
      <c r="P38">
        <v>141</v>
      </c>
    </row>
    <row r="39" spans="1:16" ht="14.1">
      <c r="A39" s="7" t="s">
        <v>225</v>
      </c>
      <c r="B39" s="8" t="s">
        <v>29</v>
      </c>
      <c r="C39" s="9">
        <v>2019</v>
      </c>
      <c r="D39">
        <v>2519.6474050000002</v>
      </c>
      <c r="E39">
        <v>4.8614999999999998E-2</v>
      </c>
      <c r="F39" s="8">
        <v>82</v>
      </c>
      <c r="G39" s="8">
        <v>95</v>
      </c>
      <c r="J39">
        <v>2022</v>
      </c>
      <c r="K39">
        <v>1959.1455149999999</v>
      </c>
      <c r="L39">
        <v>0.17218</v>
      </c>
      <c r="M39">
        <v>97</v>
      </c>
      <c r="N39">
        <v>97</v>
      </c>
      <c r="O39">
        <v>107</v>
      </c>
      <c r="P39">
        <v>107</v>
      </c>
    </row>
    <row r="40" spans="1:16" ht="14.1">
      <c r="A40" s="7" t="s">
        <v>226</v>
      </c>
      <c r="B40" s="8" t="s">
        <v>35</v>
      </c>
      <c r="C40" s="9">
        <v>2019</v>
      </c>
      <c r="D40" s="8">
        <f>1093.23848/2</f>
        <v>546.61923999999999</v>
      </c>
      <c r="E40" s="8">
        <f>0.10248/2</f>
        <v>5.1240000000000001E-2</v>
      </c>
      <c r="F40" s="8">
        <v>109</v>
      </c>
      <c r="G40" s="8">
        <v>90</v>
      </c>
      <c r="J40">
        <v>2023</v>
      </c>
      <c r="K40">
        <v>1391.233825</v>
      </c>
      <c r="L40">
        <v>8.0711666666666668E-2</v>
      </c>
      <c r="M40">
        <v>129.66666666666666</v>
      </c>
      <c r="N40">
        <v>203</v>
      </c>
      <c r="O40">
        <v>146</v>
      </c>
      <c r="P40">
        <v>175</v>
      </c>
    </row>
    <row r="41" spans="1:16" ht="14.1">
      <c r="A41" s="7" t="s">
        <v>227</v>
      </c>
      <c r="B41" s="8" t="s">
        <v>19</v>
      </c>
      <c r="C41" s="9">
        <v>2019</v>
      </c>
      <c r="D41" s="8">
        <v>1573.3497199999999</v>
      </c>
      <c r="E41" s="8">
        <v>4.2840000000000003E-2</v>
      </c>
      <c r="F41" s="8">
        <v>65</v>
      </c>
      <c r="G41" s="8">
        <v>97</v>
      </c>
      <c r="J41">
        <v>2024</v>
      </c>
      <c r="K41">
        <v>3878.2333229999995</v>
      </c>
      <c r="L41">
        <v>0.69156466666666661</v>
      </c>
      <c r="M41">
        <v>106</v>
      </c>
      <c r="N41">
        <v>221</v>
      </c>
      <c r="O41">
        <v>92.4</v>
      </c>
      <c r="P41">
        <v>156</v>
      </c>
    </row>
    <row r="42" spans="1:16" ht="14.1">
      <c r="A42" s="7" t="s">
        <v>228</v>
      </c>
      <c r="B42" s="8" t="s">
        <v>32</v>
      </c>
      <c r="C42" s="9">
        <v>2019</v>
      </c>
      <c r="D42" s="8">
        <v>146.52473000000001</v>
      </c>
      <c r="E42" s="9">
        <v>0.26299</v>
      </c>
      <c r="F42" s="8">
        <v>28</v>
      </c>
      <c r="G42" s="8">
        <v>117</v>
      </c>
      <c r="I42" t="s">
        <v>229</v>
      </c>
      <c r="K42">
        <v>2138.7987217283953</v>
      </c>
      <c r="L42">
        <v>0.20376938271604939</v>
      </c>
      <c r="M42">
        <v>93.592592592592595</v>
      </c>
      <c r="N42">
        <v>221</v>
      </c>
      <c r="O42">
        <v>103.74074074074075</v>
      </c>
      <c r="P42">
        <v>175</v>
      </c>
    </row>
    <row r="43" spans="1:16" ht="14.1">
      <c r="A43" s="7" t="s">
        <v>230</v>
      </c>
      <c r="B43" s="8" t="s">
        <v>96</v>
      </c>
      <c r="C43" s="9">
        <v>2019</v>
      </c>
      <c r="D43">
        <v>499.19912499999998</v>
      </c>
      <c r="E43">
        <v>2.8885000000000001E-2</v>
      </c>
      <c r="F43" s="8">
        <v>49</v>
      </c>
      <c r="G43" s="8">
        <v>78</v>
      </c>
      <c r="I43" t="s">
        <v>32</v>
      </c>
      <c r="J43">
        <v>2014</v>
      </c>
      <c r="K43">
        <v>295.80749500000002</v>
      </c>
      <c r="L43">
        <v>8.2185000000000008E-2</v>
      </c>
      <c r="M43">
        <v>180.5</v>
      </c>
      <c r="N43">
        <v>233</v>
      </c>
      <c r="O43">
        <v>83</v>
      </c>
      <c r="P43">
        <v>97</v>
      </c>
    </row>
    <row r="44" spans="1:16" ht="14.1">
      <c r="A44" s="7" t="s">
        <v>231</v>
      </c>
      <c r="B44" s="8" t="s">
        <v>24</v>
      </c>
      <c r="C44" s="9">
        <v>2020</v>
      </c>
      <c r="D44" s="8">
        <v>5837.1329800000003</v>
      </c>
      <c r="E44" s="8">
        <v>9.3219999999999997E-2</v>
      </c>
      <c r="F44" s="8">
        <v>75</v>
      </c>
      <c r="G44" s="8">
        <v>141</v>
      </c>
      <c r="J44">
        <v>2015</v>
      </c>
      <c r="K44">
        <v>283.05707899999999</v>
      </c>
      <c r="L44">
        <v>0.17319499999999999</v>
      </c>
      <c r="M44">
        <v>55.5</v>
      </c>
      <c r="N44">
        <v>56</v>
      </c>
      <c r="O44">
        <v>109</v>
      </c>
      <c r="P44">
        <v>120</v>
      </c>
    </row>
    <row r="45" spans="1:16" ht="14.1">
      <c r="A45" s="7" t="s">
        <v>232</v>
      </c>
      <c r="B45" s="8" t="s">
        <v>35</v>
      </c>
      <c r="C45" s="9">
        <v>2020</v>
      </c>
      <c r="D45" s="8">
        <f>7242.29341/3</f>
        <v>2414.0978033333336</v>
      </c>
      <c r="E45" s="8">
        <f>0.04552/3</f>
        <v>1.5173333333333332E-2</v>
      </c>
      <c r="F45" s="8">
        <v>211</v>
      </c>
      <c r="G45" s="8">
        <v>103</v>
      </c>
      <c r="J45">
        <v>2019</v>
      </c>
      <c r="K45">
        <v>443.92585500000001</v>
      </c>
      <c r="L45">
        <v>0.16111</v>
      </c>
      <c r="M45">
        <v>45</v>
      </c>
      <c r="N45">
        <v>62</v>
      </c>
      <c r="O45">
        <v>112.5</v>
      </c>
      <c r="P45">
        <v>117</v>
      </c>
    </row>
    <row r="46" spans="1:16" ht="14.1">
      <c r="A46" s="7" t="s">
        <v>233</v>
      </c>
      <c r="B46" s="8" t="s">
        <v>14</v>
      </c>
      <c r="C46" s="9">
        <v>2020</v>
      </c>
      <c r="D46" s="8">
        <v>1303.29483</v>
      </c>
      <c r="E46" s="8">
        <v>0.62948999999999999</v>
      </c>
      <c r="F46" s="8">
        <v>292</v>
      </c>
      <c r="G46" s="8">
        <v>117</v>
      </c>
      <c r="J46">
        <v>2020</v>
      </c>
      <c r="K46">
        <v>1929.34058</v>
      </c>
      <c r="L46">
        <v>0.10943</v>
      </c>
      <c r="M46">
        <v>181</v>
      </c>
      <c r="N46">
        <v>181</v>
      </c>
      <c r="O46">
        <v>104</v>
      </c>
      <c r="P46">
        <v>104</v>
      </c>
    </row>
    <row r="47" spans="1:16" ht="14.1">
      <c r="A47" s="7" t="s">
        <v>234</v>
      </c>
      <c r="B47" s="8" t="s">
        <v>35</v>
      </c>
      <c r="C47" s="9">
        <v>2020</v>
      </c>
      <c r="D47" s="8">
        <v>102.30466</v>
      </c>
      <c r="E47" s="8">
        <v>2.486E-2</v>
      </c>
      <c r="F47" s="8">
        <v>53</v>
      </c>
      <c r="G47" s="8">
        <v>75</v>
      </c>
      <c r="J47">
        <v>2021</v>
      </c>
      <c r="K47">
        <v>4001.2398400000002</v>
      </c>
      <c r="L47">
        <v>0.12372</v>
      </c>
      <c r="M47">
        <v>140</v>
      </c>
      <c r="N47">
        <v>140</v>
      </c>
      <c r="O47">
        <v>190</v>
      </c>
      <c r="P47">
        <v>190</v>
      </c>
    </row>
    <row r="48" spans="1:16" ht="14.1">
      <c r="A48" s="7" t="s">
        <v>235</v>
      </c>
      <c r="B48" s="8" t="s">
        <v>19</v>
      </c>
      <c r="C48" s="9">
        <v>2020</v>
      </c>
      <c r="D48" s="8">
        <v>2001.43947</v>
      </c>
      <c r="E48" s="8">
        <v>0.58392999999999995</v>
      </c>
      <c r="F48" s="8">
        <v>304</v>
      </c>
      <c r="G48" s="8">
        <v>99</v>
      </c>
      <c r="I48" t="s">
        <v>236</v>
      </c>
      <c r="K48">
        <v>997.02015975000006</v>
      </c>
      <c r="L48">
        <v>0.13326625</v>
      </c>
      <c r="M48">
        <v>110.375</v>
      </c>
      <c r="N48">
        <v>233</v>
      </c>
      <c r="O48">
        <v>112.875</v>
      </c>
      <c r="P48">
        <v>190</v>
      </c>
    </row>
    <row r="49" spans="1:16" ht="14.1">
      <c r="A49" s="7" t="s">
        <v>237</v>
      </c>
      <c r="B49" s="8" t="s">
        <v>35</v>
      </c>
      <c r="C49" s="9">
        <v>2020</v>
      </c>
      <c r="D49" s="8">
        <f>6994.20385/2</f>
        <v>3497.1019249999999</v>
      </c>
      <c r="E49" s="8">
        <f>0.15934/2</f>
        <v>7.9670000000000005E-2</v>
      </c>
      <c r="F49" s="8">
        <v>88</v>
      </c>
      <c r="G49" s="8">
        <v>126</v>
      </c>
      <c r="I49" t="s">
        <v>29</v>
      </c>
      <c r="J49">
        <v>2014</v>
      </c>
      <c r="K49">
        <v>267.22956499999998</v>
      </c>
      <c r="L49">
        <v>1.8759999999999999E-2</v>
      </c>
      <c r="M49">
        <v>79</v>
      </c>
      <c r="N49">
        <v>79</v>
      </c>
      <c r="O49">
        <v>140</v>
      </c>
      <c r="P49">
        <v>140</v>
      </c>
    </row>
    <row r="50" spans="1:16" ht="14.1">
      <c r="A50" s="7" t="s">
        <v>238</v>
      </c>
      <c r="B50" s="8" t="s">
        <v>29</v>
      </c>
      <c r="C50" s="9">
        <v>2020</v>
      </c>
      <c r="D50">
        <v>3555.17443</v>
      </c>
      <c r="E50">
        <v>6.6570000000000004E-2</v>
      </c>
      <c r="F50" s="8">
        <v>106</v>
      </c>
      <c r="G50" s="8">
        <v>115</v>
      </c>
      <c r="J50">
        <v>2015</v>
      </c>
      <c r="K50">
        <v>451.56421499999999</v>
      </c>
      <c r="L50">
        <v>5.3414999999999997E-2</v>
      </c>
      <c r="M50">
        <v>96</v>
      </c>
      <c r="N50">
        <v>96</v>
      </c>
      <c r="O50">
        <v>109</v>
      </c>
      <c r="P50">
        <v>109</v>
      </c>
    </row>
    <row r="51" spans="1:16" ht="14.1">
      <c r="A51" s="7" t="s">
        <v>239</v>
      </c>
      <c r="B51" s="8" t="s">
        <v>32</v>
      </c>
      <c r="C51" s="9">
        <v>2020</v>
      </c>
      <c r="D51" s="8">
        <v>1929.34058</v>
      </c>
      <c r="E51" s="8">
        <v>0.10943</v>
      </c>
      <c r="F51" s="8">
        <v>181</v>
      </c>
      <c r="G51" s="8">
        <v>104</v>
      </c>
      <c r="J51">
        <v>2016</v>
      </c>
      <c r="K51">
        <v>1658.3022127777779</v>
      </c>
      <c r="L51">
        <v>7.3910555555555549E-2</v>
      </c>
      <c r="M51">
        <v>86</v>
      </c>
      <c r="N51">
        <v>100</v>
      </c>
      <c r="O51">
        <v>107</v>
      </c>
      <c r="P51">
        <v>116</v>
      </c>
    </row>
    <row r="52" spans="1:16" ht="14.1">
      <c r="A52" s="7" t="s">
        <v>240</v>
      </c>
      <c r="B52" s="8" t="s">
        <v>91</v>
      </c>
      <c r="C52" s="9">
        <v>2021</v>
      </c>
      <c r="D52" s="8">
        <v>503.23932000000002</v>
      </c>
      <c r="E52" s="8">
        <v>5.935E-2</v>
      </c>
      <c r="F52" s="8">
        <v>75</v>
      </c>
      <c r="G52" s="8">
        <v>100</v>
      </c>
      <c r="J52">
        <v>2018</v>
      </c>
      <c r="K52">
        <v>2255.2824370000003</v>
      </c>
      <c r="L52">
        <v>9.5113749999999997E-2</v>
      </c>
      <c r="M52">
        <v>80</v>
      </c>
      <c r="N52">
        <v>87</v>
      </c>
      <c r="O52">
        <v>91</v>
      </c>
      <c r="P52">
        <v>102</v>
      </c>
    </row>
    <row r="53" spans="1:16" ht="14.1">
      <c r="A53" s="7" t="s">
        <v>241</v>
      </c>
      <c r="B53" s="8" t="s">
        <v>32</v>
      </c>
      <c r="C53" s="9">
        <v>2021</v>
      </c>
      <c r="D53" s="8">
        <v>4001.2398400000002</v>
      </c>
      <c r="E53" s="8">
        <v>0.12372</v>
      </c>
      <c r="F53" s="8">
        <v>140</v>
      </c>
      <c r="G53" s="8">
        <v>190</v>
      </c>
      <c r="J53">
        <v>2019</v>
      </c>
      <c r="K53">
        <v>1533.1333225000001</v>
      </c>
      <c r="L53">
        <v>4.99275E-2</v>
      </c>
      <c r="M53">
        <v>95.5</v>
      </c>
      <c r="N53">
        <v>109</v>
      </c>
      <c r="O53">
        <v>92.5</v>
      </c>
      <c r="P53">
        <v>95</v>
      </c>
    </row>
    <row r="54" spans="1:16" ht="14.1">
      <c r="A54" s="7" t="s">
        <v>242</v>
      </c>
      <c r="B54" s="8" t="s">
        <v>96</v>
      </c>
      <c r="C54" s="9">
        <v>2021</v>
      </c>
      <c r="D54">
        <v>169.64282499999999</v>
      </c>
      <c r="E54">
        <v>4.4595000000000003E-2</v>
      </c>
      <c r="F54" s="8">
        <v>16</v>
      </c>
      <c r="G54" s="8">
        <v>150</v>
      </c>
      <c r="J54">
        <v>2020</v>
      </c>
      <c r="K54">
        <v>3155.4580527777775</v>
      </c>
      <c r="L54">
        <v>5.3804444444444453E-2</v>
      </c>
      <c r="M54">
        <v>135</v>
      </c>
      <c r="N54">
        <v>211</v>
      </c>
      <c r="O54">
        <v>114.66666666666667</v>
      </c>
      <c r="P54">
        <v>126</v>
      </c>
    </row>
    <row r="55" spans="1:16" ht="14.1">
      <c r="A55" s="7" t="s">
        <v>243</v>
      </c>
      <c r="B55" s="8" t="s">
        <v>29</v>
      </c>
      <c r="C55" s="9">
        <v>2021</v>
      </c>
      <c r="D55" s="8">
        <v>1923.4011700000001</v>
      </c>
      <c r="E55" s="8">
        <v>0.12504000000000001</v>
      </c>
      <c r="F55" s="8">
        <v>110</v>
      </c>
      <c r="G55" s="8">
        <v>102</v>
      </c>
      <c r="J55">
        <v>2021</v>
      </c>
      <c r="K55">
        <v>1375.0231200000001</v>
      </c>
      <c r="L55">
        <v>0.13580249999999999</v>
      </c>
      <c r="M55">
        <v>93</v>
      </c>
      <c r="N55">
        <v>110</v>
      </c>
      <c r="O55">
        <v>113.5</v>
      </c>
      <c r="P55">
        <v>125</v>
      </c>
    </row>
    <row r="56" spans="1:16" ht="14.1">
      <c r="A56" s="7" t="s">
        <v>244</v>
      </c>
      <c r="B56" s="8" t="s">
        <v>35</v>
      </c>
      <c r="C56" s="9">
        <v>2021</v>
      </c>
      <c r="D56" s="8">
        <f>1653.29014/2</f>
        <v>826.64507000000003</v>
      </c>
      <c r="E56" s="8">
        <f>0.29313/2</f>
        <v>0.146565</v>
      </c>
      <c r="F56" s="8">
        <v>76</v>
      </c>
      <c r="G56" s="8">
        <v>125</v>
      </c>
      <c r="J56">
        <v>2022</v>
      </c>
      <c r="K56">
        <v>1941.2740374999998</v>
      </c>
      <c r="L56">
        <v>0.13855000000000001</v>
      </c>
      <c r="M56">
        <v>89.5</v>
      </c>
      <c r="N56">
        <v>97</v>
      </c>
      <c r="O56">
        <v>109</v>
      </c>
      <c r="P56">
        <v>111</v>
      </c>
    </row>
    <row r="57" spans="1:16" ht="14.1">
      <c r="A57" s="7" t="s">
        <v>245</v>
      </c>
      <c r="B57" s="8" t="s">
        <v>19</v>
      </c>
      <c r="C57" s="9">
        <v>2022</v>
      </c>
      <c r="D57" s="8">
        <v>1204.39284</v>
      </c>
      <c r="E57" s="8">
        <v>9.9180000000000004E-2</v>
      </c>
      <c r="F57" s="8">
        <v>91</v>
      </c>
      <c r="G57" s="8">
        <v>90</v>
      </c>
      <c r="J57">
        <v>2023</v>
      </c>
      <c r="K57">
        <v>1836.8882350000001</v>
      </c>
      <c r="L57">
        <v>6.0125000000000005E-2</v>
      </c>
      <c r="M57">
        <v>177.66666666666666</v>
      </c>
      <c r="N57">
        <v>264</v>
      </c>
      <c r="O57">
        <v>138</v>
      </c>
      <c r="P57">
        <v>175</v>
      </c>
    </row>
    <row r="58" spans="1:16" ht="14.1">
      <c r="A58" s="7" t="s">
        <v>246</v>
      </c>
      <c r="B58" s="8" t="s">
        <v>14</v>
      </c>
      <c r="C58" s="9">
        <v>2022</v>
      </c>
      <c r="D58" s="8">
        <v>559.23952099999997</v>
      </c>
      <c r="E58" s="8">
        <v>4.1930000000000002E-2</v>
      </c>
      <c r="F58" s="8">
        <v>126</v>
      </c>
      <c r="G58" s="8">
        <v>90</v>
      </c>
      <c r="J58">
        <v>2024</v>
      </c>
      <c r="K58">
        <v>2717.516075</v>
      </c>
      <c r="L58">
        <v>1.2173966666666667</v>
      </c>
      <c r="M58">
        <v>144</v>
      </c>
      <c r="N58">
        <v>221</v>
      </c>
      <c r="O58">
        <v>110.5</v>
      </c>
      <c r="P58">
        <v>156</v>
      </c>
    </row>
    <row r="59" spans="1:16" ht="14.1">
      <c r="A59" s="7" t="s">
        <v>247</v>
      </c>
      <c r="B59" s="8" t="s">
        <v>29</v>
      </c>
      <c r="C59" s="9">
        <v>2022</v>
      </c>
      <c r="D59">
        <v>1959.1455149999999</v>
      </c>
      <c r="E59">
        <v>0.17218</v>
      </c>
      <c r="F59" s="8">
        <v>97</v>
      </c>
      <c r="G59" s="8">
        <v>107</v>
      </c>
      <c r="I59" t="s">
        <v>248</v>
      </c>
      <c r="K59">
        <v>1961.7101906944445</v>
      </c>
      <c r="L59">
        <v>0.17823927536231882</v>
      </c>
      <c r="M59">
        <v>108.95833333333333</v>
      </c>
      <c r="N59">
        <v>264</v>
      </c>
      <c r="O59">
        <v>109.75</v>
      </c>
      <c r="P59">
        <v>175</v>
      </c>
    </row>
    <row r="60" spans="1:16" ht="14.1">
      <c r="A60" s="7" t="s">
        <v>249</v>
      </c>
      <c r="B60" s="8" t="s">
        <v>29</v>
      </c>
      <c r="C60" s="9">
        <v>2022</v>
      </c>
      <c r="D60" s="8">
        <v>1923.40256</v>
      </c>
      <c r="E60" s="8">
        <v>0.10492</v>
      </c>
      <c r="F60" s="8">
        <v>82</v>
      </c>
      <c r="G60" s="8">
        <v>111</v>
      </c>
      <c r="I60" t="s">
        <v>96</v>
      </c>
      <c r="J60">
        <v>2014</v>
      </c>
      <c r="K60">
        <v>219.71940499999999</v>
      </c>
      <c r="L60">
        <v>9.3520000000000006E-2</v>
      </c>
      <c r="M60">
        <v>104</v>
      </c>
      <c r="N60">
        <v>104</v>
      </c>
      <c r="O60">
        <v>86</v>
      </c>
      <c r="P60">
        <v>86</v>
      </c>
    </row>
    <row r="61" spans="1:16" ht="14.1">
      <c r="A61" s="7" t="s">
        <v>250</v>
      </c>
      <c r="B61" s="8" t="s">
        <v>35</v>
      </c>
      <c r="C61" s="9">
        <v>2022</v>
      </c>
      <c r="D61" s="8">
        <v>317.29466000000002</v>
      </c>
      <c r="E61" s="9">
        <v>0.24087</v>
      </c>
      <c r="F61" s="8">
        <v>262</v>
      </c>
      <c r="G61" s="8">
        <v>79</v>
      </c>
      <c r="J61">
        <v>2015</v>
      </c>
      <c r="K61">
        <v>319.56196499999999</v>
      </c>
      <c r="L61">
        <v>0.125335</v>
      </c>
      <c r="M61">
        <v>79</v>
      </c>
      <c r="N61">
        <v>79</v>
      </c>
      <c r="O61">
        <v>65</v>
      </c>
      <c r="P61">
        <v>65</v>
      </c>
    </row>
    <row r="62" spans="1:16" ht="14.1">
      <c r="A62" s="7" t="s">
        <v>251</v>
      </c>
      <c r="B62" s="8" t="s">
        <v>29</v>
      </c>
      <c r="C62" s="9">
        <v>2023</v>
      </c>
      <c r="D62">
        <v>1619.6922850000001</v>
      </c>
      <c r="E62">
        <v>5.4115000000000003E-2</v>
      </c>
      <c r="F62" s="8">
        <v>203</v>
      </c>
      <c r="G62" s="8">
        <v>175</v>
      </c>
      <c r="J62">
        <v>2017</v>
      </c>
      <c r="K62">
        <v>199.60987</v>
      </c>
      <c r="L62">
        <v>9.2715000000000006E-2</v>
      </c>
      <c r="M62">
        <v>76</v>
      </c>
      <c r="N62">
        <v>76</v>
      </c>
      <c r="O62">
        <v>151</v>
      </c>
      <c r="P62">
        <v>151</v>
      </c>
    </row>
    <row r="63" spans="1:16" ht="14.1">
      <c r="A63" s="7" t="s">
        <v>252</v>
      </c>
      <c r="B63" s="8" t="s">
        <v>29</v>
      </c>
      <c r="C63" s="9">
        <v>2023</v>
      </c>
      <c r="D63">
        <v>1960.62417</v>
      </c>
      <c r="E63">
        <v>8.8639999999999997E-2</v>
      </c>
      <c r="F63" s="8">
        <v>66</v>
      </c>
      <c r="G63" s="8">
        <v>120</v>
      </c>
      <c r="J63">
        <v>2019</v>
      </c>
      <c r="K63">
        <v>499.19912499999998</v>
      </c>
      <c r="L63">
        <v>2.8885000000000001E-2</v>
      </c>
      <c r="M63">
        <v>49</v>
      </c>
      <c r="N63">
        <v>49</v>
      </c>
      <c r="O63">
        <v>78</v>
      </c>
      <c r="P63">
        <v>78</v>
      </c>
    </row>
    <row r="64" spans="1:16" ht="14.1">
      <c r="A64" s="7" t="s">
        <v>253</v>
      </c>
      <c r="B64" s="8" t="s">
        <v>35</v>
      </c>
      <c r="C64" s="9">
        <v>2023</v>
      </c>
      <c r="D64" s="8">
        <v>198.41024999999999</v>
      </c>
      <c r="E64" s="8">
        <v>3.7080000000000002E-2</v>
      </c>
      <c r="F64" s="8">
        <v>77</v>
      </c>
      <c r="G64" s="9">
        <v>65</v>
      </c>
      <c r="J64">
        <v>2021</v>
      </c>
      <c r="K64">
        <v>169.64282499999999</v>
      </c>
      <c r="L64">
        <v>4.4595000000000003E-2</v>
      </c>
      <c r="M64">
        <v>16</v>
      </c>
      <c r="N64">
        <v>16</v>
      </c>
      <c r="O64">
        <v>150</v>
      </c>
      <c r="P64">
        <v>150</v>
      </c>
    </row>
    <row r="65" spans="1:16" ht="14.1">
      <c r="A65" s="7" t="s">
        <v>254</v>
      </c>
      <c r="B65" s="8" t="s">
        <v>24</v>
      </c>
      <c r="C65" s="9">
        <v>2023</v>
      </c>
      <c r="D65" s="8">
        <v>593.38502000000005</v>
      </c>
      <c r="E65" s="8">
        <v>9.9379999999999996E-2</v>
      </c>
      <c r="F65" s="8">
        <v>120</v>
      </c>
      <c r="G65" s="8">
        <v>143</v>
      </c>
      <c r="I65" t="s">
        <v>255</v>
      </c>
      <c r="K65">
        <v>281.54663799999997</v>
      </c>
      <c r="L65">
        <v>7.7009999999999995E-2</v>
      </c>
      <c r="M65">
        <v>64.8</v>
      </c>
      <c r="N65">
        <v>104</v>
      </c>
      <c r="O65">
        <v>106</v>
      </c>
      <c r="P65">
        <v>151</v>
      </c>
    </row>
    <row r="66" spans="1:16" ht="14.1">
      <c r="A66" s="7" t="s">
        <v>256</v>
      </c>
      <c r="B66" s="8" t="s">
        <v>91</v>
      </c>
      <c r="C66" s="9">
        <v>2023</v>
      </c>
      <c r="D66" s="8">
        <v>101.28463000000001</v>
      </c>
      <c r="E66" s="8">
        <v>0.21496000000000001</v>
      </c>
      <c r="F66" s="8">
        <v>78</v>
      </c>
      <c r="G66" s="8">
        <v>89</v>
      </c>
      <c r="I66" t="s">
        <v>89</v>
      </c>
      <c r="K66">
        <v>1449.204644893204</v>
      </c>
      <c r="L66">
        <v>0.15535975490196083</v>
      </c>
      <c r="M66">
        <v>101.16504854368932</v>
      </c>
      <c r="N66">
        <v>304</v>
      </c>
      <c r="O66">
        <v>103.42718446601941</v>
      </c>
      <c r="P66">
        <v>190</v>
      </c>
    </row>
    <row r="67" spans="1:16" ht="14.1">
      <c r="A67" s="7" t="s">
        <v>257</v>
      </c>
      <c r="B67" s="8" t="s">
        <v>35</v>
      </c>
      <c r="C67" s="9">
        <v>2023</v>
      </c>
      <c r="D67" s="8">
        <v>458.01616999999999</v>
      </c>
      <c r="E67" s="8">
        <v>2.3970000000000002E-2</v>
      </c>
      <c r="F67" s="8">
        <v>121</v>
      </c>
      <c r="G67" s="8">
        <v>117</v>
      </c>
    </row>
    <row r="68" spans="1:16" ht="14.1">
      <c r="A68" s="7" t="s">
        <v>258</v>
      </c>
      <c r="B68" s="8" t="s">
        <v>29</v>
      </c>
      <c r="C68" s="9">
        <v>2023</v>
      </c>
      <c r="D68" s="8">
        <v>1930.34825</v>
      </c>
      <c r="E68" s="8">
        <v>3.7620000000000001E-2</v>
      </c>
      <c r="F68" s="8">
        <v>264</v>
      </c>
      <c r="G68" s="8">
        <v>119</v>
      </c>
    </row>
    <row r="69" spans="1:16" ht="14.1">
      <c r="A69" s="7" t="s">
        <v>259</v>
      </c>
      <c r="B69" s="8" t="s">
        <v>35</v>
      </c>
      <c r="C69" s="9">
        <v>2023</v>
      </c>
      <c r="D69" s="8">
        <v>373.95731000000001</v>
      </c>
      <c r="E69" s="8">
        <v>0.26429000000000002</v>
      </c>
      <c r="F69" s="8">
        <v>106</v>
      </c>
      <c r="G69" s="8">
        <v>104</v>
      </c>
    </row>
    <row r="70" spans="1:16" ht="14.1">
      <c r="A70" s="7" t="s">
        <v>260</v>
      </c>
      <c r="B70" s="8" t="s">
        <v>24</v>
      </c>
      <c r="C70" s="9">
        <v>2024</v>
      </c>
      <c r="D70" s="8">
        <v>6304.1873500000002</v>
      </c>
      <c r="E70" s="9">
        <v>1.0861099999999999</v>
      </c>
      <c r="F70" s="8">
        <v>59</v>
      </c>
      <c r="G70" s="8">
        <v>91</v>
      </c>
      <c r="I70" s="17" t="s">
        <v>10</v>
      </c>
      <c r="J70" t="s">
        <v>86</v>
      </c>
    </row>
    <row r="71" spans="1:16" ht="14.1">
      <c r="A71" s="7" t="s">
        <v>261</v>
      </c>
      <c r="B71" s="8" t="s">
        <v>29</v>
      </c>
      <c r="C71" s="9">
        <v>2024</v>
      </c>
      <c r="D71" s="8">
        <v>2342.7830399999998</v>
      </c>
      <c r="E71" s="8">
        <v>0.12885333333333335</v>
      </c>
      <c r="F71" s="8">
        <v>67</v>
      </c>
      <c r="G71" s="9">
        <v>65</v>
      </c>
      <c r="I71" t="s">
        <v>96</v>
      </c>
      <c r="J71">
        <v>7.7009999999999995E-2</v>
      </c>
    </row>
    <row r="72" spans="1:16" ht="14.1">
      <c r="A72" s="7" t="s">
        <v>262</v>
      </c>
      <c r="B72" s="8" t="s">
        <v>24</v>
      </c>
      <c r="C72" s="9">
        <v>2024</v>
      </c>
      <c r="D72" s="8">
        <v>5739.0329099999999</v>
      </c>
      <c r="E72" s="8">
        <v>0.97531999999999996</v>
      </c>
      <c r="F72" s="8">
        <v>123</v>
      </c>
      <c r="G72" s="8">
        <v>85</v>
      </c>
      <c r="I72" t="s">
        <v>35</v>
      </c>
      <c r="J72">
        <v>9.5434166666666653E-2</v>
      </c>
    </row>
    <row r="73" spans="1:16" ht="14.1">
      <c r="A73" s="7" t="s">
        <v>263</v>
      </c>
      <c r="B73" s="8" t="s">
        <v>29</v>
      </c>
      <c r="C73" s="9">
        <v>2024</v>
      </c>
      <c r="D73" s="8">
        <v>3092.2491100000002</v>
      </c>
      <c r="E73" s="8">
        <v>2.3059400000000001</v>
      </c>
      <c r="F73" s="8">
        <v>221</v>
      </c>
      <c r="G73" s="8">
        <v>156</v>
      </c>
      <c r="I73" t="s">
        <v>14</v>
      </c>
      <c r="J73">
        <v>0.12635230769230771</v>
      </c>
    </row>
    <row r="74" spans="1:16" ht="14.1">
      <c r="A74" s="7" t="s">
        <v>264</v>
      </c>
      <c r="B74" s="8" t="s">
        <v>24</v>
      </c>
      <c r="C74" s="9">
        <v>2024</v>
      </c>
      <c r="D74" s="8">
        <v>3459.0387599999999</v>
      </c>
      <c r="E74" s="8">
        <v>0.11457000000000001</v>
      </c>
      <c r="F74" s="8">
        <v>60</v>
      </c>
      <c r="G74" s="9">
        <v>65</v>
      </c>
      <c r="I74" t="s">
        <v>215</v>
      </c>
      <c r="J74">
        <v>0.12885333333333335</v>
      </c>
    </row>
    <row r="75" spans="1:16" ht="14.1">
      <c r="A75" s="7" t="s">
        <v>265</v>
      </c>
      <c r="B75" s="8" t="s">
        <v>19</v>
      </c>
      <c r="C75" s="9">
        <v>2024</v>
      </c>
      <c r="D75" s="8">
        <v>1684.6940400000001</v>
      </c>
      <c r="E75" s="8">
        <v>0.21085999999999999</v>
      </c>
      <c r="F75" s="8">
        <v>211</v>
      </c>
      <c r="G75" s="8">
        <v>115</v>
      </c>
      <c r="I75" t="s">
        <v>32</v>
      </c>
      <c r="J75">
        <v>0.13326625</v>
      </c>
    </row>
    <row r="76" spans="1:16" ht="15.75" customHeight="1">
      <c r="A76" s="7" t="s">
        <v>183</v>
      </c>
      <c r="B76" s="8" t="s">
        <v>29</v>
      </c>
      <c r="C76" s="9">
        <v>2014</v>
      </c>
      <c r="D76" s="8">
        <f>534.45913/2</f>
        <v>267.22956499999998</v>
      </c>
      <c r="E76" s="9">
        <f>0.03752/2</f>
        <v>1.8759999999999999E-2</v>
      </c>
      <c r="F76" s="8">
        <v>79</v>
      </c>
      <c r="G76" s="8">
        <v>140</v>
      </c>
      <c r="I76" t="s">
        <v>91</v>
      </c>
      <c r="J76">
        <v>0.137155</v>
      </c>
    </row>
    <row r="77" spans="1:16" ht="15.75" customHeight="1">
      <c r="A77" s="7" t="s">
        <v>206</v>
      </c>
      <c r="B77" s="8" t="s">
        <v>29</v>
      </c>
      <c r="C77" s="9">
        <v>2016</v>
      </c>
      <c r="D77" s="8">
        <f>1092.33751/3</f>
        <v>364.11250333333334</v>
      </c>
      <c r="E77" s="8">
        <f>0.11309/3</f>
        <v>3.7696666666666663E-2</v>
      </c>
      <c r="F77" s="8">
        <v>100</v>
      </c>
      <c r="G77" s="8">
        <v>109</v>
      </c>
      <c r="I77" t="s">
        <v>29</v>
      </c>
      <c r="J77">
        <v>0.17823927536231884</v>
      </c>
    </row>
    <row r="78" spans="1:16" ht="15.75" customHeight="1">
      <c r="A78" s="7" t="s">
        <v>214</v>
      </c>
      <c r="B78" s="8" t="s">
        <v>29</v>
      </c>
      <c r="C78" s="9">
        <v>2018</v>
      </c>
      <c r="D78" s="8">
        <f>2909.39381/2</f>
        <v>1454.696905</v>
      </c>
      <c r="E78" s="8" t="s">
        <v>266</v>
      </c>
      <c r="F78" s="8">
        <v>87</v>
      </c>
      <c r="G78" s="8">
        <v>101</v>
      </c>
      <c r="I78" t="s">
        <v>24</v>
      </c>
      <c r="J78">
        <v>0.20376938271604939</v>
      </c>
    </row>
    <row r="79" spans="1:16" ht="15.75" customHeight="1">
      <c r="A79" s="7" t="s">
        <v>219</v>
      </c>
      <c r="B79" s="8" t="s">
        <v>29</v>
      </c>
      <c r="C79" s="9">
        <v>2018</v>
      </c>
      <c r="D79" s="8">
        <f>7782.12486/2</f>
        <v>3891.0624299999999</v>
      </c>
      <c r="E79" s="8">
        <f>0.14029/2</f>
        <v>7.0144999999999999E-2</v>
      </c>
      <c r="F79" s="8">
        <v>82</v>
      </c>
      <c r="G79" s="9">
        <v>65</v>
      </c>
      <c r="I79" t="s">
        <v>19</v>
      </c>
      <c r="J79">
        <v>0.20613600000000001</v>
      </c>
    </row>
    <row r="80" spans="1:16" ht="15.75" customHeight="1">
      <c r="A80" s="7" t="s">
        <v>226</v>
      </c>
      <c r="B80" s="8" t="s">
        <v>29</v>
      </c>
      <c r="C80" s="9">
        <v>2019</v>
      </c>
      <c r="D80" s="8">
        <f>1093.23848/2</f>
        <v>546.61923999999999</v>
      </c>
      <c r="E80" s="8">
        <f>0.10248/2</f>
        <v>5.1240000000000001E-2</v>
      </c>
      <c r="F80" s="8">
        <v>109</v>
      </c>
      <c r="G80" s="8">
        <v>90</v>
      </c>
      <c r="I80" t="s">
        <v>89</v>
      </c>
      <c r="J80">
        <v>0.15535975490196083</v>
      </c>
    </row>
    <row r="81" spans="1:10" ht="15.75" customHeight="1">
      <c r="A81" s="7" t="s">
        <v>232</v>
      </c>
      <c r="B81" s="8" t="s">
        <v>29</v>
      </c>
      <c r="C81" s="9">
        <v>2020</v>
      </c>
      <c r="D81" s="8">
        <f>7242.29341/3</f>
        <v>2414.0978033333336</v>
      </c>
      <c r="E81" s="8">
        <f>0.04552/3</f>
        <v>1.5173333333333332E-2</v>
      </c>
      <c r="F81" s="8">
        <v>211</v>
      </c>
      <c r="G81" s="8">
        <v>103</v>
      </c>
    </row>
    <row r="82" spans="1:10" ht="15.75" customHeight="1">
      <c r="A82" s="7" t="s">
        <v>237</v>
      </c>
      <c r="B82" s="8" t="s">
        <v>29</v>
      </c>
      <c r="C82" s="9">
        <v>2020</v>
      </c>
      <c r="D82" s="8">
        <f>6994.20385/2</f>
        <v>3497.1019249999999</v>
      </c>
      <c r="E82" s="8">
        <f>0.15934/2</f>
        <v>7.9670000000000005E-2</v>
      </c>
      <c r="F82" s="8">
        <v>88</v>
      </c>
      <c r="G82" s="8">
        <v>126</v>
      </c>
    </row>
    <row r="83" spans="1:10" ht="15.75" customHeight="1">
      <c r="A83" s="7" t="s">
        <v>244</v>
      </c>
      <c r="B83" s="8" t="s">
        <v>29</v>
      </c>
      <c r="C83" s="9">
        <v>2021</v>
      </c>
      <c r="D83" s="8">
        <f>1653.29014/2</f>
        <v>826.64507000000003</v>
      </c>
      <c r="E83" s="8">
        <f>0.29313/2</f>
        <v>0.146565</v>
      </c>
      <c r="F83" s="8">
        <v>76</v>
      </c>
      <c r="G83" s="8">
        <v>125</v>
      </c>
    </row>
    <row r="84" spans="1:10" ht="15.75" customHeight="1">
      <c r="A84" s="7" t="s">
        <v>206</v>
      </c>
      <c r="B84" s="8" t="s">
        <v>24</v>
      </c>
      <c r="C84" s="9">
        <v>2016</v>
      </c>
      <c r="D84" s="8">
        <f>1092.33751/3</f>
        <v>364.11250333333334</v>
      </c>
      <c r="E84" s="8">
        <f>0.11309/3</f>
        <v>3.7696666666666663E-2</v>
      </c>
      <c r="F84" s="8">
        <v>100</v>
      </c>
      <c r="G84" s="8">
        <v>109</v>
      </c>
    </row>
    <row r="85" spans="1:10" ht="15.75" customHeight="1">
      <c r="A85" s="7" t="s">
        <v>232</v>
      </c>
      <c r="B85" s="8" t="s">
        <v>24</v>
      </c>
      <c r="C85" s="9">
        <v>2020</v>
      </c>
      <c r="D85" s="8">
        <f>7242.29341/3</f>
        <v>2414.0978033333336</v>
      </c>
      <c r="E85" s="8">
        <f>0.04552/3</f>
        <v>1.5173333333333332E-2</v>
      </c>
      <c r="F85" s="8">
        <v>211</v>
      </c>
      <c r="G85" s="8">
        <v>103</v>
      </c>
    </row>
    <row r="86" spans="1:10" ht="15.75" customHeight="1">
      <c r="A86" s="7" t="s">
        <v>188</v>
      </c>
      <c r="B86" s="8" t="s">
        <v>14</v>
      </c>
      <c r="C86" s="9">
        <v>2014</v>
      </c>
      <c r="D86">
        <v>219.71940499999999</v>
      </c>
      <c r="E86">
        <v>9.3520000000000006E-2</v>
      </c>
      <c r="F86" s="8">
        <v>104</v>
      </c>
      <c r="G86" s="8">
        <v>86</v>
      </c>
      <c r="I86" s="17" t="s">
        <v>10</v>
      </c>
      <c r="J86" t="s">
        <v>178</v>
      </c>
    </row>
    <row r="87" spans="1:10" ht="15.75" customHeight="1">
      <c r="A87" s="7" t="s">
        <v>193</v>
      </c>
      <c r="B87" s="8" t="s">
        <v>14</v>
      </c>
      <c r="C87" s="9">
        <v>2015</v>
      </c>
      <c r="D87">
        <v>319.56196499999999</v>
      </c>
      <c r="E87">
        <v>0.125335</v>
      </c>
      <c r="F87" s="8">
        <v>79</v>
      </c>
      <c r="G87" s="9">
        <v>65</v>
      </c>
      <c r="I87" t="s">
        <v>96</v>
      </c>
      <c r="J87">
        <v>64.8</v>
      </c>
    </row>
    <row r="88" spans="1:10" ht="15.75" customHeight="1">
      <c r="A88" s="7" t="s">
        <v>210</v>
      </c>
      <c r="B88" s="8" t="s">
        <v>14</v>
      </c>
      <c r="C88" s="9">
        <v>2017</v>
      </c>
      <c r="D88">
        <v>199.60987</v>
      </c>
      <c r="E88">
        <v>9.2715000000000006E-2</v>
      </c>
      <c r="F88" s="8">
        <v>76</v>
      </c>
      <c r="G88" s="8">
        <v>151</v>
      </c>
      <c r="I88" t="s">
        <v>215</v>
      </c>
      <c r="J88">
        <v>67</v>
      </c>
    </row>
    <row r="89" spans="1:10" ht="15.75" customHeight="1">
      <c r="A89" s="7" t="s">
        <v>230</v>
      </c>
      <c r="B89" s="8" t="s">
        <v>14</v>
      </c>
      <c r="C89" s="9">
        <v>2019</v>
      </c>
      <c r="D89">
        <v>499.19912499999998</v>
      </c>
      <c r="E89">
        <v>2.8885000000000001E-2</v>
      </c>
      <c r="F89" s="8">
        <v>49</v>
      </c>
      <c r="G89" s="8">
        <v>78</v>
      </c>
      <c r="I89" t="s">
        <v>91</v>
      </c>
      <c r="J89">
        <v>76.5</v>
      </c>
    </row>
    <row r="90" spans="1:10" ht="15.75" customHeight="1">
      <c r="A90" s="7" t="s">
        <v>242</v>
      </c>
      <c r="B90" s="8" t="s">
        <v>14</v>
      </c>
      <c r="C90" s="9">
        <v>2021</v>
      </c>
      <c r="D90">
        <v>169.64282499999999</v>
      </c>
      <c r="E90">
        <v>4.4595000000000003E-2</v>
      </c>
      <c r="F90" s="8">
        <v>16</v>
      </c>
      <c r="G90" s="8">
        <v>150</v>
      </c>
      <c r="I90" t="s">
        <v>24</v>
      </c>
      <c r="J90">
        <v>93.592592592592595</v>
      </c>
    </row>
    <row r="91" spans="1:10" ht="15.75" customHeight="1">
      <c r="A91" s="7" t="s">
        <v>190</v>
      </c>
      <c r="B91" s="8" t="s">
        <v>24</v>
      </c>
      <c r="C91" s="9">
        <v>2015</v>
      </c>
      <c r="D91">
        <v>451.56421499999999</v>
      </c>
      <c r="E91">
        <v>5.3414999999999997E-2</v>
      </c>
      <c r="F91" s="8">
        <v>96</v>
      </c>
      <c r="G91" s="8">
        <v>109</v>
      </c>
      <c r="I91" t="s">
        <v>14</v>
      </c>
      <c r="J91">
        <v>93.92307692307692</v>
      </c>
    </row>
    <row r="92" spans="1:10" ht="15.75" customHeight="1">
      <c r="A92" s="7" t="s">
        <v>207</v>
      </c>
      <c r="B92" s="8" t="s">
        <v>24</v>
      </c>
      <c r="C92" s="9">
        <v>2016</v>
      </c>
      <c r="D92">
        <v>1645.67497</v>
      </c>
      <c r="E92">
        <v>5.0470000000000001E-2</v>
      </c>
      <c r="F92" s="8">
        <v>88</v>
      </c>
      <c r="G92" s="8">
        <v>116</v>
      </c>
      <c r="I92" t="s">
        <v>35</v>
      </c>
      <c r="J92">
        <v>105.94444444444444</v>
      </c>
    </row>
    <row r="93" spans="1:10" ht="15.75" customHeight="1">
      <c r="A93" s="7" t="s">
        <v>208</v>
      </c>
      <c r="B93" s="8" t="s">
        <v>24</v>
      </c>
      <c r="C93" s="9">
        <v>2016</v>
      </c>
      <c r="D93">
        <v>2965.1191650000001</v>
      </c>
      <c r="E93">
        <v>0.13356499999999999</v>
      </c>
      <c r="F93" s="8">
        <v>70</v>
      </c>
      <c r="G93" s="8">
        <v>96</v>
      </c>
      <c r="I93" t="s">
        <v>29</v>
      </c>
      <c r="J93">
        <v>108.95833333333333</v>
      </c>
    </row>
    <row r="94" spans="1:10" ht="15.75" customHeight="1">
      <c r="A94" s="7" t="s">
        <v>216</v>
      </c>
      <c r="B94" s="8" t="s">
        <v>24</v>
      </c>
      <c r="C94" s="9">
        <v>2018</v>
      </c>
      <c r="D94">
        <v>3017.4717900000001</v>
      </c>
      <c r="E94">
        <v>0.10074</v>
      </c>
      <c r="F94" s="8">
        <v>76</v>
      </c>
      <c r="G94" s="8">
        <v>90</v>
      </c>
      <c r="I94" t="s">
        <v>32</v>
      </c>
      <c r="J94">
        <v>110.375</v>
      </c>
    </row>
    <row r="95" spans="1:10" ht="15.75" customHeight="1">
      <c r="A95" s="7" t="s">
        <v>220</v>
      </c>
      <c r="B95" s="8" t="s">
        <v>24</v>
      </c>
      <c r="C95" s="9">
        <v>2018</v>
      </c>
      <c r="D95">
        <v>1099.0615049999999</v>
      </c>
      <c r="E95">
        <v>6.2164999999999998E-2</v>
      </c>
      <c r="F95" s="8">
        <v>74</v>
      </c>
      <c r="G95" s="8">
        <v>97</v>
      </c>
      <c r="I95" t="s">
        <v>19</v>
      </c>
      <c r="J95">
        <v>144.6</v>
      </c>
    </row>
    <row r="96" spans="1:10" ht="15.75" customHeight="1">
      <c r="A96" s="7" t="s">
        <v>221</v>
      </c>
      <c r="B96" s="8" t="s">
        <v>24</v>
      </c>
      <c r="C96" s="9">
        <v>2018</v>
      </c>
      <c r="D96">
        <v>1814.119555</v>
      </c>
      <c r="E96">
        <v>0.14740500000000001</v>
      </c>
      <c r="F96" s="8">
        <v>81</v>
      </c>
      <c r="G96" s="8">
        <v>102</v>
      </c>
      <c r="I96" t="s">
        <v>89</v>
      </c>
      <c r="J96">
        <v>101.16504854368932</v>
      </c>
    </row>
    <row r="97" spans="1:10" ht="15.75" customHeight="1">
      <c r="A97" s="7" t="s">
        <v>225</v>
      </c>
      <c r="B97" s="8" t="s">
        <v>24</v>
      </c>
      <c r="C97" s="9">
        <v>2019</v>
      </c>
      <c r="D97">
        <v>2519.6474050000002</v>
      </c>
      <c r="E97">
        <v>4.8614999999999998E-2</v>
      </c>
      <c r="F97" s="8">
        <v>82</v>
      </c>
      <c r="G97" s="8">
        <v>95</v>
      </c>
    </row>
    <row r="98" spans="1:10" ht="15.75" customHeight="1">
      <c r="A98" s="7" t="s">
        <v>238</v>
      </c>
      <c r="B98" s="8" t="s">
        <v>24</v>
      </c>
      <c r="C98" s="9">
        <v>2020</v>
      </c>
      <c r="D98">
        <v>3555.17443</v>
      </c>
      <c r="E98">
        <v>6.6570000000000004E-2</v>
      </c>
      <c r="F98" s="8">
        <v>106</v>
      </c>
      <c r="G98" s="8">
        <v>115</v>
      </c>
    </row>
    <row r="99" spans="1:10" ht="15.75" customHeight="1">
      <c r="A99" s="7" t="s">
        <v>247</v>
      </c>
      <c r="B99" s="8" t="s">
        <v>24</v>
      </c>
      <c r="C99" s="9">
        <v>2022</v>
      </c>
      <c r="D99">
        <v>1959.1455149999999</v>
      </c>
      <c r="E99">
        <v>0.17218</v>
      </c>
      <c r="F99" s="8">
        <v>97</v>
      </c>
      <c r="G99" s="8">
        <v>107</v>
      </c>
      <c r="I99" s="17" t="s">
        <v>10</v>
      </c>
      <c r="J99" t="s">
        <v>179</v>
      </c>
    </row>
    <row r="100" spans="1:10" ht="15.75" customHeight="1">
      <c r="A100" s="7" t="s">
        <v>251</v>
      </c>
      <c r="B100" s="8" t="s">
        <v>24</v>
      </c>
      <c r="C100" s="9">
        <v>2023</v>
      </c>
      <c r="D100">
        <v>1619.6922850000001</v>
      </c>
      <c r="E100">
        <v>5.4115000000000003E-2</v>
      </c>
      <c r="F100" s="8">
        <v>203</v>
      </c>
      <c r="G100" s="8">
        <v>175</v>
      </c>
      <c r="I100" t="s">
        <v>215</v>
      </c>
      <c r="J100">
        <v>67</v>
      </c>
    </row>
    <row r="101" spans="1:10" ht="15.75" customHeight="1">
      <c r="A101" s="7" t="s">
        <v>252</v>
      </c>
      <c r="B101" s="8" t="s">
        <v>24</v>
      </c>
      <c r="C101" s="9">
        <v>2023</v>
      </c>
      <c r="D101">
        <v>1960.62417</v>
      </c>
      <c r="E101">
        <v>8.8639999999999997E-2</v>
      </c>
      <c r="F101" s="8">
        <v>66</v>
      </c>
      <c r="G101" s="8">
        <v>120</v>
      </c>
      <c r="I101" t="s">
        <v>91</v>
      </c>
      <c r="J101">
        <v>78</v>
      </c>
    </row>
    <row r="102" spans="1:10" ht="15.75" customHeight="1">
      <c r="A102" s="7" t="s">
        <v>263</v>
      </c>
      <c r="B102" s="8" t="s">
        <v>24</v>
      </c>
      <c r="C102" s="9">
        <v>2024</v>
      </c>
      <c r="D102">
        <v>1546.1245550000001</v>
      </c>
      <c r="E102">
        <v>1.1529700000000001</v>
      </c>
      <c r="F102" s="8">
        <v>221</v>
      </c>
      <c r="G102" s="8">
        <v>156</v>
      </c>
      <c r="I102" t="s">
        <v>96</v>
      </c>
      <c r="J102">
        <v>104</v>
      </c>
    </row>
    <row r="103" spans="1:10" ht="15.75" customHeight="1">
      <c r="A103" s="7" t="s">
        <v>261</v>
      </c>
      <c r="B103" s="8" t="s">
        <v>24</v>
      </c>
      <c r="C103" s="9">
        <v>2024</v>
      </c>
      <c r="D103" s="8">
        <v>2342.7830399999998</v>
      </c>
      <c r="E103" s="8">
        <v>0.12885333333333335</v>
      </c>
      <c r="F103" s="8">
        <v>67</v>
      </c>
      <c r="G103" s="9">
        <v>65</v>
      </c>
      <c r="I103" t="s">
        <v>24</v>
      </c>
      <c r="J103">
        <v>221</v>
      </c>
    </row>
    <row r="104" spans="1:10" ht="15.75" customHeight="1">
      <c r="A104" s="7" t="s">
        <v>261</v>
      </c>
      <c r="B104" s="8" t="s">
        <v>215</v>
      </c>
      <c r="C104" s="9">
        <v>2024</v>
      </c>
      <c r="D104" s="8">
        <v>2342.7830399999998</v>
      </c>
      <c r="E104" s="8">
        <v>0.12885333333333335</v>
      </c>
      <c r="F104" s="8">
        <v>67</v>
      </c>
      <c r="G104" s="9">
        <v>65</v>
      </c>
      <c r="I104" t="s">
        <v>32</v>
      </c>
      <c r="J104">
        <v>233</v>
      </c>
    </row>
    <row r="105" spans="1:10" ht="15.75" customHeight="1">
      <c r="I105" t="s">
        <v>35</v>
      </c>
      <c r="J105">
        <v>262</v>
      </c>
    </row>
    <row r="106" spans="1:10" ht="15.75" customHeight="1">
      <c r="I106" t="s">
        <v>29</v>
      </c>
      <c r="J106">
        <v>264</v>
      </c>
    </row>
    <row r="107" spans="1:10" ht="15.75" customHeight="1">
      <c r="I107" t="s">
        <v>14</v>
      </c>
      <c r="J107">
        <v>292</v>
      </c>
    </row>
    <row r="108" spans="1:10" ht="15.75" customHeight="1">
      <c r="I108" t="s">
        <v>19</v>
      </c>
      <c r="J108">
        <v>304</v>
      </c>
    </row>
    <row r="109" spans="1:10" ht="15.75" customHeight="1">
      <c r="I109" t="s">
        <v>89</v>
      </c>
      <c r="J109">
        <v>304</v>
      </c>
    </row>
  </sheetData>
  <pageMargins left="0" right="0" top="0" bottom="0" header="0" footer="0"/>
  <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P77"/>
  <sheetViews>
    <sheetView topLeftCell="G61" workbookViewId="0">
      <selection activeCell="I64" sqref="I64:I69"/>
    </sheetView>
  </sheetViews>
  <sheetFormatPr defaultColWidth="12.5703125" defaultRowHeight="15.75" customHeight="1"/>
  <cols>
    <col min="3" max="3" width="14.7109375" customWidth="1"/>
    <col min="4" max="4" width="15.140625" customWidth="1"/>
    <col min="9" max="9" width="11.7109375" bestFit="1" customWidth="1"/>
    <col min="10" max="10" width="21.140625" customWidth="1"/>
    <col min="11" max="11" width="37.28515625" customWidth="1"/>
    <col min="12" max="12" width="33.42578125" bestFit="1" customWidth="1"/>
    <col min="13" max="13" width="11.7109375" bestFit="1" customWidth="1"/>
    <col min="14" max="14" width="33.42578125" bestFit="1" customWidth="1"/>
    <col min="15" max="18" width="8.140625" bestFit="1" customWidth="1"/>
    <col min="19" max="19" width="9.140625" bestFit="1" customWidth="1"/>
    <col min="20" max="21" width="8.140625" bestFit="1" customWidth="1"/>
    <col min="22" max="23" width="9.140625" bestFit="1" customWidth="1"/>
    <col min="24" max="24" width="8.140625" bestFit="1" customWidth="1"/>
    <col min="25" max="25" width="9.140625" bestFit="1" customWidth="1"/>
    <col min="26" max="26" width="8.140625" bestFit="1" customWidth="1"/>
    <col min="27" max="27" width="9.140625" bestFit="1" customWidth="1"/>
    <col min="28" max="29" width="8.140625" bestFit="1" customWidth="1"/>
    <col min="30" max="30" width="12.140625" bestFit="1" customWidth="1"/>
    <col min="31" max="32" width="9.140625" bestFit="1" customWidth="1"/>
    <col min="33" max="34" width="8.140625" bestFit="1" customWidth="1"/>
    <col min="35" max="35" width="11.5703125" bestFit="1" customWidth="1"/>
  </cols>
  <sheetData>
    <row r="1" spans="1:16" ht="14.1">
      <c r="A1" s="5" t="s">
        <v>267</v>
      </c>
      <c r="B1" s="10" t="s">
        <v>141</v>
      </c>
      <c r="C1" s="10" t="s">
        <v>80</v>
      </c>
      <c r="D1" s="13" t="s">
        <v>81</v>
      </c>
      <c r="E1" s="13" t="s">
        <v>82</v>
      </c>
      <c r="F1" s="13" t="s">
        <v>176</v>
      </c>
      <c r="G1" s="13" t="s">
        <v>84</v>
      </c>
      <c r="I1" s="17" t="s">
        <v>141</v>
      </c>
      <c r="J1" s="17" t="s">
        <v>80</v>
      </c>
      <c r="K1" t="s">
        <v>177</v>
      </c>
      <c r="L1" t="s">
        <v>86</v>
      </c>
      <c r="M1" t="s">
        <v>178</v>
      </c>
      <c r="N1" t="s">
        <v>268</v>
      </c>
      <c r="O1" t="s">
        <v>180</v>
      </c>
      <c r="P1" t="s">
        <v>181</v>
      </c>
    </row>
    <row r="2" spans="1:16" ht="12.6">
      <c r="A2" s="1" t="s">
        <v>269</v>
      </c>
      <c r="B2" s="1" t="s">
        <v>24</v>
      </c>
      <c r="C2" s="1">
        <v>2014</v>
      </c>
      <c r="D2" s="1">
        <v>7.8599699999999997</v>
      </c>
      <c r="E2" s="1">
        <v>5.985E-2</v>
      </c>
      <c r="F2" s="1">
        <v>35</v>
      </c>
      <c r="G2" s="1">
        <v>90</v>
      </c>
      <c r="I2" t="s">
        <v>14</v>
      </c>
      <c r="J2">
        <v>2018</v>
      </c>
      <c r="K2">
        <v>4.0198099999999997</v>
      </c>
      <c r="L2">
        <v>4.0785000000000002E-2</v>
      </c>
      <c r="M2">
        <v>67</v>
      </c>
      <c r="N2">
        <v>67</v>
      </c>
      <c r="O2">
        <v>122</v>
      </c>
      <c r="P2">
        <v>122</v>
      </c>
    </row>
    <row r="3" spans="1:16" ht="12.6">
      <c r="A3" s="1" t="s">
        <v>270</v>
      </c>
      <c r="B3" s="1" t="s">
        <v>29</v>
      </c>
      <c r="C3" s="1">
        <v>2016</v>
      </c>
      <c r="D3" s="1">
        <f>7.86097/2</f>
        <v>3.930485</v>
      </c>
      <c r="E3" s="1">
        <f>0.10557/2</f>
        <v>5.2784999999999999E-2</v>
      </c>
      <c r="F3" s="1">
        <v>51</v>
      </c>
      <c r="G3" s="1">
        <v>100</v>
      </c>
      <c r="J3">
        <v>2019</v>
      </c>
      <c r="K3">
        <v>3.3874599999999999</v>
      </c>
      <c r="L3">
        <v>0.14222499999999999</v>
      </c>
      <c r="M3">
        <v>69</v>
      </c>
      <c r="N3">
        <v>69</v>
      </c>
      <c r="O3">
        <v>147</v>
      </c>
      <c r="P3">
        <v>147</v>
      </c>
    </row>
    <row r="4" spans="1:16" ht="12.6">
      <c r="A4" s="1" t="s">
        <v>271</v>
      </c>
      <c r="B4" s="1" t="s">
        <v>19</v>
      </c>
      <c r="C4" s="1">
        <v>2017</v>
      </c>
      <c r="D4" s="1">
        <f>1.53638/2</f>
        <v>0.76819000000000004</v>
      </c>
      <c r="E4" s="1">
        <f>0.05192/2</f>
        <v>2.596E-2</v>
      </c>
      <c r="F4" s="1">
        <v>67</v>
      </c>
      <c r="G4" s="1">
        <v>109</v>
      </c>
      <c r="J4">
        <v>2023</v>
      </c>
      <c r="K4">
        <v>3.8672900000000001</v>
      </c>
      <c r="L4">
        <v>5.2290000000000003E-2</v>
      </c>
      <c r="M4">
        <v>52</v>
      </c>
      <c r="N4">
        <v>52</v>
      </c>
      <c r="O4">
        <v>116</v>
      </c>
      <c r="P4">
        <v>116</v>
      </c>
    </row>
    <row r="5" spans="1:16" ht="12.6">
      <c r="A5" s="1" t="s">
        <v>272</v>
      </c>
      <c r="B5" s="1" t="s">
        <v>19</v>
      </c>
      <c r="C5" s="1">
        <v>2017</v>
      </c>
      <c r="D5" s="1">
        <v>5.9363200000000003</v>
      </c>
      <c r="E5" s="1">
        <v>0.24573</v>
      </c>
      <c r="F5" s="1">
        <v>76</v>
      </c>
      <c r="G5" s="1">
        <v>136</v>
      </c>
      <c r="I5" t="s">
        <v>191</v>
      </c>
      <c r="K5">
        <v>3.7581866666666666</v>
      </c>
      <c r="L5">
        <v>7.8433333333333341E-2</v>
      </c>
      <c r="M5">
        <v>62.666666666666664</v>
      </c>
      <c r="N5">
        <v>69</v>
      </c>
      <c r="O5">
        <v>128.33333333333334</v>
      </c>
      <c r="P5">
        <v>147</v>
      </c>
    </row>
    <row r="6" spans="1:16" ht="12.6">
      <c r="A6" s="1" t="s">
        <v>273</v>
      </c>
      <c r="B6" s="1" t="s">
        <v>29</v>
      </c>
      <c r="C6" s="1">
        <v>2017</v>
      </c>
      <c r="D6" s="1">
        <f>8.01955/2</f>
        <v>4.0097750000000003</v>
      </c>
      <c r="E6" s="1">
        <f>0.07857/2</f>
        <v>3.9285E-2</v>
      </c>
      <c r="F6" s="1">
        <v>44</v>
      </c>
      <c r="G6" s="1">
        <v>91</v>
      </c>
      <c r="I6" t="s">
        <v>19</v>
      </c>
      <c r="J6">
        <v>2017</v>
      </c>
      <c r="K6">
        <v>3.352255</v>
      </c>
      <c r="L6">
        <v>0.13584499999999999</v>
      </c>
      <c r="M6">
        <v>71.5</v>
      </c>
      <c r="N6">
        <v>76</v>
      </c>
      <c r="O6">
        <v>122.5</v>
      </c>
      <c r="P6">
        <v>136</v>
      </c>
    </row>
    <row r="7" spans="1:16" ht="12.6">
      <c r="A7" s="1" t="s">
        <v>274</v>
      </c>
      <c r="B7" s="1" t="s">
        <v>14</v>
      </c>
      <c r="C7" s="1">
        <v>2018</v>
      </c>
      <c r="D7" s="1">
        <f>8.03962/2</f>
        <v>4.0198099999999997</v>
      </c>
      <c r="E7" s="1">
        <f>0.08157/2</f>
        <v>4.0785000000000002E-2</v>
      </c>
      <c r="F7" s="1">
        <v>67</v>
      </c>
      <c r="G7" s="1">
        <v>122</v>
      </c>
      <c r="J7">
        <v>2018</v>
      </c>
      <c r="K7">
        <v>4.0198099999999997</v>
      </c>
      <c r="L7">
        <v>4.0785000000000002E-2</v>
      </c>
      <c r="M7">
        <v>67</v>
      </c>
      <c r="N7">
        <v>67</v>
      </c>
      <c r="O7">
        <v>122</v>
      </c>
      <c r="P7">
        <v>122</v>
      </c>
    </row>
    <row r="8" spans="1:16" ht="12.6">
      <c r="A8" s="1" t="s">
        <v>275</v>
      </c>
      <c r="B8" s="1" t="s">
        <v>35</v>
      </c>
      <c r="C8" s="1">
        <v>2019</v>
      </c>
      <c r="D8" s="1">
        <f>7.70564/3</f>
        <v>2.5685466666666668</v>
      </c>
      <c r="E8" s="1">
        <f>0.06918/3</f>
        <v>2.3060000000000001E-2</v>
      </c>
      <c r="F8" s="1">
        <v>42</v>
      </c>
      <c r="G8" s="1">
        <v>98</v>
      </c>
      <c r="J8">
        <v>2019</v>
      </c>
      <c r="K8">
        <v>3.8548849999999999</v>
      </c>
      <c r="L8">
        <v>0.12012</v>
      </c>
      <c r="M8">
        <v>65.5</v>
      </c>
      <c r="N8">
        <v>69</v>
      </c>
      <c r="O8">
        <v>125.5</v>
      </c>
      <c r="P8">
        <v>147</v>
      </c>
    </row>
    <row r="9" spans="1:16" ht="12.6">
      <c r="A9" s="1" t="s">
        <v>276</v>
      </c>
      <c r="B9" s="1" t="s">
        <v>14</v>
      </c>
      <c r="C9" s="1">
        <v>2019</v>
      </c>
      <c r="D9" s="1">
        <f>6.77492/2</f>
        <v>3.3874599999999999</v>
      </c>
      <c r="E9" s="1">
        <f>0.28445/2</f>
        <v>0.14222499999999999</v>
      </c>
      <c r="F9" s="1">
        <v>69</v>
      </c>
      <c r="G9" s="1">
        <v>147</v>
      </c>
      <c r="J9">
        <v>2021</v>
      </c>
      <c r="K9">
        <v>3.2693400000000001</v>
      </c>
      <c r="L9">
        <v>0.21328</v>
      </c>
      <c r="M9">
        <v>40</v>
      </c>
      <c r="N9">
        <v>40</v>
      </c>
      <c r="O9">
        <v>116</v>
      </c>
      <c r="P9">
        <v>116</v>
      </c>
    </row>
    <row r="10" spans="1:16" ht="12.6">
      <c r="A10" s="1" t="s">
        <v>277</v>
      </c>
      <c r="B10" s="1" t="s">
        <v>19</v>
      </c>
      <c r="C10" s="1">
        <v>2019</v>
      </c>
      <c r="D10" s="1">
        <f>8.64462/2</f>
        <v>4.3223099999999999</v>
      </c>
      <c r="E10" s="1">
        <f>0.19603/2</f>
        <v>9.8015000000000005E-2</v>
      </c>
      <c r="F10" s="1">
        <v>62</v>
      </c>
      <c r="G10" s="1">
        <v>104</v>
      </c>
      <c r="J10">
        <v>2023</v>
      </c>
      <c r="K10">
        <v>3.8672900000000001</v>
      </c>
      <c r="L10">
        <v>5.2290000000000003E-2</v>
      </c>
      <c r="M10">
        <v>52</v>
      </c>
      <c r="N10">
        <v>52</v>
      </c>
      <c r="O10">
        <v>116</v>
      </c>
      <c r="P10">
        <v>116</v>
      </c>
    </row>
    <row r="11" spans="1:16" ht="12.6">
      <c r="A11" s="1" t="s">
        <v>278</v>
      </c>
      <c r="B11" s="1" t="s">
        <v>35</v>
      </c>
      <c r="C11" s="1">
        <v>2019</v>
      </c>
      <c r="D11" s="1">
        <v>2.9583699999999999</v>
      </c>
      <c r="E11" s="1">
        <v>3.7659999999999999E-2</v>
      </c>
      <c r="F11" s="1">
        <v>50</v>
      </c>
      <c r="G11" s="1">
        <v>98</v>
      </c>
      <c r="I11" t="s">
        <v>198</v>
      </c>
      <c r="K11">
        <v>3.6529599999999998</v>
      </c>
      <c r="L11">
        <v>0.11689785714285716</v>
      </c>
      <c r="M11">
        <v>61.857142857142854</v>
      </c>
      <c r="N11">
        <v>76</v>
      </c>
      <c r="O11">
        <v>121.42857142857143</v>
      </c>
      <c r="P11">
        <v>147</v>
      </c>
    </row>
    <row r="12" spans="1:16" ht="12.6">
      <c r="A12" s="1" t="s">
        <v>279</v>
      </c>
      <c r="B12" s="1" t="s">
        <v>29</v>
      </c>
      <c r="C12" s="1">
        <v>2020</v>
      </c>
      <c r="D12" s="1">
        <f>7.2854/2</f>
        <v>3.6427</v>
      </c>
      <c r="E12" s="1">
        <f>0.04639/2</f>
        <v>2.3195E-2</v>
      </c>
      <c r="F12" s="1">
        <v>59</v>
      </c>
      <c r="G12" s="1">
        <v>100</v>
      </c>
      <c r="I12" t="s">
        <v>35</v>
      </c>
      <c r="J12">
        <v>2017</v>
      </c>
      <c r="K12">
        <v>4.0097750000000003</v>
      </c>
      <c r="L12">
        <v>3.9285E-2</v>
      </c>
      <c r="M12">
        <v>44</v>
      </c>
      <c r="N12">
        <v>44</v>
      </c>
      <c r="O12">
        <v>91</v>
      </c>
      <c r="P12">
        <v>91</v>
      </c>
    </row>
    <row r="13" spans="1:16" ht="12.6">
      <c r="A13" s="1" t="s">
        <v>280</v>
      </c>
      <c r="B13" s="1" t="s">
        <v>35</v>
      </c>
      <c r="C13" s="1">
        <v>2020</v>
      </c>
      <c r="D13" s="1">
        <v>1.3068500000000001</v>
      </c>
      <c r="E13" s="1">
        <v>1.702E-2</v>
      </c>
      <c r="F13" s="1">
        <v>56</v>
      </c>
      <c r="G13" s="1">
        <v>92</v>
      </c>
      <c r="J13">
        <v>2019</v>
      </c>
      <c r="K13">
        <v>2.7634583333333333</v>
      </c>
      <c r="L13">
        <v>3.0359999999999998E-2</v>
      </c>
      <c r="M13">
        <v>46</v>
      </c>
      <c r="N13">
        <v>50</v>
      </c>
      <c r="O13">
        <v>98</v>
      </c>
      <c r="P13">
        <v>98</v>
      </c>
    </row>
    <row r="14" spans="1:16" ht="12.6">
      <c r="A14" s="1" t="s">
        <v>281</v>
      </c>
      <c r="B14" s="1" t="s">
        <v>32</v>
      </c>
      <c r="C14" s="1">
        <v>2021</v>
      </c>
      <c r="D14" s="1">
        <v>7.4259300000000001</v>
      </c>
      <c r="E14" s="1">
        <v>2.4299999999999999E-3</v>
      </c>
      <c r="F14" s="1">
        <v>33</v>
      </c>
      <c r="G14" s="1">
        <v>90</v>
      </c>
      <c r="J14">
        <v>2020</v>
      </c>
      <c r="K14">
        <v>1.3068500000000001</v>
      </c>
      <c r="L14">
        <v>1.702E-2</v>
      </c>
      <c r="M14">
        <v>56</v>
      </c>
      <c r="N14">
        <v>56</v>
      </c>
      <c r="O14">
        <v>92</v>
      </c>
      <c r="P14">
        <v>92</v>
      </c>
    </row>
    <row r="15" spans="1:16" ht="12.6">
      <c r="A15" s="1" t="s">
        <v>282</v>
      </c>
      <c r="B15" s="1" t="s">
        <v>35</v>
      </c>
      <c r="C15" s="1">
        <v>2021</v>
      </c>
      <c r="D15" s="1">
        <f>7.73291/3</f>
        <v>2.5776366666666668</v>
      </c>
      <c r="E15" s="1">
        <f>0.00496/3</f>
        <v>1.6533333333333333E-3</v>
      </c>
      <c r="F15" s="1">
        <v>38</v>
      </c>
      <c r="G15" s="1">
        <v>96</v>
      </c>
      <c r="J15">
        <v>2021</v>
      </c>
      <c r="K15">
        <v>2.5776366666666668</v>
      </c>
      <c r="L15">
        <v>1.6533333333333333E-3</v>
      </c>
      <c r="M15">
        <v>38</v>
      </c>
      <c r="N15">
        <v>38</v>
      </c>
      <c r="O15">
        <v>96</v>
      </c>
      <c r="P15">
        <v>96</v>
      </c>
    </row>
    <row r="16" spans="1:16" ht="12.6">
      <c r="A16" s="1" t="s">
        <v>283</v>
      </c>
      <c r="B16" s="1" t="s">
        <v>19</v>
      </c>
      <c r="C16" s="1">
        <v>2021</v>
      </c>
      <c r="D16" s="1">
        <v>3.2693400000000001</v>
      </c>
      <c r="E16" s="1">
        <v>0.21328</v>
      </c>
      <c r="F16" s="1">
        <v>40</v>
      </c>
      <c r="G16" s="1">
        <v>116</v>
      </c>
      <c r="J16">
        <v>2022</v>
      </c>
      <c r="K16">
        <v>1.64832</v>
      </c>
      <c r="L16">
        <v>8.3750000000000005E-2</v>
      </c>
      <c r="M16">
        <v>82</v>
      </c>
      <c r="N16">
        <v>82</v>
      </c>
      <c r="O16">
        <v>99</v>
      </c>
      <c r="P16">
        <v>99</v>
      </c>
    </row>
    <row r="17" spans="1:16" ht="12.6">
      <c r="A17" s="1" t="s">
        <v>284</v>
      </c>
      <c r="B17" s="1" t="s">
        <v>29</v>
      </c>
      <c r="C17" s="1">
        <v>2021</v>
      </c>
      <c r="D17" s="1">
        <f>6.39501/2</f>
        <v>3.197505</v>
      </c>
      <c r="E17" s="1">
        <f>0.15683/2</f>
        <v>7.8414999999999999E-2</v>
      </c>
      <c r="F17" s="1">
        <v>35</v>
      </c>
      <c r="G17" s="1">
        <v>128</v>
      </c>
      <c r="J17">
        <v>2023</v>
      </c>
      <c r="K17">
        <v>3.2439966666666669</v>
      </c>
      <c r="L17">
        <v>4.3914999999999996E-2</v>
      </c>
      <c r="M17">
        <v>61</v>
      </c>
      <c r="N17">
        <v>62</v>
      </c>
      <c r="O17">
        <v>116</v>
      </c>
      <c r="P17">
        <v>129</v>
      </c>
    </row>
    <row r="18" spans="1:16" ht="12.6">
      <c r="A18" s="1" t="s">
        <v>285</v>
      </c>
      <c r="B18" s="1" t="s">
        <v>35</v>
      </c>
      <c r="C18" s="1">
        <v>2022</v>
      </c>
      <c r="D18" s="1">
        <v>1.64832</v>
      </c>
      <c r="E18" s="1">
        <v>8.3750000000000005E-2</v>
      </c>
      <c r="F18" s="1">
        <v>82</v>
      </c>
      <c r="G18" s="1">
        <v>99</v>
      </c>
      <c r="J18">
        <v>2024</v>
      </c>
      <c r="K18">
        <v>2.64534</v>
      </c>
      <c r="L18">
        <v>8.4596666666666667E-2</v>
      </c>
      <c r="M18">
        <v>71</v>
      </c>
      <c r="N18">
        <v>71</v>
      </c>
      <c r="O18">
        <v>148</v>
      </c>
      <c r="P18">
        <v>148</v>
      </c>
    </row>
    <row r="19" spans="1:16" ht="12.6">
      <c r="A19" s="1" t="s">
        <v>286</v>
      </c>
      <c r="B19" s="1" t="s">
        <v>35</v>
      </c>
      <c r="C19" s="1">
        <v>2023</v>
      </c>
      <c r="D19" s="1">
        <f>6.99412/3</f>
        <v>2.3313733333333331</v>
      </c>
      <c r="E19" s="1">
        <f>0.02763/3</f>
        <v>9.2099999999999994E-3</v>
      </c>
      <c r="F19" s="1">
        <v>60</v>
      </c>
      <c r="G19" s="1">
        <v>103</v>
      </c>
      <c r="I19" t="s">
        <v>209</v>
      </c>
      <c r="K19">
        <v>2.6892035185185188</v>
      </c>
      <c r="L19">
        <v>4.1650555555555552E-2</v>
      </c>
      <c r="M19">
        <v>56.111111111111114</v>
      </c>
      <c r="N19">
        <v>82</v>
      </c>
      <c r="O19">
        <v>106</v>
      </c>
      <c r="P19">
        <v>148</v>
      </c>
    </row>
    <row r="20" spans="1:16" ht="12.6">
      <c r="A20" s="1" t="s">
        <v>287</v>
      </c>
      <c r="B20" s="1" t="s">
        <v>29</v>
      </c>
      <c r="C20" s="1">
        <v>2023</v>
      </c>
      <c r="D20" s="1">
        <f>8.31324/2</f>
        <v>4.1566200000000002</v>
      </c>
      <c r="E20" s="1">
        <f>0.15724/2</f>
        <v>7.8619999999999995E-2</v>
      </c>
      <c r="F20" s="1">
        <v>62</v>
      </c>
      <c r="G20" s="1">
        <v>129</v>
      </c>
      <c r="I20" t="s">
        <v>24</v>
      </c>
      <c r="J20">
        <v>2014</v>
      </c>
      <c r="K20">
        <v>7.8599699999999997</v>
      </c>
      <c r="L20">
        <v>5.985E-2</v>
      </c>
      <c r="M20">
        <v>35</v>
      </c>
      <c r="N20">
        <v>35</v>
      </c>
      <c r="O20">
        <v>90</v>
      </c>
      <c r="P20">
        <v>90</v>
      </c>
    </row>
    <row r="21" spans="1:16" ht="12.6">
      <c r="A21" s="1" t="s">
        <v>288</v>
      </c>
      <c r="B21" s="1" t="s">
        <v>14</v>
      </c>
      <c r="C21" s="1">
        <v>2023</v>
      </c>
      <c r="D21" s="1">
        <f>7.73458/2</f>
        <v>3.8672900000000001</v>
      </c>
      <c r="E21" s="1">
        <f>0.10458/2</f>
        <v>5.2290000000000003E-2</v>
      </c>
      <c r="F21" s="1">
        <v>52</v>
      </c>
      <c r="G21" s="1">
        <v>116</v>
      </c>
      <c r="J21">
        <v>2016</v>
      </c>
      <c r="K21">
        <v>3.930485</v>
      </c>
      <c r="L21">
        <v>5.2784999999999999E-2</v>
      </c>
      <c r="M21">
        <v>51</v>
      </c>
      <c r="N21">
        <v>51</v>
      </c>
      <c r="O21">
        <v>100</v>
      </c>
      <c r="P21">
        <v>100</v>
      </c>
    </row>
    <row r="22" spans="1:16" ht="12.6">
      <c r="A22" s="1" t="s">
        <v>289</v>
      </c>
      <c r="B22" s="1" t="s">
        <v>35</v>
      </c>
      <c r="C22" s="1">
        <v>2024</v>
      </c>
      <c r="D22" s="1">
        <f>7.93602/3</f>
        <v>2.64534</v>
      </c>
      <c r="E22" s="1">
        <f>0.25379/3</f>
        <v>8.4596666666666667E-2</v>
      </c>
      <c r="F22" s="1">
        <v>71</v>
      </c>
      <c r="G22" s="1">
        <v>148</v>
      </c>
      <c r="J22">
        <v>2019</v>
      </c>
      <c r="K22">
        <v>2.5685466666666668</v>
      </c>
      <c r="L22">
        <v>2.3060000000000001E-2</v>
      </c>
      <c r="M22">
        <v>42</v>
      </c>
      <c r="N22">
        <v>42</v>
      </c>
      <c r="O22">
        <v>98</v>
      </c>
      <c r="P22">
        <v>98</v>
      </c>
    </row>
    <row r="23" spans="1:16" ht="15.75" customHeight="1">
      <c r="A23" s="1" t="s">
        <v>270</v>
      </c>
      <c r="B23" s="1" t="s">
        <v>24</v>
      </c>
      <c r="C23" s="1">
        <v>2016</v>
      </c>
      <c r="D23" s="1">
        <f>7.86097/2</f>
        <v>3.930485</v>
      </c>
      <c r="E23" s="1">
        <f>0.10557/2</f>
        <v>5.2784999999999999E-2</v>
      </c>
      <c r="F23" s="1">
        <v>51</v>
      </c>
      <c r="G23" s="1">
        <v>100</v>
      </c>
      <c r="J23">
        <v>2020</v>
      </c>
      <c r="K23">
        <v>3.6427</v>
      </c>
      <c r="L23">
        <v>2.3195E-2</v>
      </c>
      <c r="M23">
        <v>59</v>
      </c>
      <c r="N23">
        <v>59</v>
      </c>
      <c r="O23">
        <v>100</v>
      </c>
      <c r="P23">
        <v>100</v>
      </c>
    </row>
    <row r="24" spans="1:16" ht="15.75" customHeight="1">
      <c r="A24" s="1" t="s">
        <v>279</v>
      </c>
      <c r="B24" s="1" t="s">
        <v>24</v>
      </c>
      <c r="C24" s="1">
        <v>2020</v>
      </c>
      <c r="D24" s="1">
        <f>7.2854/2</f>
        <v>3.6427</v>
      </c>
      <c r="E24" s="1">
        <f>0.04639/2</f>
        <v>2.3195E-2</v>
      </c>
      <c r="F24" s="1">
        <v>59</v>
      </c>
      <c r="G24" s="1">
        <v>100</v>
      </c>
      <c r="J24">
        <v>2021</v>
      </c>
      <c r="K24">
        <v>2.8875708333333332</v>
      </c>
      <c r="L24">
        <v>4.0034166666666669E-2</v>
      </c>
      <c r="M24">
        <v>36.5</v>
      </c>
      <c r="N24">
        <v>38</v>
      </c>
      <c r="O24">
        <v>112</v>
      </c>
      <c r="P24">
        <v>128</v>
      </c>
    </row>
    <row r="25" spans="1:16" ht="15.75" customHeight="1">
      <c r="A25" s="1" t="s">
        <v>284</v>
      </c>
      <c r="B25" s="1" t="s">
        <v>24</v>
      </c>
      <c r="C25" s="1">
        <v>2021</v>
      </c>
      <c r="D25" s="1">
        <f>6.39501/2</f>
        <v>3.197505</v>
      </c>
      <c r="E25" s="1">
        <f>0.15683/2</f>
        <v>7.8414999999999999E-2</v>
      </c>
      <c r="F25" s="1">
        <v>35</v>
      </c>
      <c r="G25" s="1">
        <v>128</v>
      </c>
      <c r="J25">
        <v>2023</v>
      </c>
      <c r="K25">
        <v>2.3313733333333331</v>
      </c>
      <c r="L25">
        <v>9.2099999999999994E-3</v>
      </c>
      <c r="M25">
        <v>60</v>
      </c>
      <c r="N25">
        <v>60</v>
      </c>
      <c r="O25">
        <v>103</v>
      </c>
      <c r="P25">
        <v>103</v>
      </c>
    </row>
    <row r="26" spans="1:16" ht="15.75" customHeight="1">
      <c r="A26" s="1" t="s">
        <v>271</v>
      </c>
      <c r="B26" s="1" t="s">
        <v>32</v>
      </c>
      <c r="C26" s="1">
        <v>2017</v>
      </c>
      <c r="D26" s="1">
        <f>1.53638/2</f>
        <v>0.76819000000000004</v>
      </c>
      <c r="E26" s="1">
        <f>0.05192/2</f>
        <v>2.596E-2</v>
      </c>
      <c r="F26" s="1">
        <v>67</v>
      </c>
      <c r="G26" s="1">
        <v>109</v>
      </c>
      <c r="J26">
        <v>2024</v>
      </c>
      <c r="K26">
        <v>2.64534</v>
      </c>
      <c r="L26">
        <v>8.4596666666666667E-2</v>
      </c>
      <c r="M26">
        <v>71</v>
      </c>
      <c r="N26">
        <v>71</v>
      </c>
      <c r="O26">
        <v>148</v>
      </c>
      <c r="P26">
        <v>148</v>
      </c>
    </row>
    <row r="27" spans="1:16" ht="15.75" customHeight="1">
      <c r="A27" s="1" t="s">
        <v>277</v>
      </c>
      <c r="B27" s="1" t="s">
        <v>32</v>
      </c>
      <c r="C27" s="1">
        <v>2019</v>
      </c>
      <c r="D27" s="1">
        <f>8.64462/2</f>
        <v>4.3223099999999999</v>
      </c>
      <c r="E27" s="1">
        <f>0.19603/2</f>
        <v>9.8015000000000005E-2</v>
      </c>
      <c r="F27" s="1">
        <v>62</v>
      </c>
      <c r="G27" s="1">
        <v>104</v>
      </c>
      <c r="I27" t="s">
        <v>229</v>
      </c>
      <c r="K27">
        <v>3.5941945833333331</v>
      </c>
      <c r="L27">
        <v>4.1595624999999997E-2</v>
      </c>
      <c r="M27">
        <v>48.875</v>
      </c>
      <c r="N27">
        <v>71</v>
      </c>
      <c r="O27">
        <v>107.875</v>
      </c>
      <c r="P27">
        <v>148</v>
      </c>
    </row>
    <row r="28" spans="1:16" ht="15.75" customHeight="1">
      <c r="A28" s="1" t="s">
        <v>274</v>
      </c>
      <c r="B28" s="1" t="s">
        <v>19</v>
      </c>
      <c r="C28" s="1">
        <v>2018</v>
      </c>
      <c r="D28" s="1">
        <f>8.03962/2</f>
        <v>4.0198099999999997</v>
      </c>
      <c r="E28" s="1">
        <f>0.08157/2</f>
        <v>4.0785000000000002E-2</v>
      </c>
      <c r="F28" s="1">
        <v>67</v>
      </c>
      <c r="G28" s="1">
        <v>122</v>
      </c>
      <c r="I28" t="s">
        <v>32</v>
      </c>
      <c r="J28">
        <v>2017</v>
      </c>
      <c r="K28">
        <v>0.76819000000000004</v>
      </c>
      <c r="L28">
        <v>2.596E-2</v>
      </c>
      <c r="M28">
        <v>67</v>
      </c>
      <c r="N28">
        <v>67</v>
      </c>
      <c r="O28">
        <v>109</v>
      </c>
      <c r="P28">
        <v>109</v>
      </c>
    </row>
    <row r="29" spans="1:16" ht="15.75" customHeight="1">
      <c r="A29" s="1" t="s">
        <v>276</v>
      </c>
      <c r="B29" s="1" t="s">
        <v>19</v>
      </c>
      <c r="C29" s="1">
        <v>2019</v>
      </c>
      <c r="D29" s="1">
        <f>6.77492/2</f>
        <v>3.3874599999999999</v>
      </c>
      <c r="E29" s="1">
        <f>0.28445/2</f>
        <v>0.14222499999999999</v>
      </c>
      <c r="F29" s="1">
        <v>69</v>
      </c>
      <c r="G29" s="1">
        <v>147</v>
      </c>
      <c r="J29">
        <v>2019</v>
      </c>
      <c r="K29">
        <v>4.3223099999999999</v>
      </c>
      <c r="L29">
        <v>9.8015000000000005E-2</v>
      </c>
      <c r="M29">
        <v>62</v>
      </c>
      <c r="N29">
        <v>62</v>
      </c>
      <c r="O29">
        <v>104</v>
      </c>
      <c r="P29">
        <v>104</v>
      </c>
    </row>
    <row r="30" spans="1:16" ht="15.75" customHeight="1">
      <c r="A30" s="1" t="s">
        <v>288</v>
      </c>
      <c r="B30" s="1" t="s">
        <v>19</v>
      </c>
      <c r="C30" s="1">
        <v>2023</v>
      </c>
      <c r="D30" s="1">
        <f>7.73458/2</f>
        <v>3.8672900000000001</v>
      </c>
      <c r="E30" s="1">
        <f>0.10458/2</f>
        <v>5.2290000000000003E-2</v>
      </c>
      <c r="F30" s="1">
        <v>52</v>
      </c>
      <c r="G30" s="1">
        <v>116</v>
      </c>
      <c r="J30">
        <v>2021</v>
      </c>
      <c r="K30">
        <v>7.4259300000000001</v>
      </c>
      <c r="L30">
        <v>2.4299999999999999E-3</v>
      </c>
      <c r="M30">
        <v>33</v>
      </c>
      <c r="N30">
        <v>33</v>
      </c>
      <c r="O30">
        <v>90</v>
      </c>
      <c r="P30">
        <v>90</v>
      </c>
    </row>
    <row r="31" spans="1:16" ht="15.75" customHeight="1">
      <c r="A31" s="1" t="s">
        <v>273</v>
      </c>
      <c r="B31" s="1" t="s">
        <v>35</v>
      </c>
      <c r="C31" s="1">
        <v>2017</v>
      </c>
      <c r="D31" s="1">
        <f>8.01955/2</f>
        <v>4.0097750000000003</v>
      </c>
      <c r="E31" s="1">
        <f>0.07857/2</f>
        <v>3.9285E-2</v>
      </c>
      <c r="F31" s="1">
        <v>44</v>
      </c>
      <c r="G31" s="1">
        <v>91</v>
      </c>
      <c r="I31" t="s">
        <v>236</v>
      </c>
      <c r="K31">
        <v>4.1721433333333335</v>
      </c>
      <c r="L31">
        <v>4.2134999999999999E-2</v>
      </c>
      <c r="M31">
        <v>54</v>
      </c>
      <c r="N31">
        <v>67</v>
      </c>
      <c r="O31">
        <v>101</v>
      </c>
      <c r="P31">
        <v>109</v>
      </c>
    </row>
    <row r="32" spans="1:16" ht="15.75" customHeight="1">
      <c r="A32" s="1" t="s">
        <v>287</v>
      </c>
      <c r="B32" s="1" t="s">
        <v>35</v>
      </c>
      <c r="C32" s="1">
        <v>2023</v>
      </c>
      <c r="D32" s="1">
        <f>8.31324/2</f>
        <v>4.1566200000000002</v>
      </c>
      <c r="E32" s="1">
        <f>0.15724/2</f>
        <v>7.8619999999999995E-2</v>
      </c>
      <c r="F32" s="1">
        <v>62</v>
      </c>
      <c r="G32" s="1">
        <v>129</v>
      </c>
      <c r="I32" t="s">
        <v>29</v>
      </c>
      <c r="J32">
        <v>2016</v>
      </c>
      <c r="K32">
        <v>3.930485</v>
      </c>
      <c r="L32">
        <v>5.2784999999999999E-2</v>
      </c>
      <c r="M32">
        <v>51</v>
      </c>
      <c r="N32">
        <v>51</v>
      </c>
      <c r="O32">
        <v>100</v>
      </c>
      <c r="P32">
        <v>100</v>
      </c>
    </row>
    <row r="33" spans="1:16" ht="15.75" customHeight="1">
      <c r="A33" s="1" t="s">
        <v>275</v>
      </c>
      <c r="B33" s="1" t="s">
        <v>29</v>
      </c>
      <c r="C33" s="1">
        <v>2019</v>
      </c>
      <c r="D33" s="1">
        <f>7.70564/3</f>
        <v>2.5685466666666668</v>
      </c>
      <c r="E33" s="1">
        <f>0.06918/3</f>
        <v>2.3060000000000001E-2</v>
      </c>
      <c r="F33" s="1">
        <v>42</v>
      </c>
      <c r="G33" s="1">
        <v>98</v>
      </c>
      <c r="J33">
        <v>2017</v>
      </c>
      <c r="K33">
        <v>4.0097750000000003</v>
      </c>
      <c r="L33">
        <v>3.9285E-2</v>
      </c>
      <c r="M33">
        <v>44</v>
      </c>
      <c r="N33">
        <v>44</v>
      </c>
      <c r="O33">
        <v>91</v>
      </c>
      <c r="P33">
        <v>91</v>
      </c>
    </row>
    <row r="34" spans="1:16" ht="15.75" customHeight="1">
      <c r="A34" s="1" t="s">
        <v>282</v>
      </c>
      <c r="B34" s="1" t="s">
        <v>29</v>
      </c>
      <c r="C34" s="1">
        <v>2021</v>
      </c>
      <c r="D34" s="1">
        <f>7.73291/3</f>
        <v>2.5776366666666668</v>
      </c>
      <c r="E34" s="1">
        <f>0.00496/3</f>
        <v>1.6533333333333333E-3</v>
      </c>
      <c r="F34" s="1">
        <v>38</v>
      </c>
      <c r="G34" s="1">
        <v>96</v>
      </c>
      <c r="J34">
        <v>2019</v>
      </c>
      <c r="K34">
        <v>2.5685466666666668</v>
      </c>
      <c r="L34">
        <v>2.3060000000000001E-2</v>
      </c>
      <c r="M34">
        <v>42</v>
      </c>
      <c r="N34">
        <v>42</v>
      </c>
      <c r="O34">
        <v>98</v>
      </c>
      <c r="P34">
        <v>98</v>
      </c>
    </row>
    <row r="35" spans="1:16" ht="15.75" customHeight="1">
      <c r="A35" s="1" t="s">
        <v>286</v>
      </c>
      <c r="B35" s="1" t="s">
        <v>29</v>
      </c>
      <c r="C35" s="1">
        <v>2023</v>
      </c>
      <c r="D35" s="1">
        <f>6.99412/3</f>
        <v>2.3313733333333331</v>
      </c>
      <c r="E35" s="1">
        <f>0.02763/3</f>
        <v>9.2099999999999994E-3</v>
      </c>
      <c r="F35" s="1">
        <v>60</v>
      </c>
      <c r="G35" s="1">
        <v>103</v>
      </c>
      <c r="J35">
        <v>2020</v>
      </c>
      <c r="K35">
        <v>3.6427</v>
      </c>
      <c r="L35">
        <v>2.3195E-2</v>
      </c>
      <c r="M35">
        <v>59</v>
      </c>
      <c r="N35">
        <v>59</v>
      </c>
      <c r="O35">
        <v>100</v>
      </c>
      <c r="P35">
        <v>100</v>
      </c>
    </row>
    <row r="36" spans="1:16" ht="15.75" customHeight="1">
      <c r="A36" s="1" t="s">
        <v>289</v>
      </c>
      <c r="B36" s="1" t="s">
        <v>29</v>
      </c>
      <c r="C36" s="1">
        <v>2024</v>
      </c>
      <c r="D36" s="1">
        <f>7.93602/3</f>
        <v>2.64534</v>
      </c>
      <c r="E36" s="1">
        <f>0.25379/3</f>
        <v>8.4596666666666667E-2</v>
      </c>
      <c r="F36" s="1">
        <v>71</v>
      </c>
      <c r="G36" s="1">
        <v>148</v>
      </c>
      <c r="J36">
        <v>2021</v>
      </c>
      <c r="K36">
        <v>2.8875708333333332</v>
      </c>
      <c r="L36">
        <v>4.0034166666666669E-2</v>
      </c>
      <c r="M36">
        <v>36.5</v>
      </c>
      <c r="N36">
        <v>38</v>
      </c>
      <c r="O36">
        <v>112</v>
      </c>
      <c r="P36">
        <v>128</v>
      </c>
    </row>
    <row r="37" spans="1:16" ht="15.75" customHeight="1">
      <c r="A37" s="1" t="s">
        <v>275</v>
      </c>
      <c r="B37" s="1" t="s">
        <v>24</v>
      </c>
      <c r="C37" s="1">
        <v>2019</v>
      </c>
      <c r="D37" s="1">
        <f>7.70564/3</f>
        <v>2.5685466666666668</v>
      </c>
      <c r="E37" s="1">
        <f>0.06918/3</f>
        <v>2.3060000000000001E-2</v>
      </c>
      <c r="F37" s="1">
        <v>42</v>
      </c>
      <c r="G37" s="1">
        <v>98</v>
      </c>
      <c r="J37">
        <v>2023</v>
      </c>
      <c r="K37">
        <v>3.2439966666666669</v>
      </c>
      <c r="L37">
        <v>4.3914999999999996E-2</v>
      </c>
      <c r="M37">
        <v>61</v>
      </c>
      <c r="N37">
        <v>62</v>
      </c>
      <c r="O37">
        <v>116</v>
      </c>
      <c r="P37">
        <v>129</v>
      </c>
    </row>
    <row r="38" spans="1:16" ht="15.75" customHeight="1">
      <c r="A38" s="1" t="s">
        <v>282</v>
      </c>
      <c r="B38" s="1" t="s">
        <v>24</v>
      </c>
      <c r="C38" s="1">
        <v>2021</v>
      </c>
      <c r="D38" s="1">
        <f>7.73291/3</f>
        <v>2.5776366666666668</v>
      </c>
      <c r="E38" s="1">
        <f>0.00496/3</f>
        <v>1.6533333333333333E-3</v>
      </c>
      <c r="F38" s="1">
        <v>38</v>
      </c>
      <c r="G38" s="1">
        <v>96</v>
      </c>
      <c r="J38">
        <v>2024</v>
      </c>
      <c r="K38">
        <v>2.64534</v>
      </c>
      <c r="L38">
        <v>8.4596666666666667E-2</v>
      </c>
      <c r="M38">
        <v>71</v>
      </c>
      <c r="N38">
        <v>71</v>
      </c>
      <c r="O38">
        <v>148</v>
      </c>
      <c r="P38">
        <v>148</v>
      </c>
    </row>
    <row r="39" spans="1:16" ht="15.75" customHeight="1">
      <c r="A39" s="1" t="s">
        <v>286</v>
      </c>
      <c r="B39" s="1" t="s">
        <v>24</v>
      </c>
      <c r="C39" s="1">
        <v>2023</v>
      </c>
      <c r="D39" s="1">
        <f>6.99412/3</f>
        <v>2.3313733333333331</v>
      </c>
      <c r="E39" s="1">
        <f>0.02763/3</f>
        <v>9.2099999999999994E-3</v>
      </c>
      <c r="F39" s="1">
        <v>60</v>
      </c>
      <c r="G39" s="1">
        <v>103</v>
      </c>
      <c r="I39" t="s">
        <v>248</v>
      </c>
      <c r="K39">
        <v>3.2288868518518519</v>
      </c>
      <c r="L39">
        <v>4.3424444444444446E-2</v>
      </c>
      <c r="M39">
        <v>51.333333333333336</v>
      </c>
      <c r="N39">
        <v>71</v>
      </c>
      <c r="O39">
        <v>110.33333333333333</v>
      </c>
      <c r="P39">
        <v>148</v>
      </c>
    </row>
    <row r="40" spans="1:16" ht="15.75" customHeight="1">
      <c r="A40" s="1" t="s">
        <v>289</v>
      </c>
      <c r="B40" s="1" t="s">
        <v>24</v>
      </c>
      <c r="C40" s="1">
        <v>2024</v>
      </c>
      <c r="D40" s="1">
        <f>7.93602/3</f>
        <v>2.64534</v>
      </c>
      <c r="E40" s="1">
        <f>0.25379/3</f>
        <v>8.4596666666666667E-2</v>
      </c>
      <c r="F40" s="1">
        <v>71</v>
      </c>
      <c r="G40" s="1">
        <v>148</v>
      </c>
      <c r="I40" t="s">
        <v>89</v>
      </c>
      <c r="K40">
        <v>3.3686687179487191</v>
      </c>
      <c r="L40">
        <v>5.8421282051282046E-2</v>
      </c>
      <c r="M40">
        <v>54.897435897435898</v>
      </c>
      <c r="N40">
        <v>82</v>
      </c>
      <c r="O40">
        <v>111.48717948717949</v>
      </c>
      <c r="P40">
        <v>148</v>
      </c>
    </row>
    <row r="44" spans="1:16" ht="15.75" customHeight="1">
      <c r="I44" s="17" t="s">
        <v>141</v>
      </c>
      <c r="J44" t="s">
        <v>180</v>
      </c>
      <c r="K44" s="29" t="s">
        <v>290</v>
      </c>
      <c r="M44" s="17" t="s">
        <v>141</v>
      </c>
      <c r="N44" t="s">
        <v>86</v>
      </c>
    </row>
    <row r="45" spans="1:16" ht="15.75" customHeight="1">
      <c r="I45" t="s">
        <v>14</v>
      </c>
      <c r="J45">
        <v>128.33333333333334</v>
      </c>
      <c r="K45" s="31" t="s">
        <v>291</v>
      </c>
      <c r="M45" t="s">
        <v>14</v>
      </c>
      <c r="N45">
        <v>7.8433333333333341E-2</v>
      </c>
    </row>
    <row r="46" spans="1:16" ht="15.75" customHeight="1">
      <c r="I46" t="s">
        <v>19</v>
      </c>
      <c r="J46">
        <v>121.42857142857143</v>
      </c>
      <c r="K46" s="31" t="s">
        <v>291</v>
      </c>
      <c r="M46" t="s">
        <v>19</v>
      </c>
      <c r="N46">
        <v>0.11689785714285714</v>
      </c>
    </row>
    <row r="47" spans="1:16" ht="15.75" customHeight="1">
      <c r="I47" t="s">
        <v>35</v>
      </c>
      <c r="J47">
        <v>106</v>
      </c>
      <c r="K47" s="31" t="s">
        <v>292</v>
      </c>
      <c r="M47" t="s">
        <v>35</v>
      </c>
      <c r="N47">
        <v>4.1650555555555559E-2</v>
      </c>
    </row>
    <row r="48" spans="1:16" ht="15.75" customHeight="1">
      <c r="I48" t="s">
        <v>24</v>
      </c>
      <c r="J48">
        <v>107.875</v>
      </c>
      <c r="K48" s="31" t="s">
        <v>292</v>
      </c>
      <c r="M48" t="s">
        <v>24</v>
      </c>
      <c r="N48">
        <v>4.1595625000000004E-2</v>
      </c>
    </row>
    <row r="49" spans="9:14" ht="15.75" customHeight="1">
      <c r="I49" t="s">
        <v>32</v>
      </c>
      <c r="J49">
        <v>101</v>
      </c>
      <c r="K49" s="31" t="s">
        <v>292</v>
      </c>
      <c r="M49" t="s">
        <v>32</v>
      </c>
      <c r="N49">
        <v>4.2134999999999999E-2</v>
      </c>
    </row>
    <row r="50" spans="9:14" ht="15.75" customHeight="1">
      <c r="I50" t="s">
        <v>29</v>
      </c>
      <c r="J50">
        <v>110.33333333333333</v>
      </c>
      <c r="K50" s="31" t="s">
        <v>291</v>
      </c>
      <c r="M50" t="s">
        <v>29</v>
      </c>
      <c r="N50">
        <v>4.3424444444444446E-2</v>
      </c>
    </row>
    <row r="51" spans="9:14" ht="15.75" customHeight="1">
      <c r="I51" t="s">
        <v>89</v>
      </c>
      <c r="J51">
        <v>111.48717948717949</v>
      </c>
      <c r="K51" s="30"/>
      <c r="M51" t="s">
        <v>89</v>
      </c>
      <c r="N51">
        <v>5.8421282051282053E-2</v>
      </c>
    </row>
    <row r="53" spans="9:14" ht="15.75" customHeight="1">
      <c r="I53" s="17" t="s">
        <v>141</v>
      </c>
      <c r="J53" t="s">
        <v>293</v>
      </c>
      <c r="K53" s="29" t="s">
        <v>290</v>
      </c>
    </row>
    <row r="54" spans="9:14" ht="15.75" customHeight="1">
      <c r="I54" t="s">
        <v>14</v>
      </c>
      <c r="J54">
        <v>147</v>
      </c>
      <c r="K54" s="31" t="s">
        <v>294</v>
      </c>
    </row>
    <row r="55" spans="9:14" ht="15.75" customHeight="1">
      <c r="I55" t="s">
        <v>19</v>
      </c>
      <c r="J55">
        <v>147</v>
      </c>
      <c r="K55" s="31" t="s">
        <v>294</v>
      </c>
    </row>
    <row r="56" spans="9:14" ht="15.75" customHeight="1">
      <c r="I56" t="s">
        <v>35</v>
      </c>
      <c r="J56">
        <v>148</v>
      </c>
      <c r="K56" s="31" t="s">
        <v>294</v>
      </c>
    </row>
    <row r="57" spans="9:14" ht="15.75" customHeight="1">
      <c r="I57" t="s">
        <v>24</v>
      </c>
      <c r="J57">
        <v>148</v>
      </c>
      <c r="K57" s="31" t="s">
        <v>294</v>
      </c>
    </row>
    <row r="58" spans="9:14" ht="15.75" customHeight="1">
      <c r="I58" t="s">
        <v>32</v>
      </c>
      <c r="J58">
        <v>109</v>
      </c>
      <c r="K58" s="31" t="s">
        <v>292</v>
      </c>
    </row>
    <row r="59" spans="9:14" ht="15.75" customHeight="1">
      <c r="I59" t="s">
        <v>29</v>
      </c>
      <c r="J59">
        <v>148</v>
      </c>
      <c r="K59" s="31" t="s">
        <v>294</v>
      </c>
    </row>
    <row r="60" spans="9:14" ht="15.75" customHeight="1">
      <c r="I60" t="s">
        <v>89</v>
      </c>
      <c r="J60">
        <v>148</v>
      </c>
      <c r="K60" s="30"/>
    </row>
    <row r="63" spans="9:14" ht="15.75" customHeight="1">
      <c r="I63" s="32" t="s">
        <v>141</v>
      </c>
      <c r="J63" s="32" t="s">
        <v>295</v>
      </c>
      <c r="K63" s="32" t="s">
        <v>290</v>
      </c>
    </row>
    <row r="64" spans="9:14" ht="15.75" customHeight="1">
      <c r="I64" s="33" t="s">
        <v>14</v>
      </c>
      <c r="J64" s="33">
        <v>128.33333333333334</v>
      </c>
      <c r="K64" s="33" t="s">
        <v>291</v>
      </c>
    </row>
    <row r="65" spans="9:11" ht="15.75" customHeight="1">
      <c r="I65" s="28" t="s">
        <v>19</v>
      </c>
      <c r="J65" s="28">
        <v>121.42857142857143</v>
      </c>
      <c r="K65" s="28" t="s">
        <v>291</v>
      </c>
    </row>
    <row r="66" spans="9:11" ht="15.75" customHeight="1">
      <c r="I66" s="28" t="s">
        <v>35</v>
      </c>
      <c r="J66" s="28">
        <v>106</v>
      </c>
      <c r="K66" s="28" t="s">
        <v>292</v>
      </c>
    </row>
    <row r="67" spans="9:11" ht="15.75" customHeight="1">
      <c r="I67" s="28" t="s">
        <v>24</v>
      </c>
      <c r="J67" s="28">
        <v>107.875</v>
      </c>
      <c r="K67" s="28" t="s">
        <v>292</v>
      </c>
    </row>
    <row r="68" spans="9:11" ht="15.75" customHeight="1">
      <c r="I68" s="28" t="s">
        <v>32</v>
      </c>
      <c r="J68" s="28">
        <v>101</v>
      </c>
      <c r="K68" s="28" t="s">
        <v>292</v>
      </c>
    </row>
    <row r="69" spans="9:11" ht="15.75" customHeight="1">
      <c r="I69" s="28" t="s">
        <v>29</v>
      </c>
      <c r="J69" s="28">
        <v>110.33333333333333</v>
      </c>
      <c r="K69" s="28" t="s">
        <v>292</v>
      </c>
    </row>
    <row r="71" spans="9:11" ht="15.75" customHeight="1">
      <c r="I71" s="32" t="s">
        <v>141</v>
      </c>
      <c r="J71" s="32" t="s">
        <v>296</v>
      </c>
      <c r="K71" s="32" t="s">
        <v>290</v>
      </c>
    </row>
    <row r="72" spans="9:11" ht="15.75" customHeight="1">
      <c r="I72" s="33" t="s">
        <v>14</v>
      </c>
      <c r="J72" s="33">
        <v>147</v>
      </c>
      <c r="K72" s="33" t="s">
        <v>294</v>
      </c>
    </row>
    <row r="73" spans="9:11" ht="15.75" customHeight="1">
      <c r="I73" s="28" t="s">
        <v>19</v>
      </c>
      <c r="J73" s="28">
        <v>147</v>
      </c>
      <c r="K73" s="28" t="s">
        <v>294</v>
      </c>
    </row>
    <row r="74" spans="9:11" ht="15.75" customHeight="1">
      <c r="I74" s="28" t="s">
        <v>35</v>
      </c>
      <c r="J74" s="28">
        <v>148</v>
      </c>
      <c r="K74" s="28" t="s">
        <v>294</v>
      </c>
    </row>
    <row r="75" spans="9:11" ht="15.75" customHeight="1">
      <c r="I75" s="28" t="s">
        <v>24</v>
      </c>
      <c r="J75" s="28">
        <v>148</v>
      </c>
      <c r="K75" s="28" t="s">
        <v>294</v>
      </c>
    </row>
    <row r="76" spans="9:11" ht="15.75" customHeight="1">
      <c r="I76" s="28" t="s">
        <v>32</v>
      </c>
      <c r="J76" s="28">
        <v>109</v>
      </c>
      <c r="K76" s="28" t="s">
        <v>292</v>
      </c>
    </row>
    <row r="77" spans="9:11" ht="15.75" customHeight="1">
      <c r="I77" s="28" t="s">
        <v>29</v>
      </c>
      <c r="J77" s="28">
        <v>148</v>
      </c>
      <c r="K77" s="28" t="s">
        <v>294</v>
      </c>
    </row>
  </sheetData>
  <pageMargins left="0" right="0" top="0" bottom="0" header="0" footer="0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7E7AB-2E96-4617-B662-175D7E38DCB5}">
  <dimension ref="A2:O67"/>
  <sheetViews>
    <sheetView tabSelected="1" workbookViewId="0">
      <selection activeCell="G44" sqref="G44"/>
    </sheetView>
  </sheetViews>
  <sheetFormatPr defaultRowHeight="12.6"/>
  <cols>
    <col min="1" max="2" width="12.7109375" bestFit="1" customWidth="1"/>
    <col min="3" max="3" width="13.7109375" bestFit="1" customWidth="1"/>
    <col min="4" max="4" width="25.85546875" bestFit="1" customWidth="1"/>
    <col min="5" max="5" width="11.7109375" bestFit="1" customWidth="1"/>
    <col min="6" max="6" width="13.7109375" bestFit="1" customWidth="1"/>
    <col min="7" max="7" width="24" bestFit="1" customWidth="1"/>
    <col min="9" max="9" width="12.7109375" bestFit="1" customWidth="1"/>
    <col min="10" max="10" width="13.7109375" bestFit="1" customWidth="1"/>
    <col min="11" max="11" width="25.85546875" bestFit="1" customWidth="1"/>
    <col min="13" max="13" width="11.7109375" bestFit="1" customWidth="1"/>
    <col min="14" max="14" width="13.7109375" bestFit="1" customWidth="1"/>
    <col min="15" max="15" width="31.85546875" bestFit="1" customWidth="1"/>
  </cols>
  <sheetData>
    <row r="2" spans="1:15">
      <c r="A2" s="17" t="s">
        <v>10</v>
      </c>
      <c r="B2" s="17" t="s">
        <v>80</v>
      </c>
      <c r="C2" t="s">
        <v>297</v>
      </c>
      <c r="E2" s="17" t="s">
        <v>141</v>
      </c>
      <c r="F2" s="17" t="s">
        <v>80</v>
      </c>
      <c r="G2" t="s">
        <v>145</v>
      </c>
      <c r="I2" s="17" t="s">
        <v>10</v>
      </c>
      <c r="J2" s="17" t="s">
        <v>80</v>
      </c>
      <c r="K2" t="s">
        <v>298</v>
      </c>
      <c r="M2" s="17" t="s">
        <v>141</v>
      </c>
      <c r="N2" s="17" t="s">
        <v>80</v>
      </c>
      <c r="O2" t="s">
        <v>299</v>
      </c>
    </row>
    <row r="3" spans="1:15">
      <c r="A3" t="s">
        <v>14</v>
      </c>
      <c r="C3">
        <v>19</v>
      </c>
      <c r="E3" t="s">
        <v>14</v>
      </c>
      <c r="G3">
        <v>2</v>
      </c>
      <c r="I3" t="s">
        <v>14</v>
      </c>
      <c r="J3">
        <v>2014</v>
      </c>
      <c r="K3">
        <v>2</v>
      </c>
      <c r="M3" t="s">
        <v>14</v>
      </c>
      <c r="N3">
        <v>2018</v>
      </c>
      <c r="O3">
        <v>1</v>
      </c>
    </row>
    <row r="4" spans="1:15">
      <c r="A4" t="s">
        <v>91</v>
      </c>
      <c r="C4">
        <v>2</v>
      </c>
      <c r="E4" t="s">
        <v>19</v>
      </c>
      <c r="G4">
        <v>5</v>
      </c>
      <c r="J4">
        <v>2015</v>
      </c>
      <c r="K4">
        <v>3</v>
      </c>
      <c r="N4">
        <v>2019</v>
      </c>
      <c r="O4">
        <v>1</v>
      </c>
    </row>
    <row r="5" spans="1:15">
      <c r="A5" t="s">
        <v>24</v>
      </c>
      <c r="C5">
        <v>10</v>
      </c>
      <c r="E5" t="s">
        <v>35</v>
      </c>
      <c r="G5">
        <v>2</v>
      </c>
      <c r="J5">
        <v>2016</v>
      </c>
      <c r="K5">
        <v>2</v>
      </c>
      <c r="N5">
        <v>2023</v>
      </c>
      <c r="O5">
        <v>1</v>
      </c>
    </row>
    <row r="6" spans="1:15">
      <c r="A6" t="s">
        <v>32</v>
      </c>
      <c r="C6">
        <v>12</v>
      </c>
      <c r="E6" t="s">
        <v>32</v>
      </c>
      <c r="G6">
        <v>2</v>
      </c>
      <c r="J6">
        <v>2017</v>
      </c>
      <c r="K6">
        <v>1</v>
      </c>
      <c r="M6" t="s">
        <v>191</v>
      </c>
      <c r="O6">
        <v>3</v>
      </c>
    </row>
    <row r="7" spans="1:15">
      <c r="A7" t="s">
        <v>29</v>
      </c>
      <c r="C7">
        <v>6</v>
      </c>
      <c r="E7" t="s">
        <v>89</v>
      </c>
      <c r="G7">
        <v>11</v>
      </c>
      <c r="J7">
        <v>2019</v>
      </c>
      <c r="K7">
        <v>2</v>
      </c>
      <c r="M7" t="s">
        <v>19</v>
      </c>
      <c r="N7">
        <v>2017</v>
      </c>
      <c r="O7">
        <v>2</v>
      </c>
    </row>
    <row r="8" spans="1:15">
      <c r="A8" t="s">
        <v>96</v>
      </c>
      <c r="C8">
        <v>4</v>
      </c>
      <c r="J8">
        <v>2020</v>
      </c>
      <c r="K8">
        <v>1</v>
      </c>
      <c r="N8">
        <v>2018</v>
      </c>
      <c r="O8">
        <v>1</v>
      </c>
    </row>
    <row r="9" spans="1:15">
      <c r="A9" t="s">
        <v>89</v>
      </c>
      <c r="C9">
        <v>53</v>
      </c>
      <c r="J9">
        <v>2021</v>
      </c>
      <c r="K9">
        <v>1</v>
      </c>
      <c r="N9">
        <v>2019</v>
      </c>
      <c r="O9">
        <v>2</v>
      </c>
    </row>
    <row r="10" spans="1:15">
      <c r="J10">
        <v>2022</v>
      </c>
      <c r="K10">
        <v>1</v>
      </c>
      <c r="N10">
        <v>2021</v>
      </c>
      <c r="O10">
        <v>1</v>
      </c>
    </row>
    <row r="11" spans="1:15">
      <c r="I11" t="s">
        <v>191</v>
      </c>
      <c r="K11">
        <v>13</v>
      </c>
      <c r="N11">
        <v>2023</v>
      </c>
      <c r="O11">
        <v>1</v>
      </c>
    </row>
    <row r="12" spans="1:15">
      <c r="I12" t="s">
        <v>19</v>
      </c>
      <c r="J12">
        <v>2017</v>
      </c>
      <c r="K12">
        <v>1</v>
      </c>
      <c r="M12" t="s">
        <v>198</v>
      </c>
      <c r="O12">
        <v>7</v>
      </c>
    </row>
    <row r="13" spans="1:15">
      <c r="J13">
        <v>2019</v>
      </c>
      <c r="K13">
        <v>1</v>
      </c>
      <c r="M13" t="s">
        <v>35</v>
      </c>
      <c r="N13">
        <v>2017</v>
      </c>
      <c r="O13">
        <v>1</v>
      </c>
    </row>
    <row r="14" spans="1:15">
      <c r="J14">
        <v>2020</v>
      </c>
      <c r="K14">
        <v>1</v>
      </c>
      <c r="N14">
        <v>2019</v>
      </c>
      <c r="O14">
        <v>2</v>
      </c>
    </row>
    <row r="15" spans="1:15">
      <c r="J15">
        <v>2022</v>
      </c>
      <c r="K15">
        <v>1</v>
      </c>
      <c r="N15">
        <v>2020</v>
      </c>
      <c r="O15">
        <v>1</v>
      </c>
    </row>
    <row r="16" spans="1:15">
      <c r="J16">
        <v>2024</v>
      </c>
      <c r="K16">
        <v>1</v>
      </c>
      <c r="N16">
        <v>2021</v>
      </c>
      <c r="O16">
        <v>1</v>
      </c>
    </row>
    <row r="17" spans="5:15">
      <c r="I17" t="s">
        <v>198</v>
      </c>
      <c r="K17">
        <v>5</v>
      </c>
      <c r="N17">
        <v>2022</v>
      </c>
      <c r="O17">
        <v>1</v>
      </c>
    </row>
    <row r="18" spans="5:15">
      <c r="I18" t="s">
        <v>35</v>
      </c>
      <c r="J18">
        <v>2014</v>
      </c>
      <c r="K18">
        <v>2</v>
      </c>
      <c r="N18">
        <v>2023</v>
      </c>
      <c r="O18">
        <v>2</v>
      </c>
    </row>
    <row r="19" spans="5:15">
      <c r="J19">
        <v>2015</v>
      </c>
      <c r="K19">
        <v>1</v>
      </c>
      <c r="N19">
        <v>2024</v>
      </c>
      <c r="O19">
        <v>1</v>
      </c>
    </row>
    <row r="20" spans="5:15">
      <c r="J20">
        <v>2016</v>
      </c>
      <c r="K20">
        <v>3</v>
      </c>
      <c r="M20" t="s">
        <v>209</v>
      </c>
      <c r="O20">
        <v>9</v>
      </c>
    </row>
    <row r="21" spans="5:15">
      <c r="E21" t="s">
        <v>300</v>
      </c>
      <c r="J21">
        <v>2018</v>
      </c>
      <c r="K21">
        <v>2</v>
      </c>
      <c r="M21" t="s">
        <v>24</v>
      </c>
      <c r="N21">
        <v>2014</v>
      </c>
      <c r="O21">
        <v>1</v>
      </c>
    </row>
    <row r="22" spans="5:15">
      <c r="J22">
        <v>2019</v>
      </c>
      <c r="K22">
        <v>2</v>
      </c>
      <c r="N22">
        <v>2016</v>
      </c>
      <c r="O22">
        <v>1</v>
      </c>
    </row>
    <row r="23" spans="5:15">
      <c r="J23">
        <v>2020</v>
      </c>
      <c r="K23">
        <v>3</v>
      </c>
      <c r="N23">
        <v>2019</v>
      </c>
      <c r="O23">
        <v>1</v>
      </c>
    </row>
    <row r="24" spans="5:15">
      <c r="J24">
        <v>2021</v>
      </c>
      <c r="K24">
        <v>1</v>
      </c>
      <c r="N24">
        <v>2020</v>
      </c>
      <c r="O24">
        <v>1</v>
      </c>
    </row>
    <row r="25" spans="5:15">
      <c r="J25">
        <v>2022</v>
      </c>
      <c r="K25">
        <v>1</v>
      </c>
      <c r="N25">
        <v>2021</v>
      </c>
      <c r="O25">
        <v>2</v>
      </c>
    </row>
    <row r="26" spans="5:15">
      <c r="J26">
        <v>2023</v>
      </c>
      <c r="K26">
        <v>3</v>
      </c>
      <c r="N26">
        <v>2023</v>
      </c>
      <c r="O26">
        <v>1</v>
      </c>
    </row>
    <row r="27" spans="5:15">
      <c r="I27" t="s">
        <v>209</v>
      </c>
      <c r="K27">
        <v>18</v>
      </c>
      <c r="N27">
        <v>2024</v>
      </c>
      <c r="O27">
        <v>1</v>
      </c>
    </row>
    <row r="28" spans="5:15">
      <c r="I28" t="s">
        <v>91</v>
      </c>
      <c r="J28">
        <v>2021</v>
      </c>
      <c r="K28">
        <v>1</v>
      </c>
      <c r="M28" t="s">
        <v>229</v>
      </c>
      <c r="O28">
        <v>8</v>
      </c>
    </row>
    <row r="29" spans="5:15">
      <c r="J29">
        <v>2023</v>
      </c>
      <c r="K29">
        <v>1</v>
      </c>
      <c r="M29" t="s">
        <v>32</v>
      </c>
      <c r="N29">
        <v>2017</v>
      </c>
      <c r="O29">
        <v>1</v>
      </c>
    </row>
    <row r="30" spans="5:15">
      <c r="I30" t="s">
        <v>213</v>
      </c>
      <c r="K30">
        <v>2</v>
      </c>
      <c r="N30">
        <v>2019</v>
      </c>
      <c r="O30">
        <v>1</v>
      </c>
    </row>
    <row r="31" spans="5:15">
      <c r="I31" t="s">
        <v>215</v>
      </c>
      <c r="J31">
        <v>2024</v>
      </c>
      <c r="K31">
        <v>1</v>
      </c>
      <c r="N31">
        <v>2021</v>
      </c>
      <c r="O31">
        <v>1</v>
      </c>
    </row>
    <row r="32" spans="5:15">
      <c r="I32" t="s">
        <v>217</v>
      </c>
      <c r="K32">
        <v>1</v>
      </c>
      <c r="M32" t="s">
        <v>236</v>
      </c>
      <c r="O32">
        <v>3</v>
      </c>
    </row>
    <row r="33" spans="9:15">
      <c r="I33" t="s">
        <v>24</v>
      </c>
      <c r="J33">
        <v>2014</v>
      </c>
      <c r="K33">
        <v>2</v>
      </c>
      <c r="M33" t="s">
        <v>29</v>
      </c>
      <c r="N33">
        <v>2016</v>
      </c>
      <c r="O33">
        <v>1</v>
      </c>
    </row>
    <row r="34" spans="9:15">
      <c r="J34">
        <v>2015</v>
      </c>
      <c r="K34">
        <v>3</v>
      </c>
      <c r="N34">
        <v>2017</v>
      </c>
      <c r="O34">
        <v>1</v>
      </c>
    </row>
    <row r="35" spans="9:15">
      <c r="J35">
        <v>2016</v>
      </c>
      <c r="K35">
        <v>4</v>
      </c>
      <c r="N35">
        <v>2019</v>
      </c>
      <c r="O35">
        <v>1</v>
      </c>
    </row>
    <row r="36" spans="9:15">
      <c r="J36">
        <v>2017</v>
      </c>
      <c r="K36">
        <v>1</v>
      </c>
      <c r="N36">
        <v>2020</v>
      </c>
      <c r="O36">
        <v>1</v>
      </c>
    </row>
    <row r="37" spans="9:15">
      <c r="J37">
        <v>2018</v>
      </c>
      <c r="K37">
        <v>4</v>
      </c>
      <c r="N37">
        <v>2021</v>
      </c>
      <c r="O37">
        <v>2</v>
      </c>
    </row>
    <row r="38" spans="9:15">
      <c r="J38">
        <v>2019</v>
      </c>
      <c r="K38">
        <v>1</v>
      </c>
      <c r="N38">
        <v>2023</v>
      </c>
      <c r="O38">
        <v>2</v>
      </c>
    </row>
    <row r="39" spans="9:15">
      <c r="J39">
        <v>2020</v>
      </c>
      <c r="K39">
        <v>3</v>
      </c>
      <c r="N39">
        <v>2024</v>
      </c>
      <c r="O39">
        <v>1</v>
      </c>
    </row>
    <row r="40" spans="9:15">
      <c r="J40">
        <v>2022</v>
      </c>
      <c r="K40">
        <v>1</v>
      </c>
      <c r="M40" t="s">
        <v>248</v>
      </c>
      <c r="O40">
        <v>9</v>
      </c>
    </row>
    <row r="41" spans="9:15">
      <c r="J41">
        <v>2023</v>
      </c>
      <c r="K41">
        <v>3</v>
      </c>
      <c r="M41" t="s">
        <v>89</v>
      </c>
      <c r="O41">
        <v>39</v>
      </c>
    </row>
    <row r="42" spans="9:15">
      <c r="J42">
        <v>2024</v>
      </c>
      <c r="K42">
        <v>5</v>
      </c>
    </row>
    <row r="43" spans="9:15">
      <c r="I43" t="s">
        <v>229</v>
      </c>
      <c r="K43">
        <v>27</v>
      </c>
    </row>
    <row r="44" spans="9:15">
      <c r="I44" t="s">
        <v>32</v>
      </c>
      <c r="J44">
        <v>2014</v>
      </c>
      <c r="K44">
        <v>2</v>
      </c>
    </row>
    <row r="45" spans="9:15">
      <c r="J45">
        <v>2015</v>
      </c>
      <c r="K45">
        <v>2</v>
      </c>
    </row>
    <row r="46" spans="9:15">
      <c r="J46">
        <v>2019</v>
      </c>
      <c r="K46">
        <v>2</v>
      </c>
    </row>
    <row r="47" spans="9:15">
      <c r="J47">
        <v>2020</v>
      </c>
      <c r="K47">
        <v>1</v>
      </c>
    </row>
    <row r="48" spans="9:15">
      <c r="J48">
        <v>2021</v>
      </c>
      <c r="K48">
        <v>1</v>
      </c>
    </row>
    <row r="49" spans="9:11">
      <c r="I49" t="s">
        <v>236</v>
      </c>
      <c r="K49">
        <v>8</v>
      </c>
    </row>
    <row r="50" spans="9:11">
      <c r="I50" t="s">
        <v>29</v>
      </c>
      <c r="J50">
        <v>2014</v>
      </c>
      <c r="K50">
        <v>1</v>
      </c>
    </row>
    <row r="51" spans="9:11">
      <c r="J51">
        <v>2015</v>
      </c>
      <c r="K51">
        <v>1</v>
      </c>
    </row>
    <row r="52" spans="9:11">
      <c r="J52">
        <v>2016</v>
      </c>
      <c r="K52">
        <v>3</v>
      </c>
    </row>
    <row r="53" spans="9:11">
      <c r="J53">
        <v>2018</v>
      </c>
      <c r="K53">
        <v>5</v>
      </c>
    </row>
    <row r="54" spans="9:11">
      <c r="J54">
        <v>2019</v>
      </c>
      <c r="K54">
        <v>2</v>
      </c>
    </row>
    <row r="55" spans="9:11">
      <c r="J55">
        <v>2020</v>
      </c>
      <c r="K55">
        <v>3</v>
      </c>
    </row>
    <row r="56" spans="9:11">
      <c r="J56">
        <v>2021</v>
      </c>
      <c r="K56">
        <v>2</v>
      </c>
    </row>
    <row r="57" spans="9:11">
      <c r="J57">
        <v>2022</v>
      </c>
      <c r="K57">
        <v>2</v>
      </c>
    </row>
    <row r="58" spans="9:11">
      <c r="J58">
        <v>2023</v>
      </c>
      <c r="K58">
        <v>3</v>
      </c>
    </row>
    <row r="59" spans="9:11">
      <c r="J59">
        <v>2024</v>
      </c>
      <c r="K59">
        <v>2</v>
      </c>
    </row>
    <row r="60" spans="9:11">
      <c r="I60" t="s">
        <v>248</v>
      </c>
      <c r="K60">
        <v>24</v>
      </c>
    </row>
    <row r="61" spans="9:11">
      <c r="I61" t="s">
        <v>96</v>
      </c>
      <c r="J61">
        <v>2014</v>
      </c>
      <c r="K61">
        <v>1</v>
      </c>
    </row>
    <row r="62" spans="9:11">
      <c r="J62">
        <v>2015</v>
      </c>
      <c r="K62">
        <v>1</v>
      </c>
    </row>
    <row r="63" spans="9:11">
      <c r="J63">
        <v>2017</v>
      </c>
      <c r="K63">
        <v>1</v>
      </c>
    </row>
    <row r="64" spans="9:11">
      <c r="J64">
        <v>2019</v>
      </c>
      <c r="K64">
        <v>1</v>
      </c>
    </row>
    <row r="65" spans="9:11">
      <c r="J65">
        <v>2021</v>
      </c>
      <c r="K65">
        <v>1</v>
      </c>
    </row>
    <row r="66" spans="9:11">
      <c r="I66" t="s">
        <v>255</v>
      </c>
      <c r="K66">
        <v>5</v>
      </c>
    </row>
    <row r="67" spans="9:11">
      <c r="I67" t="s">
        <v>89</v>
      </c>
      <c r="K67">
        <v>103</v>
      </c>
    </row>
  </sheetData>
  <pageMargins left="0.7" right="0.7" top="0.75" bottom="0.75" header="0.3" footer="0.3"/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2DEEE2-CED2-445E-8CB6-E24B1ECB0B53}">
  <dimension ref="B2:M17"/>
  <sheetViews>
    <sheetView topLeftCell="A11" workbookViewId="0">
      <selection activeCell="B30" sqref="B27:B30"/>
    </sheetView>
  </sheetViews>
  <sheetFormatPr defaultRowHeight="12.75"/>
  <cols>
    <col min="11" max="11" width="12.5703125" bestFit="1" customWidth="1"/>
    <col min="13" max="13" width="12.5703125" bestFit="1" customWidth="1"/>
  </cols>
  <sheetData>
    <row r="2" spans="2:13">
      <c r="B2" s="20" t="s">
        <v>301</v>
      </c>
    </row>
    <row r="3" spans="2:13">
      <c r="B3" s="21" t="s">
        <v>302</v>
      </c>
    </row>
    <row r="4" spans="2:13">
      <c r="B4" s="21"/>
    </row>
    <row r="6" spans="2:13">
      <c r="C6" t="s">
        <v>140</v>
      </c>
      <c r="D6" t="s">
        <v>141</v>
      </c>
      <c r="E6" t="s">
        <v>80</v>
      </c>
      <c r="F6" t="s">
        <v>81</v>
      </c>
      <c r="G6" t="s">
        <v>82</v>
      </c>
      <c r="H6" t="s">
        <v>142</v>
      </c>
      <c r="I6" t="s">
        <v>143</v>
      </c>
      <c r="J6" t="s">
        <v>144</v>
      </c>
      <c r="K6" t="s">
        <v>170</v>
      </c>
      <c r="L6" t="s">
        <v>303</v>
      </c>
      <c r="M6" t="s">
        <v>304</v>
      </c>
    </row>
    <row r="7" spans="2:13">
      <c r="C7" t="s">
        <v>149</v>
      </c>
      <c r="D7" t="s">
        <v>19</v>
      </c>
      <c r="E7">
        <v>2015</v>
      </c>
      <c r="F7">
        <v>11.34891</v>
      </c>
      <c r="G7">
        <v>8.8289999999999993E-2</v>
      </c>
      <c r="H7" s="19">
        <v>13061</v>
      </c>
      <c r="I7" s="19">
        <v>954</v>
      </c>
      <c r="J7">
        <v>7.7796017414888301E-3</v>
      </c>
      <c r="K7">
        <v>6.7598193093943799E-6</v>
      </c>
      <c r="M7">
        <v>9.2547169811320706E-5</v>
      </c>
    </row>
    <row r="8" spans="2:13">
      <c r="C8" t="s">
        <v>150</v>
      </c>
      <c r="D8" t="s">
        <v>14</v>
      </c>
      <c r="E8">
        <v>2015</v>
      </c>
      <c r="F8">
        <v>50.234810000000003</v>
      </c>
      <c r="G8">
        <v>3.23983</v>
      </c>
      <c r="H8" s="19">
        <v>37691</v>
      </c>
      <c r="I8" s="19">
        <v>782</v>
      </c>
      <c r="J8">
        <v>6.4493724570671193E-2</v>
      </c>
      <c r="K8">
        <v>8.5957655673768294E-5</v>
      </c>
      <c r="M8">
        <v>4.1430051150895099E-3</v>
      </c>
    </row>
    <row r="9" spans="2:13">
      <c r="C9" t="s">
        <v>151</v>
      </c>
      <c r="D9" t="s">
        <v>32</v>
      </c>
      <c r="E9">
        <v>2017</v>
      </c>
      <c r="F9">
        <v>111.02536000000001</v>
      </c>
      <c r="G9">
        <v>0.10384</v>
      </c>
      <c r="H9" s="19">
        <v>44885</v>
      </c>
      <c r="I9" s="19">
        <v>1677</v>
      </c>
      <c r="J9">
        <v>9.3528181309207202E-4</v>
      </c>
      <c r="K9">
        <v>2.3134677509190198E-6</v>
      </c>
      <c r="M9">
        <v>6.1920095408467493E-5</v>
      </c>
    </row>
    <row r="10" spans="2:13">
      <c r="C10" t="s">
        <v>152</v>
      </c>
      <c r="D10" t="s">
        <v>19</v>
      </c>
      <c r="E10">
        <v>2017</v>
      </c>
      <c r="F10">
        <v>22.238959999999999</v>
      </c>
      <c r="G10">
        <v>5.6169999999999998E-2</v>
      </c>
      <c r="H10" s="19">
        <v>15085</v>
      </c>
      <c r="I10" s="19">
        <v>1069</v>
      </c>
      <c r="J10">
        <v>2.5257476069024802E-3</v>
      </c>
      <c r="K10">
        <v>3.72356645674511E-6</v>
      </c>
      <c r="M10">
        <v>5.2544434050514501E-5</v>
      </c>
    </row>
    <row r="11" spans="2:13">
      <c r="C11" t="s">
        <v>153</v>
      </c>
      <c r="D11" t="s">
        <v>19</v>
      </c>
      <c r="E11">
        <v>2017</v>
      </c>
      <c r="F11">
        <v>120.78133</v>
      </c>
      <c r="G11">
        <v>9.9169999999999994E-2</v>
      </c>
      <c r="H11" s="19">
        <v>54008</v>
      </c>
      <c r="I11" s="19">
        <v>960</v>
      </c>
      <c r="J11">
        <v>8.2107060751856304E-4</v>
      </c>
      <c r="K11">
        <v>1.8362094504517799E-6</v>
      </c>
      <c r="M11">
        <v>1.03302083333333E-4</v>
      </c>
    </row>
    <row r="12" spans="2:13">
      <c r="C12" t="s">
        <v>154</v>
      </c>
      <c r="D12" t="s">
        <v>35</v>
      </c>
      <c r="E12">
        <v>2019</v>
      </c>
      <c r="F12">
        <v>21.34817</v>
      </c>
      <c r="G12">
        <v>0.24781</v>
      </c>
      <c r="H12" s="19">
        <v>17031</v>
      </c>
      <c r="I12" s="19">
        <v>425</v>
      </c>
      <c r="J12">
        <v>1.1608020734329901E-2</v>
      </c>
      <c r="K12">
        <v>1.4550525512301101E-5</v>
      </c>
      <c r="M12">
        <v>5.8308235294117603E-4</v>
      </c>
    </row>
    <row r="13" spans="2:13">
      <c r="C13" t="s">
        <v>155</v>
      </c>
      <c r="D13" t="s">
        <v>35</v>
      </c>
      <c r="E13">
        <v>2021</v>
      </c>
      <c r="F13">
        <v>10.23981</v>
      </c>
      <c r="G13">
        <v>2.3709999999999998E-2</v>
      </c>
      <c r="H13" s="19">
        <v>13022</v>
      </c>
      <c r="I13" s="19">
        <v>1037</v>
      </c>
      <c r="J13">
        <v>2.3154726503714401E-3</v>
      </c>
      <c r="K13">
        <v>1.82076485946859E-6</v>
      </c>
      <c r="M13">
        <v>2.2864030858244901E-5</v>
      </c>
    </row>
    <row r="14" spans="2:13">
      <c r="C14" t="s">
        <v>156</v>
      </c>
      <c r="D14" t="s">
        <v>19</v>
      </c>
      <c r="E14">
        <v>2023</v>
      </c>
      <c r="F14">
        <v>99.234979999999993</v>
      </c>
      <c r="G14">
        <v>0.52771000000000001</v>
      </c>
      <c r="H14" s="19">
        <v>70857</v>
      </c>
      <c r="I14" s="19">
        <v>648</v>
      </c>
      <c r="J14">
        <v>5.3177820965953698E-3</v>
      </c>
      <c r="K14">
        <v>7.4475351764822099E-6</v>
      </c>
      <c r="M14">
        <v>8.1436728395061701E-4</v>
      </c>
    </row>
    <row r="15" spans="2:13">
      <c r="C15" t="s">
        <v>162</v>
      </c>
      <c r="D15" t="s">
        <v>32</v>
      </c>
      <c r="E15">
        <v>2023</v>
      </c>
      <c r="F15">
        <v>80.129840000000002</v>
      </c>
      <c r="G15">
        <v>2.8570000000000002E-2</v>
      </c>
      <c r="H15" s="19">
        <v>48306</v>
      </c>
      <c r="I15" s="19">
        <v>1899</v>
      </c>
      <c r="J15">
        <v>3.56546325314015E-4</v>
      </c>
      <c r="K15">
        <v>5.9143791661491296E-7</v>
      </c>
      <c r="M15">
        <v>1.50447604002106E-5</v>
      </c>
    </row>
    <row r="16" spans="2:13">
      <c r="C16" t="s">
        <v>164</v>
      </c>
      <c r="D16" t="s">
        <v>14</v>
      </c>
      <c r="E16">
        <v>2023</v>
      </c>
      <c r="F16">
        <v>50.39481</v>
      </c>
      <c r="G16">
        <v>0.22317999999999999</v>
      </c>
      <c r="H16" s="19">
        <v>523772</v>
      </c>
      <c r="I16" s="19">
        <v>2602</v>
      </c>
      <c r="J16">
        <v>4.4286306466876204E-3</v>
      </c>
      <c r="K16">
        <v>4.2610143344814199E-7</v>
      </c>
      <c r="M16">
        <v>8.5772482705611096E-5</v>
      </c>
    </row>
    <row r="17" spans="3:13">
      <c r="C17" t="s">
        <v>166</v>
      </c>
      <c r="D17" t="s">
        <v>19</v>
      </c>
      <c r="E17">
        <v>2024</v>
      </c>
      <c r="F17">
        <v>21.483260000000001</v>
      </c>
      <c r="G17">
        <v>1.4410499999999999</v>
      </c>
      <c r="H17" s="19">
        <v>173928</v>
      </c>
      <c r="I17" s="19">
        <v>1434</v>
      </c>
      <c r="J17">
        <v>6.7077808489028196E-2</v>
      </c>
      <c r="K17">
        <v>8.2853249620532596E-6</v>
      </c>
      <c r="M17">
        <v>1.00491631799163E-3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2025-04-30T01:36:34Z</dcterms:created>
  <dcterms:modified xsi:type="dcterms:W3CDTF">2025-05-12T09:16:31Z</dcterms:modified>
  <cp:category/>
  <cp:contentStatus/>
</cp:coreProperties>
</file>